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anavarro\Desktop\AGM Desarrollos\Construccion\Ucaps\Nueva Granada\"/>
    </mc:Choice>
  </mc:AlternateContent>
  <xr:revisionPtr revIDLastSave="0" documentId="8_{51108D0A-70A9-4803-A7F6-9EA493015B9A}" xr6:coauthVersionLast="47" xr6:coauthVersionMax="47" xr10:uidLastSave="{00000000-0000-0000-0000-000000000000}"/>
  <bookViews>
    <workbookView xWindow="15" yWindow="15" windowWidth="20460" windowHeight="10890" firstSheet="1" activeTab="1" xr2:uid="{00000000-000D-0000-FFFF-FFFF00000000}"/>
  </bookViews>
  <sheets>
    <sheet name="ENTREGA" sheetId="28" r:id="rId1"/>
    <sheet name="COSTOS" sheetId="1" r:id="rId2"/>
    <sheet name="INDEXADO" sheetId="29" r:id="rId3"/>
    <sheet name="APU" sheetId="20" r:id="rId4"/>
    <sheet name="Materiales " sheetId="4" r:id="rId5"/>
    <sheet name="Luminarias " sheetId="25" r:id="rId6"/>
    <sheet name="Mano Obra" sheetId="5" r:id="rId7"/>
    <sheet name="Equip, Herr y Transp" sheetId="7" r:id="rId8"/>
    <sheet name="Presupuesto EPP" sheetId="22" state="hidden" r:id="rId9"/>
    <sheet name="RELACION EXTRA" sheetId="23" state="hidden" r:id="rId10"/>
    <sheet name="Listas" sheetId="27" r:id="rId11"/>
    <sheet name="Directorio" sheetId="24" r:id="rId12"/>
    <sheet name="Hoja2" sheetId="26" state="hidden" r:id="rId13"/>
    <sheet name="Lista Maestra Materiales" sheetId="13" state="hidden" r:id="rId14"/>
  </sheets>
  <externalReferences>
    <externalReference r:id="rId15"/>
    <externalReference r:id="rId16"/>
    <externalReference r:id="rId17"/>
    <externalReference r:id="rId18"/>
    <externalReference r:id="rId19"/>
    <externalReference r:id="rId20"/>
    <externalReference r:id="rId21"/>
  </externalReferences>
  <definedNames>
    <definedName name="_xlnm._FilterDatabase" localSheetId="1" hidden="1">COSTOS!#REF!</definedName>
    <definedName name="_xlnm._FilterDatabase" localSheetId="13" hidden="1">'Lista Maestra Materiales'!$B$1:$F$1428</definedName>
    <definedName name="_xlnm._FilterDatabase" localSheetId="4" hidden="1">'Materiales '!$B$1:$F$1196</definedName>
    <definedName name="APU">[1]Electrico!$A$2:$G$171</definedName>
    <definedName name="_xlnm.Print_Area" localSheetId="3">APU!$A$1:$H$9877</definedName>
    <definedName name="_xlnm.Print_Area" localSheetId="1">COSTOS!$B$1:$AD$234</definedName>
    <definedName name="Consolidado">[2]Actividades!$B$2:$E$1048576</definedName>
    <definedName name="Electrico">[3]Electrico!$A$2:$G$210</definedName>
    <definedName name="her" localSheetId="13">'[4]Equip, Herr y Transp'!$B$2:$B$244</definedName>
    <definedName name="her">'Equip, Herr y Transp'!$B$2:$B$250</definedName>
    <definedName name="HERRAMIENTA">[5]Herramientas!$B$2:$B$234</definedName>
    <definedName name="Listamanodeobra">'[2]Mano de Obra'!$B$2:$E$1048576</definedName>
    <definedName name="Listamateriales">[2]Materiales!$B$3:$E$1048576</definedName>
    <definedName name="MAT" localSheetId="13">'Lista Maestra Materiales'!$C$2:$C$1692</definedName>
    <definedName name="MAT" localSheetId="6">'[6]Materiales '!$C$2:$C$1568</definedName>
    <definedName name="MAT">'Materiales '!$C$2:$C$1460</definedName>
    <definedName name="Mate" localSheetId="13">'Lista Maestra Materiales'!$C$2:$C$1653</definedName>
    <definedName name="Mate">'Materiales '!$C$2:$C$1421</definedName>
    <definedName name="MATERIALES" localSheetId="7">'[5]Materiales '!$B$2:$B$1543</definedName>
    <definedName name="MATERIALES" localSheetId="13">'Lista Maestra Materiales'!$C$2:$C$1665</definedName>
    <definedName name="MATERIALES" localSheetId="6">'[5]Materiales '!$B$2:$B$1537</definedName>
    <definedName name="MATERIALES">'Materiales '!$C$2:$C$1433</definedName>
    <definedName name="mo" localSheetId="13">'[4]Mano Obra'!$B$3:$B$40</definedName>
    <definedName name="mo">'Mano Obra'!$B$3:$B$42</definedName>
    <definedName name="obra">'[5]Mano Obra'!$B$3:$B$24</definedName>
    <definedName name="TRABAJO">[6]Trabajos!$B$3:$B$1102</definedName>
    <definedName name="trans" localSheetId="13">#REF!</definedName>
    <definedName name="trans">#REF!</definedName>
    <definedName name="transporte">[5]Transporte!$C$5:$C$43</definedName>
  </definedNames>
  <calcPr calcId="181029"/>
</workbook>
</file>

<file path=xl/calcChain.xml><?xml version="1.0" encoding="utf-8"?>
<calcChain xmlns="http://schemas.openxmlformats.org/spreadsheetml/2006/main">
  <c r="H4298" i="20" l="1"/>
  <c r="D4337" i="20"/>
  <c r="B4337" i="20"/>
  <c r="D4336" i="20"/>
  <c r="B4336" i="20"/>
  <c r="D4335" i="20"/>
  <c r="E4331" i="20"/>
  <c r="F4331" i="20" s="1"/>
  <c r="H4332" i="20" s="1"/>
  <c r="N4303" i="20" s="1"/>
  <c r="D4327" i="20"/>
  <c r="F4327" i="20" s="1"/>
  <c r="C4327" i="20"/>
  <c r="B4327" i="20"/>
  <c r="F4326" i="20"/>
  <c r="D4326" i="20"/>
  <c r="C4326" i="20"/>
  <c r="B4326" i="20"/>
  <c r="D4325" i="20"/>
  <c r="F4325" i="20" s="1"/>
  <c r="C4325" i="20"/>
  <c r="B4325" i="20"/>
  <c r="F4324" i="20"/>
  <c r="D4324" i="20"/>
  <c r="C4324" i="20"/>
  <c r="B4324" i="20"/>
  <c r="D4323" i="20"/>
  <c r="F4323" i="20" s="1"/>
  <c r="C4323" i="20"/>
  <c r="B4323" i="20"/>
  <c r="D4322" i="20"/>
  <c r="F4322" i="20" s="1"/>
  <c r="C4322" i="20"/>
  <c r="B4322" i="20"/>
  <c r="D4321" i="20"/>
  <c r="F4321" i="20" s="1"/>
  <c r="C4321" i="20"/>
  <c r="B4321" i="20"/>
  <c r="D4320" i="20"/>
  <c r="F4320" i="20" s="1"/>
  <c r="C4320" i="20"/>
  <c r="B4320" i="20"/>
  <c r="D4319" i="20"/>
  <c r="F4319" i="20" s="1"/>
  <c r="C4319" i="20"/>
  <c r="B4319" i="20"/>
  <c r="F4318" i="20"/>
  <c r="D4318" i="20"/>
  <c r="C4318" i="20"/>
  <c r="B4318" i="20"/>
  <c r="D4317" i="20"/>
  <c r="F4317" i="20" s="1"/>
  <c r="C4317" i="20"/>
  <c r="B4317" i="20"/>
  <c r="F4316" i="20"/>
  <c r="D4316" i="20"/>
  <c r="C4316" i="20"/>
  <c r="B4316" i="20"/>
  <c r="D4315" i="20"/>
  <c r="F4315" i="20" s="1"/>
  <c r="C4315" i="20"/>
  <c r="D4314" i="20"/>
  <c r="F4314" i="20" s="1"/>
  <c r="C4314" i="20"/>
  <c r="E4310" i="20"/>
  <c r="D4310" i="20"/>
  <c r="B4310" i="20"/>
  <c r="E4309" i="20"/>
  <c r="D4309" i="20"/>
  <c r="B4309" i="20"/>
  <c r="E4308" i="20"/>
  <c r="D4308" i="20"/>
  <c r="B4308" i="20"/>
  <c r="B4303" i="20"/>
  <c r="H4302" i="20"/>
  <c r="F4310" i="20"/>
  <c r="G4310" i="20" s="1"/>
  <c r="G269" i="4"/>
  <c r="G271" i="4"/>
  <c r="G272" i="4"/>
  <c r="G274" i="4"/>
  <c r="G273" i="4"/>
  <c r="G208" i="4"/>
  <c r="G207" i="4"/>
  <c r="G206" i="4"/>
  <c r="G205" i="4"/>
  <c r="G204" i="4"/>
  <c r="G203" i="4"/>
  <c r="G200" i="4"/>
  <c r="G199" i="4"/>
  <c r="G198" i="4"/>
  <c r="G197" i="4"/>
  <c r="G195" i="4"/>
  <c r="G194" i="4"/>
  <c r="G193" i="4"/>
  <c r="G192" i="4"/>
  <c r="G191" i="4"/>
  <c r="G190" i="4"/>
  <c r="E8304" i="20"/>
  <c r="E8303" i="20"/>
  <c r="D8325" i="20"/>
  <c r="B8325" i="20"/>
  <c r="D8324" i="20"/>
  <c r="B8324" i="20"/>
  <c r="D8323" i="20"/>
  <c r="E8319" i="20"/>
  <c r="F8319" i="20" s="1"/>
  <c r="H8320" i="20" s="1"/>
  <c r="N8290" i="20" s="1"/>
  <c r="D8315" i="20"/>
  <c r="F8315" i="20" s="1"/>
  <c r="C8315" i="20"/>
  <c r="B8315" i="20"/>
  <c r="D8314" i="20"/>
  <c r="F8314" i="20" s="1"/>
  <c r="C8314" i="20"/>
  <c r="B8314" i="20"/>
  <c r="D8313" i="20"/>
  <c r="F8313" i="20" s="1"/>
  <c r="C8313" i="20"/>
  <c r="B8313" i="20"/>
  <c r="D8312" i="20"/>
  <c r="F8312" i="20" s="1"/>
  <c r="C8312" i="20"/>
  <c r="B8312" i="20"/>
  <c r="D8311" i="20"/>
  <c r="F8311" i="20" s="1"/>
  <c r="C8311" i="20"/>
  <c r="B8311" i="20"/>
  <c r="D8310" i="20"/>
  <c r="F8310" i="20" s="1"/>
  <c r="C8310" i="20"/>
  <c r="B8310" i="20"/>
  <c r="D8309" i="20"/>
  <c r="F8309" i="20" s="1"/>
  <c r="C8309" i="20"/>
  <c r="B8309" i="20"/>
  <c r="D8308" i="20"/>
  <c r="F8308" i="20" s="1"/>
  <c r="C8308" i="20"/>
  <c r="B8308" i="20"/>
  <c r="D8307" i="20"/>
  <c r="F8307" i="20" s="1"/>
  <c r="C8307" i="20"/>
  <c r="B8307" i="20"/>
  <c r="D8306" i="20"/>
  <c r="F8306" i="20" s="1"/>
  <c r="C8306" i="20"/>
  <c r="B8306" i="20"/>
  <c r="D8305" i="20"/>
  <c r="F8305" i="20" s="1"/>
  <c r="C8305" i="20"/>
  <c r="B8305" i="20"/>
  <c r="D8304" i="20"/>
  <c r="C8304" i="20"/>
  <c r="B8304" i="20"/>
  <c r="D8303" i="20"/>
  <c r="C8303" i="20"/>
  <c r="D8302" i="20"/>
  <c r="F8302" i="20" s="1"/>
  <c r="C8302" i="20"/>
  <c r="E8298" i="20"/>
  <c r="D8298" i="20"/>
  <c r="B8298" i="20"/>
  <c r="E8297" i="20"/>
  <c r="D8297" i="20"/>
  <c r="B8297" i="20"/>
  <c r="E8296" i="20"/>
  <c r="D8296" i="20"/>
  <c r="B8296" i="20"/>
  <c r="E8295" i="20"/>
  <c r="D8295" i="20"/>
  <c r="B8295" i="20"/>
  <c r="B8290" i="20"/>
  <c r="H8289" i="20"/>
  <c r="H8285" i="20"/>
  <c r="E8323" i="20" s="1"/>
  <c r="F8323" i="20" s="1"/>
  <c r="H8233" i="20"/>
  <c r="F8246" i="20" s="1"/>
  <c r="D8273" i="20"/>
  <c r="B8273" i="20"/>
  <c r="D8272" i="20"/>
  <c r="B8272" i="20"/>
  <c r="D8271" i="20"/>
  <c r="E8267" i="20"/>
  <c r="F8267" i="20" s="1"/>
  <c r="H8268" i="20" s="1"/>
  <c r="N8238" i="20" s="1"/>
  <c r="D8263" i="20"/>
  <c r="F8263" i="20" s="1"/>
  <c r="C8263" i="20"/>
  <c r="B8263" i="20"/>
  <c r="D8262" i="20"/>
  <c r="F8262" i="20" s="1"/>
  <c r="C8262" i="20"/>
  <c r="B8262" i="20"/>
  <c r="D8261" i="20"/>
  <c r="F8261" i="20" s="1"/>
  <c r="C8261" i="20"/>
  <c r="B8261" i="20"/>
  <c r="D8260" i="20"/>
  <c r="F8260" i="20" s="1"/>
  <c r="C8260" i="20"/>
  <c r="B8260" i="20"/>
  <c r="D8259" i="20"/>
  <c r="F8259" i="20" s="1"/>
  <c r="C8259" i="20"/>
  <c r="B8259" i="20"/>
  <c r="D8258" i="20"/>
  <c r="F8258" i="20" s="1"/>
  <c r="C8258" i="20"/>
  <c r="B8258" i="20"/>
  <c r="D8257" i="20"/>
  <c r="F8257" i="20" s="1"/>
  <c r="C8257" i="20"/>
  <c r="B8257" i="20"/>
  <c r="D8256" i="20"/>
  <c r="F8256" i="20" s="1"/>
  <c r="C8256" i="20"/>
  <c r="B8256" i="20"/>
  <c r="D8255" i="20"/>
  <c r="F8255" i="20" s="1"/>
  <c r="C8255" i="20"/>
  <c r="B8255" i="20"/>
  <c r="D8254" i="20"/>
  <c r="F8254" i="20" s="1"/>
  <c r="C8254" i="20"/>
  <c r="B8254" i="20"/>
  <c r="D8253" i="20"/>
  <c r="F8253" i="20" s="1"/>
  <c r="C8253" i="20"/>
  <c r="B8253" i="20"/>
  <c r="D8252" i="20"/>
  <c r="F8252" i="20" s="1"/>
  <c r="C8252" i="20"/>
  <c r="B8252" i="20"/>
  <c r="D8251" i="20"/>
  <c r="C8251" i="20"/>
  <c r="D8250" i="20"/>
  <c r="F8250" i="20" s="1"/>
  <c r="C8250" i="20"/>
  <c r="E8246" i="20"/>
  <c r="D8246" i="20"/>
  <c r="B8246" i="20"/>
  <c r="E8245" i="20"/>
  <c r="D8245" i="20"/>
  <c r="B8245" i="20"/>
  <c r="E8244" i="20"/>
  <c r="D8244" i="20"/>
  <c r="B8244" i="20"/>
  <c r="E8243" i="20"/>
  <c r="D8243" i="20"/>
  <c r="B8243" i="20"/>
  <c r="B8238" i="20"/>
  <c r="H8237" i="20"/>
  <c r="H4328" i="20" l="1"/>
  <c r="K4303" i="20" s="1"/>
  <c r="F4308" i="20"/>
  <c r="G4308" i="20" s="1"/>
  <c r="E4337" i="20"/>
  <c r="F4337" i="20" s="1"/>
  <c r="F8297" i="20"/>
  <c r="G8297" i="20" s="1"/>
  <c r="F8243" i="20"/>
  <c r="E4336" i="20"/>
  <c r="F4336" i="20" s="1"/>
  <c r="F4309" i="20"/>
  <c r="G4309" i="20" s="1"/>
  <c r="E8271" i="20"/>
  <c r="E4335" i="20"/>
  <c r="F4335" i="20" s="1"/>
  <c r="E8273" i="20"/>
  <c r="F8273" i="20" s="1"/>
  <c r="F8303" i="20"/>
  <c r="F8304" i="20"/>
  <c r="H8316" i="20" s="1"/>
  <c r="K8290" i="20" s="1"/>
  <c r="F8296" i="20"/>
  <c r="G8296" i="20" s="1"/>
  <c r="E8325" i="20"/>
  <c r="F8325" i="20" s="1"/>
  <c r="F8298" i="20"/>
  <c r="G8298" i="20" s="1"/>
  <c r="F8271" i="20"/>
  <c r="F8295" i="20"/>
  <c r="G8295" i="20" s="1"/>
  <c r="E8324" i="20"/>
  <c r="F8324" i="20" s="1"/>
  <c r="G8243" i="20"/>
  <c r="G8246" i="20"/>
  <c r="F8251" i="20"/>
  <c r="H8264" i="20" s="1"/>
  <c r="K8238" i="20" s="1"/>
  <c r="F8245" i="20"/>
  <c r="G8245" i="20" s="1"/>
  <c r="E8272" i="20"/>
  <c r="F8272" i="20" s="1"/>
  <c r="F8244" i="20"/>
  <c r="G8244" i="20" s="1"/>
  <c r="H4311" i="20" l="1"/>
  <c r="H4338" i="20"/>
  <c r="L4303" i="20" s="1"/>
  <c r="H8299" i="20"/>
  <c r="H8326" i="20"/>
  <c r="L8290" i="20" s="1"/>
  <c r="H8247" i="20"/>
  <c r="M8238" i="20"/>
  <c r="H8274" i="20"/>
  <c r="L8238" i="20" s="1"/>
  <c r="H5731" i="20"/>
  <c r="H5629" i="20"/>
  <c r="H5526" i="20"/>
  <c r="H5475" i="20"/>
  <c r="H5424" i="20"/>
  <c r="H5321" i="20"/>
  <c r="H5270" i="20"/>
  <c r="H5219" i="20"/>
  <c r="H5168" i="20"/>
  <c r="H5117" i="20"/>
  <c r="H5066" i="20"/>
  <c r="H5015" i="20"/>
  <c r="H4964" i="20"/>
  <c r="H4913" i="20"/>
  <c r="H4862" i="20"/>
  <c r="H4811" i="20"/>
  <c r="H4760" i="20"/>
  <c r="H4555" i="20"/>
  <c r="H4504" i="20"/>
  <c r="H4453" i="20"/>
  <c r="C5" i="5"/>
  <c r="C6" i="5"/>
  <c r="C7" i="5"/>
  <c r="C8" i="5"/>
  <c r="C9" i="5"/>
  <c r="C10" i="5"/>
  <c r="C11" i="5"/>
  <c r="C12" i="5"/>
  <c r="C13" i="5"/>
  <c r="C14" i="5"/>
  <c r="C15" i="5"/>
  <c r="C16" i="5"/>
  <c r="C17" i="5"/>
  <c r="C18" i="5"/>
  <c r="B7908" i="20" s="1"/>
  <c r="C19" i="5"/>
  <c r="C20" i="5"/>
  <c r="C21" i="5"/>
  <c r="C4" i="5"/>
  <c r="H5833" i="20"/>
  <c r="E5872" i="20" s="1"/>
  <c r="B5872" i="20"/>
  <c r="E5866" i="20"/>
  <c r="F5866" i="20" s="1"/>
  <c r="H5867" i="20" s="1"/>
  <c r="N5838" i="20" s="1"/>
  <c r="D5862" i="20"/>
  <c r="F5862" i="20" s="1"/>
  <c r="C5862" i="20"/>
  <c r="B5862" i="20"/>
  <c r="D5861" i="20"/>
  <c r="F5861" i="20" s="1"/>
  <c r="C5861" i="20"/>
  <c r="B5861" i="20"/>
  <c r="D5860" i="20"/>
  <c r="F5860" i="20" s="1"/>
  <c r="C5860" i="20"/>
  <c r="B5860" i="20"/>
  <c r="D5859" i="20"/>
  <c r="F5859" i="20" s="1"/>
  <c r="C5859" i="20"/>
  <c r="B5859" i="20"/>
  <c r="D5858" i="20"/>
  <c r="F5858" i="20" s="1"/>
  <c r="C5858" i="20"/>
  <c r="B5858" i="20"/>
  <c r="D5857" i="20"/>
  <c r="F5857" i="20" s="1"/>
  <c r="C5857" i="20"/>
  <c r="B5857" i="20"/>
  <c r="D5856" i="20"/>
  <c r="F5856" i="20" s="1"/>
  <c r="C5856" i="20"/>
  <c r="B5856" i="20"/>
  <c r="C5855" i="20"/>
  <c r="B5855" i="20"/>
  <c r="C5854" i="20"/>
  <c r="B5854" i="20"/>
  <c r="C5853" i="20"/>
  <c r="B5853" i="20"/>
  <c r="C5852" i="20"/>
  <c r="B5852" i="20"/>
  <c r="C5851" i="20"/>
  <c r="B5851" i="20"/>
  <c r="C5850" i="20"/>
  <c r="C5849" i="20"/>
  <c r="E5845" i="20"/>
  <c r="D5845" i="20"/>
  <c r="B5845" i="20"/>
  <c r="E5844" i="20"/>
  <c r="D5844" i="20"/>
  <c r="B5844" i="20"/>
  <c r="E5843" i="20"/>
  <c r="D5843" i="20"/>
  <c r="B5843" i="20"/>
  <c r="B5838" i="20"/>
  <c r="H5837" i="20"/>
  <c r="H5782" i="20"/>
  <c r="E5821" i="20" s="1"/>
  <c r="B5821" i="20"/>
  <c r="E5815" i="20"/>
  <c r="F5815" i="20" s="1"/>
  <c r="H5816" i="20" s="1"/>
  <c r="N5787" i="20" s="1"/>
  <c r="D5811" i="20"/>
  <c r="F5811" i="20" s="1"/>
  <c r="C5811" i="20"/>
  <c r="B5811" i="20"/>
  <c r="D5810" i="20"/>
  <c r="F5810" i="20" s="1"/>
  <c r="C5810" i="20"/>
  <c r="B5810" i="20"/>
  <c r="D5809" i="20"/>
  <c r="F5809" i="20" s="1"/>
  <c r="C5809" i="20"/>
  <c r="B5809" i="20"/>
  <c r="D5808" i="20"/>
  <c r="F5808" i="20" s="1"/>
  <c r="C5808" i="20"/>
  <c r="B5808" i="20"/>
  <c r="D5807" i="20"/>
  <c r="F5807" i="20" s="1"/>
  <c r="C5807" i="20"/>
  <c r="B5807" i="20"/>
  <c r="D5806" i="20"/>
  <c r="F5806" i="20" s="1"/>
  <c r="C5806" i="20"/>
  <c r="B5806" i="20"/>
  <c r="D5805" i="20"/>
  <c r="F5805" i="20" s="1"/>
  <c r="C5805" i="20"/>
  <c r="B5805" i="20"/>
  <c r="D5804" i="20"/>
  <c r="F5804" i="20" s="1"/>
  <c r="C5804" i="20"/>
  <c r="B5804" i="20"/>
  <c r="D5803" i="20"/>
  <c r="F5803" i="20" s="1"/>
  <c r="C5803" i="20"/>
  <c r="B5803" i="20"/>
  <c r="D5802" i="20"/>
  <c r="F5802" i="20" s="1"/>
  <c r="C5802" i="20"/>
  <c r="B5802" i="20"/>
  <c r="D5801" i="20"/>
  <c r="F5801" i="20" s="1"/>
  <c r="C5801" i="20"/>
  <c r="B5801" i="20"/>
  <c r="D5800" i="20"/>
  <c r="F5800" i="20" s="1"/>
  <c r="C5800" i="20"/>
  <c r="B5800" i="20"/>
  <c r="C5799" i="20"/>
  <c r="D5798" i="20"/>
  <c r="F5798" i="20" s="1"/>
  <c r="C5798" i="20"/>
  <c r="E5794" i="20"/>
  <c r="D5794" i="20"/>
  <c r="B5794" i="20"/>
  <c r="E5793" i="20"/>
  <c r="D5793" i="20"/>
  <c r="B5793" i="20"/>
  <c r="E5792" i="20"/>
  <c r="D5792" i="20"/>
  <c r="B5792" i="20"/>
  <c r="B5787" i="20"/>
  <c r="H5786" i="20"/>
  <c r="B4286" i="20"/>
  <c r="E4280" i="20"/>
  <c r="F4280" i="20" s="1"/>
  <c r="H4281" i="20" s="1"/>
  <c r="N4252" i="20" s="1"/>
  <c r="D4276" i="20"/>
  <c r="F4276" i="20" s="1"/>
  <c r="C4276" i="20"/>
  <c r="B4276" i="20"/>
  <c r="D4275" i="20"/>
  <c r="F4275" i="20" s="1"/>
  <c r="C4275" i="20"/>
  <c r="B4275" i="20"/>
  <c r="D4274" i="20"/>
  <c r="F4274" i="20" s="1"/>
  <c r="C4274" i="20"/>
  <c r="B4274" i="20"/>
  <c r="D4273" i="20"/>
  <c r="F4273" i="20" s="1"/>
  <c r="C4273" i="20"/>
  <c r="B4273" i="20"/>
  <c r="D4272" i="20"/>
  <c r="F4272" i="20" s="1"/>
  <c r="C4272" i="20"/>
  <c r="B4272" i="20"/>
  <c r="D4271" i="20"/>
  <c r="F4271" i="20" s="1"/>
  <c r="C4271" i="20"/>
  <c r="B4271" i="20"/>
  <c r="D4270" i="20"/>
  <c r="F4270" i="20" s="1"/>
  <c r="C4270" i="20"/>
  <c r="B4270" i="20"/>
  <c r="D4269" i="20"/>
  <c r="F4269" i="20" s="1"/>
  <c r="C4269" i="20"/>
  <c r="B4269" i="20"/>
  <c r="D4268" i="20"/>
  <c r="F4268" i="20" s="1"/>
  <c r="C4268" i="20"/>
  <c r="B4268" i="20"/>
  <c r="D4267" i="20"/>
  <c r="F4267" i="20" s="1"/>
  <c r="C4267" i="20"/>
  <c r="B4267" i="20"/>
  <c r="C4266" i="20"/>
  <c r="B4266" i="20"/>
  <c r="C4265" i="20"/>
  <c r="B4265" i="20"/>
  <c r="C4264" i="20"/>
  <c r="C4263" i="20"/>
  <c r="E4259" i="20"/>
  <c r="D4259" i="20"/>
  <c r="B4259" i="20"/>
  <c r="E4258" i="20"/>
  <c r="D4258" i="20"/>
  <c r="B4258" i="20"/>
  <c r="L4257" i="20"/>
  <c r="E4257" i="20"/>
  <c r="D4257" i="20"/>
  <c r="B4257" i="20"/>
  <c r="B4252" i="20"/>
  <c r="H4251" i="20"/>
  <c r="H4247" i="20"/>
  <c r="F4257" i="20" s="1"/>
  <c r="I210" i="4"/>
  <c r="K210" i="4" s="1"/>
  <c r="F210" i="4" s="1"/>
  <c r="B8908" i="20"/>
  <c r="E8902" i="20"/>
  <c r="F8902" i="20" s="1"/>
  <c r="H8903" i="20" s="1"/>
  <c r="N8878" i="20" s="1"/>
  <c r="D8898" i="20"/>
  <c r="F8898" i="20" s="1"/>
  <c r="C8898" i="20"/>
  <c r="B8898" i="20"/>
  <c r="D8897" i="20"/>
  <c r="F8897" i="20" s="1"/>
  <c r="C8897" i="20"/>
  <c r="B8897" i="20"/>
  <c r="D8896" i="20"/>
  <c r="F8896" i="20" s="1"/>
  <c r="C8896" i="20"/>
  <c r="B8896" i="20"/>
  <c r="D8895" i="20"/>
  <c r="F8895" i="20" s="1"/>
  <c r="C8895" i="20"/>
  <c r="B8895" i="20"/>
  <c r="D8894" i="20"/>
  <c r="F8894" i="20" s="1"/>
  <c r="C8894" i="20"/>
  <c r="B8894" i="20"/>
  <c r="D8893" i="20"/>
  <c r="F8893" i="20" s="1"/>
  <c r="C8893" i="20"/>
  <c r="B8893" i="20"/>
  <c r="D8892" i="20"/>
  <c r="F8892" i="20" s="1"/>
  <c r="C8892" i="20"/>
  <c r="B8892" i="20"/>
  <c r="D8891" i="20"/>
  <c r="F8891" i="20" s="1"/>
  <c r="C8891" i="20"/>
  <c r="C8890" i="20"/>
  <c r="E8886" i="20"/>
  <c r="D8886" i="20"/>
  <c r="B8886" i="20"/>
  <c r="D8885" i="20"/>
  <c r="B8885" i="20"/>
  <c r="D8884" i="20"/>
  <c r="B8884" i="20"/>
  <c r="D8883" i="20"/>
  <c r="B8883" i="20"/>
  <c r="B8878" i="20"/>
  <c r="H8877" i="20"/>
  <c r="H8873" i="20"/>
  <c r="E8906" i="20" s="1"/>
  <c r="I297" i="4"/>
  <c r="K297" i="4" s="1"/>
  <c r="F297" i="4" s="1"/>
  <c r="D8843" i="20" s="1"/>
  <c r="F8843" i="20" s="1"/>
  <c r="B8861" i="20"/>
  <c r="E8855" i="20"/>
  <c r="F8855" i="20" s="1"/>
  <c r="H8856" i="20" s="1"/>
  <c r="N8823" i="20" s="1"/>
  <c r="C8851" i="20"/>
  <c r="B8851" i="20"/>
  <c r="C8850" i="20"/>
  <c r="B8850" i="20"/>
  <c r="C8849" i="20"/>
  <c r="B8849" i="20"/>
  <c r="C8848" i="20"/>
  <c r="B8848" i="20"/>
  <c r="C8847" i="20"/>
  <c r="B8847" i="20"/>
  <c r="C8846" i="20"/>
  <c r="B8846" i="20"/>
  <c r="C8845" i="20"/>
  <c r="B8845" i="20"/>
  <c r="C8844" i="20"/>
  <c r="B8844" i="20"/>
  <c r="C8843" i="20"/>
  <c r="B8843" i="20"/>
  <c r="C8842" i="20"/>
  <c r="B8842" i="20"/>
  <c r="C8841" i="20"/>
  <c r="B8841" i="20"/>
  <c r="C8840" i="20"/>
  <c r="B8840" i="20"/>
  <c r="C8839" i="20"/>
  <c r="B8839" i="20"/>
  <c r="C8838" i="20"/>
  <c r="B8838" i="20"/>
  <c r="C8837" i="20"/>
  <c r="B8837" i="20"/>
  <c r="C8836" i="20"/>
  <c r="C8835" i="20"/>
  <c r="E8831" i="20"/>
  <c r="D8831" i="20"/>
  <c r="B8831" i="20"/>
  <c r="E8830" i="20"/>
  <c r="D8830" i="20"/>
  <c r="B8830" i="20"/>
  <c r="E8829" i="20"/>
  <c r="D8829" i="20"/>
  <c r="B8829" i="20"/>
  <c r="D8828" i="20"/>
  <c r="B8828" i="20"/>
  <c r="B8823" i="20"/>
  <c r="H8822" i="20"/>
  <c r="H8818" i="20"/>
  <c r="E8859" i="20" s="1"/>
  <c r="H9821" i="20"/>
  <c r="E9861" i="20" s="1"/>
  <c r="I310" i="4"/>
  <c r="K310" i="4" s="1"/>
  <c r="F310" i="4" s="1"/>
  <c r="B9861" i="20"/>
  <c r="E9855" i="20"/>
  <c r="F9855" i="20" s="1"/>
  <c r="H9856" i="20" s="1"/>
  <c r="N9826" i="20" s="1"/>
  <c r="D9851" i="20"/>
  <c r="F9851" i="20" s="1"/>
  <c r="C9851" i="20"/>
  <c r="B9851" i="20"/>
  <c r="D9850" i="20"/>
  <c r="F9850" i="20" s="1"/>
  <c r="C9850" i="20"/>
  <c r="B9850" i="20"/>
  <c r="D9849" i="20"/>
  <c r="F9849" i="20" s="1"/>
  <c r="C9849" i="20"/>
  <c r="B9849" i="20"/>
  <c r="D9848" i="20"/>
  <c r="F9848" i="20" s="1"/>
  <c r="C9848" i="20"/>
  <c r="B9848" i="20"/>
  <c r="D9847" i="20"/>
  <c r="F9847" i="20" s="1"/>
  <c r="C9847" i="20"/>
  <c r="B9847" i="20"/>
  <c r="D9846" i="20"/>
  <c r="F9846" i="20" s="1"/>
  <c r="C9846" i="20"/>
  <c r="B9846" i="20"/>
  <c r="D9845" i="20"/>
  <c r="F9845" i="20" s="1"/>
  <c r="C9845" i="20"/>
  <c r="B9845" i="20"/>
  <c r="D9844" i="20"/>
  <c r="F9844" i="20" s="1"/>
  <c r="C9844" i="20"/>
  <c r="B9844" i="20"/>
  <c r="D9843" i="20"/>
  <c r="F9843" i="20" s="1"/>
  <c r="C9843" i="20"/>
  <c r="B9843" i="20"/>
  <c r="D9842" i="20"/>
  <c r="F9842" i="20" s="1"/>
  <c r="C9842" i="20"/>
  <c r="B9842" i="20"/>
  <c r="D9841" i="20"/>
  <c r="F9841" i="20" s="1"/>
  <c r="C9841" i="20"/>
  <c r="B9841" i="20"/>
  <c r="D9840" i="20"/>
  <c r="F9840" i="20" s="1"/>
  <c r="C9840" i="20"/>
  <c r="B9840" i="20"/>
  <c r="C9839" i="20"/>
  <c r="C9838" i="20"/>
  <c r="D9834" i="20"/>
  <c r="B9834" i="20"/>
  <c r="E9833" i="20"/>
  <c r="D9833" i="20"/>
  <c r="B9833" i="20"/>
  <c r="D9832" i="20"/>
  <c r="B9832" i="20"/>
  <c r="D9831" i="20"/>
  <c r="B9831" i="20"/>
  <c r="B9826" i="20"/>
  <c r="H9825" i="20"/>
  <c r="H8181" i="20"/>
  <c r="E8221" i="20" s="1"/>
  <c r="B8221" i="20"/>
  <c r="B8220" i="20"/>
  <c r="E8215" i="20"/>
  <c r="F8215" i="20" s="1"/>
  <c r="H8216" i="20" s="1"/>
  <c r="N8186" i="20" s="1"/>
  <c r="D8211" i="20"/>
  <c r="F8211" i="20" s="1"/>
  <c r="C8211" i="20"/>
  <c r="B8211" i="20"/>
  <c r="D8210" i="20"/>
  <c r="F8210" i="20" s="1"/>
  <c r="C8210" i="20"/>
  <c r="B8210" i="20"/>
  <c r="D8209" i="20"/>
  <c r="F8209" i="20" s="1"/>
  <c r="C8209" i="20"/>
  <c r="B8209" i="20"/>
  <c r="D8208" i="20"/>
  <c r="F8208" i="20" s="1"/>
  <c r="C8208" i="20"/>
  <c r="B8208" i="20"/>
  <c r="D8207" i="20"/>
  <c r="F8207" i="20" s="1"/>
  <c r="C8207" i="20"/>
  <c r="B8207" i="20"/>
  <c r="D8206" i="20"/>
  <c r="F8206" i="20" s="1"/>
  <c r="C8206" i="20"/>
  <c r="B8206" i="20"/>
  <c r="D8205" i="20"/>
  <c r="F8205" i="20" s="1"/>
  <c r="C8205" i="20"/>
  <c r="B8205" i="20"/>
  <c r="D8204" i="20"/>
  <c r="F8204" i="20" s="1"/>
  <c r="C8204" i="20"/>
  <c r="B8204" i="20"/>
  <c r="D8203" i="20"/>
  <c r="F8203" i="20" s="1"/>
  <c r="C8203" i="20"/>
  <c r="B8203" i="20"/>
  <c r="D8202" i="20"/>
  <c r="F8202" i="20" s="1"/>
  <c r="C8202" i="20"/>
  <c r="B8202" i="20"/>
  <c r="D8201" i="20"/>
  <c r="F8201" i="20" s="1"/>
  <c r="C8201" i="20"/>
  <c r="B8201" i="20"/>
  <c r="E8200" i="20"/>
  <c r="C8200" i="20"/>
  <c r="B8200" i="20"/>
  <c r="E8199" i="20"/>
  <c r="C8199" i="20"/>
  <c r="C8198" i="20"/>
  <c r="E8194" i="20"/>
  <c r="D8194" i="20"/>
  <c r="B8194" i="20"/>
  <c r="E8193" i="20"/>
  <c r="D8193" i="20"/>
  <c r="B8193" i="20"/>
  <c r="D8192" i="20"/>
  <c r="B8192" i="20"/>
  <c r="D8191" i="20"/>
  <c r="B8191" i="20"/>
  <c r="B8186" i="20"/>
  <c r="H8185" i="20"/>
  <c r="B8169" i="20"/>
  <c r="B8168" i="20"/>
  <c r="E8163" i="20"/>
  <c r="F8163" i="20" s="1"/>
  <c r="H8164" i="20" s="1"/>
  <c r="N8134" i="20" s="1"/>
  <c r="D8159" i="20"/>
  <c r="F8159" i="20" s="1"/>
  <c r="C8159" i="20"/>
  <c r="B8159" i="20"/>
  <c r="D8158" i="20"/>
  <c r="F8158" i="20" s="1"/>
  <c r="C8158" i="20"/>
  <c r="B8158" i="20"/>
  <c r="D8157" i="20"/>
  <c r="F8157" i="20" s="1"/>
  <c r="C8157" i="20"/>
  <c r="B8157" i="20"/>
  <c r="D8156" i="20"/>
  <c r="F8156" i="20" s="1"/>
  <c r="C8156" i="20"/>
  <c r="B8156" i="20"/>
  <c r="D8155" i="20"/>
  <c r="F8155" i="20" s="1"/>
  <c r="C8155" i="20"/>
  <c r="B8155" i="20"/>
  <c r="D8154" i="20"/>
  <c r="F8154" i="20" s="1"/>
  <c r="C8154" i="20"/>
  <c r="B8154" i="20"/>
  <c r="D8153" i="20"/>
  <c r="F8153" i="20" s="1"/>
  <c r="C8153" i="20"/>
  <c r="B8153" i="20"/>
  <c r="D8152" i="20"/>
  <c r="F8152" i="20" s="1"/>
  <c r="C8152" i="20"/>
  <c r="B8152" i="20"/>
  <c r="D8151" i="20"/>
  <c r="F8151" i="20" s="1"/>
  <c r="C8151" i="20"/>
  <c r="B8151" i="20"/>
  <c r="D8150" i="20"/>
  <c r="F8150" i="20" s="1"/>
  <c r="C8150" i="20"/>
  <c r="B8150" i="20"/>
  <c r="D8149" i="20"/>
  <c r="F8149" i="20" s="1"/>
  <c r="C8149" i="20"/>
  <c r="B8149" i="20"/>
  <c r="E8148" i="20"/>
  <c r="D8148" i="20"/>
  <c r="C8148" i="20"/>
  <c r="B8148" i="20"/>
  <c r="E8147" i="20"/>
  <c r="D8147" i="20"/>
  <c r="C8147" i="20"/>
  <c r="C8146" i="20"/>
  <c r="E8142" i="20"/>
  <c r="D8142" i="20"/>
  <c r="B8142" i="20"/>
  <c r="E8141" i="20"/>
  <c r="D8141" i="20"/>
  <c r="B8141" i="20"/>
  <c r="D8140" i="20"/>
  <c r="B8140" i="20"/>
  <c r="D8139" i="20"/>
  <c r="B8139" i="20"/>
  <c r="B8134" i="20"/>
  <c r="H8133" i="20"/>
  <c r="H8129" i="20"/>
  <c r="E8167" i="20" s="1"/>
  <c r="H8077" i="20"/>
  <c r="E8117" i="20" s="1"/>
  <c r="I38" i="4"/>
  <c r="K38" i="4" s="1"/>
  <c r="F38" i="4" s="1"/>
  <c r="I37" i="4"/>
  <c r="K37" i="4" s="1"/>
  <c r="F37" i="4" s="1"/>
  <c r="B8117" i="20"/>
  <c r="E8111" i="20"/>
  <c r="F8111" i="20" s="1"/>
  <c r="H8112" i="20" s="1"/>
  <c r="N8082" i="20" s="1"/>
  <c r="D8107" i="20"/>
  <c r="F8107" i="20" s="1"/>
  <c r="C8107" i="20"/>
  <c r="B8107" i="20"/>
  <c r="D8106" i="20"/>
  <c r="F8106" i="20" s="1"/>
  <c r="C8106" i="20"/>
  <c r="B8106" i="20"/>
  <c r="D8105" i="20"/>
  <c r="F8105" i="20" s="1"/>
  <c r="C8105" i="20"/>
  <c r="B8105" i="20"/>
  <c r="D8104" i="20"/>
  <c r="F8104" i="20" s="1"/>
  <c r="C8104" i="20"/>
  <c r="B8104" i="20"/>
  <c r="D8103" i="20"/>
  <c r="F8103" i="20" s="1"/>
  <c r="C8103" i="20"/>
  <c r="B8103" i="20"/>
  <c r="D8102" i="20"/>
  <c r="F8102" i="20" s="1"/>
  <c r="C8102" i="20"/>
  <c r="B8102" i="20"/>
  <c r="D8101" i="20"/>
  <c r="F8101" i="20" s="1"/>
  <c r="C8101" i="20"/>
  <c r="B8101" i="20"/>
  <c r="D8100" i="20"/>
  <c r="F8100" i="20" s="1"/>
  <c r="C8100" i="20"/>
  <c r="B8100" i="20"/>
  <c r="D8099" i="20"/>
  <c r="F8099" i="20" s="1"/>
  <c r="C8099" i="20"/>
  <c r="B8099" i="20"/>
  <c r="D8098" i="20"/>
  <c r="F8098" i="20" s="1"/>
  <c r="C8098" i="20"/>
  <c r="B8098" i="20"/>
  <c r="D8097" i="20"/>
  <c r="F8097" i="20" s="1"/>
  <c r="C8097" i="20"/>
  <c r="B8097" i="20"/>
  <c r="C8096" i="20"/>
  <c r="B8096" i="20"/>
  <c r="E8095" i="20"/>
  <c r="C8095" i="20"/>
  <c r="C8094" i="20"/>
  <c r="E8090" i="20"/>
  <c r="D8090" i="20"/>
  <c r="B8090" i="20"/>
  <c r="E8089" i="20"/>
  <c r="D8089" i="20"/>
  <c r="B8089" i="20"/>
  <c r="D8088" i="20"/>
  <c r="B8088" i="20"/>
  <c r="D8087" i="20"/>
  <c r="B8087" i="20"/>
  <c r="B8082" i="20"/>
  <c r="H8081" i="20"/>
  <c r="H8025" i="20"/>
  <c r="E8065" i="20" s="1"/>
  <c r="B8065" i="20"/>
  <c r="B8064" i="20"/>
  <c r="E8059" i="20"/>
  <c r="F8059" i="20" s="1"/>
  <c r="H8060" i="20" s="1"/>
  <c r="N8030" i="20" s="1"/>
  <c r="D8055" i="20"/>
  <c r="F8055" i="20" s="1"/>
  <c r="C8055" i="20"/>
  <c r="B8055" i="20"/>
  <c r="D8054" i="20"/>
  <c r="F8054" i="20" s="1"/>
  <c r="C8054" i="20"/>
  <c r="B8054" i="20"/>
  <c r="D8053" i="20"/>
  <c r="F8053" i="20" s="1"/>
  <c r="C8053" i="20"/>
  <c r="B8053" i="20"/>
  <c r="D8052" i="20"/>
  <c r="F8052" i="20" s="1"/>
  <c r="C8052" i="20"/>
  <c r="B8052" i="20"/>
  <c r="D8051" i="20"/>
  <c r="F8051" i="20" s="1"/>
  <c r="C8051" i="20"/>
  <c r="B8051" i="20"/>
  <c r="D8050" i="20"/>
  <c r="F8050" i="20" s="1"/>
  <c r="C8050" i="20"/>
  <c r="B8050" i="20"/>
  <c r="D8049" i="20"/>
  <c r="F8049" i="20" s="1"/>
  <c r="C8049" i="20"/>
  <c r="B8049" i="20"/>
  <c r="D8048" i="20"/>
  <c r="F8048" i="20" s="1"/>
  <c r="C8048" i="20"/>
  <c r="B8048" i="20"/>
  <c r="D8047" i="20"/>
  <c r="F8047" i="20" s="1"/>
  <c r="C8047" i="20"/>
  <c r="B8047" i="20"/>
  <c r="D8046" i="20"/>
  <c r="F8046" i="20" s="1"/>
  <c r="C8046" i="20"/>
  <c r="B8046" i="20"/>
  <c r="D8045" i="20"/>
  <c r="F8045" i="20" s="1"/>
  <c r="C8045" i="20"/>
  <c r="B8045" i="20"/>
  <c r="C8044" i="20"/>
  <c r="B8044" i="20"/>
  <c r="E8043" i="20"/>
  <c r="C8043" i="20"/>
  <c r="C8042" i="20"/>
  <c r="E8038" i="20"/>
  <c r="D8038" i="20"/>
  <c r="B8038" i="20"/>
  <c r="E8037" i="20"/>
  <c r="D8037" i="20"/>
  <c r="B8037" i="20"/>
  <c r="D8036" i="20"/>
  <c r="B8036" i="20"/>
  <c r="D8035" i="20"/>
  <c r="B8035" i="20"/>
  <c r="B8030" i="20"/>
  <c r="H8029" i="20"/>
  <c r="B8013" i="20"/>
  <c r="E8007" i="20"/>
  <c r="F8007" i="20" s="1"/>
  <c r="H8008" i="20" s="1"/>
  <c r="N7978" i="20" s="1"/>
  <c r="D8003" i="20"/>
  <c r="F8003" i="20" s="1"/>
  <c r="C8003" i="20"/>
  <c r="B8003" i="20"/>
  <c r="D8002" i="20"/>
  <c r="F8002" i="20" s="1"/>
  <c r="C8002" i="20"/>
  <c r="B8002" i="20"/>
  <c r="D8001" i="20"/>
  <c r="F8001" i="20" s="1"/>
  <c r="C8001" i="20"/>
  <c r="B8001" i="20"/>
  <c r="D8000" i="20"/>
  <c r="F8000" i="20" s="1"/>
  <c r="C8000" i="20"/>
  <c r="B8000" i="20"/>
  <c r="D7999" i="20"/>
  <c r="F7999" i="20" s="1"/>
  <c r="C7999" i="20"/>
  <c r="B7999" i="20"/>
  <c r="D7998" i="20"/>
  <c r="F7998" i="20" s="1"/>
  <c r="C7998" i="20"/>
  <c r="B7998" i="20"/>
  <c r="D7997" i="20"/>
  <c r="F7997" i="20" s="1"/>
  <c r="C7997" i="20"/>
  <c r="B7997" i="20"/>
  <c r="D7996" i="20"/>
  <c r="F7996" i="20" s="1"/>
  <c r="C7996" i="20"/>
  <c r="B7996" i="20"/>
  <c r="D7995" i="20"/>
  <c r="F7995" i="20" s="1"/>
  <c r="C7995" i="20"/>
  <c r="B7995" i="20"/>
  <c r="D7994" i="20"/>
  <c r="F7994" i="20" s="1"/>
  <c r="C7994" i="20"/>
  <c r="B7994" i="20"/>
  <c r="D7993" i="20"/>
  <c r="F7993" i="20" s="1"/>
  <c r="C7993" i="20"/>
  <c r="B7993" i="20"/>
  <c r="C7992" i="20"/>
  <c r="B7992" i="20"/>
  <c r="E7991" i="20"/>
  <c r="C7991" i="20"/>
  <c r="C7990" i="20"/>
  <c r="E7986" i="20"/>
  <c r="D7986" i="20"/>
  <c r="B7986" i="20"/>
  <c r="E7985" i="20"/>
  <c r="D7985" i="20"/>
  <c r="B7985" i="20"/>
  <c r="D7984" i="20"/>
  <c r="B7984" i="20"/>
  <c r="D7983" i="20"/>
  <c r="B7983" i="20"/>
  <c r="B7978" i="20"/>
  <c r="H7977" i="20"/>
  <c r="H7973" i="20"/>
  <c r="E8011" i="20" s="1"/>
  <c r="H7921" i="20"/>
  <c r="F7934" i="20" s="1"/>
  <c r="E7939" i="20"/>
  <c r="B7961" i="20"/>
  <c r="E7955" i="20"/>
  <c r="F7955" i="20" s="1"/>
  <c r="H7956" i="20" s="1"/>
  <c r="N7926" i="20" s="1"/>
  <c r="D7951" i="20"/>
  <c r="F7951" i="20" s="1"/>
  <c r="C7951" i="20"/>
  <c r="B7951" i="20"/>
  <c r="D7950" i="20"/>
  <c r="F7950" i="20" s="1"/>
  <c r="C7950" i="20"/>
  <c r="B7950" i="20"/>
  <c r="D7949" i="20"/>
  <c r="F7949" i="20" s="1"/>
  <c r="C7949" i="20"/>
  <c r="B7949" i="20"/>
  <c r="D7948" i="20"/>
  <c r="F7948" i="20" s="1"/>
  <c r="C7948" i="20"/>
  <c r="B7948" i="20"/>
  <c r="D7947" i="20"/>
  <c r="F7947" i="20" s="1"/>
  <c r="C7947" i="20"/>
  <c r="B7947" i="20"/>
  <c r="D7946" i="20"/>
  <c r="F7946" i="20" s="1"/>
  <c r="C7946" i="20"/>
  <c r="B7946" i="20"/>
  <c r="D7945" i="20"/>
  <c r="F7945" i="20" s="1"/>
  <c r="C7945" i="20"/>
  <c r="B7945" i="20"/>
  <c r="D7944" i="20"/>
  <c r="F7944" i="20" s="1"/>
  <c r="C7944" i="20"/>
  <c r="B7944" i="20"/>
  <c r="D7943" i="20"/>
  <c r="F7943" i="20" s="1"/>
  <c r="C7943" i="20"/>
  <c r="B7943" i="20"/>
  <c r="D7942" i="20"/>
  <c r="F7942" i="20" s="1"/>
  <c r="C7942" i="20"/>
  <c r="B7942" i="20"/>
  <c r="D7941" i="20"/>
  <c r="F7941" i="20" s="1"/>
  <c r="C7941" i="20"/>
  <c r="B7941" i="20"/>
  <c r="E7940" i="20"/>
  <c r="D7940" i="20"/>
  <c r="C7940" i="20"/>
  <c r="B7940" i="20"/>
  <c r="C7939" i="20"/>
  <c r="C7938" i="20"/>
  <c r="E7934" i="20"/>
  <c r="D7934" i="20"/>
  <c r="B7934" i="20"/>
  <c r="E7933" i="20"/>
  <c r="D7933" i="20"/>
  <c r="B7933" i="20"/>
  <c r="D7932" i="20"/>
  <c r="B7932" i="20"/>
  <c r="D7931" i="20"/>
  <c r="B7931" i="20"/>
  <c r="B7926" i="20"/>
  <c r="H7925" i="20"/>
  <c r="B7909" i="20"/>
  <c r="E7903" i="20"/>
  <c r="F7903" i="20" s="1"/>
  <c r="H7904" i="20" s="1"/>
  <c r="N7874" i="20" s="1"/>
  <c r="D7899" i="20"/>
  <c r="F7899" i="20" s="1"/>
  <c r="C7899" i="20"/>
  <c r="B7899" i="20"/>
  <c r="D7898" i="20"/>
  <c r="F7898" i="20" s="1"/>
  <c r="C7898" i="20"/>
  <c r="B7898" i="20"/>
  <c r="D7897" i="20"/>
  <c r="F7897" i="20" s="1"/>
  <c r="C7897" i="20"/>
  <c r="B7897" i="20"/>
  <c r="D7896" i="20"/>
  <c r="F7896" i="20" s="1"/>
  <c r="C7896" i="20"/>
  <c r="B7896" i="20"/>
  <c r="D7895" i="20"/>
  <c r="F7895" i="20" s="1"/>
  <c r="C7895" i="20"/>
  <c r="B7895" i="20"/>
  <c r="D7894" i="20"/>
  <c r="F7894" i="20" s="1"/>
  <c r="C7894" i="20"/>
  <c r="B7894" i="20"/>
  <c r="D7893" i="20"/>
  <c r="F7893" i="20" s="1"/>
  <c r="C7893" i="20"/>
  <c r="B7893" i="20"/>
  <c r="D7892" i="20"/>
  <c r="F7892" i="20" s="1"/>
  <c r="C7892" i="20"/>
  <c r="B7892" i="20"/>
  <c r="D7891" i="20"/>
  <c r="F7891" i="20" s="1"/>
  <c r="C7891" i="20"/>
  <c r="B7891" i="20"/>
  <c r="D7890" i="20"/>
  <c r="F7890" i="20" s="1"/>
  <c r="C7890" i="20"/>
  <c r="B7890" i="20"/>
  <c r="D7889" i="20"/>
  <c r="F7889" i="20" s="1"/>
  <c r="C7889" i="20"/>
  <c r="B7889" i="20"/>
  <c r="E7888" i="20"/>
  <c r="C7888" i="20"/>
  <c r="B7888" i="20"/>
  <c r="E7887" i="20"/>
  <c r="C7887" i="20"/>
  <c r="C7886" i="20"/>
  <c r="E7882" i="20"/>
  <c r="D7882" i="20"/>
  <c r="B7882" i="20"/>
  <c r="E7881" i="20"/>
  <c r="D7881" i="20"/>
  <c r="B7881" i="20"/>
  <c r="D7880" i="20"/>
  <c r="B7880" i="20"/>
  <c r="D7879" i="20"/>
  <c r="B7879" i="20"/>
  <c r="B7874" i="20"/>
  <c r="H7873" i="20"/>
  <c r="H7869" i="20"/>
  <c r="E7907" i="20" s="1"/>
  <c r="B7857" i="20"/>
  <c r="E7851" i="20"/>
  <c r="F7851" i="20" s="1"/>
  <c r="H7852" i="20" s="1"/>
  <c r="N7822" i="20" s="1"/>
  <c r="D7847" i="20"/>
  <c r="F7847" i="20" s="1"/>
  <c r="C7847" i="20"/>
  <c r="B7847" i="20"/>
  <c r="D7846" i="20"/>
  <c r="F7846" i="20" s="1"/>
  <c r="C7846" i="20"/>
  <c r="B7846" i="20"/>
  <c r="D7845" i="20"/>
  <c r="F7845" i="20" s="1"/>
  <c r="C7845" i="20"/>
  <c r="B7845" i="20"/>
  <c r="D7844" i="20"/>
  <c r="F7844" i="20" s="1"/>
  <c r="C7844" i="20"/>
  <c r="B7844" i="20"/>
  <c r="D7843" i="20"/>
  <c r="F7843" i="20" s="1"/>
  <c r="C7843" i="20"/>
  <c r="B7843" i="20"/>
  <c r="D7842" i="20"/>
  <c r="F7842" i="20" s="1"/>
  <c r="C7842" i="20"/>
  <c r="B7842" i="20"/>
  <c r="D7841" i="20"/>
  <c r="F7841" i="20" s="1"/>
  <c r="C7841" i="20"/>
  <c r="B7841" i="20"/>
  <c r="D7840" i="20"/>
  <c r="F7840" i="20" s="1"/>
  <c r="C7840" i="20"/>
  <c r="B7840" i="20"/>
  <c r="D7839" i="20"/>
  <c r="F7839" i="20" s="1"/>
  <c r="C7839" i="20"/>
  <c r="B7839" i="20"/>
  <c r="D7838" i="20"/>
  <c r="F7838" i="20" s="1"/>
  <c r="C7838" i="20"/>
  <c r="B7838" i="20"/>
  <c r="D7837" i="20"/>
  <c r="F7837" i="20" s="1"/>
  <c r="C7837" i="20"/>
  <c r="B7837" i="20"/>
  <c r="E7836" i="20"/>
  <c r="C7836" i="20"/>
  <c r="B7836" i="20"/>
  <c r="E7835" i="20"/>
  <c r="C7835" i="20"/>
  <c r="C7834" i="20"/>
  <c r="E7830" i="20"/>
  <c r="D7830" i="20"/>
  <c r="B7830" i="20"/>
  <c r="E7829" i="20"/>
  <c r="D7829" i="20"/>
  <c r="B7829" i="20"/>
  <c r="D7828" i="20"/>
  <c r="B7828" i="20"/>
  <c r="D7827" i="20"/>
  <c r="B7827" i="20"/>
  <c r="B7822" i="20"/>
  <c r="H7821" i="20"/>
  <c r="H7817" i="20"/>
  <c r="E7855" i="20" s="1"/>
  <c r="H7765" i="20"/>
  <c r="E7805" i="20" s="1"/>
  <c r="B7805" i="20"/>
  <c r="B7804" i="20"/>
  <c r="E7799" i="20"/>
  <c r="F7799" i="20" s="1"/>
  <c r="H7800" i="20" s="1"/>
  <c r="N7770" i="20" s="1"/>
  <c r="D7795" i="20"/>
  <c r="F7795" i="20" s="1"/>
  <c r="C7795" i="20"/>
  <c r="B7795" i="20"/>
  <c r="D7794" i="20"/>
  <c r="F7794" i="20" s="1"/>
  <c r="C7794" i="20"/>
  <c r="B7794" i="20"/>
  <c r="D7793" i="20"/>
  <c r="F7793" i="20" s="1"/>
  <c r="C7793" i="20"/>
  <c r="B7793" i="20"/>
  <c r="D7792" i="20"/>
  <c r="F7792" i="20" s="1"/>
  <c r="C7792" i="20"/>
  <c r="B7792" i="20"/>
  <c r="D7791" i="20"/>
  <c r="F7791" i="20" s="1"/>
  <c r="C7791" i="20"/>
  <c r="B7791" i="20"/>
  <c r="D7790" i="20"/>
  <c r="F7790" i="20" s="1"/>
  <c r="C7790" i="20"/>
  <c r="B7790" i="20"/>
  <c r="D7789" i="20"/>
  <c r="F7789" i="20" s="1"/>
  <c r="C7789" i="20"/>
  <c r="B7789" i="20"/>
  <c r="D7788" i="20"/>
  <c r="F7788" i="20" s="1"/>
  <c r="C7788" i="20"/>
  <c r="B7788" i="20"/>
  <c r="D7787" i="20"/>
  <c r="F7787" i="20" s="1"/>
  <c r="C7787" i="20"/>
  <c r="B7787" i="20"/>
  <c r="D7786" i="20"/>
  <c r="F7786" i="20" s="1"/>
  <c r="C7786" i="20"/>
  <c r="B7786" i="20"/>
  <c r="D7785" i="20"/>
  <c r="F7785" i="20" s="1"/>
  <c r="C7785" i="20"/>
  <c r="B7785" i="20"/>
  <c r="E7784" i="20"/>
  <c r="C7784" i="20"/>
  <c r="B7784" i="20"/>
  <c r="E7783" i="20"/>
  <c r="C7783" i="20"/>
  <c r="C7782" i="20"/>
  <c r="E7778" i="20"/>
  <c r="D7778" i="20"/>
  <c r="B7778" i="20"/>
  <c r="E7777" i="20"/>
  <c r="D7777" i="20"/>
  <c r="B7777" i="20"/>
  <c r="D7776" i="20"/>
  <c r="B7776" i="20"/>
  <c r="D7775" i="20"/>
  <c r="B7775" i="20"/>
  <c r="B7770" i="20"/>
  <c r="H7769" i="20"/>
  <c r="I50" i="4"/>
  <c r="K50" i="4" s="1"/>
  <c r="F50" i="4" s="1"/>
  <c r="D7886" i="20" s="1"/>
  <c r="F7886" i="20" s="1"/>
  <c r="I51" i="4"/>
  <c r="K51" i="4" s="1"/>
  <c r="F51" i="4" s="1"/>
  <c r="D7834" i="20" s="1"/>
  <c r="F7834" i="20" s="1"/>
  <c r="I52" i="4"/>
  <c r="K52" i="4" s="1"/>
  <c r="F52" i="4" s="1"/>
  <c r="D7782" i="20" s="1"/>
  <c r="F7782" i="20" s="1"/>
  <c r="B7752" i="20"/>
  <c r="E7746" i="20"/>
  <c r="F7746" i="20" s="1"/>
  <c r="H7747" i="20" s="1"/>
  <c r="N7717" i="20" s="1"/>
  <c r="D7742" i="20"/>
  <c r="F7742" i="20" s="1"/>
  <c r="C7742" i="20"/>
  <c r="B7742" i="20"/>
  <c r="D7741" i="20"/>
  <c r="F7741" i="20" s="1"/>
  <c r="C7741" i="20"/>
  <c r="B7741" i="20"/>
  <c r="D7740" i="20"/>
  <c r="F7740" i="20" s="1"/>
  <c r="C7740" i="20"/>
  <c r="B7740" i="20"/>
  <c r="D7739" i="20"/>
  <c r="F7739" i="20" s="1"/>
  <c r="C7739" i="20"/>
  <c r="B7739" i="20"/>
  <c r="D7738" i="20"/>
  <c r="F7738" i="20" s="1"/>
  <c r="C7738" i="20"/>
  <c r="B7738" i="20"/>
  <c r="D7737" i="20"/>
  <c r="F7737" i="20" s="1"/>
  <c r="C7737" i="20"/>
  <c r="B7737" i="20"/>
  <c r="D7736" i="20"/>
  <c r="F7736" i="20" s="1"/>
  <c r="C7736" i="20"/>
  <c r="B7736" i="20"/>
  <c r="D7735" i="20"/>
  <c r="F7735" i="20" s="1"/>
  <c r="C7735" i="20"/>
  <c r="B7735" i="20"/>
  <c r="D7734" i="20"/>
  <c r="F7734" i="20" s="1"/>
  <c r="C7734" i="20"/>
  <c r="B7734" i="20"/>
  <c r="D7733" i="20"/>
  <c r="F7733" i="20" s="1"/>
  <c r="C7733" i="20"/>
  <c r="B7733" i="20"/>
  <c r="D7732" i="20"/>
  <c r="F7732" i="20" s="1"/>
  <c r="C7732" i="20"/>
  <c r="B7732" i="20"/>
  <c r="E7731" i="20"/>
  <c r="C7731" i="20"/>
  <c r="B7731" i="20"/>
  <c r="E7730" i="20"/>
  <c r="C7730" i="20"/>
  <c r="C7729" i="20"/>
  <c r="E7725" i="20"/>
  <c r="D7725" i="20"/>
  <c r="B7725" i="20"/>
  <c r="E7724" i="20"/>
  <c r="D7724" i="20"/>
  <c r="B7724" i="20"/>
  <c r="D7723" i="20"/>
  <c r="B7723" i="20"/>
  <c r="D7722" i="20"/>
  <c r="B7722" i="20"/>
  <c r="B7717" i="20"/>
  <c r="H7716" i="20"/>
  <c r="H7712" i="20"/>
  <c r="E7750" i="20" s="1"/>
  <c r="E5770" i="20"/>
  <c r="I259" i="4"/>
  <c r="K259" i="4" s="1"/>
  <c r="F259" i="4" s="1"/>
  <c r="B5770" i="20"/>
  <c r="E5764" i="20"/>
  <c r="F5764" i="20" s="1"/>
  <c r="H5765" i="20" s="1"/>
  <c r="N5736" i="20" s="1"/>
  <c r="D5760" i="20"/>
  <c r="F5760" i="20" s="1"/>
  <c r="C5760" i="20"/>
  <c r="B5760" i="20"/>
  <c r="D5759" i="20"/>
  <c r="F5759" i="20" s="1"/>
  <c r="C5759" i="20"/>
  <c r="B5759" i="20"/>
  <c r="D5758" i="20"/>
  <c r="F5758" i="20" s="1"/>
  <c r="C5758" i="20"/>
  <c r="B5758" i="20"/>
  <c r="D5757" i="20"/>
  <c r="F5757" i="20" s="1"/>
  <c r="C5757" i="20"/>
  <c r="B5757" i="20"/>
  <c r="D5756" i="20"/>
  <c r="F5756" i="20" s="1"/>
  <c r="C5756" i="20"/>
  <c r="B5756" i="20"/>
  <c r="D5755" i="20"/>
  <c r="F5755" i="20" s="1"/>
  <c r="C5755" i="20"/>
  <c r="B5755" i="20"/>
  <c r="D5754" i="20"/>
  <c r="F5754" i="20" s="1"/>
  <c r="C5754" i="20"/>
  <c r="B5754" i="20"/>
  <c r="D5753" i="20"/>
  <c r="F5753" i="20" s="1"/>
  <c r="C5753" i="20"/>
  <c r="B5753" i="20"/>
  <c r="D5752" i="20"/>
  <c r="F5752" i="20" s="1"/>
  <c r="C5752" i="20"/>
  <c r="B5752" i="20"/>
  <c r="D5751" i="20"/>
  <c r="F5751" i="20" s="1"/>
  <c r="C5751" i="20"/>
  <c r="B5751" i="20"/>
  <c r="D5750" i="20"/>
  <c r="F5750" i="20" s="1"/>
  <c r="C5750" i="20"/>
  <c r="B5750" i="20"/>
  <c r="D5749" i="20"/>
  <c r="F5749" i="20" s="1"/>
  <c r="C5749" i="20"/>
  <c r="B5749" i="20"/>
  <c r="C5748" i="20"/>
  <c r="C5747" i="20"/>
  <c r="E5743" i="20"/>
  <c r="D5743" i="20"/>
  <c r="B5743" i="20"/>
  <c r="E5742" i="20"/>
  <c r="D5742" i="20"/>
  <c r="B5742" i="20"/>
  <c r="D5741" i="20"/>
  <c r="B5741" i="20"/>
  <c r="B5736" i="20"/>
  <c r="H5735" i="20"/>
  <c r="B4235" i="20"/>
  <c r="E4229" i="20"/>
  <c r="F4229" i="20" s="1"/>
  <c r="H4230" i="20" s="1"/>
  <c r="N4201" i="20" s="1"/>
  <c r="D4225" i="20"/>
  <c r="F4225" i="20" s="1"/>
  <c r="C4225" i="20"/>
  <c r="B4225" i="20"/>
  <c r="D4224" i="20"/>
  <c r="F4224" i="20" s="1"/>
  <c r="C4224" i="20"/>
  <c r="B4224" i="20"/>
  <c r="D4223" i="20"/>
  <c r="F4223" i="20" s="1"/>
  <c r="C4223" i="20"/>
  <c r="B4223" i="20"/>
  <c r="D4222" i="20"/>
  <c r="F4222" i="20" s="1"/>
  <c r="C4222" i="20"/>
  <c r="B4222" i="20"/>
  <c r="D4221" i="20"/>
  <c r="F4221" i="20" s="1"/>
  <c r="C4221" i="20"/>
  <c r="B4221" i="20"/>
  <c r="D4220" i="20"/>
  <c r="F4220" i="20" s="1"/>
  <c r="C4220" i="20"/>
  <c r="B4220" i="20"/>
  <c r="C4219" i="20"/>
  <c r="B4219" i="20"/>
  <c r="C4218" i="20"/>
  <c r="B4218" i="20"/>
  <c r="C4217" i="20"/>
  <c r="B4217" i="20"/>
  <c r="C4216" i="20"/>
  <c r="B4216" i="20"/>
  <c r="C4215" i="20"/>
  <c r="B4215" i="20"/>
  <c r="C4214" i="20"/>
  <c r="B4214" i="20"/>
  <c r="C4213" i="20"/>
  <c r="C4212" i="20"/>
  <c r="D4208" i="20"/>
  <c r="B4208" i="20"/>
  <c r="D4207" i="20"/>
  <c r="B4207" i="20"/>
  <c r="L4206" i="20"/>
  <c r="D4206" i="20"/>
  <c r="B4206" i="20"/>
  <c r="B4201" i="20"/>
  <c r="H4200" i="20"/>
  <c r="H4196" i="20"/>
  <c r="E4233" i="20" s="1"/>
  <c r="L4155" i="20"/>
  <c r="B4184" i="20"/>
  <c r="B4183" i="20"/>
  <c r="E4178" i="20"/>
  <c r="F4178" i="20" s="1"/>
  <c r="H4179" i="20" s="1"/>
  <c r="N4150" i="20" s="1"/>
  <c r="D4174" i="20"/>
  <c r="F4174" i="20" s="1"/>
  <c r="C4174" i="20"/>
  <c r="B4174" i="20"/>
  <c r="D4173" i="20"/>
  <c r="F4173" i="20" s="1"/>
  <c r="C4173" i="20"/>
  <c r="B4173" i="20"/>
  <c r="D4172" i="20"/>
  <c r="F4172" i="20" s="1"/>
  <c r="C4172" i="20"/>
  <c r="B4172" i="20"/>
  <c r="D4171" i="20"/>
  <c r="F4171" i="20" s="1"/>
  <c r="C4171" i="20"/>
  <c r="B4171" i="20"/>
  <c r="D4170" i="20"/>
  <c r="F4170" i="20" s="1"/>
  <c r="C4170" i="20"/>
  <c r="B4170" i="20"/>
  <c r="D4169" i="20"/>
  <c r="F4169" i="20" s="1"/>
  <c r="C4169" i="20"/>
  <c r="B4169" i="20"/>
  <c r="C4168" i="20"/>
  <c r="B4168" i="20"/>
  <c r="C4167" i="20"/>
  <c r="B4167" i="20"/>
  <c r="C4166" i="20"/>
  <c r="B4166" i="20"/>
  <c r="C4165" i="20"/>
  <c r="B4165" i="20"/>
  <c r="C4164" i="20"/>
  <c r="B4164" i="20"/>
  <c r="C4163" i="20"/>
  <c r="B4163" i="20"/>
  <c r="C4162" i="20"/>
  <c r="C4161" i="20"/>
  <c r="D4157" i="20"/>
  <c r="B4157" i="20"/>
  <c r="D4156" i="20"/>
  <c r="B4156" i="20"/>
  <c r="D4155" i="20"/>
  <c r="B4155" i="20"/>
  <c r="B4150" i="20"/>
  <c r="H4149" i="20"/>
  <c r="H4145" i="20"/>
  <c r="E4182" i="20" s="1"/>
  <c r="I274" i="4"/>
  <c r="K274" i="4" s="1"/>
  <c r="F274" i="4" s="1"/>
  <c r="D4212" i="20" s="1"/>
  <c r="F4212" i="20" s="1"/>
  <c r="I273" i="4"/>
  <c r="K273" i="4" s="1"/>
  <c r="F273" i="4" s="1"/>
  <c r="D4161" i="20" s="1"/>
  <c r="F4161" i="20" s="1"/>
  <c r="G278" i="4"/>
  <c r="G277" i="4"/>
  <c r="I277" i="4" s="1"/>
  <c r="K277" i="4" s="1"/>
  <c r="F277" i="4" s="1"/>
  <c r="B4133" i="20"/>
  <c r="B4132" i="20"/>
  <c r="E4127" i="20"/>
  <c r="F4127" i="20" s="1"/>
  <c r="H4128" i="20" s="1"/>
  <c r="N4099" i="20" s="1"/>
  <c r="D4123" i="20"/>
  <c r="F4123" i="20" s="1"/>
  <c r="C4123" i="20"/>
  <c r="B4123" i="20"/>
  <c r="D4122" i="20"/>
  <c r="F4122" i="20" s="1"/>
  <c r="C4122" i="20"/>
  <c r="B4122" i="20"/>
  <c r="D4121" i="20"/>
  <c r="F4121" i="20" s="1"/>
  <c r="C4121" i="20"/>
  <c r="B4121" i="20"/>
  <c r="D4120" i="20"/>
  <c r="F4120" i="20" s="1"/>
  <c r="C4120" i="20"/>
  <c r="B4120" i="20"/>
  <c r="D4119" i="20"/>
  <c r="F4119" i="20" s="1"/>
  <c r="C4119" i="20"/>
  <c r="B4119" i="20"/>
  <c r="D4118" i="20"/>
  <c r="F4118" i="20" s="1"/>
  <c r="C4118" i="20"/>
  <c r="B4118" i="20"/>
  <c r="C4117" i="20"/>
  <c r="B4117" i="20"/>
  <c r="C4116" i="20"/>
  <c r="B4116" i="20"/>
  <c r="C4115" i="20"/>
  <c r="B4115" i="20"/>
  <c r="C4114" i="20"/>
  <c r="B4114" i="20"/>
  <c r="C4113" i="20"/>
  <c r="B4113" i="20"/>
  <c r="C4112" i="20"/>
  <c r="B4112" i="20"/>
  <c r="C4111" i="20"/>
  <c r="C4110" i="20"/>
  <c r="D4106" i="20"/>
  <c r="B4106" i="20"/>
  <c r="D4105" i="20"/>
  <c r="B4105" i="20"/>
  <c r="D4104" i="20"/>
  <c r="B4104" i="20"/>
  <c r="B4099" i="20"/>
  <c r="H4098" i="20"/>
  <c r="H4094" i="20"/>
  <c r="F4106" i="20" s="1"/>
  <c r="H3941" i="20"/>
  <c r="H3992" i="20"/>
  <c r="H4043" i="20"/>
  <c r="I191" i="4"/>
  <c r="K191" i="4" s="1"/>
  <c r="F191" i="4" s="1"/>
  <c r="M4303" i="20" l="1"/>
  <c r="H4306" i="20"/>
  <c r="H8293" i="20"/>
  <c r="M8290" i="20"/>
  <c r="H8241" i="20"/>
  <c r="F9832" i="20"/>
  <c r="F5844" i="20"/>
  <c r="G5844" i="20"/>
  <c r="F5793" i="20"/>
  <c r="G5793" i="20" s="1"/>
  <c r="B7960" i="20"/>
  <c r="B8012" i="20"/>
  <c r="B8116" i="20"/>
  <c r="B9860" i="20"/>
  <c r="B7856" i="20"/>
  <c r="B4285" i="20"/>
  <c r="B5871" i="20"/>
  <c r="B4234" i="20"/>
  <c r="B8860" i="20"/>
  <c r="B8907" i="20"/>
  <c r="B5769" i="20"/>
  <c r="B5820" i="20"/>
  <c r="B7751" i="20"/>
  <c r="E5870" i="20"/>
  <c r="E5871" i="20"/>
  <c r="F5843" i="20"/>
  <c r="G5843" i="20" s="1"/>
  <c r="E5819" i="20"/>
  <c r="F5845" i="20"/>
  <c r="G5845" i="20" s="1"/>
  <c r="F5792" i="20"/>
  <c r="G5792" i="20" s="1"/>
  <c r="F4259" i="20"/>
  <c r="G4259" i="20" s="1"/>
  <c r="E5820" i="20"/>
  <c r="G4257" i="20"/>
  <c r="E4286" i="20"/>
  <c r="F8191" i="20"/>
  <c r="E4285" i="20"/>
  <c r="F4258" i="20"/>
  <c r="G4258" i="20" s="1"/>
  <c r="E4284" i="20"/>
  <c r="F8885" i="20"/>
  <c r="E8908" i="20"/>
  <c r="F8830" i="20"/>
  <c r="G8830" i="20" s="1"/>
  <c r="E9859" i="20"/>
  <c r="F9834" i="20"/>
  <c r="F8884" i="20"/>
  <c r="F8886" i="20"/>
  <c r="G8886" i="20" s="1"/>
  <c r="E8907" i="20"/>
  <c r="F8831" i="20"/>
  <c r="G8831" i="20" s="1"/>
  <c r="F8883" i="20"/>
  <c r="E8219" i="20"/>
  <c r="F8194" i="20"/>
  <c r="G8194" i="20" s="1"/>
  <c r="E8861" i="20"/>
  <c r="F8829" i="20"/>
  <c r="G8829" i="20" s="1"/>
  <c r="E8860" i="20"/>
  <c r="F8828" i="20"/>
  <c r="F8148" i="20"/>
  <c r="F9831" i="20"/>
  <c r="E9860" i="20"/>
  <c r="F9833" i="20"/>
  <c r="G9833" i="20" s="1"/>
  <c r="F8139" i="20"/>
  <c r="F8193" i="20"/>
  <c r="G8193" i="20" s="1"/>
  <c r="E8220" i="20"/>
  <c r="E8169" i="20"/>
  <c r="F8142" i="20"/>
  <c r="G8142" i="20" s="1"/>
  <c r="F8192" i="20"/>
  <c r="F8090" i="20"/>
  <c r="G8090" i="20" s="1"/>
  <c r="F8147" i="20"/>
  <c r="F8141" i="20"/>
  <c r="G8141" i="20" s="1"/>
  <c r="E8168" i="20"/>
  <c r="F8038" i="20"/>
  <c r="G8038" i="20" s="1"/>
  <c r="F8140" i="20"/>
  <c r="F8088" i="20"/>
  <c r="F8087" i="20"/>
  <c r="E8116" i="20"/>
  <c r="F8089" i="20"/>
  <c r="G8089" i="20" s="1"/>
  <c r="E8115" i="20"/>
  <c r="F8036" i="20"/>
  <c r="F8035" i="20"/>
  <c r="E8064" i="20"/>
  <c r="F8037" i="20"/>
  <c r="G8037" i="20" s="1"/>
  <c r="E8063" i="20"/>
  <c r="F7983" i="20"/>
  <c r="F7986" i="20"/>
  <c r="G7986" i="20" s="1"/>
  <c r="F7940" i="20"/>
  <c r="E8013" i="20"/>
  <c r="G7934" i="20"/>
  <c r="E7909" i="20"/>
  <c r="E7959" i="20"/>
  <c r="F7985" i="20"/>
  <c r="G7985" i="20" s="1"/>
  <c r="E8012" i="20"/>
  <c r="F7933" i="20"/>
  <c r="G7933" i="20" s="1"/>
  <c r="F7931" i="20"/>
  <c r="F7984" i="20"/>
  <c r="F7879" i="20"/>
  <c r="E7961" i="20"/>
  <c r="F7830" i="20"/>
  <c r="G7830" i="20" s="1"/>
  <c r="F7828" i="20"/>
  <c r="E7960" i="20"/>
  <c r="E7857" i="20"/>
  <c r="F7882" i="20"/>
  <c r="G7882" i="20" s="1"/>
  <c r="F7932" i="20"/>
  <c r="F7827" i="20"/>
  <c r="F7881" i="20"/>
  <c r="G7881" i="20" s="1"/>
  <c r="E7908" i="20"/>
  <c r="F7880" i="20"/>
  <c r="F7775" i="20"/>
  <c r="F7829" i="20"/>
  <c r="G7829" i="20" s="1"/>
  <c r="E7856" i="20"/>
  <c r="F7778" i="20"/>
  <c r="G7778" i="20" s="1"/>
  <c r="E7803" i="20"/>
  <c r="F7777" i="20"/>
  <c r="G7777" i="20" s="1"/>
  <c r="E7804" i="20"/>
  <c r="F7776" i="20"/>
  <c r="E7752" i="20"/>
  <c r="F7722" i="20"/>
  <c r="F7725" i="20"/>
  <c r="G7725" i="20" s="1"/>
  <c r="F7723" i="20"/>
  <c r="F7724" i="20"/>
  <c r="G7724" i="20" s="1"/>
  <c r="E7751" i="20"/>
  <c r="F5741" i="20"/>
  <c r="E5768" i="20"/>
  <c r="F4206" i="20"/>
  <c r="E5769" i="20"/>
  <c r="F5742" i="20"/>
  <c r="E4235" i="20"/>
  <c r="F4157" i="20"/>
  <c r="F4208" i="20"/>
  <c r="F4155" i="20"/>
  <c r="E4234" i="20"/>
  <c r="F4207" i="20"/>
  <c r="E4184" i="20"/>
  <c r="E4183" i="20"/>
  <c r="F4156" i="20"/>
  <c r="E4133" i="20"/>
  <c r="F4104" i="20"/>
  <c r="E4132" i="20"/>
  <c r="F4105" i="20"/>
  <c r="E4131" i="20"/>
  <c r="G4343" i="20" l="1"/>
  <c r="G4342" i="20"/>
  <c r="G4341" i="20"/>
  <c r="H4345" i="20" s="1"/>
  <c r="G8331" i="20"/>
  <c r="G8330" i="20"/>
  <c r="G8329" i="20"/>
  <c r="H5846" i="20"/>
  <c r="M5838" i="20" s="1"/>
  <c r="G8279" i="20"/>
  <c r="G8278" i="20"/>
  <c r="G8277" i="20"/>
  <c r="F5794" i="20"/>
  <c r="G5794" i="20" s="1"/>
  <c r="H5795" i="20"/>
  <c r="M5787" i="20" s="1"/>
  <c r="H4260" i="20"/>
  <c r="M4252" i="20" s="1"/>
  <c r="G5742" i="20"/>
  <c r="F5743" i="20"/>
  <c r="G5743" i="20" s="1"/>
  <c r="H8333" i="20" l="1"/>
  <c r="H8281" i="20"/>
  <c r="I198" i="4"/>
  <c r="K198" i="4" s="1"/>
  <c r="F198" i="4" s="1"/>
  <c r="D4008" i="20" s="1"/>
  <c r="F4008" i="20" s="1"/>
  <c r="E4082" i="20"/>
  <c r="B4082" i="20"/>
  <c r="B4081" i="20"/>
  <c r="E4076" i="20"/>
  <c r="F4076" i="20" s="1"/>
  <c r="H4077" i="20" s="1"/>
  <c r="N4048" i="20" s="1"/>
  <c r="D4072" i="20"/>
  <c r="F4072" i="20" s="1"/>
  <c r="C4072" i="20"/>
  <c r="B4072" i="20"/>
  <c r="D4071" i="20"/>
  <c r="F4071" i="20" s="1"/>
  <c r="C4071" i="20"/>
  <c r="B4071" i="20"/>
  <c r="D4070" i="20"/>
  <c r="F4070" i="20" s="1"/>
  <c r="C4070" i="20"/>
  <c r="B4070" i="20"/>
  <c r="D4069" i="20"/>
  <c r="F4069" i="20" s="1"/>
  <c r="C4069" i="20"/>
  <c r="B4069" i="20"/>
  <c r="D4068" i="20"/>
  <c r="F4068" i="20" s="1"/>
  <c r="C4068" i="20"/>
  <c r="B4068" i="20"/>
  <c r="D4067" i="20"/>
  <c r="F4067" i="20" s="1"/>
  <c r="C4067" i="20"/>
  <c r="B4067" i="20"/>
  <c r="C4066" i="20"/>
  <c r="B4066" i="20"/>
  <c r="C4065" i="20"/>
  <c r="B4065" i="20"/>
  <c r="C4064" i="20"/>
  <c r="B4064" i="20"/>
  <c r="C4063" i="20"/>
  <c r="B4063" i="20"/>
  <c r="C4062" i="20"/>
  <c r="B4062" i="20"/>
  <c r="C4061" i="20"/>
  <c r="B4061" i="20"/>
  <c r="C4060" i="20"/>
  <c r="C4059" i="20"/>
  <c r="D4055" i="20"/>
  <c r="B4055" i="20"/>
  <c r="D4054" i="20"/>
  <c r="B4054" i="20"/>
  <c r="F4053" i="20"/>
  <c r="D4053" i="20"/>
  <c r="B4053" i="20"/>
  <c r="B4048" i="20"/>
  <c r="H4047" i="20"/>
  <c r="E4080" i="20"/>
  <c r="E4031" i="20"/>
  <c r="B4031" i="20"/>
  <c r="B4030" i="20"/>
  <c r="E4025" i="20"/>
  <c r="F4025" i="20" s="1"/>
  <c r="H4026" i="20" s="1"/>
  <c r="N3997" i="20" s="1"/>
  <c r="D4021" i="20"/>
  <c r="F4021" i="20" s="1"/>
  <c r="C4021" i="20"/>
  <c r="B4021" i="20"/>
  <c r="D4020" i="20"/>
  <c r="F4020" i="20" s="1"/>
  <c r="C4020" i="20"/>
  <c r="B4020" i="20"/>
  <c r="D4019" i="20"/>
  <c r="F4019" i="20" s="1"/>
  <c r="C4019" i="20"/>
  <c r="B4019" i="20"/>
  <c r="D4018" i="20"/>
  <c r="F4018" i="20" s="1"/>
  <c r="C4018" i="20"/>
  <c r="B4018" i="20"/>
  <c r="D4017" i="20"/>
  <c r="F4017" i="20" s="1"/>
  <c r="C4017" i="20"/>
  <c r="B4017" i="20"/>
  <c r="D4016" i="20"/>
  <c r="F4016" i="20" s="1"/>
  <c r="C4016" i="20"/>
  <c r="B4016" i="20"/>
  <c r="C4015" i="20"/>
  <c r="B4015" i="20"/>
  <c r="C4014" i="20"/>
  <c r="B4014" i="20"/>
  <c r="C4013" i="20"/>
  <c r="B4013" i="20"/>
  <c r="C4012" i="20"/>
  <c r="B4012" i="20"/>
  <c r="C4011" i="20"/>
  <c r="B4011" i="20"/>
  <c r="C4010" i="20"/>
  <c r="B4010" i="20"/>
  <c r="C4009" i="20"/>
  <c r="C4008" i="20"/>
  <c r="D4004" i="20"/>
  <c r="B4004" i="20"/>
  <c r="D4003" i="20"/>
  <c r="B4003" i="20"/>
  <c r="F4002" i="20"/>
  <c r="D4002" i="20"/>
  <c r="B4002" i="20"/>
  <c r="B3997" i="20"/>
  <c r="H3996" i="20"/>
  <c r="E4029" i="20"/>
  <c r="F3951" i="20"/>
  <c r="B3980" i="20"/>
  <c r="B3979" i="20"/>
  <c r="E3974" i="20"/>
  <c r="F3974" i="20" s="1"/>
  <c r="H3975" i="20" s="1"/>
  <c r="N3946" i="20" s="1"/>
  <c r="D3970" i="20"/>
  <c r="F3970" i="20" s="1"/>
  <c r="C3970" i="20"/>
  <c r="B3970" i="20"/>
  <c r="D3969" i="20"/>
  <c r="F3969" i="20" s="1"/>
  <c r="C3969" i="20"/>
  <c r="B3969" i="20"/>
  <c r="D3968" i="20"/>
  <c r="F3968" i="20" s="1"/>
  <c r="C3968" i="20"/>
  <c r="B3968" i="20"/>
  <c r="D3967" i="20"/>
  <c r="F3967" i="20" s="1"/>
  <c r="C3967" i="20"/>
  <c r="B3967" i="20"/>
  <c r="D3966" i="20"/>
  <c r="F3966" i="20" s="1"/>
  <c r="C3966" i="20"/>
  <c r="B3966" i="20"/>
  <c r="D3965" i="20"/>
  <c r="F3965" i="20" s="1"/>
  <c r="C3965" i="20"/>
  <c r="B3965" i="20"/>
  <c r="C3964" i="20"/>
  <c r="B3964" i="20"/>
  <c r="C3963" i="20"/>
  <c r="B3963" i="20"/>
  <c r="C3962" i="20"/>
  <c r="B3962" i="20"/>
  <c r="C3961" i="20"/>
  <c r="B3961" i="20"/>
  <c r="C3960" i="20"/>
  <c r="B3960" i="20"/>
  <c r="C3959" i="20"/>
  <c r="B3959" i="20"/>
  <c r="C3958" i="20"/>
  <c r="C3957" i="20"/>
  <c r="D3953" i="20"/>
  <c r="B3953" i="20"/>
  <c r="D3952" i="20"/>
  <c r="B3952" i="20"/>
  <c r="D3951" i="20"/>
  <c r="B3951" i="20"/>
  <c r="B3946" i="20"/>
  <c r="H3945" i="20"/>
  <c r="F4055" i="20" l="1"/>
  <c r="E4081" i="20"/>
  <c r="F4054" i="20"/>
  <c r="F4004" i="20"/>
  <c r="E3978" i="20"/>
  <c r="E4030" i="20"/>
  <c r="F4003" i="20"/>
  <c r="E3980" i="20"/>
  <c r="F3953" i="20"/>
  <c r="E3979" i="20"/>
  <c r="F3952" i="20"/>
  <c r="C14" i="29"/>
  <c r="D14" i="29" s="1"/>
  <c r="E14" i="29" s="1"/>
  <c r="F14" i="29" s="1"/>
  <c r="G14" i="29" s="1"/>
  <c r="H14" i="29" s="1"/>
  <c r="I14" i="29" s="1"/>
  <c r="C21" i="29" s="1"/>
  <c r="C10" i="29"/>
  <c r="C6" i="29"/>
  <c r="A4" i="29"/>
  <c r="H18" i="29" s="1"/>
  <c r="D15" i="29"/>
  <c r="E15" i="29" s="1"/>
  <c r="F15" i="29" s="1"/>
  <c r="G15" i="29" s="1"/>
  <c r="H15" i="29" s="1"/>
  <c r="I15" i="29" s="1"/>
  <c r="F18" i="29" l="1"/>
  <c r="D18" i="29"/>
  <c r="E18" i="29"/>
  <c r="G18" i="29"/>
  <c r="D12" i="29"/>
  <c r="E12" i="29" s="1"/>
  <c r="F12" i="29" s="1"/>
  <c r="G12" i="29" s="1"/>
  <c r="H12" i="29" s="1"/>
  <c r="I12" i="29" s="1"/>
  <c r="D11" i="29"/>
  <c r="E11" i="29" s="1"/>
  <c r="F11" i="29" s="1"/>
  <c r="G11" i="29" s="1"/>
  <c r="H11" i="29" s="1"/>
  <c r="I11" i="29" s="1"/>
  <c r="D10" i="29"/>
  <c r="E10" i="29" s="1"/>
  <c r="F10" i="29" s="1"/>
  <c r="G10" i="29" s="1"/>
  <c r="H10" i="29" s="1"/>
  <c r="I10" i="29" s="1"/>
  <c r="B21" i="29" s="1"/>
  <c r="D7" i="29"/>
  <c r="E7" i="29" s="1"/>
  <c r="F7" i="29" s="1"/>
  <c r="G7" i="29" s="1"/>
  <c r="H7" i="29" s="1"/>
  <c r="I7" i="29" s="1"/>
  <c r="D6" i="29"/>
  <c r="E6" i="29" s="1"/>
  <c r="F6" i="29" s="1"/>
  <c r="G6" i="29" s="1"/>
  <c r="H6" i="29" s="1"/>
  <c r="I6" i="29" s="1"/>
  <c r="A21" i="29" s="1"/>
  <c r="I302" i="4"/>
  <c r="K302" i="4" s="1"/>
  <c r="F302" i="4" s="1"/>
  <c r="I299" i="4"/>
  <c r="K299" i="4" s="1"/>
  <c r="F299" i="4" s="1"/>
  <c r="I300" i="4"/>
  <c r="K300" i="4" s="1"/>
  <c r="F300" i="4" s="1"/>
  <c r="I305" i="4"/>
  <c r="K305" i="4" s="1"/>
  <c r="F305" i="4" s="1"/>
  <c r="B9809" i="20"/>
  <c r="B9808" i="20"/>
  <c r="E9803" i="20"/>
  <c r="F9803" i="20" s="1"/>
  <c r="H9804" i="20" s="1"/>
  <c r="N9774" i="20" s="1"/>
  <c r="D9799" i="20"/>
  <c r="F9799" i="20" s="1"/>
  <c r="C9799" i="20"/>
  <c r="B9799" i="20"/>
  <c r="D9798" i="20"/>
  <c r="F9798" i="20" s="1"/>
  <c r="C9798" i="20"/>
  <c r="B9798" i="20"/>
  <c r="D9797" i="20"/>
  <c r="F9797" i="20" s="1"/>
  <c r="C9797" i="20"/>
  <c r="B9797" i="20"/>
  <c r="D9796" i="20"/>
  <c r="F9796" i="20" s="1"/>
  <c r="C9796" i="20"/>
  <c r="B9796" i="20"/>
  <c r="D9795" i="20"/>
  <c r="F9795" i="20" s="1"/>
  <c r="C9795" i="20"/>
  <c r="B9795" i="20"/>
  <c r="D9794" i="20"/>
  <c r="F9794" i="20" s="1"/>
  <c r="C9794" i="20"/>
  <c r="B9794" i="20"/>
  <c r="D9793" i="20"/>
  <c r="F9793" i="20" s="1"/>
  <c r="C9793" i="20"/>
  <c r="B9793" i="20"/>
  <c r="D9792" i="20"/>
  <c r="F9792" i="20" s="1"/>
  <c r="C9792" i="20"/>
  <c r="B9792" i="20"/>
  <c r="D9791" i="20"/>
  <c r="F9791" i="20" s="1"/>
  <c r="C9791" i="20"/>
  <c r="B9791" i="20"/>
  <c r="D9790" i="20"/>
  <c r="F9790" i="20" s="1"/>
  <c r="C9790" i="20"/>
  <c r="B9790" i="20"/>
  <c r="D9789" i="20"/>
  <c r="F9789" i="20" s="1"/>
  <c r="C9789" i="20"/>
  <c r="B9789" i="20"/>
  <c r="D9788" i="20"/>
  <c r="F9788" i="20" s="1"/>
  <c r="C9788" i="20"/>
  <c r="B9788" i="20"/>
  <c r="C9787" i="20"/>
  <c r="C9786" i="20"/>
  <c r="D9782" i="20"/>
  <c r="B9782" i="20"/>
  <c r="E9781" i="20"/>
  <c r="D9781" i="20"/>
  <c r="B9781" i="20"/>
  <c r="D9780" i="20"/>
  <c r="B9780" i="20"/>
  <c r="D9779" i="20"/>
  <c r="B9779" i="20"/>
  <c r="B9774" i="20"/>
  <c r="H9773" i="20"/>
  <c r="H9769" i="20"/>
  <c r="E9807" i="20" s="1"/>
  <c r="B9757" i="20"/>
  <c r="B9756" i="20"/>
  <c r="E9751" i="20"/>
  <c r="F9751" i="20" s="1"/>
  <c r="H9752" i="20" s="1"/>
  <c r="N9722" i="20" s="1"/>
  <c r="D9747" i="20"/>
  <c r="F9747" i="20" s="1"/>
  <c r="C9747" i="20"/>
  <c r="B9747" i="20"/>
  <c r="D9746" i="20"/>
  <c r="F9746" i="20" s="1"/>
  <c r="C9746" i="20"/>
  <c r="B9746" i="20"/>
  <c r="D9745" i="20"/>
  <c r="F9745" i="20" s="1"/>
  <c r="C9745" i="20"/>
  <c r="B9745" i="20"/>
  <c r="D9744" i="20"/>
  <c r="F9744" i="20" s="1"/>
  <c r="C9744" i="20"/>
  <c r="B9744" i="20"/>
  <c r="D9743" i="20"/>
  <c r="F9743" i="20" s="1"/>
  <c r="C9743" i="20"/>
  <c r="B9743" i="20"/>
  <c r="D9742" i="20"/>
  <c r="F9742" i="20" s="1"/>
  <c r="C9742" i="20"/>
  <c r="B9742" i="20"/>
  <c r="D9741" i="20"/>
  <c r="F9741" i="20" s="1"/>
  <c r="C9741" i="20"/>
  <c r="B9741" i="20"/>
  <c r="D9740" i="20"/>
  <c r="F9740" i="20" s="1"/>
  <c r="C9740" i="20"/>
  <c r="B9740" i="20"/>
  <c r="D9739" i="20"/>
  <c r="F9739" i="20" s="1"/>
  <c r="C9739" i="20"/>
  <c r="B9739" i="20"/>
  <c r="D9738" i="20"/>
  <c r="F9738" i="20" s="1"/>
  <c r="C9738" i="20"/>
  <c r="B9738" i="20"/>
  <c r="D9737" i="20"/>
  <c r="F9737" i="20" s="1"/>
  <c r="C9737" i="20"/>
  <c r="B9737" i="20"/>
  <c r="D9736" i="20"/>
  <c r="F9736" i="20" s="1"/>
  <c r="C9736" i="20"/>
  <c r="B9736" i="20"/>
  <c r="C9735" i="20"/>
  <c r="C9734" i="20"/>
  <c r="D9730" i="20"/>
  <c r="B9730" i="20"/>
  <c r="E9729" i="20"/>
  <c r="D9729" i="20"/>
  <c r="B9729" i="20"/>
  <c r="D9728" i="20"/>
  <c r="B9728" i="20"/>
  <c r="D9727" i="20"/>
  <c r="B9727" i="20"/>
  <c r="B9722" i="20"/>
  <c r="H9721" i="20"/>
  <c r="H9717" i="20"/>
  <c r="E9755" i="20" s="1"/>
  <c r="H9665" i="20"/>
  <c r="E9705" i="20" s="1"/>
  <c r="B9705" i="20"/>
  <c r="B9704" i="20"/>
  <c r="E9699" i="20"/>
  <c r="F9699" i="20" s="1"/>
  <c r="H9700" i="20" s="1"/>
  <c r="N9670" i="20" s="1"/>
  <c r="D9695" i="20"/>
  <c r="F9695" i="20" s="1"/>
  <c r="C9695" i="20"/>
  <c r="B9695" i="20"/>
  <c r="D9694" i="20"/>
  <c r="F9694" i="20" s="1"/>
  <c r="C9694" i="20"/>
  <c r="B9694" i="20"/>
  <c r="D9693" i="20"/>
  <c r="F9693" i="20" s="1"/>
  <c r="C9693" i="20"/>
  <c r="B9693" i="20"/>
  <c r="D9692" i="20"/>
  <c r="F9692" i="20" s="1"/>
  <c r="C9692" i="20"/>
  <c r="B9692" i="20"/>
  <c r="D9691" i="20"/>
  <c r="F9691" i="20" s="1"/>
  <c r="C9691" i="20"/>
  <c r="B9691" i="20"/>
  <c r="D9690" i="20"/>
  <c r="F9690" i="20" s="1"/>
  <c r="C9690" i="20"/>
  <c r="B9690" i="20"/>
  <c r="D9689" i="20"/>
  <c r="F9689" i="20" s="1"/>
  <c r="C9689" i="20"/>
  <c r="B9689" i="20"/>
  <c r="D9688" i="20"/>
  <c r="F9688" i="20" s="1"/>
  <c r="C9688" i="20"/>
  <c r="B9688" i="20"/>
  <c r="D9687" i="20"/>
  <c r="F9687" i="20" s="1"/>
  <c r="C9687" i="20"/>
  <c r="B9687" i="20"/>
  <c r="D9686" i="20"/>
  <c r="F9686" i="20" s="1"/>
  <c r="C9686" i="20"/>
  <c r="B9686" i="20"/>
  <c r="D9685" i="20"/>
  <c r="F9685" i="20" s="1"/>
  <c r="C9685" i="20"/>
  <c r="B9685" i="20"/>
  <c r="D9684" i="20"/>
  <c r="F9684" i="20" s="1"/>
  <c r="C9684" i="20"/>
  <c r="B9684" i="20"/>
  <c r="C9683" i="20"/>
  <c r="C9682" i="20"/>
  <c r="E9678" i="20"/>
  <c r="D9678" i="20"/>
  <c r="B9678" i="20"/>
  <c r="E9677" i="20"/>
  <c r="D9677" i="20"/>
  <c r="B9677" i="20"/>
  <c r="D9676" i="20"/>
  <c r="B9676" i="20"/>
  <c r="D9675" i="20"/>
  <c r="B9675" i="20"/>
  <c r="B9670" i="20"/>
  <c r="H9669" i="20"/>
  <c r="H9613" i="20"/>
  <c r="F9624" i="20" s="1"/>
  <c r="B9653" i="20"/>
  <c r="B9652" i="20"/>
  <c r="E9647" i="20"/>
  <c r="F9647" i="20" s="1"/>
  <c r="H9648" i="20" s="1"/>
  <c r="N9618" i="20" s="1"/>
  <c r="D9643" i="20"/>
  <c r="F9643" i="20" s="1"/>
  <c r="C9643" i="20"/>
  <c r="B9643" i="20"/>
  <c r="D9642" i="20"/>
  <c r="F9642" i="20" s="1"/>
  <c r="C9642" i="20"/>
  <c r="B9642" i="20"/>
  <c r="D9641" i="20"/>
  <c r="F9641" i="20" s="1"/>
  <c r="C9641" i="20"/>
  <c r="B9641" i="20"/>
  <c r="D9640" i="20"/>
  <c r="F9640" i="20" s="1"/>
  <c r="C9640" i="20"/>
  <c r="B9640" i="20"/>
  <c r="D9639" i="20"/>
  <c r="F9639" i="20" s="1"/>
  <c r="C9639" i="20"/>
  <c r="B9639" i="20"/>
  <c r="D9638" i="20"/>
  <c r="F9638" i="20" s="1"/>
  <c r="C9638" i="20"/>
  <c r="B9638" i="20"/>
  <c r="D9637" i="20"/>
  <c r="F9637" i="20" s="1"/>
  <c r="C9637" i="20"/>
  <c r="B9637" i="20"/>
  <c r="D9636" i="20"/>
  <c r="F9636" i="20" s="1"/>
  <c r="C9636" i="20"/>
  <c r="B9636" i="20"/>
  <c r="D9635" i="20"/>
  <c r="F9635" i="20" s="1"/>
  <c r="C9635" i="20"/>
  <c r="B9635" i="20"/>
  <c r="D9634" i="20"/>
  <c r="F9634" i="20" s="1"/>
  <c r="C9634" i="20"/>
  <c r="B9634" i="20"/>
  <c r="D9633" i="20"/>
  <c r="F9633" i="20" s="1"/>
  <c r="C9633" i="20"/>
  <c r="B9633" i="20"/>
  <c r="D9632" i="20"/>
  <c r="F9632" i="20" s="1"/>
  <c r="C9632" i="20"/>
  <c r="B9632" i="20"/>
  <c r="C9631" i="20"/>
  <c r="C9630" i="20"/>
  <c r="E9626" i="20"/>
  <c r="D9626" i="20"/>
  <c r="B9626" i="20"/>
  <c r="E9625" i="20"/>
  <c r="D9625" i="20"/>
  <c r="B9625" i="20"/>
  <c r="D9624" i="20"/>
  <c r="B9624" i="20"/>
  <c r="D9623" i="20"/>
  <c r="B9623" i="20"/>
  <c r="B9618" i="20"/>
  <c r="H9617" i="20"/>
  <c r="E10" i="28"/>
  <c r="E11" i="28"/>
  <c r="E12" i="28"/>
  <c r="E13" i="28"/>
  <c r="E14" i="28"/>
  <c r="E15" i="28"/>
  <c r="E16" i="28"/>
  <c r="E17" i="28"/>
  <c r="E18" i="28"/>
  <c r="D10" i="28"/>
  <c r="D11" i="28"/>
  <c r="D12" i="28"/>
  <c r="D13" i="28"/>
  <c r="D14" i="28"/>
  <c r="D15" i="28"/>
  <c r="D16" i="28"/>
  <c r="D17" i="28"/>
  <c r="D18" i="28"/>
  <c r="C10" i="28"/>
  <c r="C11" i="28"/>
  <c r="C12" i="28"/>
  <c r="C13" i="28"/>
  <c r="C14" i="28"/>
  <c r="C15" i="28"/>
  <c r="C16" i="28"/>
  <c r="C17" i="28"/>
  <c r="C18" i="28"/>
  <c r="E9" i="28"/>
  <c r="C9" i="28"/>
  <c r="D9" i="28"/>
  <c r="G16" i="28"/>
  <c r="G17" i="28"/>
  <c r="G18" i="28"/>
  <c r="G14" i="28"/>
  <c r="B4" i="28"/>
  <c r="F9678" i="20" l="1"/>
  <c r="G9678" i="20" s="1"/>
  <c r="F9782" i="20"/>
  <c r="F9780" i="20"/>
  <c r="F9779" i="20"/>
  <c r="E9809" i="20"/>
  <c r="F21" i="29"/>
  <c r="G21" i="29"/>
  <c r="D21" i="29"/>
  <c r="E21" i="29"/>
  <c r="J21" i="29" s="1"/>
  <c r="F9730" i="20"/>
  <c r="E9756" i="20"/>
  <c r="E9808" i="20"/>
  <c r="F9781" i="20"/>
  <c r="G9781" i="20" s="1"/>
  <c r="F9727" i="20"/>
  <c r="F9728" i="20"/>
  <c r="E9757" i="20"/>
  <c r="F9676" i="20"/>
  <c r="F9729" i="20"/>
  <c r="G9729" i="20" s="1"/>
  <c r="E9703" i="20"/>
  <c r="F9675" i="20"/>
  <c r="F9677" i="20"/>
  <c r="G9677" i="20" s="1"/>
  <c r="E9704" i="20"/>
  <c r="E9653" i="20"/>
  <c r="F9626" i="20"/>
  <c r="G9626" i="20" s="1"/>
  <c r="F9623" i="20"/>
  <c r="E9652" i="20"/>
  <c r="F9625" i="20"/>
  <c r="G9625" i="20" s="1"/>
  <c r="E9651" i="20"/>
  <c r="H18" i="28"/>
  <c r="I18" i="28" s="1"/>
  <c r="H17" i="28"/>
  <c r="I17" i="28" s="1"/>
  <c r="F15" i="28"/>
  <c r="F11" i="28"/>
  <c r="F14" i="28"/>
  <c r="H16" i="28"/>
  <c r="I16" i="28" s="1"/>
  <c r="H14" i="28"/>
  <c r="I14" i="28" s="1"/>
  <c r="F12" i="28"/>
  <c r="F17" i="28"/>
  <c r="F18" i="28"/>
  <c r="F10" i="28"/>
  <c r="F13" i="28"/>
  <c r="F16" i="28"/>
  <c r="H21" i="29" l="1"/>
  <c r="I21" i="29" s="1"/>
  <c r="C14" i="1" l="1"/>
  <c r="G4305" i="20" l="1"/>
  <c r="B4299" i="20"/>
  <c r="G4304" i="20"/>
  <c r="B4304" i="20"/>
  <c r="G8240" i="20"/>
  <c r="B8291" i="20"/>
  <c r="G8291" i="20"/>
  <c r="G8239" i="20"/>
  <c r="B8286" i="20"/>
  <c r="B8234" i="20"/>
  <c r="G8292" i="20"/>
  <c r="B8239" i="20"/>
  <c r="B5788" i="20"/>
  <c r="B5834" i="20"/>
  <c r="G5839" i="20"/>
  <c r="B5839" i="20"/>
  <c r="G5788" i="20"/>
  <c r="B5783" i="20"/>
  <c r="G5789" i="20"/>
  <c r="G5840" i="20"/>
  <c r="G4254" i="20"/>
  <c r="G4253" i="20"/>
  <c r="B4248" i="20"/>
  <c r="B4253" i="20"/>
  <c r="G8824" i="20"/>
  <c r="B8824" i="20"/>
  <c r="B8874" i="20"/>
  <c r="B8819" i="20"/>
  <c r="G8880" i="20"/>
  <c r="G8879" i="20"/>
  <c r="B8879" i="20"/>
  <c r="G8825" i="20"/>
  <c r="G8187" i="20"/>
  <c r="G9828" i="20"/>
  <c r="B9822" i="20"/>
  <c r="B8187" i="20"/>
  <c r="G8136" i="20"/>
  <c r="G8135" i="20"/>
  <c r="G9827" i="20"/>
  <c r="B8135" i="20"/>
  <c r="B8182" i="20"/>
  <c r="B9827" i="20"/>
  <c r="B8130" i="20"/>
  <c r="G8188" i="20"/>
  <c r="B8078" i="20"/>
  <c r="B8026" i="20"/>
  <c r="B7922" i="20"/>
  <c r="G7980" i="20"/>
  <c r="G8032" i="20"/>
  <c r="G7928" i="20"/>
  <c r="G8083" i="20"/>
  <c r="G7979" i="20"/>
  <c r="G8084" i="20"/>
  <c r="B7979" i="20"/>
  <c r="G8031" i="20"/>
  <c r="G7927" i="20"/>
  <c r="B8083" i="20"/>
  <c r="B8031" i="20"/>
  <c r="B7927" i="20"/>
  <c r="B7974" i="20"/>
  <c r="B7771" i="20"/>
  <c r="G7719" i="20"/>
  <c r="G7718" i="20"/>
  <c r="G7875" i="20"/>
  <c r="B7766" i="20"/>
  <c r="B7870" i="20"/>
  <c r="G7771" i="20"/>
  <c r="G7876" i="20"/>
  <c r="G7824" i="20"/>
  <c r="B7718" i="20"/>
  <c r="G7823" i="20"/>
  <c r="B7875" i="20"/>
  <c r="B7823" i="20"/>
  <c r="G7772" i="20"/>
  <c r="B7818" i="20"/>
  <c r="B7713" i="20"/>
  <c r="G5738" i="20"/>
  <c r="G5737" i="20"/>
  <c r="G4203" i="20"/>
  <c r="G4152" i="20"/>
  <c r="B4146" i="20"/>
  <c r="B5737" i="20"/>
  <c r="G4202" i="20"/>
  <c r="G4151" i="20"/>
  <c r="B4202" i="20"/>
  <c r="B4151" i="20"/>
  <c r="B5732" i="20"/>
  <c r="B4197" i="20"/>
  <c r="G4101" i="20"/>
  <c r="G4100" i="20"/>
  <c r="B4100" i="20"/>
  <c r="B4095" i="20"/>
  <c r="G3948" i="20"/>
  <c r="G3999" i="20"/>
  <c r="G3947" i="20"/>
  <c r="G4049" i="20"/>
  <c r="G3998" i="20"/>
  <c r="B3947" i="20"/>
  <c r="B3993" i="20"/>
  <c r="G4050" i="20"/>
  <c r="B4049" i="20"/>
  <c r="B3998" i="20"/>
  <c r="B3942" i="20"/>
  <c r="B4044" i="20"/>
  <c r="G9724" i="20"/>
  <c r="G9620" i="20"/>
  <c r="G9776" i="20"/>
  <c r="G9723" i="20"/>
  <c r="G9672" i="20"/>
  <c r="G9619" i="20"/>
  <c r="G9775" i="20"/>
  <c r="B9723" i="20"/>
  <c r="G9671" i="20"/>
  <c r="B9619" i="20"/>
  <c r="B9775" i="20"/>
  <c r="B9671" i="20"/>
  <c r="B9718" i="20"/>
  <c r="B9614" i="20"/>
  <c r="B9770" i="20"/>
  <c r="B9666" i="20"/>
  <c r="I4322" i="20" l="1"/>
  <c r="I4314" i="20"/>
  <c r="I4320" i="20"/>
  <c r="I4326" i="20"/>
  <c r="I4327" i="20"/>
  <c r="I4324" i="20"/>
  <c r="I4319" i="20"/>
  <c r="I4321" i="20"/>
  <c r="I4317" i="20"/>
  <c r="I4323" i="20"/>
  <c r="I4325" i="20"/>
  <c r="I4315" i="20"/>
  <c r="I4316" i="20"/>
  <c r="I4318" i="20"/>
  <c r="J4336" i="20"/>
  <c r="J4337" i="20"/>
  <c r="J4335" i="20"/>
  <c r="I8310" i="20"/>
  <c r="I8311" i="20"/>
  <c r="I8306" i="20"/>
  <c r="I8304" i="20"/>
  <c r="I8305" i="20"/>
  <c r="I8312" i="20"/>
  <c r="I8303" i="20"/>
  <c r="J8323" i="20"/>
  <c r="I8308" i="20"/>
  <c r="I8315" i="20"/>
  <c r="I8314" i="20"/>
  <c r="I8302" i="20"/>
  <c r="I8313" i="20"/>
  <c r="I8309" i="20"/>
  <c r="I8307" i="20"/>
  <c r="J8325" i="20"/>
  <c r="J8324" i="20"/>
  <c r="I8258" i="20"/>
  <c r="I8253" i="20"/>
  <c r="I8260" i="20"/>
  <c r="I8254" i="20"/>
  <c r="I8256" i="20"/>
  <c r="I8252" i="20"/>
  <c r="I8255" i="20"/>
  <c r="J8273" i="20"/>
  <c r="I8257" i="20"/>
  <c r="I8261" i="20"/>
  <c r="I8262" i="20"/>
  <c r="I8263" i="20"/>
  <c r="I8259" i="20"/>
  <c r="I8250" i="20"/>
  <c r="I8251" i="20"/>
  <c r="J8271" i="20"/>
  <c r="J8272" i="20"/>
  <c r="I5806" i="20"/>
  <c r="I5808" i="20"/>
  <c r="I5803" i="20"/>
  <c r="I5798" i="20"/>
  <c r="I5805" i="20"/>
  <c r="I5807" i="20"/>
  <c r="I5802" i="20"/>
  <c r="I5811" i="20"/>
  <c r="I5810" i="20"/>
  <c r="I5809" i="20"/>
  <c r="I5799" i="20"/>
  <c r="I5804" i="20"/>
  <c r="I5800" i="20"/>
  <c r="I5801" i="20"/>
  <c r="I5857" i="20"/>
  <c r="I5849" i="20"/>
  <c r="I5858" i="20"/>
  <c r="I5854" i="20"/>
  <c r="I5855" i="20"/>
  <c r="I5862" i="20"/>
  <c r="I5856" i="20"/>
  <c r="I5852" i="20"/>
  <c r="I5853" i="20"/>
  <c r="I5860" i="20"/>
  <c r="I5850" i="20"/>
  <c r="I5861" i="20"/>
  <c r="I5859" i="20"/>
  <c r="I5851" i="20"/>
  <c r="I4271" i="20"/>
  <c r="I4267" i="20"/>
  <c r="I4266" i="20"/>
  <c r="I4275" i="20"/>
  <c r="I4274" i="20"/>
  <c r="I4268" i="20"/>
  <c r="I4263" i="20"/>
  <c r="I4276" i="20"/>
  <c r="I4264" i="20"/>
  <c r="I4272" i="20"/>
  <c r="I4265" i="20"/>
  <c r="I4269" i="20"/>
  <c r="I4270" i="20"/>
  <c r="I4273" i="20"/>
  <c r="I8846" i="20"/>
  <c r="I8835" i="20"/>
  <c r="I8839" i="20"/>
  <c r="I8850" i="20"/>
  <c r="I8844" i="20"/>
  <c r="I8841" i="20"/>
  <c r="I8838" i="20"/>
  <c r="I8845" i="20"/>
  <c r="I8840" i="20"/>
  <c r="I8847" i="20"/>
  <c r="I8837" i="20"/>
  <c r="I8848" i="20"/>
  <c r="I8843" i="20"/>
  <c r="I8851" i="20"/>
  <c r="I8849" i="20"/>
  <c r="I8842" i="20"/>
  <c r="I8836" i="20"/>
  <c r="I8893" i="20"/>
  <c r="I8897" i="20"/>
  <c r="I8896" i="20"/>
  <c r="I8894" i="20"/>
  <c r="I8895" i="20"/>
  <c r="I8890" i="20"/>
  <c r="I8892" i="20"/>
  <c r="I8898" i="20"/>
  <c r="I8891" i="20"/>
  <c r="I8154" i="20"/>
  <c r="I8152" i="20"/>
  <c r="I8151" i="20"/>
  <c r="I8150" i="20"/>
  <c r="I8146" i="20"/>
  <c r="I8159" i="20"/>
  <c r="I8156" i="20"/>
  <c r="I8157" i="20"/>
  <c r="I8147" i="20"/>
  <c r="I8153" i="20"/>
  <c r="I8149" i="20"/>
  <c r="I8158" i="20"/>
  <c r="I8148" i="20"/>
  <c r="I8155" i="20"/>
  <c r="I8206" i="20"/>
  <c r="I8203" i="20"/>
  <c r="I8202" i="20"/>
  <c r="I8200" i="20"/>
  <c r="I8211" i="20"/>
  <c r="I8198" i="20"/>
  <c r="I8201" i="20"/>
  <c r="I8208" i="20"/>
  <c r="I8210" i="20"/>
  <c r="I8204" i="20"/>
  <c r="I8199" i="20"/>
  <c r="I8205" i="20"/>
  <c r="I8207" i="20"/>
  <c r="I8209" i="20"/>
  <c r="I9846" i="20"/>
  <c r="I9851" i="20"/>
  <c r="I9849" i="20"/>
  <c r="I9838" i="20"/>
  <c r="I9844" i="20"/>
  <c r="I9842" i="20"/>
  <c r="I9843" i="20"/>
  <c r="I9841" i="20"/>
  <c r="I9850" i="20"/>
  <c r="I9840" i="20"/>
  <c r="I9848" i="20"/>
  <c r="I9839" i="20"/>
  <c r="I9845" i="20"/>
  <c r="I9847" i="20"/>
  <c r="I7946" i="20"/>
  <c r="I7942" i="20"/>
  <c r="I7938" i="20"/>
  <c r="I7940" i="20"/>
  <c r="I7951" i="20"/>
  <c r="I7945" i="20"/>
  <c r="I7944" i="20"/>
  <c r="I7948" i="20"/>
  <c r="I7947" i="20"/>
  <c r="I7943" i="20"/>
  <c r="I7939" i="20"/>
  <c r="I7950" i="20"/>
  <c r="I7941" i="20"/>
  <c r="I7949" i="20"/>
  <c r="I8050" i="20"/>
  <c r="I8047" i="20"/>
  <c r="I8045" i="20"/>
  <c r="I8053" i="20"/>
  <c r="I8055" i="20"/>
  <c r="I8044" i="20"/>
  <c r="I8052" i="20"/>
  <c r="I8051" i="20"/>
  <c r="I8048" i="20"/>
  <c r="I8054" i="20"/>
  <c r="I8043" i="20"/>
  <c r="I8049" i="20"/>
  <c r="I8046" i="20"/>
  <c r="I8042" i="20"/>
  <c r="I7998" i="20"/>
  <c r="I7992" i="20"/>
  <c r="I8001" i="20"/>
  <c r="I7999" i="20"/>
  <c r="I7995" i="20"/>
  <c r="I8003" i="20"/>
  <c r="I7997" i="20"/>
  <c r="I7994" i="20"/>
  <c r="I8000" i="20"/>
  <c r="I7993" i="20"/>
  <c r="I7996" i="20"/>
  <c r="I7991" i="20"/>
  <c r="I7990" i="20"/>
  <c r="I8002" i="20"/>
  <c r="I8102" i="20"/>
  <c r="I8097" i="20"/>
  <c r="I8106" i="20"/>
  <c r="I8104" i="20"/>
  <c r="I8100" i="20"/>
  <c r="I8107" i="20"/>
  <c r="I8101" i="20"/>
  <c r="I8105" i="20"/>
  <c r="I8094" i="20"/>
  <c r="I8103" i="20"/>
  <c r="I8096" i="20"/>
  <c r="I8098" i="20"/>
  <c r="I8099" i="20"/>
  <c r="I8095" i="20"/>
  <c r="I7894" i="20"/>
  <c r="I7899" i="20"/>
  <c r="I7891" i="20"/>
  <c r="I7887" i="20"/>
  <c r="I7896" i="20"/>
  <c r="I7892" i="20"/>
  <c r="I7886" i="20"/>
  <c r="I7897" i="20"/>
  <c r="I7895" i="20"/>
  <c r="I7890" i="20"/>
  <c r="I7893" i="20"/>
  <c r="I7888" i="20"/>
  <c r="I7898" i="20"/>
  <c r="I7889" i="20"/>
  <c r="I7790" i="20"/>
  <c r="I7792" i="20"/>
  <c r="I7782" i="20"/>
  <c r="I7789" i="20"/>
  <c r="I7785" i="20"/>
  <c r="I7784" i="20"/>
  <c r="I7793" i="20"/>
  <c r="I7787" i="20"/>
  <c r="I7783" i="20"/>
  <c r="I7795" i="20"/>
  <c r="I7786" i="20"/>
  <c r="I7791" i="20"/>
  <c r="I7794" i="20"/>
  <c r="I7788" i="20"/>
  <c r="I7737" i="20"/>
  <c r="I7739" i="20"/>
  <c r="I7735" i="20"/>
  <c r="I7736" i="20"/>
  <c r="I7729" i="20"/>
  <c r="I7732" i="20"/>
  <c r="I7738" i="20"/>
  <c r="I7733" i="20"/>
  <c r="I7731" i="20"/>
  <c r="I7734" i="20"/>
  <c r="I7742" i="20"/>
  <c r="I7741" i="20"/>
  <c r="I7740" i="20"/>
  <c r="I7730" i="20"/>
  <c r="I7842" i="20"/>
  <c r="I7834" i="20"/>
  <c r="I7837" i="20"/>
  <c r="I7847" i="20"/>
  <c r="I7836" i="20"/>
  <c r="I7838" i="20"/>
  <c r="I7845" i="20"/>
  <c r="I7843" i="20"/>
  <c r="I7839" i="20"/>
  <c r="I7844" i="20"/>
  <c r="I7846" i="20"/>
  <c r="I7841" i="20"/>
  <c r="I7840" i="20"/>
  <c r="I7835" i="20"/>
  <c r="I4169" i="20"/>
  <c r="I4174" i="20"/>
  <c r="I4165" i="20"/>
  <c r="I4172" i="20"/>
  <c r="I4161" i="20"/>
  <c r="I4173" i="20"/>
  <c r="I4166" i="20"/>
  <c r="I4162" i="20"/>
  <c r="I4163" i="20"/>
  <c r="I4170" i="20"/>
  <c r="I4171" i="20"/>
  <c r="I4168" i="20"/>
  <c r="I4167" i="20"/>
  <c r="I4164" i="20"/>
  <c r="I4223" i="20"/>
  <c r="I4224" i="20"/>
  <c r="I4222" i="20"/>
  <c r="I4213" i="20"/>
  <c r="I4220" i="20"/>
  <c r="I4221" i="20"/>
  <c r="I4225" i="20"/>
  <c r="I4214" i="20"/>
  <c r="I4218" i="20"/>
  <c r="I4212" i="20"/>
  <c r="I4217" i="20"/>
  <c r="I4215" i="20"/>
  <c r="I4219" i="20"/>
  <c r="I4216" i="20"/>
  <c r="I5755" i="20"/>
  <c r="I5754" i="20"/>
  <c r="I5752" i="20"/>
  <c r="I5751" i="20"/>
  <c r="I5750" i="20"/>
  <c r="I5760" i="20"/>
  <c r="I5759" i="20"/>
  <c r="I5758" i="20"/>
  <c r="I5749" i="20"/>
  <c r="I5747" i="20"/>
  <c r="I5748" i="20"/>
  <c r="I5757" i="20"/>
  <c r="I5756" i="20"/>
  <c r="I5753" i="20"/>
  <c r="I4118" i="20"/>
  <c r="I4123" i="20"/>
  <c r="I4114" i="20"/>
  <c r="I4121" i="20"/>
  <c r="I4112" i="20"/>
  <c r="I4122" i="20"/>
  <c r="I4110" i="20"/>
  <c r="I4115" i="20"/>
  <c r="I4111" i="20"/>
  <c r="I4120" i="20"/>
  <c r="I4119" i="20"/>
  <c r="I4116" i="20"/>
  <c r="I4117" i="20"/>
  <c r="I4113" i="20"/>
  <c r="I4016" i="20"/>
  <c r="I4018" i="20"/>
  <c r="I4021" i="20"/>
  <c r="I4014" i="20"/>
  <c r="I4015" i="20"/>
  <c r="I4019" i="20"/>
  <c r="I4010" i="20"/>
  <c r="I4008" i="20"/>
  <c r="I4009" i="20"/>
  <c r="I4012" i="20"/>
  <c r="I4013" i="20"/>
  <c r="I4017" i="20"/>
  <c r="I4020" i="20"/>
  <c r="I4011" i="20"/>
  <c r="I3965" i="20"/>
  <c r="I3962" i="20"/>
  <c r="I3966" i="20"/>
  <c r="I3964" i="20"/>
  <c r="I3959" i="20"/>
  <c r="I3961" i="20"/>
  <c r="I3970" i="20"/>
  <c r="I3960" i="20"/>
  <c r="I3957" i="20"/>
  <c r="I3958" i="20"/>
  <c r="I3963" i="20"/>
  <c r="I3968" i="20"/>
  <c r="I3967" i="20"/>
  <c r="I3969" i="20"/>
  <c r="I4067" i="20"/>
  <c r="I4061" i="20"/>
  <c r="I4071" i="20"/>
  <c r="I4068" i="20"/>
  <c r="I4069" i="20"/>
  <c r="I4070" i="20"/>
  <c r="I4064" i="20"/>
  <c r="I4063" i="20"/>
  <c r="I4072" i="20"/>
  <c r="I4066" i="20"/>
  <c r="I4060" i="20"/>
  <c r="I4059" i="20"/>
  <c r="I4062" i="20"/>
  <c r="I4065" i="20"/>
  <c r="I9690" i="20"/>
  <c r="I9684" i="20"/>
  <c r="I9692" i="20"/>
  <c r="I9689" i="20"/>
  <c r="I9687" i="20"/>
  <c r="I9686" i="20"/>
  <c r="I9694" i="20"/>
  <c r="I9683" i="20"/>
  <c r="I9685" i="20"/>
  <c r="I9682" i="20"/>
  <c r="I9691" i="20"/>
  <c r="I9688" i="20"/>
  <c r="I9695" i="20"/>
  <c r="I9693" i="20"/>
  <c r="I9794" i="20"/>
  <c r="I9787" i="20"/>
  <c r="I9788" i="20"/>
  <c r="I9792" i="20"/>
  <c r="I9795" i="20"/>
  <c r="I9799" i="20"/>
  <c r="I9786" i="20"/>
  <c r="I9796" i="20"/>
  <c r="I9791" i="20"/>
  <c r="I9793" i="20"/>
  <c r="I9789" i="20"/>
  <c r="I9790" i="20"/>
  <c r="I9797" i="20"/>
  <c r="I9798" i="20"/>
  <c r="I9638" i="20"/>
  <c r="I9633" i="20"/>
  <c r="I9634" i="20"/>
  <c r="I9635" i="20"/>
  <c r="I9637" i="20"/>
  <c r="I9643" i="20"/>
  <c r="I9630" i="20"/>
  <c r="I9641" i="20"/>
  <c r="I9642" i="20"/>
  <c r="I9636" i="20"/>
  <c r="I9632" i="20"/>
  <c r="I9631" i="20"/>
  <c r="I9640" i="20"/>
  <c r="I9639" i="20"/>
  <c r="I9742" i="20"/>
  <c r="I9746" i="20"/>
  <c r="I9739" i="20"/>
  <c r="I9737" i="20"/>
  <c r="I9734" i="20"/>
  <c r="I9747" i="20"/>
  <c r="I9745" i="20"/>
  <c r="I9744" i="20"/>
  <c r="I9738" i="20"/>
  <c r="I9740" i="20"/>
  <c r="I9736" i="20"/>
  <c r="I9735" i="20"/>
  <c r="I9743" i="20"/>
  <c r="I9741" i="20"/>
  <c r="H9352" i="20"/>
  <c r="H9300" i="20"/>
  <c r="H9248" i="20"/>
  <c r="H8921" i="20"/>
  <c r="H8708" i="20"/>
  <c r="H8653" i="20"/>
  <c r="H8598" i="20"/>
  <c r="H8543" i="20"/>
  <c r="H8488" i="20"/>
  <c r="H8339" i="20"/>
  <c r="H7659" i="20"/>
  <c r="H7607" i="20"/>
  <c r="H7554" i="20"/>
  <c r="H7447" i="20"/>
  <c r="H7395" i="20"/>
  <c r="H7343" i="20"/>
  <c r="H7291" i="20"/>
  <c r="H7239" i="20"/>
  <c r="H7187" i="20"/>
  <c r="H7135" i="20"/>
  <c r="H7083" i="20"/>
  <c r="H7031" i="20"/>
  <c r="H6979" i="20"/>
  <c r="H6927" i="20"/>
  <c r="H6875" i="20"/>
  <c r="H6823" i="20"/>
  <c r="H6771" i="20"/>
  <c r="H6718" i="20"/>
  <c r="H6666" i="20"/>
  <c r="H6614" i="20"/>
  <c r="H6562" i="20"/>
  <c r="H6510" i="20"/>
  <c r="H6458" i="20"/>
  <c r="H6406" i="20"/>
  <c r="H6354" i="20"/>
  <c r="H6303" i="20"/>
  <c r="H6251" i="20"/>
  <c r="H6199" i="20"/>
  <c r="H6147" i="20"/>
  <c r="H6095" i="20"/>
  <c r="H6043" i="20"/>
  <c r="H5373" i="20"/>
  <c r="H4709" i="20"/>
  <c r="H4658" i="20"/>
  <c r="H4607" i="20"/>
  <c r="H4402" i="20"/>
  <c r="H4351" i="20"/>
  <c r="I257" i="4"/>
  <c r="K257" i="4" s="1"/>
  <c r="F257" i="4" s="1"/>
  <c r="I252" i="4"/>
  <c r="K252" i="4" s="1"/>
  <c r="F252" i="4" s="1"/>
  <c r="I253" i="4"/>
  <c r="K253" i="4" s="1"/>
  <c r="F253" i="4" s="1"/>
  <c r="I243" i="4"/>
  <c r="K243" i="4" s="1"/>
  <c r="F243" i="4" s="1"/>
  <c r="I238" i="4"/>
  <c r="K238" i="4" s="1"/>
  <c r="F238" i="4" s="1"/>
  <c r="I236" i="4"/>
  <c r="K236" i="4" s="1"/>
  <c r="F236" i="4" s="1"/>
  <c r="I237" i="4"/>
  <c r="K237" i="4" s="1"/>
  <c r="F237" i="4" s="1"/>
  <c r="I228" i="4"/>
  <c r="K228" i="4" s="1"/>
  <c r="F228" i="4" s="1"/>
  <c r="I48" i="4"/>
  <c r="K48" i="4" s="1"/>
  <c r="F48" i="4" s="1"/>
  <c r="I192" i="4" l="1"/>
  <c r="K192" i="4" s="1"/>
  <c r="F192" i="4" s="1"/>
  <c r="B3929" i="20"/>
  <c r="B3928" i="20"/>
  <c r="E3923" i="20"/>
  <c r="F3923" i="20" s="1"/>
  <c r="H3924" i="20" s="1"/>
  <c r="N3895" i="20" s="1"/>
  <c r="D3919" i="20"/>
  <c r="F3919" i="20" s="1"/>
  <c r="C3919" i="20"/>
  <c r="B3919" i="20"/>
  <c r="D3918" i="20"/>
  <c r="F3918" i="20" s="1"/>
  <c r="C3918" i="20"/>
  <c r="B3918" i="20"/>
  <c r="D3917" i="20"/>
  <c r="F3917" i="20" s="1"/>
  <c r="C3917" i="20"/>
  <c r="B3917" i="20"/>
  <c r="D3916" i="20"/>
  <c r="F3916" i="20" s="1"/>
  <c r="C3916" i="20"/>
  <c r="B3916" i="20"/>
  <c r="D3915" i="20"/>
  <c r="F3915" i="20" s="1"/>
  <c r="C3915" i="20"/>
  <c r="B3915" i="20"/>
  <c r="D3914" i="20"/>
  <c r="F3914" i="20" s="1"/>
  <c r="C3914" i="20"/>
  <c r="B3914" i="20"/>
  <c r="C3913" i="20"/>
  <c r="B3913" i="20"/>
  <c r="C3912" i="20"/>
  <c r="B3912" i="20"/>
  <c r="C3911" i="20"/>
  <c r="B3911" i="20"/>
  <c r="C3910" i="20"/>
  <c r="B3910" i="20"/>
  <c r="C3909" i="20"/>
  <c r="B3909" i="20"/>
  <c r="C3908" i="20"/>
  <c r="B3908" i="20"/>
  <c r="C3907" i="20"/>
  <c r="C3906" i="20"/>
  <c r="D3902" i="20"/>
  <c r="B3902" i="20"/>
  <c r="D3901" i="20"/>
  <c r="B3901" i="20"/>
  <c r="D3900" i="20"/>
  <c r="B3900" i="20"/>
  <c r="G3897" i="20"/>
  <c r="I3914" i="20" s="1"/>
  <c r="G3896" i="20"/>
  <c r="B3896" i="20"/>
  <c r="B3895" i="20"/>
  <c r="H3894" i="20"/>
  <c r="B3891" i="20"/>
  <c r="H3890" i="20"/>
  <c r="E3927" i="20" s="1"/>
  <c r="H7499" i="20"/>
  <c r="F7511" i="20" s="1"/>
  <c r="E7517" i="20"/>
  <c r="E7518" i="20" s="1"/>
  <c r="E7519" i="20" s="1"/>
  <c r="E7520" i="20" s="1"/>
  <c r="B7539" i="20"/>
  <c r="B7538" i="20"/>
  <c r="E7533" i="20"/>
  <c r="F7533" i="20" s="1"/>
  <c r="H7534" i="20" s="1"/>
  <c r="N7504" i="20" s="1"/>
  <c r="D7529" i="20"/>
  <c r="F7529" i="20" s="1"/>
  <c r="C7529" i="20"/>
  <c r="B7529" i="20"/>
  <c r="D7528" i="20"/>
  <c r="F7528" i="20" s="1"/>
  <c r="C7528" i="20"/>
  <c r="B7528" i="20"/>
  <c r="D7527" i="20"/>
  <c r="F7527" i="20" s="1"/>
  <c r="C7527" i="20"/>
  <c r="B7527" i="20"/>
  <c r="D7526" i="20"/>
  <c r="F7526" i="20" s="1"/>
  <c r="C7526" i="20"/>
  <c r="B7526" i="20"/>
  <c r="D7525" i="20"/>
  <c r="F7525" i="20" s="1"/>
  <c r="C7525" i="20"/>
  <c r="B7525" i="20"/>
  <c r="D7524" i="20"/>
  <c r="F7524" i="20" s="1"/>
  <c r="C7524" i="20"/>
  <c r="B7524" i="20"/>
  <c r="D7523" i="20"/>
  <c r="F7523" i="20" s="1"/>
  <c r="C7523" i="20"/>
  <c r="B7523" i="20"/>
  <c r="D7522" i="20"/>
  <c r="F7522" i="20" s="1"/>
  <c r="C7522" i="20"/>
  <c r="B7522" i="20"/>
  <c r="D7521" i="20"/>
  <c r="F7521" i="20" s="1"/>
  <c r="C7521" i="20"/>
  <c r="B7521" i="20"/>
  <c r="C7520" i="20"/>
  <c r="B7520" i="20"/>
  <c r="C7519" i="20"/>
  <c r="B7519" i="20"/>
  <c r="C7518" i="20"/>
  <c r="B7518" i="20"/>
  <c r="C7517" i="20"/>
  <c r="C7516" i="20"/>
  <c r="E7512" i="20"/>
  <c r="D7512" i="20"/>
  <c r="B7512" i="20"/>
  <c r="E7511" i="20"/>
  <c r="D7511" i="20"/>
  <c r="B7511" i="20"/>
  <c r="D7510" i="20"/>
  <c r="B7510" i="20"/>
  <c r="D7509" i="20"/>
  <c r="B7509" i="20"/>
  <c r="G7506" i="20"/>
  <c r="I7524" i="20" s="1"/>
  <c r="G7505" i="20"/>
  <c r="B7505" i="20"/>
  <c r="B7504" i="20"/>
  <c r="H7503" i="20"/>
  <c r="B7500" i="20"/>
  <c r="F3900" i="20" l="1"/>
  <c r="E3929" i="20"/>
  <c r="I3908" i="20"/>
  <c r="I3906" i="20"/>
  <c r="I3919" i="20"/>
  <c r="I3913" i="20"/>
  <c r="I3909" i="20"/>
  <c r="I3911" i="20"/>
  <c r="I3916" i="20"/>
  <c r="I3910" i="20"/>
  <c r="I3918" i="20"/>
  <c r="E3928" i="20"/>
  <c r="I3907" i="20"/>
  <c r="I3915" i="20"/>
  <c r="F3902" i="20"/>
  <c r="F3901" i="20"/>
  <c r="I3912" i="20"/>
  <c r="I3917" i="20"/>
  <c r="G7511" i="20"/>
  <c r="I7526" i="20"/>
  <c r="F7509" i="20"/>
  <c r="F7512" i="20"/>
  <c r="G7512" i="20" s="1"/>
  <c r="I7520" i="20"/>
  <c r="I7529" i="20"/>
  <c r="I7518" i="20"/>
  <c r="I7517" i="20"/>
  <c r="I7523" i="20"/>
  <c r="I7521" i="20"/>
  <c r="E7539" i="20"/>
  <c r="I7525" i="20"/>
  <c r="I7522" i="20"/>
  <c r="I7528" i="20"/>
  <c r="E7538" i="20"/>
  <c r="F7510" i="20"/>
  <c r="I7516" i="20"/>
  <c r="I7519" i="20"/>
  <c r="I7527" i="20"/>
  <c r="E7537" i="20"/>
  <c r="H5680" i="20"/>
  <c r="F5691" i="20" s="1"/>
  <c r="I260" i="4"/>
  <c r="K260" i="4" s="1"/>
  <c r="F260" i="4" s="1"/>
  <c r="B5719" i="20"/>
  <c r="B5718" i="20"/>
  <c r="E5713" i="20"/>
  <c r="F5713" i="20" s="1"/>
  <c r="H5714" i="20" s="1"/>
  <c r="N5685" i="20" s="1"/>
  <c r="D5709" i="20"/>
  <c r="F5709" i="20" s="1"/>
  <c r="C5709" i="20"/>
  <c r="B5709" i="20"/>
  <c r="D5708" i="20"/>
  <c r="F5708" i="20" s="1"/>
  <c r="C5708" i="20"/>
  <c r="B5708" i="20"/>
  <c r="D5707" i="20"/>
  <c r="F5707" i="20" s="1"/>
  <c r="C5707" i="20"/>
  <c r="B5707" i="20"/>
  <c r="D5706" i="20"/>
  <c r="F5706" i="20" s="1"/>
  <c r="C5706" i="20"/>
  <c r="B5706" i="20"/>
  <c r="D5705" i="20"/>
  <c r="F5705" i="20" s="1"/>
  <c r="C5705" i="20"/>
  <c r="B5705" i="20"/>
  <c r="D5704" i="20"/>
  <c r="F5704" i="20" s="1"/>
  <c r="C5704" i="20"/>
  <c r="B5704" i="20"/>
  <c r="D5703" i="20"/>
  <c r="F5703" i="20" s="1"/>
  <c r="C5703" i="20"/>
  <c r="B5703" i="20"/>
  <c r="D5702" i="20"/>
  <c r="F5702" i="20" s="1"/>
  <c r="C5702" i="20"/>
  <c r="B5702" i="20"/>
  <c r="D5701" i="20"/>
  <c r="F5701" i="20" s="1"/>
  <c r="C5701" i="20"/>
  <c r="B5701" i="20"/>
  <c r="D5700" i="20"/>
  <c r="F5700" i="20" s="1"/>
  <c r="C5700" i="20"/>
  <c r="B5700" i="20"/>
  <c r="D5699" i="20"/>
  <c r="F5699" i="20" s="1"/>
  <c r="C5699" i="20"/>
  <c r="B5699" i="20"/>
  <c r="D5698" i="20"/>
  <c r="F5698" i="20" s="1"/>
  <c r="C5698" i="20"/>
  <c r="B5698" i="20"/>
  <c r="C5697" i="20"/>
  <c r="C5696" i="20"/>
  <c r="E5692" i="20"/>
  <c r="D5692" i="20"/>
  <c r="B5692" i="20"/>
  <c r="E5691" i="20"/>
  <c r="D5691" i="20"/>
  <c r="B5691" i="20"/>
  <c r="D5690" i="20"/>
  <c r="B5690" i="20"/>
  <c r="G5687" i="20"/>
  <c r="I5704" i="20" s="1"/>
  <c r="G5686" i="20"/>
  <c r="B5686" i="20"/>
  <c r="B5685" i="20"/>
  <c r="H5684" i="20"/>
  <c r="B5681" i="20"/>
  <c r="F5690" i="20" l="1"/>
  <c r="G5691" i="20"/>
  <c r="F5692" i="20"/>
  <c r="G5692" i="20" s="1"/>
  <c r="I5701" i="20"/>
  <c r="I5709" i="20"/>
  <c r="E5719" i="20"/>
  <c r="I5698" i="20"/>
  <c r="I5706" i="20"/>
  <c r="I5696" i="20"/>
  <c r="I5703" i="20"/>
  <c r="I5708" i="20"/>
  <c r="E5718" i="20"/>
  <c r="I5700" i="20"/>
  <c r="I5697" i="20"/>
  <c r="I5705" i="20"/>
  <c r="I5702" i="20"/>
  <c r="I5699" i="20"/>
  <c r="I5707" i="20"/>
  <c r="E5717" i="20"/>
  <c r="B3878" i="20" l="1"/>
  <c r="B3877" i="20"/>
  <c r="E3872" i="20"/>
  <c r="F3872" i="20" s="1"/>
  <c r="H3873" i="20" s="1"/>
  <c r="N3844" i="20" s="1"/>
  <c r="D3868" i="20"/>
  <c r="F3868" i="20" s="1"/>
  <c r="C3868" i="20"/>
  <c r="B3868" i="20"/>
  <c r="D3867" i="20"/>
  <c r="F3867" i="20" s="1"/>
  <c r="C3867" i="20"/>
  <c r="B3867" i="20"/>
  <c r="D3866" i="20"/>
  <c r="F3866" i="20" s="1"/>
  <c r="C3866" i="20"/>
  <c r="B3866" i="20"/>
  <c r="D3865" i="20"/>
  <c r="F3865" i="20" s="1"/>
  <c r="C3865" i="20"/>
  <c r="B3865" i="20"/>
  <c r="D3864" i="20"/>
  <c r="F3864" i="20" s="1"/>
  <c r="C3864" i="20"/>
  <c r="B3864" i="20"/>
  <c r="D3863" i="20"/>
  <c r="F3863" i="20" s="1"/>
  <c r="C3863" i="20"/>
  <c r="B3863" i="20"/>
  <c r="C3862" i="20"/>
  <c r="B3862" i="20"/>
  <c r="C3861" i="20"/>
  <c r="B3861" i="20"/>
  <c r="C3860" i="20"/>
  <c r="B3860" i="20"/>
  <c r="C3859" i="20"/>
  <c r="B3859" i="20"/>
  <c r="C3858" i="20"/>
  <c r="B3858" i="20"/>
  <c r="C3857" i="20"/>
  <c r="B3857" i="20"/>
  <c r="C3856" i="20"/>
  <c r="C3855" i="20"/>
  <c r="D3851" i="20"/>
  <c r="B3851" i="20"/>
  <c r="D3850" i="20"/>
  <c r="B3850" i="20"/>
  <c r="D3849" i="20"/>
  <c r="B3849" i="20"/>
  <c r="G3846" i="20"/>
  <c r="I3863" i="20" s="1"/>
  <c r="G3845" i="20"/>
  <c r="B3845" i="20"/>
  <c r="B3844" i="20"/>
  <c r="H3843" i="20"/>
  <c r="B3840" i="20"/>
  <c r="H3839" i="20"/>
  <c r="E3876" i="20" s="1"/>
  <c r="B3827" i="20"/>
  <c r="B3826" i="20"/>
  <c r="E3821" i="20"/>
  <c r="F3821" i="20" s="1"/>
  <c r="H3822" i="20" s="1"/>
  <c r="N3793" i="20" s="1"/>
  <c r="D3817" i="20"/>
  <c r="F3817" i="20" s="1"/>
  <c r="C3817" i="20"/>
  <c r="B3817" i="20"/>
  <c r="D3816" i="20"/>
  <c r="F3816" i="20" s="1"/>
  <c r="C3816" i="20"/>
  <c r="B3816" i="20"/>
  <c r="D3815" i="20"/>
  <c r="F3815" i="20" s="1"/>
  <c r="C3815" i="20"/>
  <c r="B3815" i="20"/>
  <c r="D3814" i="20"/>
  <c r="F3814" i="20" s="1"/>
  <c r="C3814" i="20"/>
  <c r="B3814" i="20"/>
  <c r="D3813" i="20"/>
  <c r="F3813" i="20" s="1"/>
  <c r="C3813" i="20"/>
  <c r="B3813" i="20"/>
  <c r="D3812" i="20"/>
  <c r="F3812" i="20" s="1"/>
  <c r="C3812" i="20"/>
  <c r="B3812" i="20"/>
  <c r="C3811" i="20"/>
  <c r="B3811" i="20"/>
  <c r="C3810" i="20"/>
  <c r="B3810" i="20"/>
  <c r="C3809" i="20"/>
  <c r="B3809" i="20"/>
  <c r="C3808" i="20"/>
  <c r="B3808" i="20"/>
  <c r="C3807" i="20"/>
  <c r="B3807" i="20"/>
  <c r="C3806" i="20"/>
  <c r="B3806" i="20"/>
  <c r="C3805" i="20"/>
  <c r="C3804" i="20"/>
  <c r="D3800" i="20"/>
  <c r="B3800" i="20"/>
  <c r="D3799" i="20"/>
  <c r="B3799" i="20"/>
  <c r="D3798" i="20"/>
  <c r="B3798" i="20"/>
  <c r="G3795" i="20"/>
  <c r="I3812" i="20" s="1"/>
  <c r="G3794" i="20"/>
  <c r="B3794" i="20"/>
  <c r="B3793" i="20"/>
  <c r="H3792" i="20"/>
  <c r="B3789" i="20"/>
  <c r="H3788" i="20"/>
  <c r="E3825" i="20" s="1"/>
  <c r="E5666" i="20"/>
  <c r="B5668" i="20"/>
  <c r="B5667" i="20"/>
  <c r="E5662" i="20"/>
  <c r="F5662" i="20" s="1"/>
  <c r="H5663" i="20" s="1"/>
  <c r="N5634" i="20" s="1"/>
  <c r="D5658" i="20"/>
  <c r="F5658" i="20" s="1"/>
  <c r="C5658" i="20"/>
  <c r="B5658" i="20"/>
  <c r="D5657" i="20"/>
  <c r="F5657" i="20" s="1"/>
  <c r="C5657" i="20"/>
  <c r="B5657" i="20"/>
  <c r="D5656" i="20"/>
  <c r="F5656" i="20" s="1"/>
  <c r="C5656" i="20"/>
  <c r="B5656" i="20"/>
  <c r="D5655" i="20"/>
  <c r="F5655" i="20" s="1"/>
  <c r="C5655" i="20"/>
  <c r="B5655" i="20"/>
  <c r="D5654" i="20"/>
  <c r="F5654" i="20" s="1"/>
  <c r="C5654" i="20"/>
  <c r="B5654" i="20"/>
  <c r="D5653" i="20"/>
  <c r="F5653" i="20" s="1"/>
  <c r="C5653" i="20"/>
  <c r="B5653" i="20"/>
  <c r="D5652" i="20"/>
  <c r="F5652" i="20" s="1"/>
  <c r="C5652" i="20"/>
  <c r="B5652" i="20"/>
  <c r="D5651" i="20"/>
  <c r="F5651" i="20" s="1"/>
  <c r="C5651" i="20"/>
  <c r="B5651" i="20"/>
  <c r="D5650" i="20"/>
  <c r="F5650" i="20" s="1"/>
  <c r="C5650" i="20"/>
  <c r="B5650" i="20"/>
  <c r="D5649" i="20"/>
  <c r="F5649" i="20" s="1"/>
  <c r="C5649" i="20"/>
  <c r="B5649" i="20"/>
  <c r="D5648" i="20"/>
  <c r="F5648" i="20" s="1"/>
  <c r="C5648" i="20"/>
  <c r="B5648" i="20"/>
  <c r="D5647" i="20"/>
  <c r="F5647" i="20" s="1"/>
  <c r="C5647" i="20"/>
  <c r="B5647" i="20"/>
  <c r="C5646" i="20"/>
  <c r="C5645" i="20"/>
  <c r="E5641" i="20"/>
  <c r="D5641" i="20"/>
  <c r="B5641" i="20"/>
  <c r="E5640" i="20"/>
  <c r="D5640" i="20"/>
  <c r="B5640" i="20"/>
  <c r="D5639" i="20"/>
  <c r="B5639" i="20"/>
  <c r="G5636" i="20"/>
  <c r="I5653" i="20" s="1"/>
  <c r="G5635" i="20"/>
  <c r="B5635" i="20"/>
  <c r="B5634" i="20"/>
  <c r="H5633" i="20"/>
  <c r="B5630" i="20"/>
  <c r="H9031" i="20"/>
  <c r="F9043" i="20" s="1"/>
  <c r="B9074" i="20"/>
  <c r="B9073" i="20"/>
  <c r="E9068" i="20"/>
  <c r="F9068" i="20" s="1"/>
  <c r="H9069" i="20" s="1"/>
  <c r="N9036" i="20" s="1"/>
  <c r="D9064" i="20"/>
  <c r="F9064" i="20" s="1"/>
  <c r="C9064" i="20"/>
  <c r="B9064" i="20"/>
  <c r="D9063" i="20"/>
  <c r="F9063" i="20" s="1"/>
  <c r="C9063" i="20"/>
  <c r="B9063" i="20"/>
  <c r="D9062" i="20"/>
  <c r="F9062" i="20" s="1"/>
  <c r="C9062" i="20"/>
  <c r="B9062" i="20"/>
  <c r="D9061" i="20"/>
  <c r="F9061" i="20" s="1"/>
  <c r="C9061" i="20"/>
  <c r="B9061" i="20"/>
  <c r="D9060" i="20"/>
  <c r="F9060" i="20" s="1"/>
  <c r="C9060" i="20"/>
  <c r="B9060" i="20"/>
  <c r="D9059" i="20"/>
  <c r="F9059" i="20" s="1"/>
  <c r="C9059" i="20"/>
  <c r="B9059" i="20"/>
  <c r="D9058" i="20"/>
  <c r="F9058" i="20" s="1"/>
  <c r="C9058" i="20"/>
  <c r="B9058" i="20"/>
  <c r="D9057" i="20"/>
  <c r="F9057" i="20" s="1"/>
  <c r="C9057" i="20"/>
  <c r="B9057" i="20"/>
  <c r="D9056" i="20"/>
  <c r="F9056" i="20" s="1"/>
  <c r="C9056" i="20"/>
  <c r="B9056" i="20"/>
  <c r="D9055" i="20"/>
  <c r="F9055" i="20" s="1"/>
  <c r="C9055" i="20"/>
  <c r="B9055" i="20"/>
  <c r="D9054" i="20"/>
  <c r="F9054" i="20" s="1"/>
  <c r="C9054" i="20"/>
  <c r="B9054" i="20"/>
  <c r="D9053" i="20"/>
  <c r="F9053" i="20" s="1"/>
  <c r="C9053" i="20"/>
  <c r="B9053" i="20"/>
  <c r="D9052" i="20"/>
  <c r="F9052" i="20" s="1"/>
  <c r="C9052" i="20"/>
  <c r="B9052" i="20"/>
  <c r="C9051" i="20"/>
  <c r="B9051" i="20"/>
  <c r="C9050" i="20"/>
  <c r="B9050" i="20"/>
  <c r="C9049" i="20"/>
  <c r="C9048" i="20"/>
  <c r="E9044" i="20"/>
  <c r="D9044" i="20"/>
  <c r="B9044" i="20"/>
  <c r="E9043" i="20"/>
  <c r="D9043" i="20"/>
  <c r="B9043" i="20"/>
  <c r="D9042" i="20"/>
  <c r="B9042" i="20"/>
  <c r="D9041" i="20"/>
  <c r="B9041" i="20"/>
  <c r="G9038" i="20"/>
  <c r="I9059" i="20" s="1"/>
  <c r="G9037" i="20"/>
  <c r="B9037" i="20"/>
  <c r="B9036" i="20"/>
  <c r="H9035" i="20"/>
  <c r="B9032" i="20"/>
  <c r="H9089" i="20"/>
  <c r="H8763" i="20"/>
  <c r="F8775" i="20" s="1"/>
  <c r="I142" i="4"/>
  <c r="K142" i="4" s="1"/>
  <c r="F142" i="4" s="1"/>
  <c r="B8806" i="20"/>
  <c r="B8805" i="20"/>
  <c r="E8800" i="20"/>
  <c r="F8800" i="20" s="1"/>
  <c r="H8801" i="20" s="1"/>
  <c r="N8768" i="20" s="1"/>
  <c r="C8796" i="20"/>
  <c r="B8796" i="20"/>
  <c r="C8795" i="20"/>
  <c r="B8795" i="20"/>
  <c r="C8794" i="20"/>
  <c r="B8794" i="20"/>
  <c r="C8793" i="20"/>
  <c r="B8793" i="20"/>
  <c r="C8792" i="20"/>
  <c r="B8792" i="20"/>
  <c r="C8791" i="20"/>
  <c r="B8791" i="20"/>
  <c r="C8790" i="20"/>
  <c r="B8790" i="20"/>
  <c r="C8789" i="20"/>
  <c r="B8789" i="20"/>
  <c r="C8788" i="20"/>
  <c r="B8788" i="20"/>
  <c r="C8787" i="20"/>
  <c r="B8787" i="20"/>
  <c r="C8786" i="20"/>
  <c r="B8786" i="20"/>
  <c r="C8785" i="20"/>
  <c r="B8785" i="20"/>
  <c r="C8784" i="20"/>
  <c r="B8784" i="20"/>
  <c r="C8783" i="20"/>
  <c r="B8783" i="20"/>
  <c r="C8782" i="20"/>
  <c r="B8782" i="20"/>
  <c r="C8781" i="20"/>
  <c r="C8780" i="20"/>
  <c r="E8776" i="20"/>
  <c r="D8776" i="20"/>
  <c r="B8776" i="20"/>
  <c r="E8775" i="20"/>
  <c r="D8775" i="20"/>
  <c r="B8775" i="20"/>
  <c r="E8774" i="20"/>
  <c r="D8774" i="20"/>
  <c r="B8774" i="20"/>
  <c r="D8773" i="20"/>
  <c r="B8773" i="20"/>
  <c r="G8770" i="20"/>
  <c r="I8791" i="20" s="1"/>
  <c r="G8769" i="20"/>
  <c r="B8769" i="20"/>
  <c r="B8768" i="20"/>
  <c r="H8767" i="20"/>
  <c r="B8764" i="20"/>
  <c r="I298" i="4"/>
  <c r="K298" i="4" s="1"/>
  <c r="I296" i="4"/>
  <c r="K296" i="4" s="1"/>
  <c r="F296" i="4" s="1"/>
  <c r="I295" i="4"/>
  <c r="K295" i="4" s="1"/>
  <c r="F295" i="4" s="1"/>
  <c r="B8751" i="20"/>
  <c r="B8750" i="20"/>
  <c r="E8745" i="20"/>
  <c r="F8745" i="20" s="1"/>
  <c r="H8746" i="20" s="1"/>
  <c r="N8713" i="20" s="1"/>
  <c r="C8741" i="20"/>
  <c r="B8741" i="20"/>
  <c r="C8740" i="20"/>
  <c r="B8740" i="20"/>
  <c r="C8739" i="20"/>
  <c r="B8739" i="20"/>
  <c r="C8738" i="20"/>
  <c r="B8738" i="20"/>
  <c r="C8737" i="20"/>
  <c r="B8737" i="20"/>
  <c r="C8736" i="20"/>
  <c r="B8736" i="20"/>
  <c r="C8735" i="20"/>
  <c r="B8735" i="20"/>
  <c r="C8734" i="20"/>
  <c r="B8734" i="20"/>
  <c r="C8733" i="20"/>
  <c r="B8733" i="20"/>
  <c r="C8732" i="20"/>
  <c r="B8732" i="20"/>
  <c r="C8731" i="20"/>
  <c r="B8731" i="20"/>
  <c r="C8730" i="20"/>
  <c r="B8730" i="20"/>
  <c r="C8729" i="20"/>
  <c r="B8729" i="20"/>
  <c r="C8728" i="20"/>
  <c r="B8728" i="20"/>
  <c r="C8727" i="20"/>
  <c r="B8727" i="20"/>
  <c r="C8726" i="20"/>
  <c r="C8725" i="20"/>
  <c r="E8721" i="20"/>
  <c r="D8721" i="20"/>
  <c r="B8721" i="20"/>
  <c r="E8720" i="20"/>
  <c r="D8720" i="20"/>
  <c r="B8720" i="20"/>
  <c r="E8719" i="20"/>
  <c r="D8719" i="20"/>
  <c r="B8719" i="20"/>
  <c r="D8718" i="20"/>
  <c r="B8718" i="20"/>
  <c r="G8715" i="20"/>
  <c r="I8736" i="20" s="1"/>
  <c r="G8714" i="20"/>
  <c r="B8714" i="20"/>
  <c r="B8713" i="20"/>
  <c r="H8712" i="20"/>
  <c r="B8709" i="20"/>
  <c r="E8749" i="20"/>
  <c r="B3776" i="20"/>
  <c r="B3775" i="20"/>
  <c r="E3770" i="20"/>
  <c r="F3770" i="20" s="1"/>
  <c r="H3771" i="20" s="1"/>
  <c r="N3742" i="20" s="1"/>
  <c r="D3766" i="20"/>
  <c r="F3766" i="20" s="1"/>
  <c r="C3766" i="20"/>
  <c r="B3766" i="20"/>
  <c r="D3765" i="20"/>
  <c r="F3765" i="20" s="1"/>
  <c r="C3765" i="20"/>
  <c r="B3765" i="20"/>
  <c r="D3764" i="20"/>
  <c r="F3764" i="20" s="1"/>
  <c r="C3764" i="20"/>
  <c r="B3764" i="20"/>
  <c r="D3763" i="20"/>
  <c r="F3763" i="20" s="1"/>
  <c r="C3763" i="20"/>
  <c r="B3763" i="20"/>
  <c r="D3762" i="20"/>
  <c r="F3762" i="20" s="1"/>
  <c r="C3762" i="20"/>
  <c r="B3762" i="20"/>
  <c r="D3761" i="20"/>
  <c r="F3761" i="20" s="1"/>
  <c r="C3761" i="20"/>
  <c r="B3761" i="20"/>
  <c r="C3760" i="20"/>
  <c r="B3760" i="20"/>
  <c r="C3759" i="20"/>
  <c r="B3759" i="20"/>
  <c r="C3758" i="20"/>
  <c r="B3758" i="20"/>
  <c r="C3757" i="20"/>
  <c r="B3757" i="20"/>
  <c r="C3756" i="20"/>
  <c r="B3756" i="20"/>
  <c r="C3755" i="20"/>
  <c r="B3755" i="20"/>
  <c r="C3754" i="20"/>
  <c r="C3753" i="20"/>
  <c r="D3749" i="20"/>
  <c r="B3749" i="20"/>
  <c r="D3748" i="20"/>
  <c r="B3748" i="20"/>
  <c r="D3747" i="20"/>
  <c r="B3747" i="20"/>
  <c r="G3744" i="20"/>
  <c r="I3761" i="20" s="1"/>
  <c r="G3743" i="20"/>
  <c r="B3743" i="20"/>
  <c r="B3742" i="20"/>
  <c r="H3741" i="20"/>
  <c r="B3738" i="20"/>
  <c r="H3737" i="20"/>
  <c r="E3774" i="20" s="1"/>
  <c r="G3693" i="20"/>
  <c r="I3710" i="20" s="1"/>
  <c r="B3725" i="20"/>
  <c r="B3724" i="20"/>
  <c r="E3719" i="20"/>
  <c r="F3719" i="20" s="1"/>
  <c r="H3720" i="20" s="1"/>
  <c r="N3691" i="20" s="1"/>
  <c r="D3715" i="20"/>
  <c r="F3715" i="20" s="1"/>
  <c r="C3715" i="20"/>
  <c r="B3715" i="20"/>
  <c r="D3714" i="20"/>
  <c r="F3714" i="20" s="1"/>
  <c r="C3714" i="20"/>
  <c r="B3714" i="20"/>
  <c r="D3713" i="20"/>
  <c r="F3713" i="20" s="1"/>
  <c r="C3713" i="20"/>
  <c r="B3713" i="20"/>
  <c r="D3712" i="20"/>
  <c r="F3712" i="20" s="1"/>
  <c r="C3712" i="20"/>
  <c r="B3712" i="20"/>
  <c r="D3711" i="20"/>
  <c r="F3711" i="20" s="1"/>
  <c r="C3711" i="20"/>
  <c r="B3711" i="20"/>
  <c r="D3710" i="20"/>
  <c r="F3710" i="20" s="1"/>
  <c r="C3710" i="20"/>
  <c r="B3710" i="20"/>
  <c r="D3709" i="20"/>
  <c r="F3709" i="20" s="1"/>
  <c r="C3709" i="20"/>
  <c r="B3709" i="20"/>
  <c r="D3708" i="20"/>
  <c r="F3708" i="20" s="1"/>
  <c r="C3708" i="20"/>
  <c r="B3708" i="20"/>
  <c r="D3707" i="20"/>
  <c r="F3707" i="20" s="1"/>
  <c r="C3707" i="20"/>
  <c r="B3707" i="20"/>
  <c r="D3706" i="20"/>
  <c r="F3706" i="20" s="1"/>
  <c r="C3706" i="20"/>
  <c r="B3706" i="20"/>
  <c r="C3705" i="20"/>
  <c r="B3705" i="20"/>
  <c r="C3704" i="20"/>
  <c r="B3704" i="20"/>
  <c r="C3703" i="20"/>
  <c r="C3702" i="20"/>
  <c r="D3698" i="20"/>
  <c r="B3698" i="20"/>
  <c r="D3697" i="20"/>
  <c r="B3697" i="20"/>
  <c r="D3696" i="20"/>
  <c r="B3696" i="20"/>
  <c r="G3692" i="20"/>
  <c r="B3692" i="20"/>
  <c r="B3691" i="20"/>
  <c r="H3690" i="20"/>
  <c r="B3687" i="20"/>
  <c r="H3686" i="20"/>
  <c r="E3723" i="20" s="1"/>
  <c r="B3674" i="20"/>
  <c r="B3673" i="20"/>
  <c r="E3668" i="20"/>
  <c r="F3668" i="20" s="1"/>
  <c r="H3669" i="20" s="1"/>
  <c r="N3640" i="20" s="1"/>
  <c r="D3664" i="20"/>
  <c r="F3664" i="20" s="1"/>
  <c r="C3664" i="20"/>
  <c r="B3664" i="20"/>
  <c r="D3663" i="20"/>
  <c r="F3663" i="20" s="1"/>
  <c r="C3663" i="20"/>
  <c r="B3663" i="20"/>
  <c r="D3662" i="20"/>
  <c r="F3662" i="20" s="1"/>
  <c r="C3662" i="20"/>
  <c r="B3662" i="20"/>
  <c r="D3661" i="20"/>
  <c r="F3661" i="20" s="1"/>
  <c r="C3661" i="20"/>
  <c r="B3661" i="20"/>
  <c r="D3660" i="20"/>
  <c r="F3660" i="20" s="1"/>
  <c r="C3660" i="20"/>
  <c r="B3660" i="20"/>
  <c r="D3659" i="20"/>
  <c r="F3659" i="20" s="1"/>
  <c r="C3659" i="20"/>
  <c r="B3659" i="20"/>
  <c r="D3658" i="20"/>
  <c r="F3658" i="20" s="1"/>
  <c r="C3658" i="20"/>
  <c r="B3658" i="20"/>
  <c r="D3657" i="20"/>
  <c r="F3657" i="20" s="1"/>
  <c r="C3657" i="20"/>
  <c r="B3657" i="20"/>
  <c r="D3656" i="20"/>
  <c r="F3656" i="20" s="1"/>
  <c r="C3656" i="20"/>
  <c r="B3656" i="20"/>
  <c r="D3655" i="20"/>
  <c r="F3655" i="20" s="1"/>
  <c r="C3655" i="20"/>
  <c r="B3655" i="20"/>
  <c r="C3654" i="20"/>
  <c r="B3654" i="20"/>
  <c r="C3653" i="20"/>
  <c r="B3653" i="20"/>
  <c r="C3652" i="20"/>
  <c r="C3651" i="20"/>
  <c r="D3647" i="20"/>
  <c r="B3647" i="20"/>
  <c r="D3646" i="20"/>
  <c r="B3646" i="20"/>
  <c r="D3645" i="20"/>
  <c r="B3645" i="20"/>
  <c r="G3642" i="20"/>
  <c r="I3659" i="20" s="1"/>
  <c r="G3641" i="20"/>
  <c r="B3641" i="20"/>
  <c r="B3640" i="20"/>
  <c r="H3639" i="20"/>
  <c r="B3636" i="20"/>
  <c r="H3635" i="20"/>
  <c r="E3672" i="20" s="1"/>
  <c r="I20" i="4"/>
  <c r="K20" i="4" s="1"/>
  <c r="F20" i="4" s="1"/>
  <c r="D3651" i="20" s="1"/>
  <c r="F3651" i="20" s="1"/>
  <c r="B3623" i="20"/>
  <c r="B3622" i="20"/>
  <c r="E3617" i="20"/>
  <c r="F3617" i="20" s="1"/>
  <c r="H3618" i="20" s="1"/>
  <c r="N3589" i="20" s="1"/>
  <c r="D3613" i="20"/>
  <c r="F3613" i="20" s="1"/>
  <c r="C3613" i="20"/>
  <c r="B3613" i="20"/>
  <c r="D3612" i="20"/>
  <c r="F3612" i="20" s="1"/>
  <c r="C3612" i="20"/>
  <c r="B3612" i="20"/>
  <c r="D3611" i="20"/>
  <c r="F3611" i="20" s="1"/>
  <c r="C3611" i="20"/>
  <c r="B3611" i="20"/>
  <c r="D3610" i="20"/>
  <c r="F3610" i="20" s="1"/>
  <c r="C3610" i="20"/>
  <c r="B3610" i="20"/>
  <c r="D3609" i="20"/>
  <c r="F3609" i="20" s="1"/>
  <c r="C3609" i="20"/>
  <c r="B3609" i="20"/>
  <c r="D3608" i="20"/>
  <c r="F3608" i="20" s="1"/>
  <c r="C3608" i="20"/>
  <c r="B3608" i="20"/>
  <c r="D3607" i="20"/>
  <c r="F3607" i="20" s="1"/>
  <c r="C3607" i="20"/>
  <c r="B3607" i="20"/>
  <c r="D3606" i="20"/>
  <c r="F3606" i="20" s="1"/>
  <c r="C3606" i="20"/>
  <c r="B3606" i="20"/>
  <c r="D3605" i="20"/>
  <c r="F3605" i="20" s="1"/>
  <c r="C3605" i="20"/>
  <c r="B3605" i="20"/>
  <c r="D3604" i="20"/>
  <c r="F3604" i="20" s="1"/>
  <c r="C3604" i="20"/>
  <c r="B3604" i="20"/>
  <c r="C3603" i="20"/>
  <c r="B3603" i="20"/>
  <c r="C3602" i="20"/>
  <c r="B3602" i="20"/>
  <c r="C3601" i="20"/>
  <c r="C3600" i="20"/>
  <c r="D3596" i="20"/>
  <c r="B3596" i="20"/>
  <c r="D3595" i="20"/>
  <c r="B3595" i="20"/>
  <c r="D3594" i="20"/>
  <c r="B3594" i="20"/>
  <c r="G3591" i="20"/>
  <c r="I3608" i="20" s="1"/>
  <c r="G3590" i="20"/>
  <c r="B3590" i="20"/>
  <c r="B3589" i="20"/>
  <c r="H3588" i="20"/>
  <c r="B3585" i="20"/>
  <c r="H3584" i="20"/>
  <c r="E3621" i="20" s="1"/>
  <c r="I325" i="4"/>
  <c r="K325" i="4" s="1"/>
  <c r="F325" i="4" s="1"/>
  <c r="H9561" i="20"/>
  <c r="F9574" i="20" s="1"/>
  <c r="B9601" i="20"/>
  <c r="B9600" i="20"/>
  <c r="E9595" i="20"/>
  <c r="F9595" i="20" s="1"/>
  <c r="H9596" i="20" s="1"/>
  <c r="N9566" i="20" s="1"/>
  <c r="D9591" i="20"/>
  <c r="F9591" i="20" s="1"/>
  <c r="C9591" i="20"/>
  <c r="B9591" i="20"/>
  <c r="D9590" i="20"/>
  <c r="F9590" i="20" s="1"/>
  <c r="C9590" i="20"/>
  <c r="B9590" i="20"/>
  <c r="D9589" i="20"/>
  <c r="F9589" i="20" s="1"/>
  <c r="C9589" i="20"/>
  <c r="B9589" i="20"/>
  <c r="D9588" i="20"/>
  <c r="F9588" i="20" s="1"/>
  <c r="C9588" i="20"/>
  <c r="B9588" i="20"/>
  <c r="D9587" i="20"/>
  <c r="F9587" i="20" s="1"/>
  <c r="C9587" i="20"/>
  <c r="B9587" i="20"/>
  <c r="D9586" i="20"/>
  <c r="F9586" i="20" s="1"/>
  <c r="C9586" i="20"/>
  <c r="B9586" i="20"/>
  <c r="D9585" i="20"/>
  <c r="F9585" i="20" s="1"/>
  <c r="C9585" i="20"/>
  <c r="B9585" i="20"/>
  <c r="D9584" i="20"/>
  <c r="F9584" i="20" s="1"/>
  <c r="C9584" i="20"/>
  <c r="B9584" i="20"/>
  <c r="D9583" i="20"/>
  <c r="F9583" i="20" s="1"/>
  <c r="C9583" i="20"/>
  <c r="B9583" i="20"/>
  <c r="D9582" i="20"/>
  <c r="F9582" i="20" s="1"/>
  <c r="C9582" i="20"/>
  <c r="B9582" i="20"/>
  <c r="D9581" i="20"/>
  <c r="F9581" i="20" s="1"/>
  <c r="C9581" i="20"/>
  <c r="B9581" i="20"/>
  <c r="D9580" i="20"/>
  <c r="F9580" i="20" s="1"/>
  <c r="C9580" i="20"/>
  <c r="B9580" i="20"/>
  <c r="C9579" i="20"/>
  <c r="C9578" i="20"/>
  <c r="D9574" i="20"/>
  <c r="B9574" i="20"/>
  <c r="E9573" i="20"/>
  <c r="D9573" i="20"/>
  <c r="B9573" i="20"/>
  <c r="D9572" i="20"/>
  <c r="B9572" i="20"/>
  <c r="D9571" i="20"/>
  <c r="B9571" i="20"/>
  <c r="G9568" i="20"/>
  <c r="I9586" i="20" s="1"/>
  <c r="G9567" i="20"/>
  <c r="B9567" i="20"/>
  <c r="B9566" i="20"/>
  <c r="H9565" i="20"/>
  <c r="B9562" i="20"/>
  <c r="G7090" i="20"/>
  <c r="I7108" i="20" s="1"/>
  <c r="G6986" i="20"/>
  <c r="I7004" i="20" s="1"/>
  <c r="B7594" i="20"/>
  <c r="B7593" i="20"/>
  <c r="E7588" i="20"/>
  <c r="F7588" i="20" s="1"/>
  <c r="H7589" i="20" s="1"/>
  <c r="N7559" i="20" s="1"/>
  <c r="D7584" i="20"/>
  <c r="F7584" i="20" s="1"/>
  <c r="C7584" i="20"/>
  <c r="B7584" i="20"/>
  <c r="D7583" i="20"/>
  <c r="F7583" i="20" s="1"/>
  <c r="C7583" i="20"/>
  <c r="B7583" i="20"/>
  <c r="D7582" i="20"/>
  <c r="F7582" i="20" s="1"/>
  <c r="C7582" i="20"/>
  <c r="B7582" i="20"/>
  <c r="D7581" i="20"/>
  <c r="F7581" i="20" s="1"/>
  <c r="C7581" i="20"/>
  <c r="B7581" i="20"/>
  <c r="D7580" i="20"/>
  <c r="F7580" i="20" s="1"/>
  <c r="C7580" i="20"/>
  <c r="B7580" i="20"/>
  <c r="D7579" i="20"/>
  <c r="F7579" i="20" s="1"/>
  <c r="C7579" i="20"/>
  <c r="B7579" i="20"/>
  <c r="D7578" i="20"/>
  <c r="F7578" i="20" s="1"/>
  <c r="C7578" i="20"/>
  <c r="B7578" i="20"/>
  <c r="D7577" i="20"/>
  <c r="F7577" i="20" s="1"/>
  <c r="C7577" i="20"/>
  <c r="B7577" i="20"/>
  <c r="D7576" i="20"/>
  <c r="F7576" i="20" s="1"/>
  <c r="C7576" i="20"/>
  <c r="B7576" i="20"/>
  <c r="D7575" i="20"/>
  <c r="F7575" i="20" s="1"/>
  <c r="C7575" i="20"/>
  <c r="B7575" i="20"/>
  <c r="D7574" i="20"/>
  <c r="F7574" i="20" s="1"/>
  <c r="C7574" i="20"/>
  <c r="B7574" i="20"/>
  <c r="E7573" i="20"/>
  <c r="D7573" i="20"/>
  <c r="C7573" i="20"/>
  <c r="B7573" i="20"/>
  <c r="E7572" i="20"/>
  <c r="D7572" i="20"/>
  <c r="C7572" i="20"/>
  <c r="C7571" i="20"/>
  <c r="E7567" i="20"/>
  <c r="D7567" i="20"/>
  <c r="B7567" i="20"/>
  <c r="E7566" i="20"/>
  <c r="D7566" i="20"/>
  <c r="B7566" i="20"/>
  <c r="D7565" i="20"/>
  <c r="B7565" i="20"/>
  <c r="D7564" i="20"/>
  <c r="B7564" i="20"/>
  <c r="G7561" i="20"/>
  <c r="I7579" i="20" s="1"/>
  <c r="G7560" i="20"/>
  <c r="B7560" i="20"/>
  <c r="B7559" i="20"/>
  <c r="H7558" i="20"/>
  <c r="B7555" i="20"/>
  <c r="E7592" i="20"/>
  <c r="I47" i="4"/>
  <c r="K47" i="4" s="1"/>
  <c r="F47" i="4" s="1"/>
  <c r="D8146" i="20" s="1"/>
  <c r="F8146" i="20" s="1"/>
  <c r="H8160" i="20" s="1"/>
  <c r="B7487" i="20"/>
  <c r="B7486" i="20"/>
  <c r="E7481" i="20"/>
  <c r="F7481" i="20" s="1"/>
  <c r="H7482" i="20" s="1"/>
  <c r="N7452" i="20" s="1"/>
  <c r="D7477" i="20"/>
  <c r="F7477" i="20" s="1"/>
  <c r="C7477" i="20"/>
  <c r="B7477" i="20"/>
  <c r="D7476" i="20"/>
  <c r="F7476" i="20" s="1"/>
  <c r="C7476" i="20"/>
  <c r="B7476" i="20"/>
  <c r="D7475" i="20"/>
  <c r="F7475" i="20" s="1"/>
  <c r="C7475" i="20"/>
  <c r="B7475" i="20"/>
  <c r="D7474" i="20"/>
  <c r="F7474" i="20" s="1"/>
  <c r="C7474" i="20"/>
  <c r="B7474" i="20"/>
  <c r="D7473" i="20"/>
  <c r="F7473" i="20" s="1"/>
  <c r="C7473" i="20"/>
  <c r="B7473" i="20"/>
  <c r="D7472" i="20"/>
  <c r="F7472" i="20" s="1"/>
  <c r="C7472" i="20"/>
  <c r="B7472" i="20"/>
  <c r="D7471" i="20"/>
  <c r="F7471" i="20" s="1"/>
  <c r="C7471" i="20"/>
  <c r="B7471" i="20"/>
  <c r="D7470" i="20"/>
  <c r="F7470" i="20" s="1"/>
  <c r="C7470" i="20"/>
  <c r="B7470" i="20"/>
  <c r="D7469" i="20"/>
  <c r="F7469" i="20" s="1"/>
  <c r="C7469" i="20"/>
  <c r="B7469" i="20"/>
  <c r="D7468" i="20"/>
  <c r="F7468" i="20" s="1"/>
  <c r="C7468" i="20"/>
  <c r="B7468" i="20"/>
  <c r="D7467" i="20"/>
  <c r="F7467" i="20" s="1"/>
  <c r="C7467" i="20"/>
  <c r="B7467" i="20"/>
  <c r="E7466" i="20"/>
  <c r="D7466" i="20"/>
  <c r="C7466" i="20"/>
  <c r="B7466" i="20"/>
  <c r="E7465" i="20"/>
  <c r="D7465" i="20"/>
  <c r="C7465" i="20"/>
  <c r="C7464" i="20"/>
  <c r="E7460" i="20"/>
  <c r="D7460" i="20"/>
  <c r="B7460" i="20"/>
  <c r="E7459" i="20"/>
  <c r="D7459" i="20"/>
  <c r="B7459" i="20"/>
  <c r="D7458" i="20"/>
  <c r="B7458" i="20"/>
  <c r="D7457" i="20"/>
  <c r="B7457" i="20"/>
  <c r="G7454" i="20"/>
  <c r="I7472" i="20" s="1"/>
  <c r="G7453" i="20"/>
  <c r="B7453" i="20"/>
  <c r="B7452" i="20"/>
  <c r="H7451" i="20"/>
  <c r="B7448" i="20"/>
  <c r="E7485" i="20"/>
  <c r="B7435" i="20"/>
  <c r="B7434" i="20"/>
  <c r="E7429" i="20"/>
  <c r="F7429" i="20" s="1"/>
  <c r="H7430" i="20" s="1"/>
  <c r="N7400" i="20" s="1"/>
  <c r="D7425" i="20"/>
  <c r="F7425" i="20" s="1"/>
  <c r="C7425" i="20"/>
  <c r="B7425" i="20"/>
  <c r="D7424" i="20"/>
  <c r="F7424" i="20" s="1"/>
  <c r="C7424" i="20"/>
  <c r="B7424" i="20"/>
  <c r="D7423" i="20"/>
  <c r="F7423" i="20" s="1"/>
  <c r="C7423" i="20"/>
  <c r="B7423" i="20"/>
  <c r="D7422" i="20"/>
  <c r="F7422" i="20" s="1"/>
  <c r="C7422" i="20"/>
  <c r="B7422" i="20"/>
  <c r="D7421" i="20"/>
  <c r="F7421" i="20" s="1"/>
  <c r="C7421" i="20"/>
  <c r="B7421" i="20"/>
  <c r="D7420" i="20"/>
  <c r="F7420" i="20" s="1"/>
  <c r="C7420" i="20"/>
  <c r="B7420" i="20"/>
  <c r="D7419" i="20"/>
  <c r="F7419" i="20" s="1"/>
  <c r="C7419" i="20"/>
  <c r="B7419" i="20"/>
  <c r="D7418" i="20"/>
  <c r="F7418" i="20" s="1"/>
  <c r="C7418" i="20"/>
  <c r="B7418" i="20"/>
  <c r="D7417" i="20"/>
  <c r="F7417" i="20" s="1"/>
  <c r="C7417" i="20"/>
  <c r="B7417" i="20"/>
  <c r="D7416" i="20"/>
  <c r="F7416" i="20" s="1"/>
  <c r="C7416" i="20"/>
  <c r="B7416" i="20"/>
  <c r="D7415" i="20"/>
  <c r="F7415" i="20" s="1"/>
  <c r="C7415" i="20"/>
  <c r="B7415" i="20"/>
  <c r="E7414" i="20"/>
  <c r="D7414" i="20"/>
  <c r="C7414" i="20"/>
  <c r="B7414" i="20"/>
  <c r="E7413" i="20"/>
  <c r="D7413" i="20"/>
  <c r="C7413" i="20"/>
  <c r="C7412" i="20"/>
  <c r="E7408" i="20"/>
  <c r="D7408" i="20"/>
  <c r="B7408" i="20"/>
  <c r="E7407" i="20"/>
  <c r="D7407" i="20"/>
  <c r="B7407" i="20"/>
  <c r="D7406" i="20"/>
  <c r="B7406" i="20"/>
  <c r="D7405" i="20"/>
  <c r="B7405" i="20"/>
  <c r="G7402" i="20"/>
  <c r="I7420" i="20" s="1"/>
  <c r="G7401" i="20"/>
  <c r="B7401" i="20"/>
  <c r="B7400" i="20"/>
  <c r="H7399" i="20"/>
  <c r="B7396" i="20"/>
  <c r="E7433" i="20"/>
  <c r="B7383" i="20"/>
  <c r="B7382" i="20"/>
  <c r="E7377" i="20"/>
  <c r="F7377" i="20" s="1"/>
  <c r="H7378" i="20" s="1"/>
  <c r="N7348" i="20" s="1"/>
  <c r="D7373" i="20"/>
  <c r="F7373" i="20" s="1"/>
  <c r="C7373" i="20"/>
  <c r="B7373" i="20"/>
  <c r="D7372" i="20"/>
  <c r="F7372" i="20" s="1"/>
  <c r="C7372" i="20"/>
  <c r="B7372" i="20"/>
  <c r="D7371" i="20"/>
  <c r="F7371" i="20" s="1"/>
  <c r="C7371" i="20"/>
  <c r="B7371" i="20"/>
  <c r="D7370" i="20"/>
  <c r="F7370" i="20" s="1"/>
  <c r="C7370" i="20"/>
  <c r="B7370" i="20"/>
  <c r="D7369" i="20"/>
  <c r="F7369" i="20" s="1"/>
  <c r="C7369" i="20"/>
  <c r="B7369" i="20"/>
  <c r="D7368" i="20"/>
  <c r="F7368" i="20" s="1"/>
  <c r="C7368" i="20"/>
  <c r="B7368" i="20"/>
  <c r="D7367" i="20"/>
  <c r="F7367" i="20" s="1"/>
  <c r="C7367" i="20"/>
  <c r="B7367" i="20"/>
  <c r="D7366" i="20"/>
  <c r="F7366" i="20" s="1"/>
  <c r="C7366" i="20"/>
  <c r="B7366" i="20"/>
  <c r="D7365" i="20"/>
  <c r="F7365" i="20" s="1"/>
  <c r="C7365" i="20"/>
  <c r="B7365" i="20"/>
  <c r="D7364" i="20"/>
  <c r="F7364" i="20" s="1"/>
  <c r="C7364" i="20"/>
  <c r="B7364" i="20"/>
  <c r="D7363" i="20"/>
  <c r="F7363" i="20" s="1"/>
  <c r="C7363" i="20"/>
  <c r="B7363" i="20"/>
  <c r="E7362" i="20"/>
  <c r="D7362" i="20"/>
  <c r="C7362" i="20"/>
  <c r="B7362" i="20"/>
  <c r="E7361" i="20"/>
  <c r="D7361" i="20"/>
  <c r="C7361" i="20"/>
  <c r="C7360" i="20"/>
  <c r="E7356" i="20"/>
  <c r="D7356" i="20"/>
  <c r="B7356" i="20"/>
  <c r="E7355" i="20"/>
  <c r="D7355" i="20"/>
  <c r="B7355" i="20"/>
  <c r="D7354" i="20"/>
  <c r="B7354" i="20"/>
  <c r="D7353" i="20"/>
  <c r="B7353" i="20"/>
  <c r="G7350" i="20"/>
  <c r="I7368" i="20" s="1"/>
  <c r="G7349" i="20"/>
  <c r="B7349" i="20"/>
  <c r="B7348" i="20"/>
  <c r="H7347" i="20"/>
  <c r="B7344" i="20"/>
  <c r="F7355" i="20"/>
  <c r="E7329" i="20"/>
  <c r="B7331" i="20"/>
  <c r="B7330" i="20"/>
  <c r="E7325" i="20"/>
  <c r="F7325" i="20" s="1"/>
  <c r="H7326" i="20" s="1"/>
  <c r="N7296" i="20" s="1"/>
  <c r="D7321" i="20"/>
  <c r="F7321" i="20" s="1"/>
  <c r="C7321" i="20"/>
  <c r="B7321" i="20"/>
  <c r="D7320" i="20"/>
  <c r="F7320" i="20" s="1"/>
  <c r="C7320" i="20"/>
  <c r="B7320" i="20"/>
  <c r="D7319" i="20"/>
  <c r="F7319" i="20" s="1"/>
  <c r="C7319" i="20"/>
  <c r="B7319" i="20"/>
  <c r="D7318" i="20"/>
  <c r="F7318" i="20" s="1"/>
  <c r="C7318" i="20"/>
  <c r="B7318" i="20"/>
  <c r="D7317" i="20"/>
  <c r="F7317" i="20" s="1"/>
  <c r="C7317" i="20"/>
  <c r="B7317" i="20"/>
  <c r="D7316" i="20"/>
  <c r="F7316" i="20" s="1"/>
  <c r="C7316" i="20"/>
  <c r="B7316" i="20"/>
  <c r="D7315" i="20"/>
  <c r="F7315" i="20" s="1"/>
  <c r="C7315" i="20"/>
  <c r="B7315" i="20"/>
  <c r="D7314" i="20"/>
  <c r="F7314" i="20" s="1"/>
  <c r="C7314" i="20"/>
  <c r="B7314" i="20"/>
  <c r="D7313" i="20"/>
  <c r="F7313" i="20" s="1"/>
  <c r="C7313" i="20"/>
  <c r="B7313" i="20"/>
  <c r="D7312" i="20"/>
  <c r="F7312" i="20" s="1"/>
  <c r="C7312" i="20"/>
  <c r="B7312" i="20"/>
  <c r="D7311" i="20"/>
  <c r="F7311" i="20" s="1"/>
  <c r="C7311" i="20"/>
  <c r="B7311" i="20"/>
  <c r="E7310" i="20"/>
  <c r="D7310" i="20"/>
  <c r="C7310" i="20"/>
  <c r="B7310" i="20"/>
  <c r="E7309" i="20"/>
  <c r="D7309" i="20"/>
  <c r="C7309" i="20"/>
  <c r="C7308" i="20"/>
  <c r="E7304" i="20"/>
  <c r="D7304" i="20"/>
  <c r="B7304" i="20"/>
  <c r="E7303" i="20"/>
  <c r="D7303" i="20"/>
  <c r="B7303" i="20"/>
  <c r="D7302" i="20"/>
  <c r="B7302" i="20"/>
  <c r="D7301" i="20"/>
  <c r="B7301" i="20"/>
  <c r="G7298" i="20"/>
  <c r="I7316" i="20" s="1"/>
  <c r="G7297" i="20"/>
  <c r="B7297" i="20"/>
  <c r="B7296" i="20"/>
  <c r="H7295" i="20"/>
  <c r="B7292" i="20"/>
  <c r="B7279" i="20"/>
  <c r="B7278" i="20"/>
  <c r="E7273" i="20"/>
  <c r="F7273" i="20" s="1"/>
  <c r="H7274" i="20" s="1"/>
  <c r="N7244" i="20" s="1"/>
  <c r="D7269" i="20"/>
  <c r="F7269" i="20" s="1"/>
  <c r="C7269" i="20"/>
  <c r="B7269" i="20"/>
  <c r="D7268" i="20"/>
  <c r="F7268" i="20" s="1"/>
  <c r="C7268" i="20"/>
  <c r="B7268" i="20"/>
  <c r="D7267" i="20"/>
  <c r="F7267" i="20" s="1"/>
  <c r="C7267" i="20"/>
  <c r="B7267" i="20"/>
  <c r="D7266" i="20"/>
  <c r="F7266" i="20" s="1"/>
  <c r="C7266" i="20"/>
  <c r="B7266" i="20"/>
  <c r="D7265" i="20"/>
  <c r="F7265" i="20" s="1"/>
  <c r="C7265" i="20"/>
  <c r="B7265" i="20"/>
  <c r="D7264" i="20"/>
  <c r="F7264" i="20" s="1"/>
  <c r="C7264" i="20"/>
  <c r="B7264" i="20"/>
  <c r="D7263" i="20"/>
  <c r="F7263" i="20" s="1"/>
  <c r="C7263" i="20"/>
  <c r="B7263" i="20"/>
  <c r="D7262" i="20"/>
  <c r="F7262" i="20" s="1"/>
  <c r="C7262" i="20"/>
  <c r="B7262" i="20"/>
  <c r="D7261" i="20"/>
  <c r="F7261" i="20" s="1"/>
  <c r="C7261" i="20"/>
  <c r="B7261" i="20"/>
  <c r="D7260" i="20"/>
  <c r="F7260" i="20" s="1"/>
  <c r="C7260" i="20"/>
  <c r="B7260" i="20"/>
  <c r="D7259" i="20"/>
  <c r="F7259" i="20" s="1"/>
  <c r="C7259" i="20"/>
  <c r="B7259" i="20"/>
  <c r="E7258" i="20"/>
  <c r="D7258" i="20"/>
  <c r="C7258" i="20"/>
  <c r="B7258" i="20"/>
  <c r="E7257" i="20"/>
  <c r="D7257" i="20"/>
  <c r="C7257" i="20"/>
  <c r="C7256" i="20"/>
  <c r="E7252" i="20"/>
  <c r="D7252" i="20"/>
  <c r="B7252" i="20"/>
  <c r="E7251" i="20"/>
  <c r="D7251" i="20"/>
  <c r="B7251" i="20"/>
  <c r="D7250" i="20"/>
  <c r="B7250" i="20"/>
  <c r="D7249" i="20"/>
  <c r="B7249" i="20"/>
  <c r="G7246" i="20"/>
  <c r="I7264" i="20" s="1"/>
  <c r="G7245" i="20"/>
  <c r="B7245" i="20"/>
  <c r="B7244" i="20"/>
  <c r="H7243" i="20"/>
  <c r="B7240" i="20"/>
  <c r="E7277" i="20"/>
  <c r="I60" i="4"/>
  <c r="K60" i="4" s="1"/>
  <c r="F60" i="4" s="1"/>
  <c r="D7100" i="20" s="1"/>
  <c r="F7100" i="20" s="1"/>
  <c r="B7227" i="20"/>
  <c r="B7226" i="20"/>
  <c r="E7221" i="20"/>
  <c r="F7221" i="20" s="1"/>
  <c r="H7222" i="20" s="1"/>
  <c r="N7192" i="20" s="1"/>
  <c r="D7217" i="20"/>
  <c r="F7217" i="20" s="1"/>
  <c r="C7217" i="20"/>
  <c r="B7217" i="20"/>
  <c r="D7216" i="20"/>
  <c r="F7216" i="20" s="1"/>
  <c r="C7216" i="20"/>
  <c r="B7216" i="20"/>
  <c r="D7215" i="20"/>
  <c r="F7215" i="20" s="1"/>
  <c r="C7215" i="20"/>
  <c r="B7215" i="20"/>
  <c r="D7214" i="20"/>
  <c r="F7214" i="20" s="1"/>
  <c r="C7214" i="20"/>
  <c r="B7214" i="20"/>
  <c r="D7213" i="20"/>
  <c r="F7213" i="20" s="1"/>
  <c r="C7213" i="20"/>
  <c r="B7213" i="20"/>
  <c r="D7212" i="20"/>
  <c r="F7212" i="20" s="1"/>
  <c r="C7212" i="20"/>
  <c r="B7212" i="20"/>
  <c r="D7211" i="20"/>
  <c r="F7211" i="20" s="1"/>
  <c r="C7211" i="20"/>
  <c r="B7211" i="20"/>
  <c r="D7210" i="20"/>
  <c r="F7210" i="20" s="1"/>
  <c r="C7210" i="20"/>
  <c r="B7210" i="20"/>
  <c r="D7209" i="20"/>
  <c r="F7209" i="20" s="1"/>
  <c r="C7209" i="20"/>
  <c r="B7209" i="20"/>
  <c r="D7208" i="20"/>
  <c r="F7208" i="20" s="1"/>
  <c r="C7208" i="20"/>
  <c r="B7208" i="20"/>
  <c r="D7207" i="20"/>
  <c r="F7207" i="20" s="1"/>
  <c r="C7207" i="20"/>
  <c r="B7207" i="20"/>
  <c r="E7206" i="20"/>
  <c r="D7206" i="20"/>
  <c r="C7206" i="20"/>
  <c r="B7206" i="20"/>
  <c r="E7205" i="20"/>
  <c r="D7205" i="20"/>
  <c r="C7205" i="20"/>
  <c r="C7204" i="20"/>
  <c r="E7200" i="20"/>
  <c r="D7200" i="20"/>
  <c r="B7200" i="20"/>
  <c r="E7199" i="20"/>
  <c r="D7199" i="20"/>
  <c r="B7199" i="20"/>
  <c r="D7198" i="20"/>
  <c r="B7198" i="20"/>
  <c r="D7197" i="20"/>
  <c r="B7197" i="20"/>
  <c r="G7194" i="20"/>
  <c r="I7212" i="20" s="1"/>
  <c r="G7193" i="20"/>
  <c r="B7193" i="20"/>
  <c r="B7192" i="20"/>
  <c r="H7191" i="20"/>
  <c r="B7188" i="20"/>
  <c r="E7225" i="20"/>
  <c r="B7175" i="20"/>
  <c r="B7174" i="20"/>
  <c r="E7169" i="20"/>
  <c r="F7169" i="20" s="1"/>
  <c r="H7170" i="20" s="1"/>
  <c r="N7140" i="20" s="1"/>
  <c r="D7165" i="20"/>
  <c r="F7165" i="20" s="1"/>
  <c r="C7165" i="20"/>
  <c r="B7165" i="20"/>
  <c r="D7164" i="20"/>
  <c r="F7164" i="20" s="1"/>
  <c r="C7164" i="20"/>
  <c r="B7164" i="20"/>
  <c r="D7163" i="20"/>
  <c r="F7163" i="20" s="1"/>
  <c r="C7163" i="20"/>
  <c r="B7163" i="20"/>
  <c r="D7162" i="20"/>
  <c r="F7162" i="20" s="1"/>
  <c r="C7162" i="20"/>
  <c r="B7162" i="20"/>
  <c r="D7161" i="20"/>
  <c r="F7161" i="20" s="1"/>
  <c r="C7161" i="20"/>
  <c r="B7161" i="20"/>
  <c r="D7160" i="20"/>
  <c r="F7160" i="20" s="1"/>
  <c r="C7160" i="20"/>
  <c r="B7160" i="20"/>
  <c r="D7159" i="20"/>
  <c r="F7159" i="20" s="1"/>
  <c r="C7159" i="20"/>
  <c r="B7159" i="20"/>
  <c r="D7158" i="20"/>
  <c r="F7158" i="20" s="1"/>
  <c r="C7158" i="20"/>
  <c r="B7158" i="20"/>
  <c r="D7157" i="20"/>
  <c r="F7157" i="20" s="1"/>
  <c r="C7157" i="20"/>
  <c r="B7157" i="20"/>
  <c r="D7156" i="20"/>
  <c r="F7156" i="20" s="1"/>
  <c r="C7156" i="20"/>
  <c r="B7156" i="20"/>
  <c r="D7155" i="20"/>
  <c r="F7155" i="20" s="1"/>
  <c r="C7155" i="20"/>
  <c r="B7155" i="20"/>
  <c r="E7154" i="20"/>
  <c r="D7154" i="20"/>
  <c r="C7154" i="20"/>
  <c r="B7154" i="20"/>
  <c r="E7153" i="20"/>
  <c r="D7153" i="20"/>
  <c r="C7153" i="20"/>
  <c r="C7152" i="20"/>
  <c r="E7148" i="20"/>
  <c r="D7148" i="20"/>
  <c r="B7148" i="20"/>
  <c r="E7147" i="20"/>
  <c r="D7147" i="20"/>
  <c r="B7147" i="20"/>
  <c r="D7146" i="20"/>
  <c r="B7146" i="20"/>
  <c r="D7145" i="20"/>
  <c r="B7145" i="20"/>
  <c r="G7142" i="20"/>
  <c r="I7160" i="20" s="1"/>
  <c r="G7141" i="20"/>
  <c r="B7141" i="20"/>
  <c r="B7140" i="20"/>
  <c r="H7139" i="20"/>
  <c r="B7136" i="20"/>
  <c r="E7173" i="20"/>
  <c r="B7123" i="20"/>
  <c r="B7122" i="20"/>
  <c r="E7117" i="20"/>
  <c r="F7117" i="20" s="1"/>
  <c r="H7118" i="20" s="1"/>
  <c r="N7088" i="20" s="1"/>
  <c r="D7113" i="20"/>
  <c r="F7113" i="20" s="1"/>
  <c r="C7113" i="20"/>
  <c r="B7113" i="20"/>
  <c r="D7112" i="20"/>
  <c r="F7112" i="20" s="1"/>
  <c r="C7112" i="20"/>
  <c r="B7112" i="20"/>
  <c r="D7111" i="20"/>
  <c r="F7111" i="20" s="1"/>
  <c r="C7111" i="20"/>
  <c r="B7111" i="20"/>
  <c r="D7110" i="20"/>
  <c r="F7110" i="20" s="1"/>
  <c r="C7110" i="20"/>
  <c r="B7110" i="20"/>
  <c r="D7109" i="20"/>
  <c r="F7109" i="20" s="1"/>
  <c r="C7109" i="20"/>
  <c r="B7109" i="20"/>
  <c r="D7108" i="20"/>
  <c r="F7108" i="20" s="1"/>
  <c r="C7108" i="20"/>
  <c r="B7108" i="20"/>
  <c r="D7107" i="20"/>
  <c r="F7107" i="20" s="1"/>
  <c r="C7107" i="20"/>
  <c r="B7107" i="20"/>
  <c r="D7106" i="20"/>
  <c r="F7106" i="20" s="1"/>
  <c r="C7106" i="20"/>
  <c r="B7106" i="20"/>
  <c r="D7105" i="20"/>
  <c r="F7105" i="20" s="1"/>
  <c r="C7105" i="20"/>
  <c r="B7105" i="20"/>
  <c r="D7104" i="20"/>
  <c r="F7104" i="20" s="1"/>
  <c r="C7104" i="20"/>
  <c r="B7104" i="20"/>
  <c r="D7103" i="20"/>
  <c r="F7103" i="20" s="1"/>
  <c r="C7103" i="20"/>
  <c r="B7103" i="20"/>
  <c r="E7102" i="20"/>
  <c r="D7102" i="20"/>
  <c r="C7102" i="20"/>
  <c r="B7102" i="20"/>
  <c r="E7101" i="20"/>
  <c r="D7101" i="20"/>
  <c r="C7101" i="20"/>
  <c r="C7100" i="20"/>
  <c r="E7096" i="20"/>
  <c r="D7096" i="20"/>
  <c r="B7096" i="20"/>
  <c r="E7095" i="20"/>
  <c r="D7095" i="20"/>
  <c r="B7095" i="20"/>
  <c r="D7094" i="20"/>
  <c r="B7094" i="20"/>
  <c r="D7093" i="20"/>
  <c r="B7093" i="20"/>
  <c r="G7089" i="20"/>
  <c r="B7089" i="20"/>
  <c r="B7088" i="20"/>
  <c r="H7087" i="20"/>
  <c r="B7084" i="20"/>
  <c r="E7121" i="20"/>
  <c r="B7071" i="20"/>
  <c r="B7070" i="20"/>
  <c r="E7065" i="20"/>
  <c r="F7065" i="20" s="1"/>
  <c r="H7066" i="20" s="1"/>
  <c r="N7036" i="20" s="1"/>
  <c r="D7061" i="20"/>
  <c r="F7061" i="20" s="1"/>
  <c r="C7061" i="20"/>
  <c r="B7061" i="20"/>
  <c r="D7060" i="20"/>
  <c r="F7060" i="20" s="1"/>
  <c r="C7060" i="20"/>
  <c r="B7060" i="20"/>
  <c r="D7059" i="20"/>
  <c r="F7059" i="20" s="1"/>
  <c r="C7059" i="20"/>
  <c r="B7059" i="20"/>
  <c r="D7058" i="20"/>
  <c r="F7058" i="20" s="1"/>
  <c r="C7058" i="20"/>
  <c r="B7058" i="20"/>
  <c r="D7057" i="20"/>
  <c r="F7057" i="20" s="1"/>
  <c r="C7057" i="20"/>
  <c r="B7057" i="20"/>
  <c r="D7056" i="20"/>
  <c r="F7056" i="20" s="1"/>
  <c r="C7056" i="20"/>
  <c r="B7056" i="20"/>
  <c r="D7055" i="20"/>
  <c r="F7055" i="20" s="1"/>
  <c r="C7055" i="20"/>
  <c r="B7055" i="20"/>
  <c r="D7054" i="20"/>
  <c r="F7054" i="20" s="1"/>
  <c r="C7054" i="20"/>
  <c r="B7054" i="20"/>
  <c r="D7053" i="20"/>
  <c r="F7053" i="20" s="1"/>
  <c r="C7053" i="20"/>
  <c r="B7053" i="20"/>
  <c r="D7052" i="20"/>
  <c r="F7052" i="20" s="1"/>
  <c r="C7052" i="20"/>
  <c r="B7052" i="20"/>
  <c r="D7051" i="20"/>
  <c r="F7051" i="20" s="1"/>
  <c r="C7051" i="20"/>
  <c r="B7051" i="20"/>
  <c r="E7050" i="20"/>
  <c r="D7050" i="20"/>
  <c r="C7050" i="20"/>
  <c r="B7050" i="20"/>
  <c r="E7049" i="20"/>
  <c r="D7049" i="20"/>
  <c r="C7049" i="20"/>
  <c r="C7048" i="20"/>
  <c r="E7044" i="20"/>
  <c r="D7044" i="20"/>
  <c r="B7044" i="20"/>
  <c r="E7043" i="20"/>
  <c r="D7043" i="20"/>
  <c r="B7043" i="20"/>
  <c r="D7042" i="20"/>
  <c r="B7042" i="20"/>
  <c r="D7041" i="20"/>
  <c r="B7041" i="20"/>
  <c r="G7038" i="20"/>
  <c r="I7056" i="20" s="1"/>
  <c r="G7037" i="20"/>
  <c r="B7037" i="20"/>
  <c r="B7036" i="20"/>
  <c r="H7035" i="20"/>
  <c r="B7032" i="20"/>
  <c r="E7069" i="20"/>
  <c r="I34" i="4"/>
  <c r="K34" i="4" s="1"/>
  <c r="F34" i="4" s="1"/>
  <c r="D7048" i="20" s="1"/>
  <c r="F7048" i="20" s="1"/>
  <c r="B7019" i="20"/>
  <c r="B7018" i="20"/>
  <c r="E7013" i="20"/>
  <c r="F7013" i="20" s="1"/>
  <c r="H7014" i="20" s="1"/>
  <c r="N6984" i="20" s="1"/>
  <c r="D7009" i="20"/>
  <c r="F7009" i="20" s="1"/>
  <c r="C7009" i="20"/>
  <c r="B7009" i="20"/>
  <c r="D7008" i="20"/>
  <c r="F7008" i="20" s="1"/>
  <c r="C7008" i="20"/>
  <c r="B7008" i="20"/>
  <c r="D7007" i="20"/>
  <c r="F7007" i="20" s="1"/>
  <c r="C7007" i="20"/>
  <c r="B7007" i="20"/>
  <c r="D7006" i="20"/>
  <c r="F7006" i="20" s="1"/>
  <c r="C7006" i="20"/>
  <c r="B7006" i="20"/>
  <c r="D7005" i="20"/>
  <c r="F7005" i="20" s="1"/>
  <c r="C7005" i="20"/>
  <c r="B7005" i="20"/>
  <c r="D7004" i="20"/>
  <c r="F7004" i="20" s="1"/>
  <c r="C7004" i="20"/>
  <c r="B7004" i="20"/>
  <c r="D7003" i="20"/>
  <c r="F7003" i="20" s="1"/>
  <c r="C7003" i="20"/>
  <c r="B7003" i="20"/>
  <c r="D7002" i="20"/>
  <c r="F7002" i="20" s="1"/>
  <c r="C7002" i="20"/>
  <c r="B7002" i="20"/>
  <c r="D7001" i="20"/>
  <c r="F7001" i="20" s="1"/>
  <c r="C7001" i="20"/>
  <c r="B7001" i="20"/>
  <c r="D7000" i="20"/>
  <c r="F7000" i="20" s="1"/>
  <c r="C7000" i="20"/>
  <c r="B7000" i="20"/>
  <c r="D6999" i="20"/>
  <c r="F6999" i="20" s="1"/>
  <c r="C6999" i="20"/>
  <c r="B6999" i="20"/>
  <c r="E6998" i="20"/>
  <c r="D6998" i="20"/>
  <c r="C6998" i="20"/>
  <c r="B6998" i="20"/>
  <c r="E6997" i="20"/>
  <c r="D6997" i="20"/>
  <c r="C6997" i="20"/>
  <c r="C6996" i="20"/>
  <c r="E6992" i="20"/>
  <c r="D6992" i="20"/>
  <c r="B6992" i="20"/>
  <c r="E6991" i="20"/>
  <c r="D6991" i="20"/>
  <c r="B6991" i="20"/>
  <c r="D6990" i="20"/>
  <c r="B6990" i="20"/>
  <c r="D6989" i="20"/>
  <c r="B6989" i="20"/>
  <c r="G6985" i="20"/>
  <c r="B6985" i="20"/>
  <c r="B6984" i="20"/>
  <c r="H6983" i="20"/>
  <c r="B6980" i="20"/>
  <c r="E7017" i="20"/>
  <c r="E6965" i="20"/>
  <c r="I39" i="4"/>
  <c r="K39" i="4" s="1"/>
  <c r="F39" i="4" s="1"/>
  <c r="B6967" i="20"/>
  <c r="B6966" i="20"/>
  <c r="E6961" i="20"/>
  <c r="F6961" i="20" s="1"/>
  <c r="H6962" i="20" s="1"/>
  <c r="N6932" i="20" s="1"/>
  <c r="D6957" i="20"/>
  <c r="F6957" i="20" s="1"/>
  <c r="C6957" i="20"/>
  <c r="B6957" i="20"/>
  <c r="D6956" i="20"/>
  <c r="F6956" i="20" s="1"/>
  <c r="C6956" i="20"/>
  <c r="B6956" i="20"/>
  <c r="D6955" i="20"/>
  <c r="F6955" i="20" s="1"/>
  <c r="C6955" i="20"/>
  <c r="B6955" i="20"/>
  <c r="D6954" i="20"/>
  <c r="F6954" i="20" s="1"/>
  <c r="C6954" i="20"/>
  <c r="B6954" i="20"/>
  <c r="D6953" i="20"/>
  <c r="F6953" i="20" s="1"/>
  <c r="C6953" i="20"/>
  <c r="B6953" i="20"/>
  <c r="D6952" i="20"/>
  <c r="F6952" i="20" s="1"/>
  <c r="C6952" i="20"/>
  <c r="B6952" i="20"/>
  <c r="D6951" i="20"/>
  <c r="F6951" i="20" s="1"/>
  <c r="C6951" i="20"/>
  <c r="B6951" i="20"/>
  <c r="D6950" i="20"/>
  <c r="F6950" i="20" s="1"/>
  <c r="C6950" i="20"/>
  <c r="B6950" i="20"/>
  <c r="D6949" i="20"/>
  <c r="F6949" i="20" s="1"/>
  <c r="C6949" i="20"/>
  <c r="B6949" i="20"/>
  <c r="D6948" i="20"/>
  <c r="F6948" i="20" s="1"/>
  <c r="C6948" i="20"/>
  <c r="B6948" i="20"/>
  <c r="D6947" i="20"/>
  <c r="F6947" i="20" s="1"/>
  <c r="C6947" i="20"/>
  <c r="B6947" i="20"/>
  <c r="E6946" i="20"/>
  <c r="D6946" i="20"/>
  <c r="C6946" i="20"/>
  <c r="B6946" i="20"/>
  <c r="E6945" i="20"/>
  <c r="D6945" i="20"/>
  <c r="C6945" i="20"/>
  <c r="C6944" i="20"/>
  <c r="E6940" i="20"/>
  <c r="D6940" i="20"/>
  <c r="B6940" i="20"/>
  <c r="E6939" i="20"/>
  <c r="D6939" i="20"/>
  <c r="B6939" i="20"/>
  <c r="D6938" i="20"/>
  <c r="B6938" i="20"/>
  <c r="D6937" i="20"/>
  <c r="B6937" i="20"/>
  <c r="G6934" i="20"/>
  <c r="I6952" i="20" s="1"/>
  <c r="G6933" i="20"/>
  <c r="B6933" i="20"/>
  <c r="B6932" i="20"/>
  <c r="H6931" i="20"/>
  <c r="B6928" i="20"/>
  <c r="E7697" i="20"/>
  <c r="E7626" i="20"/>
  <c r="E7625" i="20"/>
  <c r="E7678" i="20"/>
  <c r="E7677" i="20"/>
  <c r="B7699" i="20"/>
  <c r="B7698" i="20"/>
  <c r="E7693" i="20"/>
  <c r="F7693" i="20" s="1"/>
  <c r="H7694" i="20" s="1"/>
  <c r="N7664" i="20" s="1"/>
  <c r="D7689" i="20"/>
  <c r="F7689" i="20" s="1"/>
  <c r="C7689" i="20"/>
  <c r="B7689" i="20"/>
  <c r="D7688" i="20"/>
  <c r="F7688" i="20" s="1"/>
  <c r="C7688" i="20"/>
  <c r="B7688" i="20"/>
  <c r="D7687" i="20"/>
  <c r="F7687" i="20" s="1"/>
  <c r="C7687" i="20"/>
  <c r="B7687" i="20"/>
  <c r="D7686" i="20"/>
  <c r="F7686" i="20" s="1"/>
  <c r="C7686" i="20"/>
  <c r="B7686" i="20"/>
  <c r="D7685" i="20"/>
  <c r="F7685" i="20" s="1"/>
  <c r="C7685" i="20"/>
  <c r="B7685" i="20"/>
  <c r="D7684" i="20"/>
  <c r="F7684" i="20" s="1"/>
  <c r="C7684" i="20"/>
  <c r="B7684" i="20"/>
  <c r="D7683" i="20"/>
  <c r="F7683" i="20" s="1"/>
  <c r="C7683" i="20"/>
  <c r="B7683" i="20"/>
  <c r="D7682" i="20"/>
  <c r="F7682" i="20" s="1"/>
  <c r="C7682" i="20"/>
  <c r="B7682" i="20"/>
  <c r="D7681" i="20"/>
  <c r="F7681" i="20" s="1"/>
  <c r="C7681" i="20"/>
  <c r="B7681" i="20"/>
  <c r="D7680" i="20"/>
  <c r="F7680" i="20" s="1"/>
  <c r="C7680" i="20"/>
  <c r="B7680" i="20"/>
  <c r="D7679" i="20"/>
  <c r="F7679" i="20" s="1"/>
  <c r="C7679" i="20"/>
  <c r="B7679" i="20"/>
  <c r="C7678" i="20"/>
  <c r="B7678" i="20"/>
  <c r="C7677" i="20"/>
  <c r="C7676" i="20"/>
  <c r="E7672" i="20"/>
  <c r="D7672" i="20"/>
  <c r="B7672" i="20"/>
  <c r="E7671" i="20"/>
  <c r="D7671" i="20"/>
  <c r="B7671" i="20"/>
  <c r="D7670" i="20"/>
  <c r="B7670" i="20"/>
  <c r="D7669" i="20"/>
  <c r="B7669" i="20"/>
  <c r="G7666" i="20"/>
  <c r="I7684" i="20" s="1"/>
  <c r="G7665" i="20"/>
  <c r="B7665" i="20"/>
  <c r="B7664" i="20"/>
  <c r="H7663" i="20"/>
  <c r="B7660" i="20"/>
  <c r="E7647" i="20"/>
  <c r="B7647" i="20"/>
  <c r="B7646" i="20"/>
  <c r="E7641" i="20"/>
  <c r="F7641" i="20" s="1"/>
  <c r="H7642" i="20" s="1"/>
  <c r="N7612" i="20" s="1"/>
  <c r="D7637" i="20"/>
  <c r="F7637" i="20" s="1"/>
  <c r="C7637" i="20"/>
  <c r="B7637" i="20"/>
  <c r="D7636" i="20"/>
  <c r="F7636" i="20" s="1"/>
  <c r="C7636" i="20"/>
  <c r="B7636" i="20"/>
  <c r="D7635" i="20"/>
  <c r="F7635" i="20" s="1"/>
  <c r="C7635" i="20"/>
  <c r="B7635" i="20"/>
  <c r="D7634" i="20"/>
  <c r="F7634" i="20" s="1"/>
  <c r="C7634" i="20"/>
  <c r="B7634" i="20"/>
  <c r="D7633" i="20"/>
  <c r="F7633" i="20" s="1"/>
  <c r="C7633" i="20"/>
  <c r="B7633" i="20"/>
  <c r="D7632" i="20"/>
  <c r="F7632" i="20" s="1"/>
  <c r="C7632" i="20"/>
  <c r="B7632" i="20"/>
  <c r="D7631" i="20"/>
  <c r="F7631" i="20" s="1"/>
  <c r="C7631" i="20"/>
  <c r="B7631" i="20"/>
  <c r="D7630" i="20"/>
  <c r="F7630" i="20" s="1"/>
  <c r="C7630" i="20"/>
  <c r="B7630" i="20"/>
  <c r="D7629" i="20"/>
  <c r="F7629" i="20" s="1"/>
  <c r="C7629" i="20"/>
  <c r="B7629" i="20"/>
  <c r="D7628" i="20"/>
  <c r="F7628" i="20" s="1"/>
  <c r="C7628" i="20"/>
  <c r="B7628" i="20"/>
  <c r="D7627" i="20"/>
  <c r="F7627" i="20" s="1"/>
  <c r="C7627" i="20"/>
  <c r="B7627" i="20"/>
  <c r="C7626" i="20"/>
  <c r="B7626" i="20"/>
  <c r="C7625" i="20"/>
  <c r="C7624" i="20"/>
  <c r="E7620" i="20"/>
  <c r="D7620" i="20"/>
  <c r="B7620" i="20"/>
  <c r="E7619" i="20"/>
  <c r="D7619" i="20"/>
  <c r="B7619" i="20"/>
  <c r="D7618" i="20"/>
  <c r="B7618" i="20"/>
  <c r="D7617" i="20"/>
  <c r="B7617" i="20"/>
  <c r="G7614" i="20"/>
  <c r="I7632" i="20" s="1"/>
  <c r="G7613" i="20"/>
  <c r="B7613" i="20"/>
  <c r="B7612" i="20"/>
  <c r="H7611" i="20"/>
  <c r="B7608" i="20"/>
  <c r="H5578" i="20"/>
  <c r="E5615" i="20" s="1"/>
  <c r="I232" i="4"/>
  <c r="K232" i="4" s="1"/>
  <c r="F232" i="4" s="1"/>
  <c r="B5617" i="20"/>
  <c r="B5616" i="20"/>
  <c r="E5611" i="20"/>
  <c r="F5611" i="20" s="1"/>
  <c r="H5612" i="20" s="1"/>
  <c r="N5583" i="20" s="1"/>
  <c r="D5607" i="20"/>
  <c r="F5607" i="20" s="1"/>
  <c r="C5607" i="20"/>
  <c r="B5607" i="20"/>
  <c r="D5606" i="20"/>
  <c r="F5606" i="20" s="1"/>
  <c r="C5606" i="20"/>
  <c r="B5606" i="20"/>
  <c r="D5605" i="20"/>
  <c r="F5605" i="20" s="1"/>
  <c r="C5605" i="20"/>
  <c r="B5605" i="20"/>
  <c r="D5604" i="20"/>
  <c r="F5604" i="20" s="1"/>
  <c r="C5604" i="20"/>
  <c r="B5604" i="20"/>
  <c r="D5603" i="20"/>
  <c r="F5603" i="20" s="1"/>
  <c r="C5603" i="20"/>
  <c r="B5603" i="20"/>
  <c r="D5602" i="20"/>
  <c r="F5602" i="20" s="1"/>
  <c r="C5602" i="20"/>
  <c r="B5602" i="20"/>
  <c r="D5601" i="20"/>
  <c r="F5601" i="20" s="1"/>
  <c r="C5601" i="20"/>
  <c r="B5601" i="20"/>
  <c r="D5600" i="20"/>
  <c r="F5600" i="20" s="1"/>
  <c r="C5600" i="20"/>
  <c r="B5600" i="20"/>
  <c r="D5599" i="20"/>
  <c r="F5599" i="20" s="1"/>
  <c r="C5599" i="20"/>
  <c r="B5599" i="20"/>
  <c r="D5598" i="20"/>
  <c r="F5598" i="20" s="1"/>
  <c r="C5598" i="20"/>
  <c r="B5598" i="20"/>
  <c r="D5597" i="20"/>
  <c r="F5597" i="20" s="1"/>
  <c r="C5597" i="20"/>
  <c r="B5597" i="20"/>
  <c r="D5596" i="20"/>
  <c r="F5596" i="20" s="1"/>
  <c r="C5596" i="20"/>
  <c r="B5596" i="20"/>
  <c r="C5595" i="20"/>
  <c r="C5594" i="20"/>
  <c r="E5590" i="20"/>
  <c r="D5590" i="20"/>
  <c r="B5590" i="20"/>
  <c r="E5589" i="20"/>
  <c r="D5589" i="20"/>
  <c r="B5589" i="20"/>
  <c r="D5588" i="20"/>
  <c r="B5588" i="20"/>
  <c r="G5585" i="20"/>
  <c r="I5602" i="20" s="1"/>
  <c r="G5584" i="20"/>
  <c r="B5584" i="20"/>
  <c r="B5583" i="20"/>
  <c r="H5582" i="20"/>
  <c r="B5579" i="20"/>
  <c r="K8134" i="20" l="1"/>
  <c r="D8094" i="20"/>
  <c r="F8094" i="20" s="1"/>
  <c r="D8042" i="20"/>
  <c r="F8042" i="20" s="1"/>
  <c r="D4115" i="20"/>
  <c r="F4115" i="20" s="1"/>
  <c r="D4217" i="20"/>
  <c r="F4217" i="20" s="1"/>
  <c r="D4166" i="20"/>
  <c r="F4166" i="20" s="1"/>
  <c r="D4064" i="20"/>
  <c r="F4064" i="20" s="1"/>
  <c r="D4013" i="20"/>
  <c r="F4013" i="20" s="1"/>
  <c r="D3962" i="20"/>
  <c r="F3962" i="20" s="1"/>
  <c r="D3603" i="20"/>
  <c r="F3603" i="20" s="1"/>
  <c r="D3911" i="20"/>
  <c r="F3911" i="20" s="1"/>
  <c r="F3798" i="20"/>
  <c r="E3827" i="20"/>
  <c r="D3809" i="20"/>
  <c r="F3809" i="20" s="1"/>
  <c r="D3860" i="20"/>
  <c r="F3860" i="20" s="1"/>
  <c r="F3851" i="20"/>
  <c r="F3849" i="20"/>
  <c r="E3878" i="20"/>
  <c r="I3857" i="20"/>
  <c r="I3855" i="20"/>
  <c r="I3868" i="20"/>
  <c r="I3862" i="20"/>
  <c r="I3860" i="20"/>
  <c r="I3858" i="20"/>
  <c r="I3865" i="20"/>
  <c r="I3859" i="20"/>
  <c r="I3867" i="20"/>
  <c r="E3877" i="20"/>
  <c r="F9041" i="20"/>
  <c r="I3856" i="20"/>
  <c r="I3864" i="20"/>
  <c r="F3850" i="20"/>
  <c r="I3861" i="20"/>
  <c r="I3866" i="20"/>
  <c r="I3807" i="20"/>
  <c r="I3817" i="20"/>
  <c r="I3806" i="20"/>
  <c r="I3804" i="20"/>
  <c r="I3809" i="20"/>
  <c r="I3814" i="20"/>
  <c r="F3800" i="20"/>
  <c r="I3811" i="20"/>
  <c r="I3808" i="20"/>
  <c r="I3816" i="20"/>
  <c r="E3826" i="20"/>
  <c r="I3805" i="20"/>
  <c r="I3813" i="20"/>
  <c r="F3799" i="20"/>
  <c r="I3810" i="20"/>
  <c r="I3815" i="20"/>
  <c r="D8733" i="20"/>
  <c r="F8733" i="20" s="1"/>
  <c r="I5658" i="20"/>
  <c r="I5645" i="20"/>
  <c r="I5650" i="20"/>
  <c r="F5639" i="20"/>
  <c r="E5668" i="20"/>
  <c r="I5647" i="20"/>
  <c r="I5655" i="20"/>
  <c r="I5652" i="20"/>
  <c r="F9042" i="20"/>
  <c r="I5649" i="20"/>
  <c r="I5657" i="20"/>
  <c r="E5667" i="20"/>
  <c r="I5646" i="20"/>
  <c r="I5654" i="20"/>
  <c r="F5640" i="20"/>
  <c r="I5651" i="20"/>
  <c r="I5648" i="20"/>
  <c r="I5656" i="20"/>
  <c r="I9050" i="20"/>
  <c r="G9043" i="20"/>
  <c r="E9072" i="20"/>
  <c r="I9058" i="20"/>
  <c r="I9056" i="20"/>
  <c r="I9064" i="20"/>
  <c r="E9074" i="20"/>
  <c r="I9048" i="20"/>
  <c r="I9053" i="20"/>
  <c r="I9061" i="20"/>
  <c r="G8775" i="20"/>
  <c r="F9044" i="20"/>
  <c r="G9044" i="20" s="1"/>
  <c r="I9055" i="20"/>
  <c r="I9063" i="20"/>
  <c r="E9073" i="20"/>
  <c r="I9052" i="20"/>
  <c r="I9060" i="20"/>
  <c r="I9049" i="20"/>
  <c r="I9057" i="20"/>
  <c r="F8718" i="20"/>
  <c r="I9054" i="20"/>
  <c r="I9062" i="20"/>
  <c r="I9051" i="20"/>
  <c r="I8730" i="20"/>
  <c r="I8727" i="20"/>
  <c r="I8726" i="20"/>
  <c r="I8729" i="20"/>
  <c r="I8738" i="20"/>
  <c r="I8782" i="20"/>
  <c r="E8804" i="20"/>
  <c r="I8790" i="20"/>
  <c r="E8751" i="20"/>
  <c r="I8788" i="20"/>
  <c r="I8796" i="20"/>
  <c r="E8806" i="20"/>
  <c r="I8741" i="20"/>
  <c r="F8774" i="20"/>
  <c r="G8774" i="20" s="1"/>
  <c r="I8780" i="20"/>
  <c r="I8785" i="20"/>
  <c r="I8793" i="20"/>
  <c r="F3749" i="20"/>
  <c r="F8776" i="20"/>
  <c r="G8776" i="20" s="1"/>
  <c r="I8787" i="20"/>
  <c r="I8795" i="20"/>
  <c r="E8805" i="20"/>
  <c r="F3747" i="20"/>
  <c r="F8719" i="20"/>
  <c r="G8719" i="20" s="1"/>
  <c r="I8725" i="20"/>
  <c r="F8773" i="20"/>
  <c r="I8784" i="20"/>
  <c r="I8792" i="20"/>
  <c r="I8781" i="20"/>
  <c r="I8789" i="20"/>
  <c r="E3776" i="20"/>
  <c r="I8786" i="20"/>
  <c r="I8794" i="20"/>
  <c r="I8783" i="20"/>
  <c r="D3758" i="20"/>
  <c r="F3758" i="20" s="1"/>
  <c r="I8733" i="20"/>
  <c r="I8735" i="20"/>
  <c r="F8721" i="20"/>
  <c r="G8721" i="20" s="1"/>
  <c r="I8732" i="20"/>
  <c r="I8740" i="20"/>
  <c r="E8750" i="20"/>
  <c r="I8737" i="20"/>
  <c r="I8734" i="20"/>
  <c r="F8720" i="20"/>
  <c r="G8720" i="20" s="1"/>
  <c r="I8731" i="20"/>
  <c r="I8739" i="20"/>
  <c r="I8728" i="20"/>
  <c r="I3762" i="20"/>
  <c r="I3754" i="20"/>
  <c r="I3760" i="20"/>
  <c r="I3755" i="20"/>
  <c r="I3763" i="20"/>
  <c r="I3753" i="20"/>
  <c r="I3756" i="20"/>
  <c r="I3766" i="20"/>
  <c r="I3758" i="20"/>
  <c r="D3654" i="20"/>
  <c r="F3654" i="20" s="1"/>
  <c r="D3705" i="20"/>
  <c r="F3705" i="20" s="1"/>
  <c r="F3696" i="20"/>
  <c r="F3698" i="20"/>
  <c r="I3757" i="20"/>
  <c r="I3765" i="20"/>
  <c r="E3775" i="20"/>
  <c r="F3697" i="20"/>
  <c r="F3748" i="20"/>
  <c r="I3759" i="20"/>
  <c r="E3725" i="20"/>
  <c r="I3764" i="20"/>
  <c r="I3707" i="20"/>
  <c r="I3711" i="20"/>
  <c r="I3703" i="20"/>
  <c r="I3709" i="20"/>
  <c r="I3708" i="20"/>
  <c r="I3715" i="20"/>
  <c r="I3702" i="20"/>
  <c r="I3704" i="20"/>
  <c r="I3712" i="20"/>
  <c r="F3596" i="20"/>
  <c r="I3706" i="20"/>
  <c r="I3714" i="20"/>
  <c r="E3724" i="20"/>
  <c r="I3705" i="20"/>
  <c r="I3713" i="20"/>
  <c r="F3594" i="20"/>
  <c r="I3664" i="20"/>
  <c r="F3645" i="20"/>
  <c r="I3653" i="20"/>
  <c r="I3651" i="20"/>
  <c r="I3658" i="20"/>
  <c r="I3656" i="20"/>
  <c r="E3674" i="20"/>
  <c r="I3661" i="20"/>
  <c r="F3647" i="20"/>
  <c r="E9599" i="20"/>
  <c r="I3655" i="20"/>
  <c r="I3663" i="20"/>
  <c r="E3673" i="20"/>
  <c r="I3652" i="20"/>
  <c r="I3660" i="20"/>
  <c r="F3646" i="20"/>
  <c r="I3657" i="20"/>
  <c r="I3654" i="20"/>
  <c r="I3662" i="20"/>
  <c r="F7564" i="20"/>
  <c r="I3613" i="20"/>
  <c r="I3603" i="20"/>
  <c r="I3607" i="20"/>
  <c r="I3609" i="20"/>
  <c r="I3605" i="20"/>
  <c r="I3601" i="20"/>
  <c r="I3600" i="20"/>
  <c r="I3602" i="20"/>
  <c r="E3623" i="20"/>
  <c r="I3610" i="20"/>
  <c r="F7567" i="20"/>
  <c r="G7567" i="20" s="1"/>
  <c r="I3604" i="20"/>
  <c r="I3612" i="20"/>
  <c r="E3622" i="20"/>
  <c r="F7466" i="20"/>
  <c r="F3595" i="20"/>
  <c r="I3606" i="20"/>
  <c r="I3611" i="20"/>
  <c r="F7573" i="20"/>
  <c r="D7360" i="20"/>
  <c r="F7360" i="20" s="1"/>
  <c r="I9587" i="20"/>
  <c r="I9579" i="20"/>
  <c r="I9585" i="20"/>
  <c r="I9588" i="20"/>
  <c r="I9580" i="20"/>
  <c r="E7594" i="20"/>
  <c r="F9572" i="20"/>
  <c r="I9578" i="20"/>
  <c r="I9583" i="20"/>
  <c r="I9591" i="20"/>
  <c r="E9601" i="20"/>
  <c r="F7465" i="20"/>
  <c r="F9571" i="20"/>
  <c r="I9582" i="20"/>
  <c r="I9590" i="20"/>
  <c r="E9600" i="20"/>
  <c r="F9573" i="20"/>
  <c r="G9573" i="20" s="1"/>
  <c r="I9584" i="20"/>
  <c r="E7487" i="20"/>
  <c r="I9581" i="20"/>
  <c r="I9589" i="20"/>
  <c r="I7584" i="20"/>
  <c r="I7477" i="20"/>
  <c r="I7576" i="20"/>
  <c r="I7572" i="20"/>
  <c r="I7573" i="20"/>
  <c r="I7581" i="20"/>
  <c r="F7572" i="20"/>
  <c r="I7578" i="20"/>
  <c r="F7414" i="20"/>
  <c r="F7566" i="20"/>
  <c r="G7566" i="20" s="1"/>
  <c r="I7575" i="20"/>
  <c r="I7583" i="20"/>
  <c r="E7593" i="20"/>
  <c r="I7580" i="20"/>
  <c r="I7577" i="20"/>
  <c r="F7565" i="20"/>
  <c r="I7571" i="20"/>
  <c r="I7574" i="20"/>
  <c r="I7582" i="20"/>
  <c r="F7460" i="20"/>
  <c r="G7460" i="20" s="1"/>
  <c r="F7413" i="20"/>
  <c r="F7310" i="20"/>
  <c r="F7362" i="20"/>
  <c r="D7412" i="20"/>
  <c r="F7412" i="20" s="1"/>
  <c r="I7469" i="20"/>
  <c r="I7465" i="20"/>
  <c r="F7457" i="20"/>
  <c r="I7466" i="20"/>
  <c r="I7474" i="20"/>
  <c r="I7471" i="20"/>
  <c r="F7459" i="20"/>
  <c r="G7459" i="20" s="1"/>
  <c r="I7468" i="20"/>
  <c r="I7476" i="20"/>
  <c r="E7486" i="20"/>
  <c r="I7473" i="20"/>
  <c r="I7470" i="20"/>
  <c r="F7458" i="20"/>
  <c r="I7464" i="20"/>
  <c r="I7467" i="20"/>
  <c r="I7475" i="20"/>
  <c r="I7361" i="20"/>
  <c r="I7413" i="20"/>
  <c r="I7419" i="20"/>
  <c r="F7408" i="20"/>
  <c r="G7408" i="20" s="1"/>
  <c r="I7417" i="20"/>
  <c r="I7425" i="20"/>
  <c r="E7435" i="20"/>
  <c r="F7405" i="20"/>
  <c r="I7414" i="20"/>
  <c r="I7422" i="20"/>
  <c r="F7309" i="20"/>
  <c r="I7373" i="20"/>
  <c r="F7407" i="20"/>
  <c r="G7407" i="20" s="1"/>
  <c r="I7416" i="20"/>
  <c r="I7424" i="20"/>
  <c r="E7434" i="20"/>
  <c r="I7421" i="20"/>
  <c r="I7321" i="20"/>
  <c r="G7355" i="20"/>
  <c r="F7361" i="20"/>
  <c r="I7418" i="20"/>
  <c r="F7406" i="20"/>
  <c r="I7412" i="20"/>
  <c r="I7415" i="20"/>
  <c r="I7423" i="20"/>
  <c r="I7367" i="20"/>
  <c r="I7365" i="20"/>
  <c r="I7372" i="20"/>
  <c r="I7364" i="20"/>
  <c r="F7356" i="20"/>
  <c r="G7356" i="20" s="1"/>
  <c r="E7383" i="20"/>
  <c r="F7353" i="20"/>
  <c r="I7362" i="20"/>
  <c r="I7370" i="20"/>
  <c r="I7313" i="20"/>
  <c r="I7369" i="20"/>
  <c r="E7382" i="20"/>
  <c r="I7366" i="20"/>
  <c r="F7354" i="20"/>
  <c r="I7360" i="20"/>
  <c r="I7363" i="20"/>
  <c r="I7371" i="20"/>
  <c r="E7381" i="20"/>
  <c r="I7315" i="20"/>
  <c r="I7310" i="20"/>
  <c r="I7318" i="20"/>
  <c r="I7309" i="20"/>
  <c r="F7304" i="20"/>
  <c r="G7304" i="20" s="1"/>
  <c r="E7331" i="20"/>
  <c r="F7301" i="20"/>
  <c r="F7303" i="20"/>
  <c r="G7303" i="20" s="1"/>
  <c r="I7312" i="20"/>
  <c r="I7320" i="20"/>
  <c r="E7330" i="20"/>
  <c r="I7317" i="20"/>
  <c r="I7314" i="20"/>
  <c r="F7050" i="20"/>
  <c r="F7302" i="20"/>
  <c r="I7308" i="20"/>
  <c r="I7311" i="20"/>
  <c r="I7319" i="20"/>
  <c r="F7205" i="20"/>
  <c r="F7257" i="20"/>
  <c r="F7258" i="20"/>
  <c r="I7258" i="20"/>
  <c r="I7257" i="20"/>
  <c r="I7263" i="20"/>
  <c r="F7252" i="20"/>
  <c r="G7252" i="20" s="1"/>
  <c r="I7261" i="20"/>
  <c r="I7269" i="20"/>
  <c r="E7279" i="20"/>
  <c r="F7249" i="20"/>
  <c r="I7266" i="20"/>
  <c r="F7251" i="20"/>
  <c r="G7251" i="20" s="1"/>
  <c r="I7260" i="20"/>
  <c r="I7268" i="20"/>
  <c r="E7278" i="20"/>
  <c r="I7265" i="20"/>
  <c r="I7262" i="20"/>
  <c r="F7250" i="20"/>
  <c r="I7256" i="20"/>
  <c r="I7259" i="20"/>
  <c r="I7267" i="20"/>
  <c r="F7206" i="20"/>
  <c r="F7154" i="20"/>
  <c r="F7102" i="20"/>
  <c r="F7153" i="20"/>
  <c r="I7205" i="20"/>
  <c r="I7211" i="20"/>
  <c r="F7200" i="20"/>
  <c r="G7200" i="20" s="1"/>
  <c r="I7209" i="20"/>
  <c r="I7217" i="20"/>
  <c r="E7227" i="20"/>
  <c r="F7197" i="20"/>
  <c r="I7206" i="20"/>
  <c r="I7214" i="20"/>
  <c r="I7154" i="20"/>
  <c r="F7199" i="20"/>
  <c r="G7199" i="20" s="1"/>
  <c r="I7208" i="20"/>
  <c r="I7216" i="20"/>
  <c r="E7226" i="20"/>
  <c r="I7213" i="20"/>
  <c r="I7210" i="20"/>
  <c r="F7198" i="20"/>
  <c r="I7204" i="20"/>
  <c r="I7207" i="20"/>
  <c r="I7215" i="20"/>
  <c r="F7101" i="20"/>
  <c r="I7153" i="20"/>
  <c r="I7159" i="20"/>
  <c r="F7148" i="20"/>
  <c r="G7148" i="20" s="1"/>
  <c r="I7157" i="20"/>
  <c r="I7165" i="20"/>
  <c r="E7175" i="20"/>
  <c r="F7145" i="20"/>
  <c r="I7162" i="20"/>
  <c r="F7049" i="20"/>
  <c r="I7101" i="20"/>
  <c r="F7147" i="20"/>
  <c r="G7147" i="20" s="1"/>
  <c r="I7156" i="20"/>
  <c r="I7164" i="20"/>
  <c r="E7174" i="20"/>
  <c r="I7161" i="20"/>
  <c r="I7158" i="20"/>
  <c r="I7102" i="20"/>
  <c r="I7106" i="20"/>
  <c r="F7146" i="20"/>
  <c r="I7152" i="20"/>
  <c r="I7155" i="20"/>
  <c r="I7163" i="20"/>
  <c r="I7107" i="20"/>
  <c r="I7110" i="20"/>
  <c r="F7096" i="20"/>
  <c r="G7096" i="20" s="1"/>
  <c r="I7105" i="20"/>
  <c r="I7113" i="20"/>
  <c r="E7123" i="20"/>
  <c r="F6946" i="20"/>
  <c r="F7093" i="20"/>
  <c r="F6940" i="20"/>
  <c r="G6940" i="20" s="1"/>
  <c r="F7095" i="20"/>
  <c r="G7095" i="20" s="1"/>
  <c r="I7104" i="20"/>
  <c r="I7112" i="20"/>
  <c r="E7122" i="20"/>
  <c r="I7109" i="20"/>
  <c r="F7094" i="20"/>
  <c r="I7100" i="20"/>
  <c r="I7103" i="20"/>
  <c r="I7111" i="20"/>
  <c r="I7049" i="20"/>
  <c r="I7055" i="20"/>
  <c r="F6992" i="20"/>
  <c r="G6992" i="20" s="1"/>
  <c r="E7019" i="20"/>
  <c r="F7044" i="20"/>
  <c r="G7044" i="20" s="1"/>
  <c r="I7053" i="20"/>
  <c r="I7061" i="20"/>
  <c r="E7071" i="20"/>
  <c r="F7041" i="20"/>
  <c r="I7050" i="20"/>
  <c r="I7058" i="20"/>
  <c r="F6997" i="20"/>
  <c r="F7043" i="20"/>
  <c r="G7043" i="20" s="1"/>
  <c r="I7052" i="20"/>
  <c r="I7060" i="20"/>
  <c r="E7070" i="20"/>
  <c r="F6991" i="20"/>
  <c r="G6991" i="20" s="1"/>
  <c r="I7057" i="20"/>
  <c r="I7054" i="20"/>
  <c r="F7042" i="20"/>
  <c r="I7048" i="20"/>
  <c r="I7051" i="20"/>
  <c r="I7059" i="20"/>
  <c r="F6998" i="20"/>
  <c r="I6997" i="20"/>
  <c r="I7009" i="20"/>
  <c r="I7003" i="20"/>
  <c r="I7001" i="20"/>
  <c r="I7000" i="20"/>
  <c r="F6989" i="20"/>
  <c r="I6998" i="20"/>
  <c r="I7006" i="20"/>
  <c r="F6945" i="20"/>
  <c r="I7008" i="20"/>
  <c r="E7018" i="20"/>
  <c r="I7005" i="20"/>
  <c r="I7002" i="20"/>
  <c r="F6990" i="20"/>
  <c r="I6996" i="20"/>
  <c r="I6999" i="20"/>
  <c r="I7007" i="20"/>
  <c r="I6957" i="20"/>
  <c r="I6945" i="20"/>
  <c r="I6951" i="20"/>
  <c r="I6949" i="20"/>
  <c r="E6967" i="20"/>
  <c r="F6937" i="20"/>
  <c r="I6946" i="20"/>
  <c r="I6954" i="20"/>
  <c r="F6939" i="20"/>
  <c r="G6939" i="20" s="1"/>
  <c r="I6948" i="20"/>
  <c r="I6956" i="20"/>
  <c r="E6966" i="20"/>
  <c r="I6953" i="20"/>
  <c r="I6950" i="20"/>
  <c r="F6938" i="20"/>
  <c r="I6944" i="20"/>
  <c r="I6947" i="20"/>
  <c r="I6955" i="20"/>
  <c r="I7683" i="20"/>
  <c r="I7677" i="20"/>
  <c r="F7672" i="20"/>
  <c r="G7672" i="20" s="1"/>
  <c r="I7681" i="20"/>
  <c r="I7689" i="20"/>
  <c r="E7699" i="20"/>
  <c r="F7669" i="20"/>
  <c r="I7678" i="20"/>
  <c r="I7686" i="20"/>
  <c r="E7645" i="20"/>
  <c r="F7671" i="20"/>
  <c r="G7671" i="20" s="1"/>
  <c r="I7680" i="20"/>
  <c r="I7688" i="20"/>
  <c r="E7698" i="20"/>
  <c r="I7685" i="20"/>
  <c r="F7617" i="20"/>
  <c r="I7682" i="20"/>
  <c r="F7670" i="20"/>
  <c r="I7676" i="20"/>
  <c r="I7679" i="20"/>
  <c r="I7687" i="20"/>
  <c r="F7620" i="20"/>
  <c r="G7620" i="20" s="1"/>
  <c r="I7634" i="20"/>
  <c r="I7626" i="20"/>
  <c r="I7637" i="20"/>
  <c r="I7625" i="20"/>
  <c r="I7629" i="20"/>
  <c r="F7619" i="20"/>
  <c r="G7619" i="20" s="1"/>
  <c r="I7628" i="20"/>
  <c r="I7636" i="20"/>
  <c r="E7646" i="20"/>
  <c r="I7633" i="20"/>
  <c r="I7630" i="20"/>
  <c r="F7618" i="20"/>
  <c r="I7624" i="20"/>
  <c r="I7627" i="20"/>
  <c r="I7635" i="20"/>
  <c r="I7631" i="20"/>
  <c r="I5601" i="20"/>
  <c r="I5594" i="20"/>
  <c r="I5599" i="20"/>
  <c r="I5607" i="20"/>
  <c r="E5617" i="20"/>
  <c r="I5596" i="20"/>
  <c r="I5604" i="20"/>
  <c r="I5598" i="20"/>
  <c r="I5606" i="20"/>
  <c r="E5616" i="20"/>
  <c r="I5595" i="20"/>
  <c r="F5588" i="20"/>
  <c r="I5603" i="20"/>
  <c r="I5600" i="20"/>
  <c r="F5589" i="20"/>
  <c r="I5597" i="20"/>
  <c r="I5605" i="20"/>
  <c r="H7062" i="20" l="1"/>
  <c r="K7036" i="20" s="1"/>
  <c r="G5640" i="20"/>
  <c r="F5641" i="20"/>
  <c r="G5641" i="20" s="1"/>
  <c r="H7374" i="20"/>
  <c r="K7348" i="20" s="1"/>
  <c r="H7426" i="20"/>
  <c r="K7400" i="20" s="1"/>
  <c r="H7114" i="20"/>
  <c r="K7088" i="20" s="1"/>
  <c r="G5589" i="20"/>
  <c r="F5590" i="20"/>
  <c r="G5590" i="20" s="1"/>
  <c r="B5565" i="20" l="1"/>
  <c r="B5564" i="20"/>
  <c r="E5559" i="20"/>
  <c r="F5559" i="20" s="1"/>
  <c r="H5560" i="20" s="1"/>
  <c r="N5531" i="20" s="1"/>
  <c r="D5555" i="20"/>
  <c r="F5555" i="20" s="1"/>
  <c r="C5555" i="20"/>
  <c r="B5555" i="20"/>
  <c r="D5554" i="20"/>
  <c r="F5554" i="20" s="1"/>
  <c r="C5554" i="20"/>
  <c r="B5554" i="20"/>
  <c r="D5553" i="20"/>
  <c r="F5553" i="20" s="1"/>
  <c r="C5553" i="20"/>
  <c r="B5553" i="20"/>
  <c r="D5552" i="20"/>
  <c r="F5552" i="20" s="1"/>
  <c r="C5552" i="20"/>
  <c r="B5552" i="20"/>
  <c r="D5551" i="20"/>
  <c r="F5551" i="20" s="1"/>
  <c r="C5551" i="20"/>
  <c r="B5551" i="20"/>
  <c r="D5550" i="20"/>
  <c r="F5550" i="20" s="1"/>
  <c r="C5550" i="20"/>
  <c r="B5550" i="20"/>
  <c r="D5549" i="20"/>
  <c r="F5549" i="20" s="1"/>
  <c r="C5549" i="20"/>
  <c r="B5549" i="20"/>
  <c r="D5548" i="20"/>
  <c r="F5548" i="20" s="1"/>
  <c r="C5548" i="20"/>
  <c r="B5548" i="20"/>
  <c r="D5547" i="20"/>
  <c r="F5547" i="20" s="1"/>
  <c r="C5547" i="20"/>
  <c r="B5547" i="20"/>
  <c r="D5546" i="20"/>
  <c r="F5546" i="20" s="1"/>
  <c r="C5546" i="20"/>
  <c r="B5546" i="20"/>
  <c r="D5545" i="20"/>
  <c r="F5545" i="20" s="1"/>
  <c r="C5545" i="20"/>
  <c r="B5545" i="20"/>
  <c r="D5544" i="20"/>
  <c r="F5544" i="20" s="1"/>
  <c r="C5544" i="20"/>
  <c r="B5544" i="20"/>
  <c r="C5543" i="20"/>
  <c r="C5542" i="20"/>
  <c r="E5538" i="20"/>
  <c r="G5538" i="20" s="1"/>
  <c r="D5538" i="20"/>
  <c r="B5538" i="20"/>
  <c r="E5537" i="20"/>
  <c r="D5537" i="20"/>
  <c r="B5537" i="20"/>
  <c r="D5536" i="20"/>
  <c r="B5536" i="20"/>
  <c r="G5533" i="20"/>
  <c r="I5550" i="20" s="1"/>
  <c r="G5532" i="20"/>
  <c r="B5532" i="20"/>
  <c r="B5531" i="20"/>
  <c r="H5530" i="20"/>
  <c r="B5527" i="20"/>
  <c r="E5563" i="20"/>
  <c r="B5514" i="20"/>
  <c r="B5513" i="20"/>
  <c r="E5508" i="20"/>
  <c r="F5508" i="20" s="1"/>
  <c r="H5509" i="20" s="1"/>
  <c r="N5480" i="20" s="1"/>
  <c r="D5504" i="20"/>
  <c r="F5504" i="20" s="1"/>
  <c r="C5504" i="20"/>
  <c r="B5504" i="20"/>
  <c r="D5503" i="20"/>
  <c r="F5503" i="20" s="1"/>
  <c r="C5503" i="20"/>
  <c r="B5503" i="20"/>
  <c r="D5502" i="20"/>
  <c r="F5502" i="20" s="1"/>
  <c r="C5502" i="20"/>
  <c r="B5502" i="20"/>
  <c r="D5501" i="20"/>
  <c r="F5501" i="20" s="1"/>
  <c r="C5501" i="20"/>
  <c r="B5501" i="20"/>
  <c r="D5500" i="20"/>
  <c r="F5500" i="20" s="1"/>
  <c r="C5500" i="20"/>
  <c r="B5500" i="20"/>
  <c r="D5499" i="20"/>
  <c r="F5499" i="20" s="1"/>
  <c r="C5499" i="20"/>
  <c r="B5499" i="20"/>
  <c r="D5498" i="20"/>
  <c r="F5498" i="20" s="1"/>
  <c r="C5498" i="20"/>
  <c r="B5498" i="20"/>
  <c r="D5497" i="20"/>
  <c r="F5497" i="20" s="1"/>
  <c r="C5497" i="20"/>
  <c r="B5497" i="20"/>
  <c r="D5496" i="20"/>
  <c r="F5496" i="20" s="1"/>
  <c r="C5496" i="20"/>
  <c r="B5496" i="20"/>
  <c r="D5495" i="20"/>
  <c r="F5495" i="20" s="1"/>
  <c r="C5495" i="20"/>
  <c r="B5495" i="20"/>
  <c r="D5494" i="20"/>
  <c r="F5494" i="20" s="1"/>
  <c r="C5494" i="20"/>
  <c r="B5494" i="20"/>
  <c r="D5493" i="20"/>
  <c r="F5493" i="20" s="1"/>
  <c r="C5493" i="20"/>
  <c r="B5493" i="20"/>
  <c r="C5492" i="20"/>
  <c r="C5491" i="20"/>
  <c r="E5487" i="20"/>
  <c r="G5487" i="20" s="1"/>
  <c r="D5487" i="20"/>
  <c r="B5487" i="20"/>
  <c r="E5486" i="20"/>
  <c r="D5486" i="20"/>
  <c r="B5486" i="20"/>
  <c r="D5485" i="20"/>
  <c r="B5485" i="20"/>
  <c r="G5482" i="20"/>
  <c r="I5502" i="20" s="1"/>
  <c r="G5481" i="20"/>
  <c r="B5481" i="20"/>
  <c r="B5480" i="20"/>
  <c r="H5479" i="20"/>
  <c r="B5476" i="20"/>
  <c r="E5512" i="20"/>
  <c r="B3572" i="20"/>
  <c r="B3571" i="20"/>
  <c r="E3566" i="20"/>
  <c r="F3566" i="20" s="1"/>
  <c r="H3567" i="20" s="1"/>
  <c r="N3538" i="20" s="1"/>
  <c r="D3562" i="20"/>
  <c r="F3562" i="20" s="1"/>
  <c r="C3562" i="20"/>
  <c r="B3562" i="20"/>
  <c r="D3561" i="20"/>
  <c r="F3561" i="20" s="1"/>
  <c r="C3561" i="20"/>
  <c r="B3561" i="20"/>
  <c r="D3560" i="20"/>
  <c r="F3560" i="20" s="1"/>
  <c r="C3560" i="20"/>
  <c r="B3560" i="20"/>
  <c r="D3559" i="20"/>
  <c r="F3559" i="20" s="1"/>
  <c r="C3559" i="20"/>
  <c r="B3559" i="20"/>
  <c r="D3558" i="20"/>
  <c r="F3558" i="20" s="1"/>
  <c r="C3558" i="20"/>
  <c r="B3558" i="20"/>
  <c r="D3557" i="20"/>
  <c r="F3557" i="20" s="1"/>
  <c r="C3557" i="20"/>
  <c r="B3557" i="20"/>
  <c r="C3556" i="20"/>
  <c r="B3556" i="20"/>
  <c r="C3555" i="20"/>
  <c r="B3555" i="20"/>
  <c r="C3554" i="20"/>
  <c r="B3554" i="20"/>
  <c r="C3553" i="20"/>
  <c r="B3553" i="20"/>
  <c r="C3552" i="20"/>
  <c r="B3552" i="20"/>
  <c r="C3551" i="20"/>
  <c r="B3551" i="20"/>
  <c r="C3550" i="20"/>
  <c r="C3549" i="20"/>
  <c r="D3545" i="20"/>
  <c r="B3545" i="20"/>
  <c r="D3544" i="20"/>
  <c r="B3544" i="20"/>
  <c r="D3543" i="20"/>
  <c r="B3543" i="20"/>
  <c r="G3540" i="20"/>
  <c r="I3557" i="20" s="1"/>
  <c r="G3539" i="20"/>
  <c r="B3539" i="20"/>
  <c r="B3538" i="20"/>
  <c r="H3537" i="20"/>
  <c r="B3534" i="20"/>
  <c r="H3533" i="20"/>
  <c r="E3570" i="20" s="1"/>
  <c r="B3521" i="20"/>
  <c r="B3520" i="20"/>
  <c r="E3515" i="20"/>
  <c r="F3515" i="20" s="1"/>
  <c r="H3516" i="20" s="1"/>
  <c r="N3487" i="20" s="1"/>
  <c r="D3511" i="20"/>
  <c r="F3511" i="20" s="1"/>
  <c r="C3511" i="20"/>
  <c r="B3511" i="20"/>
  <c r="D3510" i="20"/>
  <c r="F3510" i="20" s="1"/>
  <c r="C3510" i="20"/>
  <c r="B3510" i="20"/>
  <c r="D3509" i="20"/>
  <c r="F3509" i="20" s="1"/>
  <c r="C3509" i="20"/>
  <c r="B3509" i="20"/>
  <c r="D3508" i="20"/>
  <c r="F3508" i="20" s="1"/>
  <c r="C3508" i="20"/>
  <c r="B3508" i="20"/>
  <c r="D3507" i="20"/>
  <c r="F3507" i="20" s="1"/>
  <c r="C3507" i="20"/>
  <c r="B3507" i="20"/>
  <c r="D3506" i="20"/>
  <c r="F3506" i="20" s="1"/>
  <c r="C3506" i="20"/>
  <c r="B3506" i="20"/>
  <c r="C3505" i="20"/>
  <c r="B3505" i="20"/>
  <c r="C3504" i="20"/>
  <c r="B3504" i="20"/>
  <c r="C3503" i="20"/>
  <c r="B3503" i="20"/>
  <c r="C3502" i="20"/>
  <c r="B3502" i="20"/>
  <c r="C3501" i="20"/>
  <c r="B3501" i="20"/>
  <c r="C3500" i="20"/>
  <c r="B3500" i="20"/>
  <c r="C3499" i="20"/>
  <c r="C3498" i="20"/>
  <c r="D3494" i="20"/>
  <c r="B3494" i="20"/>
  <c r="D3493" i="20"/>
  <c r="B3493" i="20"/>
  <c r="D3492" i="20"/>
  <c r="B3492" i="20"/>
  <c r="G3489" i="20"/>
  <c r="I3506" i="20" s="1"/>
  <c r="G3488" i="20"/>
  <c r="B3488" i="20"/>
  <c r="B3487" i="20"/>
  <c r="H3486" i="20"/>
  <c r="B3483" i="20"/>
  <c r="H3482" i="20"/>
  <c r="E3519" i="20" s="1"/>
  <c r="B8696" i="20"/>
  <c r="B8695" i="20"/>
  <c r="E8690" i="20"/>
  <c r="F8690" i="20" s="1"/>
  <c r="H8691" i="20" s="1"/>
  <c r="N8658" i="20" s="1"/>
  <c r="C8686" i="20"/>
  <c r="B8686" i="20"/>
  <c r="C8685" i="20"/>
  <c r="B8685" i="20"/>
  <c r="C8684" i="20"/>
  <c r="B8684" i="20"/>
  <c r="C8683" i="20"/>
  <c r="B8683" i="20"/>
  <c r="C8682" i="20"/>
  <c r="B8682" i="20"/>
  <c r="C8681" i="20"/>
  <c r="B8681" i="20"/>
  <c r="C8680" i="20"/>
  <c r="B8680" i="20"/>
  <c r="C8679" i="20"/>
  <c r="B8679" i="20"/>
  <c r="C8678" i="20"/>
  <c r="B8678" i="20"/>
  <c r="C8677" i="20"/>
  <c r="B8677" i="20"/>
  <c r="C8676" i="20"/>
  <c r="B8676" i="20"/>
  <c r="C8675" i="20"/>
  <c r="B8675" i="20"/>
  <c r="C8674" i="20"/>
  <c r="B8674" i="20"/>
  <c r="C8673" i="20"/>
  <c r="B8673" i="20"/>
  <c r="C8672" i="20"/>
  <c r="B8672" i="20"/>
  <c r="C8671" i="20"/>
  <c r="C8670" i="20"/>
  <c r="E8666" i="20"/>
  <c r="D8666" i="20"/>
  <c r="B8666" i="20"/>
  <c r="E8665" i="20"/>
  <c r="D8665" i="20"/>
  <c r="B8665" i="20"/>
  <c r="E8664" i="20"/>
  <c r="D8664" i="20"/>
  <c r="B8664" i="20"/>
  <c r="D8663" i="20"/>
  <c r="B8663" i="20"/>
  <c r="G8660" i="20"/>
  <c r="I8681" i="20" s="1"/>
  <c r="G8659" i="20"/>
  <c r="B8659" i="20"/>
  <c r="B8658" i="20"/>
  <c r="H8657" i="20"/>
  <c r="B8654" i="20"/>
  <c r="E8694" i="20"/>
  <c r="I294" i="4"/>
  <c r="K294" i="4" s="1"/>
  <c r="F294" i="4" s="1"/>
  <c r="I267" i="4"/>
  <c r="K267" i="4" s="1"/>
  <c r="F267" i="4" s="1"/>
  <c r="B3470" i="20"/>
  <c r="B3469" i="20"/>
  <c r="E3464" i="20"/>
  <c r="F3464" i="20" s="1"/>
  <c r="H3465" i="20" s="1"/>
  <c r="N3436" i="20" s="1"/>
  <c r="D3460" i="20"/>
  <c r="F3460" i="20" s="1"/>
  <c r="C3460" i="20"/>
  <c r="B3460" i="20"/>
  <c r="D3459" i="20"/>
  <c r="F3459" i="20" s="1"/>
  <c r="C3459" i="20"/>
  <c r="B3459" i="20"/>
  <c r="D3458" i="20"/>
  <c r="F3458" i="20" s="1"/>
  <c r="C3458" i="20"/>
  <c r="B3458" i="20"/>
  <c r="D3457" i="20"/>
  <c r="F3457" i="20" s="1"/>
  <c r="C3457" i="20"/>
  <c r="B3457" i="20"/>
  <c r="D3456" i="20"/>
  <c r="F3456" i="20" s="1"/>
  <c r="C3456" i="20"/>
  <c r="B3456" i="20"/>
  <c r="D3455" i="20"/>
  <c r="F3455" i="20" s="1"/>
  <c r="C3455" i="20"/>
  <c r="B3455" i="20"/>
  <c r="C3454" i="20"/>
  <c r="B3454" i="20"/>
  <c r="C3453" i="20"/>
  <c r="B3453" i="20"/>
  <c r="C3452" i="20"/>
  <c r="B3452" i="20"/>
  <c r="C3451" i="20"/>
  <c r="B3451" i="20"/>
  <c r="C3450" i="20"/>
  <c r="B3450" i="20"/>
  <c r="C3449" i="20"/>
  <c r="B3449" i="20"/>
  <c r="C3448" i="20"/>
  <c r="C3447" i="20"/>
  <c r="D3443" i="20"/>
  <c r="B3443" i="20"/>
  <c r="D3442" i="20"/>
  <c r="B3442" i="20"/>
  <c r="D3441" i="20"/>
  <c r="B3441" i="20"/>
  <c r="G3438" i="20"/>
  <c r="I3455" i="20" s="1"/>
  <c r="G3437" i="20"/>
  <c r="B3437" i="20"/>
  <c r="B3436" i="20"/>
  <c r="H3435" i="20"/>
  <c r="B3432" i="20"/>
  <c r="H3431" i="20"/>
  <c r="E3468" i="20" s="1"/>
  <c r="B3419" i="20"/>
  <c r="B3418" i="20"/>
  <c r="E3413" i="20"/>
  <c r="F3413" i="20" s="1"/>
  <c r="H3414" i="20" s="1"/>
  <c r="N3385" i="20" s="1"/>
  <c r="D3409" i="20"/>
  <c r="F3409" i="20" s="1"/>
  <c r="C3409" i="20"/>
  <c r="B3409" i="20"/>
  <c r="D3408" i="20"/>
  <c r="F3408" i="20" s="1"/>
  <c r="C3408" i="20"/>
  <c r="B3408" i="20"/>
  <c r="D3407" i="20"/>
  <c r="F3407" i="20" s="1"/>
  <c r="C3407" i="20"/>
  <c r="B3407" i="20"/>
  <c r="D3406" i="20"/>
  <c r="F3406" i="20" s="1"/>
  <c r="C3406" i="20"/>
  <c r="B3406" i="20"/>
  <c r="D3405" i="20"/>
  <c r="F3405" i="20" s="1"/>
  <c r="C3405" i="20"/>
  <c r="B3405" i="20"/>
  <c r="D3404" i="20"/>
  <c r="F3404" i="20" s="1"/>
  <c r="C3404" i="20"/>
  <c r="B3404" i="20"/>
  <c r="C3403" i="20"/>
  <c r="B3403" i="20"/>
  <c r="C3402" i="20"/>
  <c r="B3402" i="20"/>
  <c r="C3401" i="20"/>
  <c r="B3401" i="20"/>
  <c r="C3400" i="20"/>
  <c r="B3400" i="20"/>
  <c r="C3399" i="20"/>
  <c r="B3399" i="20"/>
  <c r="C3398" i="20"/>
  <c r="B3398" i="20"/>
  <c r="C3397" i="20"/>
  <c r="C3396" i="20"/>
  <c r="D3392" i="20"/>
  <c r="B3392" i="20"/>
  <c r="D3391" i="20"/>
  <c r="B3391" i="20"/>
  <c r="D3390" i="20"/>
  <c r="B3390" i="20"/>
  <c r="G3387" i="20"/>
  <c r="I3404" i="20" s="1"/>
  <c r="G3386" i="20"/>
  <c r="B3386" i="20"/>
  <c r="B3385" i="20"/>
  <c r="H3384" i="20"/>
  <c r="B3381" i="20"/>
  <c r="H3380" i="20"/>
  <c r="F3392" i="20" s="1"/>
  <c r="B3368" i="20"/>
  <c r="B3367" i="20"/>
  <c r="E3362" i="20"/>
  <c r="F3362" i="20" s="1"/>
  <c r="H3363" i="20" s="1"/>
  <c r="N3334" i="20" s="1"/>
  <c r="D3358" i="20"/>
  <c r="F3358" i="20" s="1"/>
  <c r="C3358" i="20"/>
  <c r="B3358" i="20"/>
  <c r="D3357" i="20"/>
  <c r="F3357" i="20" s="1"/>
  <c r="C3357" i="20"/>
  <c r="B3357" i="20"/>
  <c r="D3356" i="20"/>
  <c r="F3356" i="20" s="1"/>
  <c r="C3356" i="20"/>
  <c r="B3356" i="20"/>
  <c r="D3355" i="20"/>
  <c r="F3355" i="20" s="1"/>
  <c r="C3355" i="20"/>
  <c r="B3355" i="20"/>
  <c r="D3354" i="20"/>
  <c r="F3354" i="20" s="1"/>
  <c r="C3354" i="20"/>
  <c r="B3354" i="20"/>
  <c r="D3353" i="20"/>
  <c r="F3353" i="20" s="1"/>
  <c r="C3353" i="20"/>
  <c r="B3353" i="20"/>
  <c r="C3352" i="20"/>
  <c r="B3352" i="20"/>
  <c r="C3351" i="20"/>
  <c r="B3351" i="20"/>
  <c r="C3350" i="20"/>
  <c r="B3350" i="20"/>
  <c r="C3349" i="20"/>
  <c r="B3349" i="20"/>
  <c r="C3348" i="20"/>
  <c r="B3348" i="20"/>
  <c r="C3347" i="20"/>
  <c r="B3347" i="20"/>
  <c r="C3346" i="20"/>
  <c r="C3345" i="20"/>
  <c r="D3341" i="20"/>
  <c r="B3341" i="20"/>
  <c r="D3340" i="20"/>
  <c r="B3340" i="20"/>
  <c r="D3339" i="20"/>
  <c r="B3339" i="20"/>
  <c r="G3336" i="20"/>
  <c r="I3353" i="20" s="1"/>
  <c r="G3335" i="20"/>
  <c r="B3335" i="20"/>
  <c r="B3334" i="20"/>
  <c r="H3333" i="20"/>
  <c r="B3330" i="20"/>
  <c r="H3329" i="20"/>
  <c r="E3366" i="20" s="1"/>
  <c r="I185" i="4"/>
  <c r="K185" i="4" s="1"/>
  <c r="E5565" i="20" l="1"/>
  <c r="I5491" i="20"/>
  <c r="I5542" i="20"/>
  <c r="I5555" i="20"/>
  <c r="I5547" i="20"/>
  <c r="E5514" i="20"/>
  <c r="F5536" i="20"/>
  <c r="I5544" i="20"/>
  <c r="I5552" i="20"/>
  <c r="I5549" i="20"/>
  <c r="I5546" i="20"/>
  <c r="I5554" i="20"/>
  <c r="E5564" i="20"/>
  <c r="I5543" i="20"/>
  <c r="I5551" i="20"/>
  <c r="I5548" i="20"/>
  <c r="F5537" i="20"/>
  <c r="G5537" i="20" s="1"/>
  <c r="I5545" i="20"/>
  <c r="I5553" i="20"/>
  <c r="F3492" i="20"/>
  <c r="I5496" i="20"/>
  <c r="I5498" i="20"/>
  <c r="I5504" i="20"/>
  <c r="I5499" i="20"/>
  <c r="F5485" i="20"/>
  <c r="I5493" i="20"/>
  <c r="I5501" i="20"/>
  <c r="I5495" i="20"/>
  <c r="I5503" i="20"/>
  <c r="E5513" i="20"/>
  <c r="I5492" i="20"/>
  <c r="I5500" i="20"/>
  <c r="I5497" i="20"/>
  <c r="F5486" i="20"/>
  <c r="G5486" i="20" s="1"/>
  <c r="I5494" i="20"/>
  <c r="F3543" i="20"/>
  <c r="E3572" i="20"/>
  <c r="I3562" i="20"/>
  <c r="I3554" i="20"/>
  <c r="I3552" i="20"/>
  <c r="I3551" i="20"/>
  <c r="I3549" i="20"/>
  <c r="I3559" i="20"/>
  <c r="E3521" i="20"/>
  <c r="F3545" i="20"/>
  <c r="I3556" i="20"/>
  <c r="I3553" i="20"/>
  <c r="I3561" i="20"/>
  <c r="E3571" i="20"/>
  <c r="I3550" i="20"/>
  <c r="I3558" i="20"/>
  <c r="F3544" i="20"/>
  <c r="I3555" i="20"/>
  <c r="I3560" i="20"/>
  <c r="I3501" i="20"/>
  <c r="I3500" i="20"/>
  <c r="I3511" i="20"/>
  <c r="I3498" i="20"/>
  <c r="I3503" i="20"/>
  <c r="I3508" i="20"/>
  <c r="F3494" i="20"/>
  <c r="I3505" i="20"/>
  <c r="I3502" i="20"/>
  <c r="I3510" i="20"/>
  <c r="E3520" i="20"/>
  <c r="I3499" i="20"/>
  <c r="I3507" i="20"/>
  <c r="F3493" i="20"/>
  <c r="I3504" i="20"/>
  <c r="I3509" i="20"/>
  <c r="F8666" i="20"/>
  <c r="G8666" i="20" s="1"/>
  <c r="F8663" i="20"/>
  <c r="F8665" i="20"/>
  <c r="G8665" i="20" s="1"/>
  <c r="F8664" i="20"/>
  <c r="G8664" i="20" s="1"/>
  <c r="I8680" i="20"/>
  <c r="I8683" i="20"/>
  <c r="I8674" i="20"/>
  <c r="I8675" i="20"/>
  <c r="I8670" i="20"/>
  <c r="I8672" i="20"/>
  <c r="I8678" i="20"/>
  <c r="I8686" i="20"/>
  <c r="E8696" i="20"/>
  <c r="I8677" i="20"/>
  <c r="I8685" i="20"/>
  <c r="E8695" i="20"/>
  <c r="I8682" i="20"/>
  <c r="I8671" i="20"/>
  <c r="I8679" i="20"/>
  <c r="I8676" i="20"/>
  <c r="I8684" i="20"/>
  <c r="I8673" i="20"/>
  <c r="I3449" i="20"/>
  <c r="I3447" i="20"/>
  <c r="I3448" i="20"/>
  <c r="I3454" i="20"/>
  <c r="I3457" i="20"/>
  <c r="F3441" i="20"/>
  <c r="I3452" i="20"/>
  <c r="I3460" i="20"/>
  <c r="E3470" i="20"/>
  <c r="I3451" i="20"/>
  <c r="I3459" i="20"/>
  <c r="E3469" i="20"/>
  <c r="I3456" i="20"/>
  <c r="F3443" i="20"/>
  <c r="F3442" i="20"/>
  <c r="I3453" i="20"/>
  <c r="I3450" i="20"/>
  <c r="I3458" i="20"/>
  <c r="F3339" i="20"/>
  <c r="I3398" i="20"/>
  <c r="I3406" i="20"/>
  <c r="I3396" i="20"/>
  <c r="I3403" i="20"/>
  <c r="I3397" i="20"/>
  <c r="F3390" i="20"/>
  <c r="I3401" i="20"/>
  <c r="I3409" i="20"/>
  <c r="E3419" i="20"/>
  <c r="I3400" i="20"/>
  <c r="I3408" i="20"/>
  <c r="E3418" i="20"/>
  <c r="I3405" i="20"/>
  <c r="F3391" i="20"/>
  <c r="I3402" i="20"/>
  <c r="I3399" i="20"/>
  <c r="I3407" i="20"/>
  <c r="E3417" i="20"/>
  <c r="I3352" i="20"/>
  <c r="I3345" i="20"/>
  <c r="I3355" i="20"/>
  <c r="I3347" i="20"/>
  <c r="I3350" i="20"/>
  <c r="I3358" i="20"/>
  <c r="E3368" i="20"/>
  <c r="I3357" i="20"/>
  <c r="E3367" i="20"/>
  <c r="I3354" i="20"/>
  <c r="I3349" i="20"/>
  <c r="I3346" i="20"/>
  <c r="F3340" i="20"/>
  <c r="I3351" i="20"/>
  <c r="F3341" i="20"/>
  <c r="I3348" i="20"/>
  <c r="I3356" i="20"/>
  <c r="E6913" i="20"/>
  <c r="E6894" i="20"/>
  <c r="E6893" i="20"/>
  <c r="B6915" i="20"/>
  <c r="B6914" i="20"/>
  <c r="E6909" i="20"/>
  <c r="F6909" i="20" s="1"/>
  <c r="H6910" i="20" s="1"/>
  <c r="N6880" i="20" s="1"/>
  <c r="D6905" i="20"/>
  <c r="F6905" i="20" s="1"/>
  <c r="C6905" i="20"/>
  <c r="B6905" i="20"/>
  <c r="D6904" i="20"/>
  <c r="F6904" i="20" s="1"/>
  <c r="C6904" i="20"/>
  <c r="B6904" i="20"/>
  <c r="D6903" i="20"/>
  <c r="F6903" i="20" s="1"/>
  <c r="C6903" i="20"/>
  <c r="B6903" i="20"/>
  <c r="D6902" i="20"/>
  <c r="F6902" i="20" s="1"/>
  <c r="C6902" i="20"/>
  <c r="B6902" i="20"/>
  <c r="D6901" i="20"/>
  <c r="F6901" i="20" s="1"/>
  <c r="C6901" i="20"/>
  <c r="B6901" i="20"/>
  <c r="D6900" i="20"/>
  <c r="F6900" i="20" s="1"/>
  <c r="C6900" i="20"/>
  <c r="B6900" i="20"/>
  <c r="D6899" i="20"/>
  <c r="F6899" i="20" s="1"/>
  <c r="C6899" i="20"/>
  <c r="B6899" i="20"/>
  <c r="D6898" i="20"/>
  <c r="F6898" i="20" s="1"/>
  <c r="C6898" i="20"/>
  <c r="B6898" i="20"/>
  <c r="D6897" i="20"/>
  <c r="F6897" i="20" s="1"/>
  <c r="C6897" i="20"/>
  <c r="B6897" i="20"/>
  <c r="D6896" i="20"/>
  <c r="F6896" i="20" s="1"/>
  <c r="C6896" i="20"/>
  <c r="B6896" i="20"/>
  <c r="D6895" i="20"/>
  <c r="F6895" i="20" s="1"/>
  <c r="C6895" i="20"/>
  <c r="B6895" i="20"/>
  <c r="C6894" i="20"/>
  <c r="B6894" i="20"/>
  <c r="C6893" i="20"/>
  <c r="C6892" i="20"/>
  <c r="E6888" i="20"/>
  <c r="D6888" i="20"/>
  <c r="B6888" i="20"/>
  <c r="E6887" i="20"/>
  <c r="D6887" i="20"/>
  <c r="B6887" i="20"/>
  <c r="D6886" i="20"/>
  <c r="B6886" i="20"/>
  <c r="D6885" i="20"/>
  <c r="B6885" i="20"/>
  <c r="G6882" i="20"/>
  <c r="I6900" i="20" s="1"/>
  <c r="G6881" i="20"/>
  <c r="B6881" i="20"/>
  <c r="B6880" i="20"/>
  <c r="H6879" i="20"/>
  <c r="B6876" i="20"/>
  <c r="E6861" i="20"/>
  <c r="B6863" i="20"/>
  <c r="B6862" i="20"/>
  <c r="E6857" i="20"/>
  <c r="F6857" i="20" s="1"/>
  <c r="H6858" i="20" s="1"/>
  <c r="N6828" i="20" s="1"/>
  <c r="D6853" i="20"/>
  <c r="F6853" i="20" s="1"/>
  <c r="C6853" i="20"/>
  <c r="B6853" i="20"/>
  <c r="D6852" i="20"/>
  <c r="F6852" i="20" s="1"/>
  <c r="C6852" i="20"/>
  <c r="B6852" i="20"/>
  <c r="D6851" i="20"/>
  <c r="F6851" i="20" s="1"/>
  <c r="C6851" i="20"/>
  <c r="B6851" i="20"/>
  <c r="D6850" i="20"/>
  <c r="F6850" i="20" s="1"/>
  <c r="C6850" i="20"/>
  <c r="B6850" i="20"/>
  <c r="D6849" i="20"/>
  <c r="F6849" i="20" s="1"/>
  <c r="C6849" i="20"/>
  <c r="B6849" i="20"/>
  <c r="D6848" i="20"/>
  <c r="F6848" i="20" s="1"/>
  <c r="C6848" i="20"/>
  <c r="B6848" i="20"/>
  <c r="D6847" i="20"/>
  <c r="F6847" i="20" s="1"/>
  <c r="C6847" i="20"/>
  <c r="B6847" i="20"/>
  <c r="D6846" i="20"/>
  <c r="F6846" i="20" s="1"/>
  <c r="C6846" i="20"/>
  <c r="B6846" i="20"/>
  <c r="D6845" i="20"/>
  <c r="F6845" i="20" s="1"/>
  <c r="C6845" i="20"/>
  <c r="B6845" i="20"/>
  <c r="D6844" i="20"/>
  <c r="F6844" i="20" s="1"/>
  <c r="C6844" i="20"/>
  <c r="B6844" i="20"/>
  <c r="D6843" i="20"/>
  <c r="F6843" i="20" s="1"/>
  <c r="C6843" i="20"/>
  <c r="B6843" i="20"/>
  <c r="D6842" i="20"/>
  <c r="F6842" i="20" s="1"/>
  <c r="C6842" i="20"/>
  <c r="B6842" i="20"/>
  <c r="D6841" i="20"/>
  <c r="F6841" i="20" s="1"/>
  <c r="C6841" i="20"/>
  <c r="C6840" i="20"/>
  <c r="E6836" i="20"/>
  <c r="D6836" i="20"/>
  <c r="B6836" i="20"/>
  <c r="E6835" i="20"/>
  <c r="D6835" i="20"/>
  <c r="B6835" i="20"/>
  <c r="E6834" i="20"/>
  <c r="D6834" i="20"/>
  <c r="B6834" i="20"/>
  <c r="D6833" i="20"/>
  <c r="B6833" i="20"/>
  <c r="G6830" i="20"/>
  <c r="I6848" i="20" s="1"/>
  <c r="G6829" i="20"/>
  <c r="B6829" i="20"/>
  <c r="B6828" i="20"/>
  <c r="H6827" i="20"/>
  <c r="B6824" i="20"/>
  <c r="B5463" i="20"/>
  <c r="B5462" i="20"/>
  <c r="E5457" i="20"/>
  <c r="F5457" i="20" s="1"/>
  <c r="H5458" i="20" s="1"/>
  <c r="N5429" i="20" s="1"/>
  <c r="D5453" i="20"/>
  <c r="F5453" i="20" s="1"/>
  <c r="C5453" i="20"/>
  <c r="B5453" i="20"/>
  <c r="D5452" i="20"/>
  <c r="F5452" i="20" s="1"/>
  <c r="C5452" i="20"/>
  <c r="B5452" i="20"/>
  <c r="D5451" i="20"/>
  <c r="F5451" i="20" s="1"/>
  <c r="C5451" i="20"/>
  <c r="B5451" i="20"/>
  <c r="D5450" i="20"/>
  <c r="F5450" i="20" s="1"/>
  <c r="C5450" i="20"/>
  <c r="B5450" i="20"/>
  <c r="D5449" i="20"/>
  <c r="F5449" i="20" s="1"/>
  <c r="C5449" i="20"/>
  <c r="B5449" i="20"/>
  <c r="D5448" i="20"/>
  <c r="F5448" i="20" s="1"/>
  <c r="C5448" i="20"/>
  <c r="B5448" i="20"/>
  <c r="D5447" i="20"/>
  <c r="F5447" i="20" s="1"/>
  <c r="C5447" i="20"/>
  <c r="B5447" i="20"/>
  <c r="D5446" i="20"/>
  <c r="F5446" i="20" s="1"/>
  <c r="C5446" i="20"/>
  <c r="B5446" i="20"/>
  <c r="D5445" i="20"/>
  <c r="F5445" i="20" s="1"/>
  <c r="C5445" i="20"/>
  <c r="B5445" i="20"/>
  <c r="D5444" i="20"/>
  <c r="F5444" i="20" s="1"/>
  <c r="C5444" i="20"/>
  <c r="B5444" i="20"/>
  <c r="D5443" i="20"/>
  <c r="F5443" i="20" s="1"/>
  <c r="C5443" i="20"/>
  <c r="B5443" i="20"/>
  <c r="D5442" i="20"/>
  <c r="F5442" i="20" s="1"/>
  <c r="C5442" i="20"/>
  <c r="B5442" i="20"/>
  <c r="C5441" i="20"/>
  <c r="C5440" i="20"/>
  <c r="E5436" i="20"/>
  <c r="G5436" i="20" s="1"/>
  <c r="D5436" i="20"/>
  <c r="B5436" i="20"/>
  <c r="E5435" i="20"/>
  <c r="D5435" i="20"/>
  <c r="B5435" i="20"/>
  <c r="D5434" i="20"/>
  <c r="B5434" i="20"/>
  <c r="G5431" i="20"/>
  <c r="I5448" i="20" s="1"/>
  <c r="G5430" i="20"/>
  <c r="B5430" i="20"/>
  <c r="B5429" i="20"/>
  <c r="H5428" i="20"/>
  <c r="B5425" i="20"/>
  <c r="E5461" i="20"/>
  <c r="B5412" i="20"/>
  <c r="B5411" i="20"/>
  <c r="E5406" i="20"/>
  <c r="F5406" i="20" s="1"/>
  <c r="H5407" i="20" s="1"/>
  <c r="N5378" i="20" s="1"/>
  <c r="D5402" i="20"/>
  <c r="F5402" i="20" s="1"/>
  <c r="C5402" i="20"/>
  <c r="B5402" i="20"/>
  <c r="D5401" i="20"/>
  <c r="F5401" i="20" s="1"/>
  <c r="C5401" i="20"/>
  <c r="B5401" i="20"/>
  <c r="D5400" i="20"/>
  <c r="F5400" i="20" s="1"/>
  <c r="C5400" i="20"/>
  <c r="B5400" i="20"/>
  <c r="D5399" i="20"/>
  <c r="F5399" i="20" s="1"/>
  <c r="C5399" i="20"/>
  <c r="B5399" i="20"/>
  <c r="D5398" i="20"/>
  <c r="F5398" i="20" s="1"/>
  <c r="C5398" i="20"/>
  <c r="B5398" i="20"/>
  <c r="D5397" i="20"/>
  <c r="F5397" i="20" s="1"/>
  <c r="C5397" i="20"/>
  <c r="B5397" i="20"/>
  <c r="D5396" i="20"/>
  <c r="F5396" i="20" s="1"/>
  <c r="C5396" i="20"/>
  <c r="B5396" i="20"/>
  <c r="D5395" i="20"/>
  <c r="F5395" i="20" s="1"/>
  <c r="C5395" i="20"/>
  <c r="B5395" i="20"/>
  <c r="D5394" i="20"/>
  <c r="F5394" i="20" s="1"/>
  <c r="C5394" i="20"/>
  <c r="B5394" i="20"/>
  <c r="D5393" i="20"/>
  <c r="F5393" i="20" s="1"/>
  <c r="C5393" i="20"/>
  <c r="B5393" i="20"/>
  <c r="D5392" i="20"/>
  <c r="F5392" i="20" s="1"/>
  <c r="C5392" i="20"/>
  <c r="B5392" i="20"/>
  <c r="D5391" i="20"/>
  <c r="F5391" i="20" s="1"/>
  <c r="C5391" i="20"/>
  <c r="B5391" i="20"/>
  <c r="C5390" i="20"/>
  <c r="C5389" i="20"/>
  <c r="E5385" i="20"/>
  <c r="G5385" i="20" s="1"/>
  <c r="D5385" i="20"/>
  <c r="B5385" i="20"/>
  <c r="D5384" i="20"/>
  <c r="B5384" i="20"/>
  <c r="D5383" i="20"/>
  <c r="B5383" i="20"/>
  <c r="G5380" i="20"/>
  <c r="I5397" i="20" s="1"/>
  <c r="G5379" i="20"/>
  <c r="B5379" i="20"/>
  <c r="B5378" i="20"/>
  <c r="H5377" i="20"/>
  <c r="B5374" i="20"/>
  <c r="E5410" i="20"/>
  <c r="B3317" i="20"/>
  <c r="B3316" i="20"/>
  <c r="E3311" i="20"/>
  <c r="F3311" i="20" s="1"/>
  <c r="H3312" i="20" s="1"/>
  <c r="N3283" i="20" s="1"/>
  <c r="D3307" i="20"/>
  <c r="F3307" i="20" s="1"/>
  <c r="C3307" i="20"/>
  <c r="B3307" i="20"/>
  <c r="D3306" i="20"/>
  <c r="F3306" i="20" s="1"/>
  <c r="C3306" i="20"/>
  <c r="B3306" i="20"/>
  <c r="D3305" i="20"/>
  <c r="F3305" i="20" s="1"/>
  <c r="C3305" i="20"/>
  <c r="B3305" i="20"/>
  <c r="D3304" i="20"/>
  <c r="F3304" i="20" s="1"/>
  <c r="C3304" i="20"/>
  <c r="B3304" i="20"/>
  <c r="D3303" i="20"/>
  <c r="F3303" i="20" s="1"/>
  <c r="C3303" i="20"/>
  <c r="B3303" i="20"/>
  <c r="D3302" i="20"/>
  <c r="F3302" i="20" s="1"/>
  <c r="C3302" i="20"/>
  <c r="B3302" i="20"/>
  <c r="C3301" i="20"/>
  <c r="B3301" i="20"/>
  <c r="C3300" i="20"/>
  <c r="B3300" i="20"/>
  <c r="C3299" i="20"/>
  <c r="B3299" i="20"/>
  <c r="C3298" i="20"/>
  <c r="B3298" i="20"/>
  <c r="C3297" i="20"/>
  <c r="B3297" i="20"/>
  <c r="C3296" i="20"/>
  <c r="B3296" i="20"/>
  <c r="C3295" i="20"/>
  <c r="C3294" i="20"/>
  <c r="D3290" i="20"/>
  <c r="B3290" i="20"/>
  <c r="D3289" i="20"/>
  <c r="B3289" i="20"/>
  <c r="D3288" i="20"/>
  <c r="B3288" i="20"/>
  <c r="G3285" i="20"/>
  <c r="I3306" i="20" s="1"/>
  <c r="G3284" i="20"/>
  <c r="B3284" i="20"/>
  <c r="B3283" i="20"/>
  <c r="H3282" i="20"/>
  <c r="B3279" i="20"/>
  <c r="H3278" i="20"/>
  <c r="E3316" i="20" s="1"/>
  <c r="I207" i="4"/>
  <c r="K207" i="4" s="1"/>
  <c r="F207" i="4" s="1"/>
  <c r="F6887" i="20" l="1"/>
  <c r="G6887" i="20" s="1"/>
  <c r="F6886" i="20"/>
  <c r="I6894" i="20"/>
  <c r="I6902" i="20"/>
  <c r="I6892" i="20"/>
  <c r="I6897" i="20"/>
  <c r="I6905" i="20"/>
  <c r="E6915" i="20"/>
  <c r="F6888" i="20"/>
  <c r="G6888" i="20" s="1"/>
  <c r="I6899" i="20"/>
  <c r="F6885" i="20"/>
  <c r="I6896" i="20"/>
  <c r="I6904" i="20"/>
  <c r="E6914" i="20"/>
  <c r="I6893" i="20"/>
  <c r="I6901" i="20"/>
  <c r="I6898" i="20"/>
  <c r="I6895" i="20"/>
  <c r="I6903" i="20"/>
  <c r="I6845" i="20"/>
  <c r="I6847" i="20"/>
  <c r="I6853" i="20"/>
  <c r="I6841" i="20"/>
  <c r="I6849" i="20"/>
  <c r="F6836" i="20"/>
  <c r="G6836" i="20" s="1"/>
  <c r="I6844" i="20"/>
  <c r="I6840" i="20"/>
  <c r="I6842" i="20"/>
  <c r="I6850" i="20"/>
  <c r="F6834" i="20"/>
  <c r="G6834" i="20" s="1"/>
  <c r="E6863" i="20"/>
  <c r="F5434" i="20"/>
  <c r="F6833" i="20"/>
  <c r="I6852" i="20"/>
  <c r="E6862" i="20"/>
  <c r="F6835" i="20"/>
  <c r="G6835" i="20" s="1"/>
  <c r="I6846" i="20"/>
  <c r="I6843" i="20"/>
  <c r="I6851" i="20"/>
  <c r="I5450" i="20"/>
  <c r="I5442" i="20"/>
  <c r="I5447" i="20"/>
  <c r="I5440" i="20"/>
  <c r="I5445" i="20"/>
  <c r="I5453" i="20"/>
  <c r="E5463" i="20"/>
  <c r="I5444" i="20"/>
  <c r="I5452" i="20"/>
  <c r="E5462" i="20"/>
  <c r="I5441" i="20"/>
  <c r="I5449" i="20"/>
  <c r="I5446" i="20"/>
  <c r="F5435" i="20"/>
  <c r="G5435" i="20" s="1"/>
  <c r="I5443" i="20"/>
  <c r="I5451" i="20"/>
  <c r="F5383" i="20"/>
  <c r="I5396" i="20"/>
  <c r="I5391" i="20"/>
  <c r="I5399" i="20"/>
  <c r="I5389" i="20"/>
  <c r="I5394" i="20"/>
  <c r="I5402" i="20"/>
  <c r="E5412" i="20"/>
  <c r="I5393" i="20"/>
  <c r="I5401" i="20"/>
  <c r="E5411" i="20"/>
  <c r="I5390" i="20"/>
  <c r="I5398" i="20"/>
  <c r="I5395" i="20"/>
  <c r="F5384" i="20"/>
  <c r="I5392" i="20"/>
  <c r="I5400" i="20"/>
  <c r="I3294" i="20"/>
  <c r="I3295" i="20"/>
  <c r="I3307" i="20"/>
  <c r="I3303" i="20"/>
  <c r="I3299" i="20"/>
  <c r="F3289" i="20"/>
  <c r="I3296" i="20"/>
  <c r="I3300" i="20"/>
  <c r="I3304" i="20"/>
  <c r="F3288" i="20"/>
  <c r="I3297" i="20"/>
  <c r="I3301" i="20"/>
  <c r="I3305" i="20"/>
  <c r="E3315" i="20"/>
  <c r="E3317" i="20"/>
  <c r="F3290" i="20"/>
  <c r="I3298" i="20"/>
  <c r="I3302" i="20"/>
  <c r="E10" i="1"/>
  <c r="B3266" i="20"/>
  <c r="B3265" i="20"/>
  <c r="E3260" i="20"/>
  <c r="F3260" i="20" s="1"/>
  <c r="H3261" i="20" s="1"/>
  <c r="N3232" i="20" s="1"/>
  <c r="D3256" i="20"/>
  <c r="F3256" i="20" s="1"/>
  <c r="C3256" i="20"/>
  <c r="B3256" i="20"/>
  <c r="D3255" i="20"/>
  <c r="F3255" i="20" s="1"/>
  <c r="C3255" i="20"/>
  <c r="B3255" i="20"/>
  <c r="D3254" i="20"/>
  <c r="F3254" i="20" s="1"/>
  <c r="C3254" i="20"/>
  <c r="B3254" i="20"/>
  <c r="D3253" i="20"/>
  <c r="F3253" i="20" s="1"/>
  <c r="C3253" i="20"/>
  <c r="B3253" i="20"/>
  <c r="D3252" i="20"/>
  <c r="F3252" i="20" s="1"/>
  <c r="C3252" i="20"/>
  <c r="B3252" i="20"/>
  <c r="D3251" i="20"/>
  <c r="F3251" i="20" s="1"/>
  <c r="C3251" i="20"/>
  <c r="B3251" i="20"/>
  <c r="C3250" i="20"/>
  <c r="B3250" i="20"/>
  <c r="C3249" i="20"/>
  <c r="B3249" i="20"/>
  <c r="C3248" i="20"/>
  <c r="B3248" i="20"/>
  <c r="C3247" i="20"/>
  <c r="B3247" i="20"/>
  <c r="C3246" i="20"/>
  <c r="B3246" i="20"/>
  <c r="C3245" i="20"/>
  <c r="B3245" i="20"/>
  <c r="C3244" i="20"/>
  <c r="C3243" i="20"/>
  <c r="D3239" i="20"/>
  <c r="B3239" i="20"/>
  <c r="D3238" i="20"/>
  <c r="B3238" i="20"/>
  <c r="D3237" i="20"/>
  <c r="B3237" i="20"/>
  <c r="G3234" i="20"/>
  <c r="I3255" i="20" s="1"/>
  <c r="G3233" i="20"/>
  <c r="B3233" i="20"/>
  <c r="B3232" i="20"/>
  <c r="H3231" i="20"/>
  <c r="B3228" i="20"/>
  <c r="H3227" i="20"/>
  <c r="E3265" i="20" s="1"/>
  <c r="B3215" i="20"/>
  <c r="B3214" i="20"/>
  <c r="E3209" i="20"/>
  <c r="F3209" i="20" s="1"/>
  <c r="H3210" i="20" s="1"/>
  <c r="N3181" i="20" s="1"/>
  <c r="D3205" i="20"/>
  <c r="F3205" i="20" s="1"/>
  <c r="C3205" i="20"/>
  <c r="B3205" i="20"/>
  <c r="D3204" i="20"/>
  <c r="F3204" i="20" s="1"/>
  <c r="C3204" i="20"/>
  <c r="B3204" i="20"/>
  <c r="D3203" i="20"/>
  <c r="F3203" i="20" s="1"/>
  <c r="C3203" i="20"/>
  <c r="B3203" i="20"/>
  <c r="D3202" i="20"/>
  <c r="F3202" i="20" s="1"/>
  <c r="C3202" i="20"/>
  <c r="B3202" i="20"/>
  <c r="D3201" i="20"/>
  <c r="F3201" i="20" s="1"/>
  <c r="C3201" i="20"/>
  <c r="B3201" i="20"/>
  <c r="D3200" i="20"/>
  <c r="F3200" i="20" s="1"/>
  <c r="C3200" i="20"/>
  <c r="B3200" i="20"/>
  <c r="C3199" i="20"/>
  <c r="B3199" i="20"/>
  <c r="C3198" i="20"/>
  <c r="B3198" i="20"/>
  <c r="C3197" i="20"/>
  <c r="B3197" i="20"/>
  <c r="C3196" i="20"/>
  <c r="B3196" i="20"/>
  <c r="C3195" i="20"/>
  <c r="B3195" i="20"/>
  <c r="C3194" i="20"/>
  <c r="B3194" i="20"/>
  <c r="C3193" i="20"/>
  <c r="C3192" i="20"/>
  <c r="D3188" i="20"/>
  <c r="B3188" i="20"/>
  <c r="D3187" i="20"/>
  <c r="B3187" i="20"/>
  <c r="D3186" i="20"/>
  <c r="B3186" i="20"/>
  <c r="G3183" i="20"/>
  <c r="I3204" i="20" s="1"/>
  <c r="G3182" i="20"/>
  <c r="B3182" i="20"/>
  <c r="B3181" i="20"/>
  <c r="H3180" i="20"/>
  <c r="B3177" i="20"/>
  <c r="H3176" i="20"/>
  <c r="E3214" i="20" s="1"/>
  <c r="B3164" i="20"/>
  <c r="B3163" i="20"/>
  <c r="E3158" i="20"/>
  <c r="F3158" i="20" s="1"/>
  <c r="H3159" i="20" s="1"/>
  <c r="N3130" i="20" s="1"/>
  <c r="D3154" i="20"/>
  <c r="F3154" i="20" s="1"/>
  <c r="C3154" i="20"/>
  <c r="B3154" i="20"/>
  <c r="D3153" i="20"/>
  <c r="F3153" i="20" s="1"/>
  <c r="C3153" i="20"/>
  <c r="B3153" i="20"/>
  <c r="D3152" i="20"/>
  <c r="F3152" i="20" s="1"/>
  <c r="C3152" i="20"/>
  <c r="B3152" i="20"/>
  <c r="D3151" i="20"/>
  <c r="F3151" i="20" s="1"/>
  <c r="C3151" i="20"/>
  <c r="B3151" i="20"/>
  <c r="D3150" i="20"/>
  <c r="F3150" i="20" s="1"/>
  <c r="C3150" i="20"/>
  <c r="B3150" i="20"/>
  <c r="D3149" i="20"/>
  <c r="F3149" i="20" s="1"/>
  <c r="C3149" i="20"/>
  <c r="B3149" i="20"/>
  <c r="C3148" i="20"/>
  <c r="B3148" i="20"/>
  <c r="C3147" i="20"/>
  <c r="B3147" i="20"/>
  <c r="C3146" i="20"/>
  <c r="B3146" i="20"/>
  <c r="C3145" i="20"/>
  <c r="B3145" i="20"/>
  <c r="C3144" i="20"/>
  <c r="B3144" i="20"/>
  <c r="C3143" i="20"/>
  <c r="B3143" i="20"/>
  <c r="C3142" i="20"/>
  <c r="C3141" i="20"/>
  <c r="D3137" i="20"/>
  <c r="B3137" i="20"/>
  <c r="D3136" i="20"/>
  <c r="B3136" i="20"/>
  <c r="D3135" i="20"/>
  <c r="B3135" i="20"/>
  <c r="G3132" i="20"/>
  <c r="I3153" i="20" s="1"/>
  <c r="G3131" i="20"/>
  <c r="B3131" i="20"/>
  <c r="B3130" i="20"/>
  <c r="H3129" i="20"/>
  <c r="B3126" i="20"/>
  <c r="H3125" i="20"/>
  <c r="E3163" i="20" s="1"/>
  <c r="B3113" i="20"/>
  <c r="B3112" i="20"/>
  <c r="E3107" i="20"/>
  <c r="F3107" i="20" s="1"/>
  <c r="H3108" i="20" s="1"/>
  <c r="N3079" i="20" s="1"/>
  <c r="D3103" i="20"/>
  <c r="F3103" i="20" s="1"/>
  <c r="C3103" i="20"/>
  <c r="B3103" i="20"/>
  <c r="D3102" i="20"/>
  <c r="F3102" i="20" s="1"/>
  <c r="C3102" i="20"/>
  <c r="B3102" i="20"/>
  <c r="D3101" i="20"/>
  <c r="F3101" i="20" s="1"/>
  <c r="C3101" i="20"/>
  <c r="B3101" i="20"/>
  <c r="D3100" i="20"/>
  <c r="F3100" i="20" s="1"/>
  <c r="C3100" i="20"/>
  <c r="B3100" i="20"/>
  <c r="D3099" i="20"/>
  <c r="F3099" i="20" s="1"/>
  <c r="C3099" i="20"/>
  <c r="B3099" i="20"/>
  <c r="D3098" i="20"/>
  <c r="F3098" i="20" s="1"/>
  <c r="C3098" i="20"/>
  <c r="B3098" i="20"/>
  <c r="C3097" i="20"/>
  <c r="B3097" i="20"/>
  <c r="C3096" i="20"/>
  <c r="B3096" i="20"/>
  <c r="C3095" i="20"/>
  <c r="B3095" i="20"/>
  <c r="C3094" i="20"/>
  <c r="B3094" i="20"/>
  <c r="C3093" i="20"/>
  <c r="B3093" i="20"/>
  <c r="C3092" i="20"/>
  <c r="B3092" i="20"/>
  <c r="C3091" i="20"/>
  <c r="C3090" i="20"/>
  <c r="D3086" i="20"/>
  <c r="B3086" i="20"/>
  <c r="D3085" i="20"/>
  <c r="B3085" i="20"/>
  <c r="D3084" i="20"/>
  <c r="B3084" i="20"/>
  <c r="G3081" i="20"/>
  <c r="I3102" i="20" s="1"/>
  <c r="G3080" i="20"/>
  <c r="B3080" i="20"/>
  <c r="B3079" i="20"/>
  <c r="H3078" i="20"/>
  <c r="B3075" i="20"/>
  <c r="H3074" i="20"/>
  <c r="E3112" i="20" s="1"/>
  <c r="B3062" i="20"/>
  <c r="B3061" i="20"/>
  <c r="E3056" i="20"/>
  <c r="F3056" i="20" s="1"/>
  <c r="H3057" i="20" s="1"/>
  <c r="N3028" i="20" s="1"/>
  <c r="D3052" i="20"/>
  <c r="F3052" i="20" s="1"/>
  <c r="C3052" i="20"/>
  <c r="B3052" i="20"/>
  <c r="D3051" i="20"/>
  <c r="F3051" i="20" s="1"/>
  <c r="C3051" i="20"/>
  <c r="B3051" i="20"/>
  <c r="D3050" i="20"/>
  <c r="F3050" i="20" s="1"/>
  <c r="C3050" i="20"/>
  <c r="B3050" i="20"/>
  <c r="D3049" i="20"/>
  <c r="F3049" i="20" s="1"/>
  <c r="C3049" i="20"/>
  <c r="B3049" i="20"/>
  <c r="D3048" i="20"/>
  <c r="F3048" i="20" s="1"/>
  <c r="C3048" i="20"/>
  <c r="B3048" i="20"/>
  <c r="D3047" i="20"/>
  <c r="F3047" i="20" s="1"/>
  <c r="C3047" i="20"/>
  <c r="B3047" i="20"/>
  <c r="C3046" i="20"/>
  <c r="B3046" i="20"/>
  <c r="C3045" i="20"/>
  <c r="B3045" i="20"/>
  <c r="C3044" i="20"/>
  <c r="B3044" i="20"/>
  <c r="C3043" i="20"/>
  <c r="B3043" i="20"/>
  <c r="C3042" i="20"/>
  <c r="B3042" i="20"/>
  <c r="C3041" i="20"/>
  <c r="B3041" i="20"/>
  <c r="C3040" i="20"/>
  <c r="C3039" i="20"/>
  <c r="D3035" i="20"/>
  <c r="B3035" i="20"/>
  <c r="D3034" i="20"/>
  <c r="B3034" i="20"/>
  <c r="D3033" i="20"/>
  <c r="B3033" i="20"/>
  <c r="G3030" i="20"/>
  <c r="I3051" i="20" s="1"/>
  <c r="G3029" i="20"/>
  <c r="B3029" i="20"/>
  <c r="B3028" i="20"/>
  <c r="H3027" i="20"/>
  <c r="B3024" i="20"/>
  <c r="H3023" i="20"/>
  <c r="E3061" i="20" s="1"/>
  <c r="B3011" i="20"/>
  <c r="B3010" i="20"/>
  <c r="E3005" i="20"/>
  <c r="F3005" i="20" s="1"/>
  <c r="H3006" i="20" s="1"/>
  <c r="N2977" i="20" s="1"/>
  <c r="D3001" i="20"/>
  <c r="F3001" i="20" s="1"/>
  <c r="C3001" i="20"/>
  <c r="B3001" i="20"/>
  <c r="D3000" i="20"/>
  <c r="F3000" i="20" s="1"/>
  <c r="C3000" i="20"/>
  <c r="B3000" i="20"/>
  <c r="D2999" i="20"/>
  <c r="F2999" i="20" s="1"/>
  <c r="C2999" i="20"/>
  <c r="B2999" i="20"/>
  <c r="D2998" i="20"/>
  <c r="F2998" i="20" s="1"/>
  <c r="C2998" i="20"/>
  <c r="B2998" i="20"/>
  <c r="D2997" i="20"/>
  <c r="F2997" i="20" s="1"/>
  <c r="C2997" i="20"/>
  <c r="B2997" i="20"/>
  <c r="D2996" i="20"/>
  <c r="F2996" i="20" s="1"/>
  <c r="C2996" i="20"/>
  <c r="B2996" i="20"/>
  <c r="C2995" i="20"/>
  <c r="B2995" i="20"/>
  <c r="C2994" i="20"/>
  <c r="B2994" i="20"/>
  <c r="C2993" i="20"/>
  <c r="B2993" i="20"/>
  <c r="C2992" i="20"/>
  <c r="B2992" i="20"/>
  <c r="C2991" i="20"/>
  <c r="B2991" i="20"/>
  <c r="C2990" i="20"/>
  <c r="B2990" i="20"/>
  <c r="C2989" i="20"/>
  <c r="C2988" i="20"/>
  <c r="D2984" i="20"/>
  <c r="B2984" i="20"/>
  <c r="D2983" i="20"/>
  <c r="B2983" i="20"/>
  <c r="D2982" i="20"/>
  <c r="B2982" i="20"/>
  <c r="G2979" i="20"/>
  <c r="I3000" i="20" s="1"/>
  <c r="G2978" i="20"/>
  <c r="B2978" i="20"/>
  <c r="B2977" i="20"/>
  <c r="H2976" i="20"/>
  <c r="B2973" i="20"/>
  <c r="H2972" i="20"/>
  <c r="E3010" i="20" s="1"/>
  <c r="B2960" i="20"/>
  <c r="B2959" i="20"/>
  <c r="E2954" i="20"/>
  <c r="F2954" i="20" s="1"/>
  <c r="H2955" i="20" s="1"/>
  <c r="N2926" i="20" s="1"/>
  <c r="D2950" i="20"/>
  <c r="F2950" i="20" s="1"/>
  <c r="C2950" i="20"/>
  <c r="B2950" i="20"/>
  <c r="D2949" i="20"/>
  <c r="F2949" i="20" s="1"/>
  <c r="C2949" i="20"/>
  <c r="B2949" i="20"/>
  <c r="D2948" i="20"/>
  <c r="F2948" i="20" s="1"/>
  <c r="C2948" i="20"/>
  <c r="B2948" i="20"/>
  <c r="D2947" i="20"/>
  <c r="F2947" i="20" s="1"/>
  <c r="C2947" i="20"/>
  <c r="B2947" i="20"/>
  <c r="D2946" i="20"/>
  <c r="F2946" i="20" s="1"/>
  <c r="C2946" i="20"/>
  <c r="B2946" i="20"/>
  <c r="D2945" i="20"/>
  <c r="F2945" i="20" s="1"/>
  <c r="C2945" i="20"/>
  <c r="B2945" i="20"/>
  <c r="C2944" i="20"/>
  <c r="B2944" i="20"/>
  <c r="C2943" i="20"/>
  <c r="B2943" i="20"/>
  <c r="C2942" i="20"/>
  <c r="B2942" i="20"/>
  <c r="C2941" i="20"/>
  <c r="B2941" i="20"/>
  <c r="C2940" i="20"/>
  <c r="B2940" i="20"/>
  <c r="C2939" i="20"/>
  <c r="B2939" i="20"/>
  <c r="C2938" i="20"/>
  <c r="C2937" i="20"/>
  <c r="D2933" i="20"/>
  <c r="B2933" i="20"/>
  <c r="D2932" i="20"/>
  <c r="B2932" i="20"/>
  <c r="D2931" i="20"/>
  <c r="B2931" i="20"/>
  <c r="G2928" i="20"/>
  <c r="I2949" i="20" s="1"/>
  <c r="G2927" i="20"/>
  <c r="B2927" i="20"/>
  <c r="B2926" i="20"/>
  <c r="H2925" i="20"/>
  <c r="B2922" i="20"/>
  <c r="H2921" i="20"/>
  <c r="E2959" i="20" s="1"/>
  <c r="B2909" i="20"/>
  <c r="B2908" i="20"/>
  <c r="E2903" i="20"/>
  <c r="F2903" i="20" s="1"/>
  <c r="H2904" i="20" s="1"/>
  <c r="N2875" i="20" s="1"/>
  <c r="D2899" i="20"/>
  <c r="F2899" i="20" s="1"/>
  <c r="C2899" i="20"/>
  <c r="B2899" i="20"/>
  <c r="D2898" i="20"/>
  <c r="F2898" i="20" s="1"/>
  <c r="C2898" i="20"/>
  <c r="B2898" i="20"/>
  <c r="D2897" i="20"/>
  <c r="F2897" i="20" s="1"/>
  <c r="C2897" i="20"/>
  <c r="B2897" i="20"/>
  <c r="D2896" i="20"/>
  <c r="F2896" i="20" s="1"/>
  <c r="C2896" i="20"/>
  <c r="B2896" i="20"/>
  <c r="D2895" i="20"/>
  <c r="F2895" i="20" s="1"/>
  <c r="C2895" i="20"/>
  <c r="B2895" i="20"/>
  <c r="D2894" i="20"/>
  <c r="F2894" i="20" s="1"/>
  <c r="C2894" i="20"/>
  <c r="B2894" i="20"/>
  <c r="C2893" i="20"/>
  <c r="B2893" i="20"/>
  <c r="C2892" i="20"/>
  <c r="B2892" i="20"/>
  <c r="C2891" i="20"/>
  <c r="B2891" i="20"/>
  <c r="C2890" i="20"/>
  <c r="B2890" i="20"/>
  <c r="C2889" i="20"/>
  <c r="B2889" i="20"/>
  <c r="C2888" i="20"/>
  <c r="B2888" i="20"/>
  <c r="C2887" i="20"/>
  <c r="C2886" i="20"/>
  <c r="D2882" i="20"/>
  <c r="B2882" i="20"/>
  <c r="D2881" i="20"/>
  <c r="B2881" i="20"/>
  <c r="D2880" i="20"/>
  <c r="B2880" i="20"/>
  <c r="G2877" i="20"/>
  <c r="I2898" i="20" s="1"/>
  <c r="G2876" i="20"/>
  <c r="B2876" i="20"/>
  <c r="B2875" i="20"/>
  <c r="H2874" i="20"/>
  <c r="B2871" i="20"/>
  <c r="H2870" i="20"/>
  <c r="E2908" i="20" s="1"/>
  <c r="B2858" i="20"/>
  <c r="B2857" i="20"/>
  <c r="E2852" i="20"/>
  <c r="F2852" i="20" s="1"/>
  <c r="H2853" i="20" s="1"/>
  <c r="N2824" i="20" s="1"/>
  <c r="D2848" i="20"/>
  <c r="F2848" i="20" s="1"/>
  <c r="C2848" i="20"/>
  <c r="B2848" i="20"/>
  <c r="D2847" i="20"/>
  <c r="F2847" i="20" s="1"/>
  <c r="C2847" i="20"/>
  <c r="B2847" i="20"/>
  <c r="D2846" i="20"/>
  <c r="F2846" i="20" s="1"/>
  <c r="C2846" i="20"/>
  <c r="B2846" i="20"/>
  <c r="D2845" i="20"/>
  <c r="F2845" i="20" s="1"/>
  <c r="C2845" i="20"/>
  <c r="B2845" i="20"/>
  <c r="D2844" i="20"/>
  <c r="F2844" i="20" s="1"/>
  <c r="C2844" i="20"/>
  <c r="B2844" i="20"/>
  <c r="D2843" i="20"/>
  <c r="F2843" i="20" s="1"/>
  <c r="C2843" i="20"/>
  <c r="B2843" i="20"/>
  <c r="C2842" i="20"/>
  <c r="B2842" i="20"/>
  <c r="C2841" i="20"/>
  <c r="B2841" i="20"/>
  <c r="C2840" i="20"/>
  <c r="B2840" i="20"/>
  <c r="C2839" i="20"/>
  <c r="B2839" i="20"/>
  <c r="C2838" i="20"/>
  <c r="B2838" i="20"/>
  <c r="C2837" i="20"/>
  <c r="B2837" i="20"/>
  <c r="C2836" i="20"/>
  <c r="C2835" i="20"/>
  <c r="D2831" i="20"/>
  <c r="B2831" i="20"/>
  <c r="D2830" i="20"/>
  <c r="B2830" i="20"/>
  <c r="D2829" i="20"/>
  <c r="B2829" i="20"/>
  <c r="G2826" i="20"/>
  <c r="I2847" i="20" s="1"/>
  <c r="G2825" i="20"/>
  <c r="B2825" i="20"/>
  <c r="B2824" i="20"/>
  <c r="H2823" i="20"/>
  <c r="B2820" i="20"/>
  <c r="H2819" i="20"/>
  <c r="E2857" i="20" s="1"/>
  <c r="B2807" i="20"/>
  <c r="B2806" i="20"/>
  <c r="E2801" i="20"/>
  <c r="F2801" i="20" s="1"/>
  <c r="H2802" i="20" s="1"/>
  <c r="N2773" i="20" s="1"/>
  <c r="D2797" i="20"/>
  <c r="F2797" i="20" s="1"/>
  <c r="C2797" i="20"/>
  <c r="B2797" i="20"/>
  <c r="D2796" i="20"/>
  <c r="F2796" i="20" s="1"/>
  <c r="C2796" i="20"/>
  <c r="B2796" i="20"/>
  <c r="D2795" i="20"/>
  <c r="F2795" i="20" s="1"/>
  <c r="C2795" i="20"/>
  <c r="B2795" i="20"/>
  <c r="D2794" i="20"/>
  <c r="F2794" i="20" s="1"/>
  <c r="C2794" i="20"/>
  <c r="B2794" i="20"/>
  <c r="D2793" i="20"/>
  <c r="F2793" i="20" s="1"/>
  <c r="C2793" i="20"/>
  <c r="B2793" i="20"/>
  <c r="D2792" i="20"/>
  <c r="F2792" i="20" s="1"/>
  <c r="C2792" i="20"/>
  <c r="B2792" i="20"/>
  <c r="C2791" i="20"/>
  <c r="B2791" i="20"/>
  <c r="C2790" i="20"/>
  <c r="B2790" i="20"/>
  <c r="C2789" i="20"/>
  <c r="B2789" i="20"/>
  <c r="C2788" i="20"/>
  <c r="B2788" i="20"/>
  <c r="C2787" i="20"/>
  <c r="B2787" i="20"/>
  <c r="C2786" i="20"/>
  <c r="B2786" i="20"/>
  <c r="C2785" i="20"/>
  <c r="C2784" i="20"/>
  <c r="D2780" i="20"/>
  <c r="B2780" i="20"/>
  <c r="D2779" i="20"/>
  <c r="B2779" i="20"/>
  <c r="D2778" i="20"/>
  <c r="B2778" i="20"/>
  <c r="G2775" i="20"/>
  <c r="I2796" i="20" s="1"/>
  <c r="G2774" i="20"/>
  <c r="B2774" i="20"/>
  <c r="B2773" i="20"/>
  <c r="H2772" i="20"/>
  <c r="B2769" i="20"/>
  <c r="H2768" i="20"/>
  <c r="E2806" i="20" s="1"/>
  <c r="B2756" i="20"/>
  <c r="B2755" i="20"/>
  <c r="E2750" i="20"/>
  <c r="F2750" i="20" s="1"/>
  <c r="H2751" i="20" s="1"/>
  <c r="N2722" i="20" s="1"/>
  <c r="D2746" i="20"/>
  <c r="F2746" i="20" s="1"/>
  <c r="C2746" i="20"/>
  <c r="B2746" i="20"/>
  <c r="D2745" i="20"/>
  <c r="F2745" i="20" s="1"/>
  <c r="C2745" i="20"/>
  <c r="B2745" i="20"/>
  <c r="D2744" i="20"/>
  <c r="F2744" i="20" s="1"/>
  <c r="C2744" i="20"/>
  <c r="B2744" i="20"/>
  <c r="D2743" i="20"/>
  <c r="F2743" i="20" s="1"/>
  <c r="C2743" i="20"/>
  <c r="B2743" i="20"/>
  <c r="D2742" i="20"/>
  <c r="F2742" i="20" s="1"/>
  <c r="C2742" i="20"/>
  <c r="B2742" i="20"/>
  <c r="D2741" i="20"/>
  <c r="F2741" i="20" s="1"/>
  <c r="C2741" i="20"/>
  <c r="B2741" i="20"/>
  <c r="C2740" i="20"/>
  <c r="B2740" i="20"/>
  <c r="C2739" i="20"/>
  <c r="B2739" i="20"/>
  <c r="C2738" i="20"/>
  <c r="B2738" i="20"/>
  <c r="C2737" i="20"/>
  <c r="B2737" i="20"/>
  <c r="C2736" i="20"/>
  <c r="B2736" i="20"/>
  <c r="C2735" i="20"/>
  <c r="B2735" i="20"/>
  <c r="C2734" i="20"/>
  <c r="C2733" i="20"/>
  <c r="D2729" i="20"/>
  <c r="B2729" i="20"/>
  <c r="D2728" i="20"/>
  <c r="B2728" i="20"/>
  <c r="D2727" i="20"/>
  <c r="B2727" i="20"/>
  <c r="G2724" i="20"/>
  <c r="I2745" i="20" s="1"/>
  <c r="G2723" i="20"/>
  <c r="B2723" i="20"/>
  <c r="B2722" i="20"/>
  <c r="H2721" i="20"/>
  <c r="B2718" i="20"/>
  <c r="H2717" i="20"/>
  <c r="E2755" i="20" s="1"/>
  <c r="B2705" i="20"/>
  <c r="B2704" i="20"/>
  <c r="E2699" i="20"/>
  <c r="F2699" i="20" s="1"/>
  <c r="H2700" i="20" s="1"/>
  <c r="N2671" i="20" s="1"/>
  <c r="D2695" i="20"/>
  <c r="F2695" i="20" s="1"/>
  <c r="C2695" i="20"/>
  <c r="B2695" i="20"/>
  <c r="D2694" i="20"/>
  <c r="F2694" i="20" s="1"/>
  <c r="C2694" i="20"/>
  <c r="B2694" i="20"/>
  <c r="D2693" i="20"/>
  <c r="F2693" i="20" s="1"/>
  <c r="C2693" i="20"/>
  <c r="B2693" i="20"/>
  <c r="D2692" i="20"/>
  <c r="F2692" i="20" s="1"/>
  <c r="C2692" i="20"/>
  <c r="B2692" i="20"/>
  <c r="D2691" i="20"/>
  <c r="F2691" i="20" s="1"/>
  <c r="C2691" i="20"/>
  <c r="B2691" i="20"/>
  <c r="D2690" i="20"/>
  <c r="F2690" i="20" s="1"/>
  <c r="C2690" i="20"/>
  <c r="B2690" i="20"/>
  <c r="C2689" i="20"/>
  <c r="B2689" i="20"/>
  <c r="C2688" i="20"/>
  <c r="B2688" i="20"/>
  <c r="C2687" i="20"/>
  <c r="B2687" i="20"/>
  <c r="C2686" i="20"/>
  <c r="B2686" i="20"/>
  <c r="C2685" i="20"/>
  <c r="B2685" i="20"/>
  <c r="C2684" i="20"/>
  <c r="B2684" i="20"/>
  <c r="C2683" i="20"/>
  <c r="C2682" i="20"/>
  <c r="D2678" i="20"/>
  <c r="B2678" i="20"/>
  <c r="D2677" i="20"/>
  <c r="B2677" i="20"/>
  <c r="D2676" i="20"/>
  <c r="B2676" i="20"/>
  <c r="G2673" i="20"/>
  <c r="I2694" i="20" s="1"/>
  <c r="G2672" i="20"/>
  <c r="B2672" i="20"/>
  <c r="B2671" i="20"/>
  <c r="H2670" i="20"/>
  <c r="B2667" i="20"/>
  <c r="H2666" i="20"/>
  <c r="E2704" i="20" s="1"/>
  <c r="B2654" i="20"/>
  <c r="B2653" i="20"/>
  <c r="E2648" i="20"/>
  <c r="F2648" i="20" s="1"/>
  <c r="H2649" i="20" s="1"/>
  <c r="N2620" i="20" s="1"/>
  <c r="D2644" i="20"/>
  <c r="F2644" i="20" s="1"/>
  <c r="C2644" i="20"/>
  <c r="B2644" i="20"/>
  <c r="D2643" i="20"/>
  <c r="F2643" i="20" s="1"/>
  <c r="C2643" i="20"/>
  <c r="B2643" i="20"/>
  <c r="D2642" i="20"/>
  <c r="F2642" i="20" s="1"/>
  <c r="C2642" i="20"/>
  <c r="B2642" i="20"/>
  <c r="D2641" i="20"/>
  <c r="F2641" i="20" s="1"/>
  <c r="C2641" i="20"/>
  <c r="B2641" i="20"/>
  <c r="D2640" i="20"/>
  <c r="F2640" i="20" s="1"/>
  <c r="C2640" i="20"/>
  <c r="B2640" i="20"/>
  <c r="D2639" i="20"/>
  <c r="F2639" i="20" s="1"/>
  <c r="C2639" i="20"/>
  <c r="B2639" i="20"/>
  <c r="C2638" i="20"/>
  <c r="B2638" i="20"/>
  <c r="C2637" i="20"/>
  <c r="B2637" i="20"/>
  <c r="C2636" i="20"/>
  <c r="B2636" i="20"/>
  <c r="C2635" i="20"/>
  <c r="B2635" i="20"/>
  <c r="C2634" i="20"/>
  <c r="B2634" i="20"/>
  <c r="C2633" i="20"/>
  <c r="B2633" i="20"/>
  <c r="C2632" i="20"/>
  <c r="C2631" i="20"/>
  <c r="D2627" i="20"/>
  <c r="B2627" i="20"/>
  <c r="D2626" i="20"/>
  <c r="B2626" i="20"/>
  <c r="D2625" i="20"/>
  <c r="B2625" i="20"/>
  <c r="G2622" i="20"/>
  <c r="I2643" i="20" s="1"/>
  <c r="G2621" i="20"/>
  <c r="B2621" i="20"/>
  <c r="B2620" i="20"/>
  <c r="H2619" i="20"/>
  <c r="B2616" i="20"/>
  <c r="H2615" i="20"/>
  <c r="E2653" i="20" s="1"/>
  <c r="F2982" i="20" l="1"/>
  <c r="F3086" i="20"/>
  <c r="F2880" i="20"/>
  <c r="F2780" i="20"/>
  <c r="F2778" i="20"/>
  <c r="F2831" i="20"/>
  <c r="F2931" i="20"/>
  <c r="E3215" i="20"/>
  <c r="E2807" i="20"/>
  <c r="E3113" i="20"/>
  <c r="F2829" i="20"/>
  <c r="F2882" i="20"/>
  <c r="E2858" i="20"/>
  <c r="F3188" i="20"/>
  <c r="F3035" i="20"/>
  <c r="E3062" i="20"/>
  <c r="E3164" i="20"/>
  <c r="F3033" i="20"/>
  <c r="F3135" i="20"/>
  <c r="F2678" i="20"/>
  <c r="E2705" i="20"/>
  <c r="F3084" i="20"/>
  <c r="F3186" i="20"/>
  <c r="F2676" i="20"/>
  <c r="E2909" i="20"/>
  <c r="F2729" i="20"/>
  <c r="E2756" i="20"/>
  <c r="E2960" i="20"/>
  <c r="F2627" i="20"/>
  <c r="F2727" i="20"/>
  <c r="E3011" i="20"/>
  <c r="I3253" i="20"/>
  <c r="I3243" i="20"/>
  <c r="I3244" i="20"/>
  <c r="I3248" i="20"/>
  <c r="I3245" i="20"/>
  <c r="I3249" i="20"/>
  <c r="I3205" i="20"/>
  <c r="I3256" i="20"/>
  <c r="I3252" i="20"/>
  <c r="F3237" i="20"/>
  <c r="E3266" i="20"/>
  <c r="F3238" i="20"/>
  <c r="I3197" i="20"/>
  <c r="F3239" i="20"/>
  <c r="I3246" i="20"/>
  <c r="I3250" i="20"/>
  <c r="I3254" i="20"/>
  <c r="E3264" i="20"/>
  <c r="I3247" i="20"/>
  <c r="I3251" i="20"/>
  <c r="I3192" i="20"/>
  <c r="I3193" i="20"/>
  <c r="I3201" i="20"/>
  <c r="F3187" i="20"/>
  <c r="I3194" i="20"/>
  <c r="I3198" i="20"/>
  <c r="I3202" i="20"/>
  <c r="I3195" i="20"/>
  <c r="I3199" i="20"/>
  <c r="I3203" i="20"/>
  <c r="E3213" i="20"/>
  <c r="I3196" i="20"/>
  <c r="I3200" i="20"/>
  <c r="I3103" i="20"/>
  <c r="I3141" i="20"/>
  <c r="I3142" i="20"/>
  <c r="I3146" i="20"/>
  <c r="I3150" i="20"/>
  <c r="I3154" i="20"/>
  <c r="I3143" i="20"/>
  <c r="I3147" i="20"/>
  <c r="I3151" i="20"/>
  <c r="F3136" i="20"/>
  <c r="F3137" i="20"/>
  <c r="I3144" i="20"/>
  <c r="I3148" i="20"/>
  <c r="I3152" i="20"/>
  <c r="E3162" i="20"/>
  <c r="I3145" i="20"/>
  <c r="I3149" i="20"/>
  <c r="I3099" i="20"/>
  <c r="I3095" i="20"/>
  <c r="I3090" i="20"/>
  <c r="I3091" i="20"/>
  <c r="F3085" i="20"/>
  <c r="I3092" i="20"/>
  <c r="I3096" i="20"/>
  <c r="I3100" i="20"/>
  <c r="I3093" i="20"/>
  <c r="I3097" i="20"/>
  <c r="I3101" i="20"/>
  <c r="E3111" i="20"/>
  <c r="I3094" i="20"/>
  <c r="I3098" i="20"/>
  <c r="I3052" i="20"/>
  <c r="I3048" i="20"/>
  <c r="I3039" i="20"/>
  <c r="I3044" i="20"/>
  <c r="I3040" i="20"/>
  <c r="F3034" i="20"/>
  <c r="I3041" i="20"/>
  <c r="I3045" i="20"/>
  <c r="I3049" i="20"/>
  <c r="I3042" i="20"/>
  <c r="I3046" i="20"/>
  <c r="I3050" i="20"/>
  <c r="E3060" i="20"/>
  <c r="I3043" i="20"/>
  <c r="I3047" i="20"/>
  <c r="I3001" i="20"/>
  <c r="I2993" i="20"/>
  <c r="I2989" i="20"/>
  <c r="I2997" i="20"/>
  <c r="I2988" i="20"/>
  <c r="I2939" i="20"/>
  <c r="I2950" i="20"/>
  <c r="F2983" i="20"/>
  <c r="I2990" i="20"/>
  <c r="I2994" i="20"/>
  <c r="I2998" i="20"/>
  <c r="F2984" i="20"/>
  <c r="I2991" i="20"/>
  <c r="I2995" i="20"/>
  <c r="I2999" i="20"/>
  <c r="E3009" i="20"/>
  <c r="I2992" i="20"/>
  <c r="I2996" i="20"/>
  <c r="I2946" i="20"/>
  <c r="I2942" i="20"/>
  <c r="I2947" i="20"/>
  <c r="I2937" i="20"/>
  <c r="I2938" i="20"/>
  <c r="I2943" i="20"/>
  <c r="I2899" i="20"/>
  <c r="F2932" i="20"/>
  <c r="F2933" i="20"/>
  <c r="I2940" i="20"/>
  <c r="I2944" i="20"/>
  <c r="I2948" i="20"/>
  <c r="E2958" i="20"/>
  <c r="I2941" i="20"/>
  <c r="I2945" i="20"/>
  <c r="I2887" i="20"/>
  <c r="I2889" i="20"/>
  <c r="I2891" i="20"/>
  <c r="I2895" i="20"/>
  <c r="I2886" i="20"/>
  <c r="F2881" i="20"/>
  <c r="I2888" i="20"/>
  <c r="I2892" i="20"/>
  <c r="I2896" i="20"/>
  <c r="I2893" i="20"/>
  <c r="I2897" i="20"/>
  <c r="E2907" i="20"/>
  <c r="I2890" i="20"/>
  <c r="I2894" i="20"/>
  <c r="I2835" i="20"/>
  <c r="I2836" i="20"/>
  <c r="I2840" i="20"/>
  <c r="I2844" i="20"/>
  <c r="I2848" i="20"/>
  <c r="I2797" i="20"/>
  <c r="F2830" i="20"/>
  <c r="I2837" i="20"/>
  <c r="I2841" i="20"/>
  <c r="I2845" i="20"/>
  <c r="I2789" i="20"/>
  <c r="I2838" i="20"/>
  <c r="I2842" i="20"/>
  <c r="I2846" i="20"/>
  <c r="E2856" i="20"/>
  <c r="I2839" i="20"/>
  <c r="I2843" i="20"/>
  <c r="I2784" i="20"/>
  <c r="I2785" i="20"/>
  <c r="I2793" i="20"/>
  <c r="I2746" i="20"/>
  <c r="F2779" i="20"/>
  <c r="I2786" i="20"/>
  <c r="I2790" i="20"/>
  <c r="I2794" i="20"/>
  <c r="I2738" i="20"/>
  <c r="I2787" i="20"/>
  <c r="I2791" i="20"/>
  <c r="I2795" i="20"/>
  <c r="E2805" i="20"/>
  <c r="I2788" i="20"/>
  <c r="I2792" i="20"/>
  <c r="I2734" i="20"/>
  <c r="I2742" i="20"/>
  <c r="I2733" i="20"/>
  <c r="I2695" i="20"/>
  <c r="F2728" i="20"/>
  <c r="I2735" i="20"/>
  <c r="I2739" i="20"/>
  <c r="I2743" i="20"/>
  <c r="I2736" i="20"/>
  <c r="I2740" i="20"/>
  <c r="I2744" i="20"/>
  <c r="E2754" i="20"/>
  <c r="I2682" i="20"/>
  <c r="I2683" i="20"/>
  <c r="I2737" i="20"/>
  <c r="I2741" i="20"/>
  <c r="I2691" i="20"/>
  <c r="I2687" i="20"/>
  <c r="F2677" i="20"/>
  <c r="I2684" i="20"/>
  <c r="I2688" i="20"/>
  <c r="I2692" i="20"/>
  <c r="I2685" i="20"/>
  <c r="I2689" i="20"/>
  <c r="I2693" i="20"/>
  <c r="E2703" i="20"/>
  <c r="I2686" i="20"/>
  <c r="I2690" i="20"/>
  <c r="F2625" i="20"/>
  <c r="I2631" i="20"/>
  <c r="I2632" i="20"/>
  <c r="I2636" i="20"/>
  <c r="I2640" i="20"/>
  <c r="I2644" i="20"/>
  <c r="E2654" i="20"/>
  <c r="F2626" i="20"/>
  <c r="I2633" i="20"/>
  <c r="I2637" i="20"/>
  <c r="I2641" i="20"/>
  <c r="I2634" i="20"/>
  <c r="I2638" i="20"/>
  <c r="I2642" i="20"/>
  <c r="E2652" i="20"/>
  <c r="I2635" i="20"/>
  <c r="I2639" i="20"/>
  <c r="I280" i="4"/>
  <c r="K280" i="4" s="1"/>
  <c r="F280" i="4" s="1"/>
  <c r="I184" i="4"/>
  <c r="K184" i="4" s="1"/>
  <c r="F184" i="4" s="1"/>
  <c r="D2784" i="20" s="1"/>
  <c r="F2784" i="20" s="1"/>
  <c r="I183" i="4"/>
  <c r="K183" i="4" s="1"/>
  <c r="F183" i="4" s="1"/>
  <c r="D2733" i="20" s="1"/>
  <c r="F2733" i="20" s="1"/>
  <c r="I182" i="4"/>
  <c r="K182" i="4" s="1"/>
  <c r="F182" i="4" s="1"/>
  <c r="D2682" i="20" s="1"/>
  <c r="F2682" i="20" s="1"/>
  <c r="I181" i="4"/>
  <c r="K181" i="4" s="1"/>
  <c r="F181" i="4" s="1"/>
  <c r="D2631" i="20" s="1"/>
  <c r="F2631" i="20" s="1"/>
  <c r="I188" i="4"/>
  <c r="K188" i="4" s="1"/>
  <c r="F188" i="4" s="1"/>
  <c r="I187" i="4"/>
  <c r="K187" i="4" s="1"/>
  <c r="F187" i="4" s="1"/>
  <c r="I186" i="4"/>
  <c r="K186" i="4" s="1"/>
  <c r="F186" i="4" s="1"/>
  <c r="D2886" i="20" s="1"/>
  <c r="F2886" i="20" s="1"/>
  <c r="F185" i="4"/>
  <c r="I190" i="4"/>
  <c r="K190" i="4" s="1"/>
  <c r="F190" i="4" s="1"/>
  <c r="I193" i="4"/>
  <c r="K193" i="4" s="1"/>
  <c r="F193" i="4" s="1"/>
  <c r="D3141" i="20" s="1"/>
  <c r="F3141" i="20" s="1"/>
  <c r="I194" i="4"/>
  <c r="K194" i="4" s="1"/>
  <c r="F194" i="4" s="1"/>
  <c r="D3192" i="20" s="1"/>
  <c r="F3192" i="20" s="1"/>
  <c r="B5360" i="20"/>
  <c r="B5359" i="20"/>
  <c r="E5354" i="20"/>
  <c r="F5354" i="20" s="1"/>
  <c r="H5355" i="20" s="1"/>
  <c r="N5326" i="20" s="1"/>
  <c r="D5350" i="20"/>
  <c r="F5350" i="20" s="1"/>
  <c r="C5350" i="20"/>
  <c r="B5350" i="20"/>
  <c r="D5349" i="20"/>
  <c r="F5349" i="20" s="1"/>
  <c r="C5349" i="20"/>
  <c r="B5349" i="20"/>
  <c r="D5348" i="20"/>
  <c r="F5348" i="20" s="1"/>
  <c r="C5348" i="20"/>
  <c r="B5348" i="20"/>
  <c r="D5347" i="20"/>
  <c r="F5347" i="20" s="1"/>
  <c r="C5347" i="20"/>
  <c r="B5347" i="20"/>
  <c r="D5346" i="20"/>
  <c r="F5346" i="20" s="1"/>
  <c r="C5346" i="20"/>
  <c r="B5346" i="20"/>
  <c r="D5345" i="20"/>
  <c r="F5345" i="20" s="1"/>
  <c r="C5345" i="20"/>
  <c r="B5345" i="20"/>
  <c r="D5344" i="20"/>
  <c r="F5344" i="20" s="1"/>
  <c r="C5344" i="20"/>
  <c r="B5344" i="20"/>
  <c r="D5343" i="20"/>
  <c r="F5343" i="20" s="1"/>
  <c r="C5343" i="20"/>
  <c r="B5343" i="20"/>
  <c r="D5342" i="20"/>
  <c r="F5342" i="20" s="1"/>
  <c r="C5342" i="20"/>
  <c r="B5342" i="20"/>
  <c r="D5341" i="20"/>
  <c r="F5341" i="20" s="1"/>
  <c r="C5341" i="20"/>
  <c r="B5341" i="20"/>
  <c r="D5340" i="20"/>
  <c r="F5340" i="20" s="1"/>
  <c r="C5340" i="20"/>
  <c r="B5340" i="20"/>
  <c r="D5339" i="20"/>
  <c r="F5339" i="20" s="1"/>
  <c r="C5339" i="20"/>
  <c r="B5339" i="20"/>
  <c r="C5338" i="20"/>
  <c r="C5337" i="20"/>
  <c r="E5333" i="20"/>
  <c r="G5333" i="20" s="1"/>
  <c r="D5333" i="20"/>
  <c r="B5333" i="20"/>
  <c r="E5332" i="20"/>
  <c r="D5332" i="20"/>
  <c r="B5332" i="20"/>
  <c r="D5331" i="20"/>
  <c r="B5331" i="20"/>
  <c r="G5328" i="20"/>
  <c r="I5349" i="20" s="1"/>
  <c r="G5327" i="20"/>
  <c r="B5327" i="20"/>
  <c r="B5326" i="20"/>
  <c r="H5325" i="20"/>
  <c r="B5322" i="20"/>
  <c r="E5359" i="20"/>
  <c r="I246" i="4"/>
  <c r="K246" i="4" s="1"/>
  <c r="F246" i="4" s="1"/>
  <c r="D5337" i="20" s="1"/>
  <c r="F5337" i="20" s="1"/>
  <c r="B5309" i="20"/>
  <c r="B5308" i="20"/>
  <c r="E5303" i="20"/>
  <c r="F5303" i="20" s="1"/>
  <c r="H5304" i="20" s="1"/>
  <c r="N5275" i="20" s="1"/>
  <c r="D5299" i="20"/>
  <c r="F5299" i="20" s="1"/>
  <c r="C5299" i="20"/>
  <c r="B5299" i="20"/>
  <c r="D5298" i="20"/>
  <c r="F5298" i="20" s="1"/>
  <c r="C5298" i="20"/>
  <c r="B5298" i="20"/>
  <c r="D5297" i="20"/>
  <c r="F5297" i="20" s="1"/>
  <c r="C5297" i="20"/>
  <c r="B5297" i="20"/>
  <c r="D5296" i="20"/>
  <c r="F5296" i="20" s="1"/>
  <c r="C5296" i="20"/>
  <c r="B5296" i="20"/>
  <c r="D5295" i="20"/>
  <c r="F5295" i="20" s="1"/>
  <c r="C5295" i="20"/>
  <c r="B5295" i="20"/>
  <c r="D5294" i="20"/>
  <c r="F5294" i="20" s="1"/>
  <c r="C5294" i="20"/>
  <c r="B5294" i="20"/>
  <c r="D5293" i="20"/>
  <c r="F5293" i="20" s="1"/>
  <c r="C5293" i="20"/>
  <c r="B5293" i="20"/>
  <c r="C5292" i="20"/>
  <c r="B5292" i="20"/>
  <c r="C5291" i="20"/>
  <c r="B5291" i="20"/>
  <c r="C5290" i="20"/>
  <c r="B5290" i="20"/>
  <c r="C5289" i="20"/>
  <c r="B5289" i="20"/>
  <c r="C5288" i="20"/>
  <c r="B5288" i="20"/>
  <c r="C5287" i="20"/>
  <c r="C5286" i="20"/>
  <c r="E5282" i="20"/>
  <c r="G5282" i="20" s="1"/>
  <c r="D5282" i="20"/>
  <c r="B5282" i="20"/>
  <c r="E5281" i="20"/>
  <c r="D5281" i="20"/>
  <c r="B5281" i="20"/>
  <c r="D5280" i="20"/>
  <c r="B5280" i="20"/>
  <c r="G5277" i="20"/>
  <c r="I5298" i="20" s="1"/>
  <c r="G5276" i="20"/>
  <c r="B5276" i="20"/>
  <c r="B5275" i="20"/>
  <c r="H5274" i="20"/>
  <c r="B5271" i="20"/>
  <c r="E5308" i="20"/>
  <c r="E5258" i="20"/>
  <c r="B5258" i="20"/>
  <c r="B5257" i="20"/>
  <c r="E5252" i="20"/>
  <c r="F5252" i="20" s="1"/>
  <c r="H5253" i="20" s="1"/>
  <c r="N5224" i="20" s="1"/>
  <c r="D5248" i="20"/>
  <c r="F5248" i="20" s="1"/>
  <c r="C5248" i="20"/>
  <c r="B5248" i="20"/>
  <c r="D5247" i="20"/>
  <c r="F5247" i="20" s="1"/>
  <c r="C5247" i="20"/>
  <c r="B5247" i="20"/>
  <c r="D5246" i="20"/>
  <c r="F5246" i="20" s="1"/>
  <c r="C5246" i="20"/>
  <c r="B5246" i="20"/>
  <c r="D5245" i="20"/>
  <c r="F5245" i="20" s="1"/>
  <c r="C5245" i="20"/>
  <c r="B5245" i="20"/>
  <c r="D5244" i="20"/>
  <c r="F5244" i="20" s="1"/>
  <c r="C5244" i="20"/>
  <c r="B5244" i="20"/>
  <c r="D5243" i="20"/>
  <c r="F5243" i="20" s="1"/>
  <c r="C5243" i="20"/>
  <c r="B5243" i="20"/>
  <c r="D5242" i="20"/>
  <c r="F5242" i="20" s="1"/>
  <c r="C5242" i="20"/>
  <c r="B5242" i="20"/>
  <c r="D5241" i="20"/>
  <c r="F5241" i="20" s="1"/>
  <c r="C5241" i="20"/>
  <c r="B5241" i="20"/>
  <c r="D5240" i="20"/>
  <c r="F5240" i="20" s="1"/>
  <c r="C5240" i="20"/>
  <c r="B5240" i="20"/>
  <c r="D5239" i="20"/>
  <c r="F5239" i="20" s="1"/>
  <c r="C5239" i="20"/>
  <c r="B5239" i="20"/>
  <c r="D5238" i="20"/>
  <c r="F5238" i="20" s="1"/>
  <c r="C5238" i="20"/>
  <c r="B5238" i="20"/>
  <c r="C5237" i="20"/>
  <c r="B5237" i="20"/>
  <c r="C5236" i="20"/>
  <c r="C5235" i="20"/>
  <c r="E5231" i="20"/>
  <c r="G5231" i="20" s="1"/>
  <c r="D5231" i="20"/>
  <c r="B5231" i="20"/>
  <c r="E5230" i="20"/>
  <c r="D5230" i="20"/>
  <c r="B5230" i="20"/>
  <c r="D5229" i="20"/>
  <c r="B5229" i="20"/>
  <c r="G5226" i="20"/>
  <c r="I5247" i="20" s="1"/>
  <c r="G5225" i="20"/>
  <c r="B5225" i="20"/>
  <c r="B5224" i="20"/>
  <c r="H5223" i="20"/>
  <c r="B5220" i="20"/>
  <c r="E5180" i="20"/>
  <c r="G5180" i="20" s="1"/>
  <c r="D5186" i="20"/>
  <c r="F5186" i="20" s="1"/>
  <c r="D5187" i="20"/>
  <c r="F5187" i="20" s="1"/>
  <c r="D5188" i="20"/>
  <c r="F5188" i="20" s="1"/>
  <c r="D5189" i="20"/>
  <c r="F5189" i="20" s="1"/>
  <c r="D5190" i="20"/>
  <c r="F5190" i="20" s="1"/>
  <c r="D5191" i="20"/>
  <c r="F5191" i="20" s="1"/>
  <c r="D5192" i="20"/>
  <c r="F5192" i="20" s="1"/>
  <c r="D5193" i="20"/>
  <c r="F5193" i="20" s="1"/>
  <c r="D5194" i="20"/>
  <c r="F5194" i="20" s="1"/>
  <c r="D5195" i="20"/>
  <c r="F5195" i="20" s="1"/>
  <c r="D5196" i="20"/>
  <c r="F5196" i="20" s="1"/>
  <c r="D5197" i="20"/>
  <c r="F5197" i="20" s="1"/>
  <c r="E5201" i="20"/>
  <c r="F5201" i="20" s="1"/>
  <c r="H5202" i="20" s="1"/>
  <c r="N5173" i="20" s="1"/>
  <c r="G5175" i="20"/>
  <c r="I5196" i="20" s="1"/>
  <c r="G5174" i="20"/>
  <c r="B5174" i="20"/>
  <c r="B5207" i="20"/>
  <c r="B5206" i="20"/>
  <c r="C5197" i="20"/>
  <c r="B5197" i="20"/>
  <c r="C5196" i="20"/>
  <c r="B5196" i="20"/>
  <c r="C5195" i="20"/>
  <c r="B5195" i="20"/>
  <c r="C5194" i="20"/>
  <c r="B5194" i="20"/>
  <c r="C5193" i="20"/>
  <c r="B5193" i="20"/>
  <c r="C5192" i="20"/>
  <c r="B5192" i="20"/>
  <c r="C5191" i="20"/>
  <c r="B5191" i="20"/>
  <c r="C5190" i="20"/>
  <c r="B5190" i="20"/>
  <c r="C5189" i="20"/>
  <c r="B5189" i="20"/>
  <c r="C5188" i="20"/>
  <c r="B5188" i="20"/>
  <c r="C5187" i="20"/>
  <c r="B5187" i="20"/>
  <c r="C5186" i="20"/>
  <c r="B5186" i="20"/>
  <c r="C5185" i="20"/>
  <c r="C5184" i="20"/>
  <c r="D5180" i="20"/>
  <c r="B5180" i="20"/>
  <c r="D5179" i="20"/>
  <c r="B5179" i="20"/>
  <c r="D5178" i="20"/>
  <c r="B5178" i="20"/>
  <c r="B5173" i="20"/>
  <c r="H5172" i="20"/>
  <c r="B5169" i="20"/>
  <c r="E5206" i="20"/>
  <c r="D3090" i="20" l="1"/>
  <c r="F3090" i="20" s="1"/>
  <c r="D3906" i="20"/>
  <c r="F3906" i="20" s="1"/>
  <c r="D3345" i="20"/>
  <c r="F3345" i="20" s="1"/>
  <c r="E5257" i="20"/>
  <c r="F5229" i="20"/>
  <c r="F5331" i="20"/>
  <c r="E5360" i="20"/>
  <c r="E5309" i="20"/>
  <c r="D2988" i="20"/>
  <c r="F2988" i="20" s="1"/>
  <c r="D2937" i="20"/>
  <c r="F2937" i="20" s="1"/>
  <c r="I5342" i="20"/>
  <c r="I5346" i="20"/>
  <c r="I5337" i="20"/>
  <c r="I5338" i="20"/>
  <c r="I5350" i="20"/>
  <c r="I5339" i="20"/>
  <c r="I5343" i="20"/>
  <c r="I5347" i="20"/>
  <c r="F5332" i="20"/>
  <c r="G5332" i="20" s="1"/>
  <c r="I5340" i="20"/>
  <c r="I5344" i="20"/>
  <c r="I5348" i="20"/>
  <c r="E5358" i="20"/>
  <c r="I5341" i="20"/>
  <c r="I5345" i="20"/>
  <c r="I5286" i="20"/>
  <c r="I5295" i="20"/>
  <c r="I5299" i="20"/>
  <c r="F5280" i="20"/>
  <c r="I5288" i="20"/>
  <c r="I5292" i="20"/>
  <c r="I5296" i="20"/>
  <c r="I5289" i="20"/>
  <c r="I5293" i="20"/>
  <c r="I5297" i="20"/>
  <c r="E5307" i="20"/>
  <c r="I5287" i="20"/>
  <c r="I5291" i="20"/>
  <c r="F5281" i="20"/>
  <c r="G5281" i="20" s="1"/>
  <c r="I5290" i="20"/>
  <c r="I5294" i="20"/>
  <c r="I5236" i="20"/>
  <c r="I5240" i="20"/>
  <c r="I5235" i="20"/>
  <c r="I5248" i="20"/>
  <c r="I5237" i="20"/>
  <c r="I5241" i="20"/>
  <c r="I5245" i="20"/>
  <c r="F5230" i="20"/>
  <c r="G5230" i="20" s="1"/>
  <c r="I5238" i="20"/>
  <c r="I5242" i="20"/>
  <c r="I5246" i="20"/>
  <c r="E5256" i="20"/>
  <c r="I5244" i="20"/>
  <c r="I5239" i="20"/>
  <c r="I5243" i="20"/>
  <c r="I5184" i="20"/>
  <c r="I5189" i="20"/>
  <c r="I5197" i="20"/>
  <c r="F5178" i="20"/>
  <c r="I5186" i="20"/>
  <c r="I5190" i="20"/>
  <c r="I5194" i="20"/>
  <c r="F5179" i="20"/>
  <c r="I5187" i="20"/>
  <c r="I5191" i="20"/>
  <c r="I5195" i="20"/>
  <c r="E5205" i="20"/>
  <c r="I5185" i="20"/>
  <c r="I5193" i="20"/>
  <c r="E5207" i="20"/>
  <c r="I5188" i="20"/>
  <c r="I5192" i="20"/>
  <c r="B2603" i="20"/>
  <c r="B2602" i="20"/>
  <c r="E2597" i="20"/>
  <c r="F2597" i="20" s="1"/>
  <c r="H2598" i="20" s="1"/>
  <c r="N2569" i="20" s="1"/>
  <c r="D2593" i="20"/>
  <c r="F2593" i="20" s="1"/>
  <c r="C2593" i="20"/>
  <c r="B2593" i="20"/>
  <c r="D2592" i="20"/>
  <c r="F2592" i="20" s="1"/>
  <c r="C2592" i="20"/>
  <c r="B2592" i="20"/>
  <c r="D2591" i="20"/>
  <c r="F2591" i="20" s="1"/>
  <c r="C2591" i="20"/>
  <c r="B2591" i="20"/>
  <c r="D2590" i="20"/>
  <c r="F2590" i="20" s="1"/>
  <c r="C2590" i="20"/>
  <c r="B2590" i="20"/>
  <c r="D2589" i="20"/>
  <c r="F2589" i="20" s="1"/>
  <c r="C2589" i="20"/>
  <c r="B2589" i="20"/>
  <c r="D2588" i="20"/>
  <c r="F2588" i="20" s="1"/>
  <c r="C2588" i="20"/>
  <c r="B2588" i="20"/>
  <c r="C2587" i="20"/>
  <c r="B2587" i="20"/>
  <c r="C2586" i="20"/>
  <c r="B2586" i="20"/>
  <c r="C2585" i="20"/>
  <c r="B2585" i="20"/>
  <c r="C2584" i="20"/>
  <c r="B2584" i="20"/>
  <c r="C2583" i="20"/>
  <c r="B2583" i="20"/>
  <c r="C2582" i="20"/>
  <c r="B2582" i="20"/>
  <c r="C2581" i="20"/>
  <c r="C2580" i="20"/>
  <c r="D2576" i="20"/>
  <c r="B2576" i="20"/>
  <c r="D2575" i="20"/>
  <c r="B2575" i="20"/>
  <c r="D2574" i="20"/>
  <c r="B2574" i="20"/>
  <c r="G2571" i="20"/>
  <c r="I2592" i="20" s="1"/>
  <c r="G2570" i="20"/>
  <c r="B2570" i="20"/>
  <c r="B2569" i="20"/>
  <c r="H2568" i="20"/>
  <c r="B2565" i="20"/>
  <c r="H2564" i="20"/>
  <c r="E2602" i="20" s="1"/>
  <c r="B5156" i="20"/>
  <c r="B5155" i="20"/>
  <c r="E5150" i="20"/>
  <c r="F5150" i="20" s="1"/>
  <c r="H5151" i="20" s="1"/>
  <c r="N5122" i="20" s="1"/>
  <c r="D5146" i="20"/>
  <c r="F5146" i="20" s="1"/>
  <c r="C5146" i="20"/>
  <c r="B5146" i="20"/>
  <c r="D5145" i="20"/>
  <c r="F5145" i="20" s="1"/>
  <c r="C5145" i="20"/>
  <c r="B5145" i="20"/>
  <c r="D5144" i="20"/>
  <c r="F5144" i="20" s="1"/>
  <c r="C5144" i="20"/>
  <c r="B5144" i="20"/>
  <c r="D5143" i="20"/>
  <c r="F5143" i="20" s="1"/>
  <c r="C5143" i="20"/>
  <c r="B5143" i="20"/>
  <c r="D5142" i="20"/>
  <c r="F5142" i="20" s="1"/>
  <c r="C5142" i="20"/>
  <c r="B5142" i="20"/>
  <c r="D5141" i="20"/>
  <c r="F5141" i="20" s="1"/>
  <c r="C5141" i="20"/>
  <c r="B5141" i="20"/>
  <c r="D5140" i="20"/>
  <c r="F5140" i="20" s="1"/>
  <c r="C5140" i="20"/>
  <c r="B5140" i="20"/>
  <c r="D5139" i="20"/>
  <c r="F5139" i="20" s="1"/>
  <c r="C5139" i="20"/>
  <c r="B5139" i="20"/>
  <c r="D5138" i="20"/>
  <c r="F5138" i="20" s="1"/>
  <c r="C5138" i="20"/>
  <c r="B5138" i="20"/>
  <c r="D5137" i="20"/>
  <c r="F5137" i="20" s="1"/>
  <c r="C5137" i="20"/>
  <c r="B5137" i="20"/>
  <c r="D5136" i="20"/>
  <c r="F5136" i="20" s="1"/>
  <c r="C5136" i="20"/>
  <c r="B5136" i="20"/>
  <c r="D5135" i="20"/>
  <c r="F5135" i="20" s="1"/>
  <c r="C5135" i="20"/>
  <c r="B5135" i="20"/>
  <c r="C5134" i="20"/>
  <c r="C5133" i="20"/>
  <c r="E5129" i="20"/>
  <c r="G5129" i="20" s="1"/>
  <c r="D5129" i="20"/>
  <c r="B5129" i="20"/>
  <c r="E5128" i="20"/>
  <c r="D5128" i="20"/>
  <c r="B5128" i="20"/>
  <c r="D5127" i="20"/>
  <c r="B5127" i="20"/>
  <c r="G5124" i="20"/>
  <c r="I5145" i="20" s="1"/>
  <c r="G5123" i="20"/>
  <c r="B5123" i="20"/>
  <c r="B5122" i="20"/>
  <c r="H5121" i="20"/>
  <c r="B5118" i="20"/>
  <c r="E5155" i="20"/>
  <c r="B5105" i="20"/>
  <c r="B5104" i="20"/>
  <c r="E5099" i="20"/>
  <c r="F5099" i="20" s="1"/>
  <c r="H5100" i="20" s="1"/>
  <c r="N5071" i="20" s="1"/>
  <c r="D5095" i="20"/>
  <c r="F5095" i="20" s="1"/>
  <c r="C5095" i="20"/>
  <c r="B5095" i="20"/>
  <c r="D5094" i="20"/>
  <c r="F5094" i="20" s="1"/>
  <c r="C5094" i="20"/>
  <c r="B5094" i="20"/>
  <c r="D5093" i="20"/>
  <c r="F5093" i="20" s="1"/>
  <c r="C5093" i="20"/>
  <c r="B5093" i="20"/>
  <c r="D5092" i="20"/>
  <c r="F5092" i="20" s="1"/>
  <c r="C5092" i="20"/>
  <c r="B5092" i="20"/>
  <c r="D5091" i="20"/>
  <c r="F5091" i="20" s="1"/>
  <c r="C5091" i="20"/>
  <c r="B5091" i="20"/>
  <c r="D5090" i="20"/>
  <c r="F5090" i="20" s="1"/>
  <c r="C5090" i="20"/>
  <c r="B5090" i="20"/>
  <c r="D5089" i="20"/>
  <c r="F5089" i="20" s="1"/>
  <c r="C5089" i="20"/>
  <c r="B5089" i="20"/>
  <c r="D5088" i="20"/>
  <c r="F5088" i="20" s="1"/>
  <c r="C5088" i="20"/>
  <c r="B5088" i="20"/>
  <c r="D5087" i="20"/>
  <c r="F5087" i="20" s="1"/>
  <c r="C5087" i="20"/>
  <c r="B5087" i="20"/>
  <c r="D5086" i="20"/>
  <c r="F5086" i="20" s="1"/>
  <c r="C5086" i="20"/>
  <c r="B5086" i="20"/>
  <c r="D5085" i="20"/>
  <c r="F5085" i="20" s="1"/>
  <c r="C5085" i="20"/>
  <c r="B5085" i="20"/>
  <c r="D5084" i="20"/>
  <c r="F5084" i="20" s="1"/>
  <c r="C5084" i="20"/>
  <c r="B5084" i="20"/>
  <c r="C5083" i="20"/>
  <c r="C5082" i="20"/>
  <c r="E5078" i="20"/>
  <c r="G5078" i="20" s="1"/>
  <c r="D5078" i="20"/>
  <c r="B5078" i="20"/>
  <c r="E5077" i="20"/>
  <c r="D5077" i="20"/>
  <c r="B5077" i="20"/>
  <c r="D5076" i="20"/>
  <c r="B5076" i="20"/>
  <c r="G5073" i="20"/>
  <c r="I5094" i="20" s="1"/>
  <c r="G5072" i="20"/>
  <c r="B5072" i="20"/>
  <c r="B5071" i="20"/>
  <c r="H5070" i="20"/>
  <c r="B5067" i="20"/>
  <c r="E5104" i="20"/>
  <c r="E6810" i="20"/>
  <c r="E6757" i="20"/>
  <c r="B6811" i="20"/>
  <c r="B6810" i="20"/>
  <c r="E6805" i="20"/>
  <c r="F6805" i="20" s="1"/>
  <c r="H6806" i="20" s="1"/>
  <c r="N6776" i="20" s="1"/>
  <c r="D6801" i="20"/>
  <c r="F6801" i="20" s="1"/>
  <c r="C6801" i="20"/>
  <c r="B6801" i="20"/>
  <c r="D6800" i="20"/>
  <c r="F6800" i="20" s="1"/>
  <c r="C6800" i="20"/>
  <c r="B6800" i="20"/>
  <c r="D6799" i="20"/>
  <c r="F6799" i="20" s="1"/>
  <c r="C6799" i="20"/>
  <c r="B6799" i="20"/>
  <c r="D6798" i="20"/>
  <c r="F6798" i="20" s="1"/>
  <c r="C6798" i="20"/>
  <c r="B6798" i="20"/>
  <c r="D6797" i="20"/>
  <c r="F6797" i="20" s="1"/>
  <c r="C6797" i="20"/>
  <c r="B6797" i="20"/>
  <c r="D6796" i="20"/>
  <c r="F6796" i="20" s="1"/>
  <c r="C6796" i="20"/>
  <c r="B6796" i="20"/>
  <c r="D6795" i="20"/>
  <c r="F6795" i="20" s="1"/>
  <c r="C6795" i="20"/>
  <c r="B6795" i="20"/>
  <c r="D6794" i="20"/>
  <c r="F6794" i="20" s="1"/>
  <c r="C6794" i="20"/>
  <c r="B6794" i="20"/>
  <c r="D6793" i="20"/>
  <c r="F6793" i="20" s="1"/>
  <c r="C6793" i="20"/>
  <c r="B6793" i="20"/>
  <c r="D6792" i="20"/>
  <c r="F6792" i="20" s="1"/>
  <c r="C6792" i="20"/>
  <c r="B6792" i="20"/>
  <c r="D6791" i="20"/>
  <c r="F6791" i="20" s="1"/>
  <c r="C6791" i="20"/>
  <c r="B6791" i="20"/>
  <c r="D6790" i="20"/>
  <c r="F6790" i="20" s="1"/>
  <c r="C6790" i="20"/>
  <c r="B6790" i="20"/>
  <c r="D6789" i="20"/>
  <c r="F6789" i="20" s="1"/>
  <c r="C6789" i="20"/>
  <c r="C6788" i="20"/>
  <c r="E6784" i="20"/>
  <c r="D6784" i="20"/>
  <c r="B6784" i="20"/>
  <c r="E6783" i="20"/>
  <c r="D6783" i="20"/>
  <c r="B6783" i="20"/>
  <c r="E6782" i="20"/>
  <c r="D6782" i="20"/>
  <c r="B6782" i="20"/>
  <c r="D6781" i="20"/>
  <c r="B6781" i="20"/>
  <c r="G6778" i="20"/>
  <c r="I6800" i="20" s="1"/>
  <c r="G6777" i="20"/>
  <c r="B6777" i="20"/>
  <c r="B6776" i="20"/>
  <c r="H6775" i="20"/>
  <c r="B6772" i="20"/>
  <c r="B6758" i="20"/>
  <c r="B6757" i="20"/>
  <c r="E6752" i="20"/>
  <c r="F6752" i="20" s="1"/>
  <c r="H6753" i="20" s="1"/>
  <c r="N6723" i="20" s="1"/>
  <c r="D6748" i="20"/>
  <c r="F6748" i="20" s="1"/>
  <c r="C6748" i="20"/>
  <c r="B6748" i="20"/>
  <c r="D6747" i="20"/>
  <c r="F6747" i="20" s="1"/>
  <c r="C6747" i="20"/>
  <c r="B6747" i="20"/>
  <c r="D6746" i="20"/>
  <c r="F6746" i="20" s="1"/>
  <c r="C6746" i="20"/>
  <c r="B6746" i="20"/>
  <c r="D6745" i="20"/>
  <c r="F6745" i="20" s="1"/>
  <c r="C6745" i="20"/>
  <c r="B6745" i="20"/>
  <c r="D6744" i="20"/>
  <c r="F6744" i="20" s="1"/>
  <c r="C6744" i="20"/>
  <c r="B6744" i="20"/>
  <c r="D6743" i="20"/>
  <c r="F6743" i="20" s="1"/>
  <c r="C6743" i="20"/>
  <c r="B6743" i="20"/>
  <c r="D6742" i="20"/>
  <c r="F6742" i="20" s="1"/>
  <c r="C6742" i="20"/>
  <c r="B6742" i="20"/>
  <c r="D6741" i="20"/>
  <c r="F6741" i="20" s="1"/>
  <c r="C6741" i="20"/>
  <c r="B6741" i="20"/>
  <c r="D6740" i="20"/>
  <c r="F6740" i="20" s="1"/>
  <c r="C6740" i="20"/>
  <c r="B6740" i="20"/>
  <c r="D6739" i="20"/>
  <c r="F6739" i="20" s="1"/>
  <c r="C6739" i="20"/>
  <c r="B6739" i="20"/>
  <c r="D6738" i="20"/>
  <c r="F6738" i="20" s="1"/>
  <c r="C6738" i="20"/>
  <c r="B6738" i="20"/>
  <c r="D6737" i="20"/>
  <c r="F6737" i="20" s="1"/>
  <c r="C6737" i="20"/>
  <c r="B6737" i="20"/>
  <c r="D6736" i="20"/>
  <c r="F6736" i="20" s="1"/>
  <c r="C6736" i="20"/>
  <c r="C6735" i="20"/>
  <c r="E6731" i="20"/>
  <c r="D6731" i="20"/>
  <c r="B6731" i="20"/>
  <c r="E6730" i="20"/>
  <c r="D6730" i="20"/>
  <c r="B6730" i="20"/>
  <c r="E6729" i="20"/>
  <c r="D6729" i="20"/>
  <c r="B6729" i="20"/>
  <c r="D6728" i="20"/>
  <c r="B6728" i="20"/>
  <c r="G6725" i="20"/>
  <c r="I6747" i="20" s="1"/>
  <c r="G6724" i="20"/>
  <c r="B6724" i="20"/>
  <c r="B6723" i="20"/>
  <c r="H6722" i="20"/>
  <c r="B6719" i="20"/>
  <c r="I231" i="4"/>
  <c r="K231" i="4" s="1"/>
  <c r="F231" i="4" s="1"/>
  <c r="B5054" i="20"/>
  <c r="B5053" i="20"/>
  <c r="E5048" i="20"/>
  <c r="F5048" i="20" s="1"/>
  <c r="H5049" i="20" s="1"/>
  <c r="N5020" i="20" s="1"/>
  <c r="D5044" i="20"/>
  <c r="F5044" i="20" s="1"/>
  <c r="C5044" i="20"/>
  <c r="B5044" i="20"/>
  <c r="D5043" i="20"/>
  <c r="F5043" i="20" s="1"/>
  <c r="C5043" i="20"/>
  <c r="B5043" i="20"/>
  <c r="D5042" i="20"/>
  <c r="F5042" i="20" s="1"/>
  <c r="C5042" i="20"/>
  <c r="B5042" i="20"/>
  <c r="D5041" i="20"/>
  <c r="F5041" i="20" s="1"/>
  <c r="C5041" i="20"/>
  <c r="B5041" i="20"/>
  <c r="D5040" i="20"/>
  <c r="F5040" i="20" s="1"/>
  <c r="C5040" i="20"/>
  <c r="B5040" i="20"/>
  <c r="D5039" i="20"/>
  <c r="F5039" i="20" s="1"/>
  <c r="C5039" i="20"/>
  <c r="B5039" i="20"/>
  <c r="D5038" i="20"/>
  <c r="F5038" i="20" s="1"/>
  <c r="C5038" i="20"/>
  <c r="B5038" i="20"/>
  <c r="D5037" i="20"/>
  <c r="F5037" i="20" s="1"/>
  <c r="C5037" i="20"/>
  <c r="B5037" i="20"/>
  <c r="D5036" i="20"/>
  <c r="F5036" i="20" s="1"/>
  <c r="C5036" i="20"/>
  <c r="B5036" i="20"/>
  <c r="D5035" i="20"/>
  <c r="F5035" i="20" s="1"/>
  <c r="C5035" i="20"/>
  <c r="B5035" i="20"/>
  <c r="D5034" i="20"/>
  <c r="F5034" i="20" s="1"/>
  <c r="C5034" i="20"/>
  <c r="B5034" i="20"/>
  <c r="D5033" i="20"/>
  <c r="F5033" i="20" s="1"/>
  <c r="C5033" i="20"/>
  <c r="B5033" i="20"/>
  <c r="C5032" i="20"/>
  <c r="C5031" i="20"/>
  <c r="E5027" i="20"/>
  <c r="G5027" i="20" s="1"/>
  <c r="D5027" i="20"/>
  <c r="B5027" i="20"/>
  <c r="E5026" i="20"/>
  <c r="D5026" i="20"/>
  <c r="B5026" i="20"/>
  <c r="D5025" i="20"/>
  <c r="B5025" i="20"/>
  <c r="G5022" i="20"/>
  <c r="I5043" i="20" s="1"/>
  <c r="G5021" i="20"/>
  <c r="B5021" i="20"/>
  <c r="B5020" i="20"/>
  <c r="H5019" i="20"/>
  <c r="B5016" i="20"/>
  <c r="E5053" i="20"/>
  <c r="E5156" i="20" l="1"/>
  <c r="F2574" i="20"/>
  <c r="F5025" i="20"/>
  <c r="E5054" i="20"/>
  <c r="E5105" i="20"/>
  <c r="F2576" i="20"/>
  <c r="E2603" i="20"/>
  <c r="F5127" i="20"/>
  <c r="I2589" i="20"/>
  <c r="I2593" i="20"/>
  <c r="I2585" i="20"/>
  <c r="I2580" i="20"/>
  <c r="I2581" i="20"/>
  <c r="F2575" i="20"/>
  <c r="I2582" i="20"/>
  <c r="I2586" i="20"/>
  <c r="I2590" i="20"/>
  <c r="I2583" i="20"/>
  <c r="I2587" i="20"/>
  <c r="I2591" i="20"/>
  <c r="E2601" i="20"/>
  <c r="I2584" i="20"/>
  <c r="I2588" i="20"/>
  <c r="I5135" i="20"/>
  <c r="I5139" i="20"/>
  <c r="I5143" i="20"/>
  <c r="I5133" i="20"/>
  <c r="I5142" i="20"/>
  <c r="I5146" i="20"/>
  <c r="F5128" i="20"/>
  <c r="G5128" i="20" s="1"/>
  <c r="I5136" i="20"/>
  <c r="I5140" i="20"/>
  <c r="I5144" i="20"/>
  <c r="E5154" i="20"/>
  <c r="I5134" i="20"/>
  <c r="I5138" i="20"/>
  <c r="I5137" i="20"/>
  <c r="I5141" i="20"/>
  <c r="F5076" i="20"/>
  <c r="I5084" i="20"/>
  <c r="I5088" i="20"/>
  <c r="I5092" i="20"/>
  <c r="I5087" i="20"/>
  <c r="F5077" i="20"/>
  <c r="G5077" i="20" s="1"/>
  <c r="I5085" i="20"/>
  <c r="I5089" i="20"/>
  <c r="I5093" i="20"/>
  <c r="E5103" i="20"/>
  <c r="I5082" i="20"/>
  <c r="I5083" i="20"/>
  <c r="I5091" i="20"/>
  <c r="I5095" i="20"/>
  <c r="I5086" i="20"/>
  <c r="I5090" i="20"/>
  <c r="I6788" i="20"/>
  <c r="I6801" i="20"/>
  <c r="I6797" i="20"/>
  <c r="I6789" i="20"/>
  <c r="I6793" i="20"/>
  <c r="F6783" i="20"/>
  <c r="G6783" i="20" s="1"/>
  <c r="I6790" i="20"/>
  <c r="I6794" i="20"/>
  <c r="I6798" i="20"/>
  <c r="F6782" i="20"/>
  <c r="G6782" i="20" s="1"/>
  <c r="E6811" i="20"/>
  <c r="F6784" i="20"/>
  <c r="G6784" i="20" s="1"/>
  <c r="I6791" i="20"/>
  <c r="I6795" i="20"/>
  <c r="I6799" i="20"/>
  <c r="E6809" i="20"/>
  <c r="F6781" i="20"/>
  <c r="I6792" i="20"/>
  <c r="I6796" i="20"/>
  <c r="I6740" i="20"/>
  <c r="I6748" i="20"/>
  <c r="I6735" i="20"/>
  <c r="I6736" i="20"/>
  <c r="I6744" i="20"/>
  <c r="F6729" i="20"/>
  <c r="G6729" i="20" s="1"/>
  <c r="E6758" i="20"/>
  <c r="F6730" i="20"/>
  <c r="G6730" i="20" s="1"/>
  <c r="I6737" i="20"/>
  <c r="I6741" i="20"/>
  <c r="I6745" i="20"/>
  <c r="F6731" i="20"/>
  <c r="G6731" i="20" s="1"/>
  <c r="I6738" i="20"/>
  <c r="I6742" i="20"/>
  <c r="I6746" i="20"/>
  <c r="E6756" i="20"/>
  <c r="F6728" i="20"/>
  <c r="I6739" i="20"/>
  <c r="I6743" i="20"/>
  <c r="I5033" i="20"/>
  <c r="I5037" i="20"/>
  <c r="I5041" i="20"/>
  <c r="I5031" i="20"/>
  <c r="I5032" i="20"/>
  <c r="I5036" i="20"/>
  <c r="I5040" i="20"/>
  <c r="I5044" i="20"/>
  <c r="F5026" i="20"/>
  <c r="G5026" i="20" s="1"/>
  <c r="I5034" i="20"/>
  <c r="I5038" i="20"/>
  <c r="I5042" i="20"/>
  <c r="E5052" i="20"/>
  <c r="I5035" i="20"/>
  <c r="I5039" i="20"/>
  <c r="I250" i="4" l="1"/>
  <c r="K250" i="4" s="1"/>
  <c r="F250" i="4" s="1"/>
  <c r="B5003" i="20"/>
  <c r="B5002" i="20"/>
  <c r="E4997" i="20"/>
  <c r="F4997" i="20" s="1"/>
  <c r="H4998" i="20" s="1"/>
  <c r="N4969" i="20" s="1"/>
  <c r="D4993" i="20"/>
  <c r="F4993" i="20" s="1"/>
  <c r="C4993" i="20"/>
  <c r="B4993" i="20"/>
  <c r="D4992" i="20"/>
  <c r="F4992" i="20" s="1"/>
  <c r="C4992" i="20"/>
  <c r="B4992" i="20"/>
  <c r="D4991" i="20"/>
  <c r="F4991" i="20" s="1"/>
  <c r="C4991" i="20"/>
  <c r="B4991" i="20"/>
  <c r="D4990" i="20"/>
  <c r="F4990" i="20" s="1"/>
  <c r="C4990" i="20"/>
  <c r="B4990" i="20"/>
  <c r="D4989" i="20"/>
  <c r="F4989" i="20" s="1"/>
  <c r="C4989" i="20"/>
  <c r="B4989" i="20"/>
  <c r="D4988" i="20"/>
  <c r="F4988" i="20" s="1"/>
  <c r="C4988" i="20"/>
  <c r="B4988" i="20"/>
  <c r="D4987" i="20"/>
  <c r="F4987" i="20" s="1"/>
  <c r="C4987" i="20"/>
  <c r="B4987" i="20"/>
  <c r="D4986" i="20"/>
  <c r="F4986" i="20" s="1"/>
  <c r="C4986" i="20"/>
  <c r="B4986" i="20"/>
  <c r="D4985" i="20"/>
  <c r="F4985" i="20" s="1"/>
  <c r="C4985" i="20"/>
  <c r="B4985" i="20"/>
  <c r="D4984" i="20"/>
  <c r="F4984" i="20" s="1"/>
  <c r="C4984" i="20"/>
  <c r="B4984" i="20"/>
  <c r="D4983" i="20"/>
  <c r="F4983" i="20" s="1"/>
  <c r="C4983" i="20"/>
  <c r="B4983" i="20"/>
  <c r="D4982" i="20"/>
  <c r="F4982" i="20" s="1"/>
  <c r="C4982" i="20"/>
  <c r="B4982" i="20"/>
  <c r="C4981" i="20"/>
  <c r="C4980" i="20"/>
  <c r="E4976" i="20"/>
  <c r="G4976" i="20" s="1"/>
  <c r="D4976" i="20"/>
  <c r="B4976" i="20"/>
  <c r="E4975" i="20"/>
  <c r="D4975" i="20"/>
  <c r="B4975" i="20"/>
  <c r="D4974" i="20"/>
  <c r="B4974" i="20"/>
  <c r="G4971" i="20"/>
  <c r="I4992" i="20" s="1"/>
  <c r="G4970" i="20"/>
  <c r="B4970" i="20"/>
  <c r="B4969" i="20"/>
  <c r="H4968" i="20"/>
  <c r="B4965" i="20"/>
  <c r="E5002" i="20"/>
  <c r="B2552" i="20"/>
  <c r="B2551" i="20"/>
  <c r="E2546" i="20"/>
  <c r="F2546" i="20" s="1"/>
  <c r="H2547" i="20" s="1"/>
  <c r="N2518" i="20" s="1"/>
  <c r="D2542" i="20"/>
  <c r="F2542" i="20" s="1"/>
  <c r="C2542" i="20"/>
  <c r="B2542" i="20"/>
  <c r="D2541" i="20"/>
  <c r="F2541" i="20" s="1"/>
  <c r="C2541" i="20"/>
  <c r="B2541" i="20"/>
  <c r="D2540" i="20"/>
  <c r="F2540" i="20" s="1"/>
  <c r="C2540" i="20"/>
  <c r="B2540" i="20"/>
  <c r="D2539" i="20"/>
  <c r="F2539" i="20" s="1"/>
  <c r="C2539" i="20"/>
  <c r="B2539" i="20"/>
  <c r="D2538" i="20"/>
  <c r="F2538" i="20" s="1"/>
  <c r="C2538" i="20"/>
  <c r="B2538" i="20"/>
  <c r="D2537" i="20"/>
  <c r="F2537" i="20" s="1"/>
  <c r="C2537" i="20"/>
  <c r="B2537" i="20"/>
  <c r="C2536" i="20"/>
  <c r="B2536" i="20"/>
  <c r="C2535" i="20"/>
  <c r="B2535" i="20"/>
  <c r="C2534" i="20"/>
  <c r="B2534" i="20"/>
  <c r="C2533" i="20"/>
  <c r="B2533" i="20"/>
  <c r="C2532" i="20"/>
  <c r="B2532" i="20"/>
  <c r="C2531" i="20"/>
  <c r="B2531" i="20"/>
  <c r="C2530" i="20"/>
  <c r="C2529" i="20"/>
  <c r="D2525" i="20"/>
  <c r="B2525" i="20"/>
  <c r="D2524" i="20"/>
  <c r="B2524" i="20"/>
  <c r="D2523" i="20"/>
  <c r="B2523" i="20"/>
  <c r="G2520" i="20"/>
  <c r="I2541" i="20" s="1"/>
  <c r="G2519" i="20"/>
  <c r="B2519" i="20"/>
  <c r="B2518" i="20"/>
  <c r="H2517" i="20"/>
  <c r="B2514" i="20"/>
  <c r="H2513" i="20"/>
  <c r="E2551" i="20" s="1"/>
  <c r="B2484" i="20"/>
  <c r="B2483" i="20"/>
  <c r="B2482" i="20"/>
  <c r="B2481" i="20"/>
  <c r="B2480" i="20"/>
  <c r="I279" i="4"/>
  <c r="K279" i="4" s="1"/>
  <c r="B2501" i="20"/>
  <c r="B2500" i="20"/>
  <c r="E2495" i="20"/>
  <c r="F2495" i="20" s="1"/>
  <c r="H2496" i="20" s="1"/>
  <c r="N2467" i="20" s="1"/>
  <c r="D2491" i="20"/>
  <c r="F2491" i="20" s="1"/>
  <c r="C2491" i="20"/>
  <c r="B2491" i="20"/>
  <c r="D2490" i="20"/>
  <c r="F2490" i="20" s="1"/>
  <c r="C2490" i="20"/>
  <c r="B2490" i="20"/>
  <c r="D2489" i="20"/>
  <c r="F2489" i="20" s="1"/>
  <c r="C2489" i="20"/>
  <c r="B2489" i="20"/>
  <c r="D2488" i="20"/>
  <c r="F2488" i="20" s="1"/>
  <c r="C2488" i="20"/>
  <c r="B2488" i="20"/>
  <c r="D2487" i="20"/>
  <c r="F2487" i="20" s="1"/>
  <c r="C2487" i="20"/>
  <c r="B2487" i="20"/>
  <c r="D2486" i="20"/>
  <c r="F2486" i="20" s="1"/>
  <c r="C2486" i="20"/>
  <c r="B2486" i="20"/>
  <c r="D2485" i="20"/>
  <c r="F2485" i="20" s="1"/>
  <c r="C2485" i="20"/>
  <c r="B2485" i="20"/>
  <c r="C2484" i="20"/>
  <c r="C2483" i="20"/>
  <c r="C2482" i="20"/>
  <c r="C2481" i="20"/>
  <c r="C2480" i="20"/>
  <c r="C2479" i="20"/>
  <c r="C2478" i="20"/>
  <c r="D2474" i="20"/>
  <c r="B2474" i="20"/>
  <c r="D2473" i="20"/>
  <c r="B2473" i="20"/>
  <c r="D2472" i="20"/>
  <c r="B2472" i="20"/>
  <c r="G2469" i="20"/>
  <c r="I2490" i="20" s="1"/>
  <c r="G2468" i="20"/>
  <c r="B2468" i="20"/>
  <c r="B2467" i="20"/>
  <c r="H2466" i="20"/>
  <c r="B2463" i="20"/>
  <c r="H2462" i="20"/>
  <c r="E2500" i="20" s="1"/>
  <c r="I270" i="4"/>
  <c r="K270" i="4" s="1"/>
  <c r="F270" i="4" s="1"/>
  <c r="D2529" i="20" s="1"/>
  <c r="F2529" i="20" s="1"/>
  <c r="F2525" i="20" l="1"/>
  <c r="F2523" i="20"/>
  <c r="E5003" i="20"/>
  <c r="E2552" i="20"/>
  <c r="I4980" i="20"/>
  <c r="I4989" i="20"/>
  <c r="I4993" i="20"/>
  <c r="F4974" i="20"/>
  <c r="I4982" i="20"/>
  <c r="I4986" i="20"/>
  <c r="I4990" i="20"/>
  <c r="F4975" i="20"/>
  <c r="G4975" i="20" s="1"/>
  <c r="I4983" i="20"/>
  <c r="I4987" i="20"/>
  <c r="I4991" i="20"/>
  <c r="E5001" i="20"/>
  <c r="I4981" i="20"/>
  <c r="I4985" i="20"/>
  <c r="I4984" i="20"/>
  <c r="I4988" i="20"/>
  <c r="I2538" i="20"/>
  <c r="I2542" i="20"/>
  <c r="I2534" i="20"/>
  <c r="I2529" i="20"/>
  <c r="I2530" i="20"/>
  <c r="F2524" i="20"/>
  <c r="I2531" i="20"/>
  <c r="I2535" i="20"/>
  <c r="I2539" i="20"/>
  <c r="I2532" i="20"/>
  <c r="I2536" i="20"/>
  <c r="I2540" i="20"/>
  <c r="E2550" i="20"/>
  <c r="I2533" i="20"/>
  <c r="I2537" i="20"/>
  <c r="I2478" i="20"/>
  <c r="I2479" i="20"/>
  <c r="I2491" i="20"/>
  <c r="I2487" i="20"/>
  <c r="I2483" i="20"/>
  <c r="I2480" i="20"/>
  <c r="I2484" i="20"/>
  <c r="I2488" i="20"/>
  <c r="I2481" i="20"/>
  <c r="I2485" i="20"/>
  <c r="I2489" i="20"/>
  <c r="E2499" i="20"/>
  <c r="F2472" i="20"/>
  <c r="E2501" i="20"/>
  <c r="F2473" i="20"/>
  <c r="F2474" i="20"/>
  <c r="I2482" i="20"/>
  <c r="I2486" i="20"/>
  <c r="E8641" i="20"/>
  <c r="B8641" i="20"/>
  <c r="B8640" i="20"/>
  <c r="E8635" i="20"/>
  <c r="F8635" i="20" s="1"/>
  <c r="H8636" i="20" s="1"/>
  <c r="N8603" i="20" s="1"/>
  <c r="D8631" i="20"/>
  <c r="F8631" i="20" s="1"/>
  <c r="C8631" i="20"/>
  <c r="B8631" i="20"/>
  <c r="D8630" i="20"/>
  <c r="F8630" i="20" s="1"/>
  <c r="C8630" i="20"/>
  <c r="B8630" i="20"/>
  <c r="D8629" i="20"/>
  <c r="F8629" i="20" s="1"/>
  <c r="C8629" i="20"/>
  <c r="B8629" i="20"/>
  <c r="D8628" i="20"/>
  <c r="F8628" i="20" s="1"/>
  <c r="C8628" i="20"/>
  <c r="B8628" i="20"/>
  <c r="D8627" i="20"/>
  <c r="F8627" i="20" s="1"/>
  <c r="C8627" i="20"/>
  <c r="B8627" i="20"/>
  <c r="D8626" i="20"/>
  <c r="F8626" i="20" s="1"/>
  <c r="C8626" i="20"/>
  <c r="B8626" i="20"/>
  <c r="D8625" i="20"/>
  <c r="F8625" i="20" s="1"/>
  <c r="C8625" i="20"/>
  <c r="B8625" i="20"/>
  <c r="D8624" i="20"/>
  <c r="F8624" i="20" s="1"/>
  <c r="C8624" i="20"/>
  <c r="B8624" i="20"/>
  <c r="D8623" i="20"/>
  <c r="F8623" i="20" s="1"/>
  <c r="C8623" i="20"/>
  <c r="B8623" i="20"/>
  <c r="C8622" i="20"/>
  <c r="B8622" i="20"/>
  <c r="C8621" i="20"/>
  <c r="B8621" i="20"/>
  <c r="C8620" i="20"/>
  <c r="B8620" i="20"/>
  <c r="C8619" i="20"/>
  <c r="B8619" i="20"/>
  <c r="C8618" i="20"/>
  <c r="B8618" i="20"/>
  <c r="C8617" i="20"/>
  <c r="B8617" i="20"/>
  <c r="C8616" i="20"/>
  <c r="C8615" i="20"/>
  <c r="E8611" i="20"/>
  <c r="D8611" i="20"/>
  <c r="B8611" i="20"/>
  <c r="F8610" i="20"/>
  <c r="E8610" i="20"/>
  <c r="D8610" i="20"/>
  <c r="B8610" i="20"/>
  <c r="D8609" i="20"/>
  <c r="B8609" i="20"/>
  <c r="D8608" i="20"/>
  <c r="B8608" i="20"/>
  <c r="G8605" i="20"/>
  <c r="I8622" i="20" s="1"/>
  <c r="G8604" i="20"/>
  <c r="B8604" i="20"/>
  <c r="B8603" i="20"/>
  <c r="H8602" i="20"/>
  <c r="B8599" i="20"/>
  <c r="B8586" i="20"/>
  <c r="B8585" i="20"/>
  <c r="E8580" i="20"/>
  <c r="F8580" i="20" s="1"/>
  <c r="H8581" i="20" s="1"/>
  <c r="N8548" i="20" s="1"/>
  <c r="C8576" i="20"/>
  <c r="B8576" i="20"/>
  <c r="C8575" i="20"/>
  <c r="B8575" i="20"/>
  <c r="C8574" i="20"/>
  <c r="B8574" i="20"/>
  <c r="C8573" i="20"/>
  <c r="B8573" i="20"/>
  <c r="C8572" i="20"/>
  <c r="B8572" i="20"/>
  <c r="C8571" i="20"/>
  <c r="B8571" i="20"/>
  <c r="C8570" i="20"/>
  <c r="B8570" i="20"/>
  <c r="C8569" i="20"/>
  <c r="B8569" i="20"/>
  <c r="C8568" i="20"/>
  <c r="B8568" i="20"/>
  <c r="C8567" i="20"/>
  <c r="B8567" i="20"/>
  <c r="C8566" i="20"/>
  <c r="B8566" i="20"/>
  <c r="C8565" i="20"/>
  <c r="B8565" i="20"/>
  <c r="C8564" i="20"/>
  <c r="B8564" i="20"/>
  <c r="C8563" i="20"/>
  <c r="B8563" i="20"/>
  <c r="C8562" i="20"/>
  <c r="B8562" i="20"/>
  <c r="C8561" i="20"/>
  <c r="C8560" i="20"/>
  <c r="E8556" i="20"/>
  <c r="D8556" i="20"/>
  <c r="B8556" i="20"/>
  <c r="E8555" i="20"/>
  <c r="D8555" i="20"/>
  <c r="B8555" i="20"/>
  <c r="E8554" i="20"/>
  <c r="D8554" i="20"/>
  <c r="B8554" i="20"/>
  <c r="D8553" i="20"/>
  <c r="B8553" i="20"/>
  <c r="G8550" i="20"/>
  <c r="I8567" i="20" s="1"/>
  <c r="G8549" i="20"/>
  <c r="B8549" i="20"/>
  <c r="B8548" i="20"/>
  <c r="H8547" i="20"/>
  <c r="B8544" i="20"/>
  <c r="E8585" i="20"/>
  <c r="E8640" i="20" l="1"/>
  <c r="F8608" i="20"/>
  <c r="F8611" i="20"/>
  <c r="G8611" i="20" s="1"/>
  <c r="F8553" i="20"/>
  <c r="I8572" i="20"/>
  <c r="G8610" i="20"/>
  <c r="I8575" i="20"/>
  <c r="I8571" i="20"/>
  <c r="I8631" i="20"/>
  <c r="I8623" i="20"/>
  <c r="I8626" i="20"/>
  <c r="I8619" i="20"/>
  <c r="I8627" i="20"/>
  <c r="I8630" i="20"/>
  <c r="F8609" i="20"/>
  <c r="I8615" i="20"/>
  <c r="I8616" i="20"/>
  <c r="I8620" i="20"/>
  <c r="I8624" i="20"/>
  <c r="I8628" i="20"/>
  <c r="I8617" i="20"/>
  <c r="I8621" i="20"/>
  <c r="I8625" i="20"/>
  <c r="I8629" i="20"/>
  <c r="E8639" i="20"/>
  <c r="I8618" i="20"/>
  <c r="I8568" i="20"/>
  <c r="I8564" i="20"/>
  <c r="F8554" i="20"/>
  <c r="G8554" i="20" s="1"/>
  <c r="I8560" i="20"/>
  <c r="I8561" i="20"/>
  <c r="I8565" i="20"/>
  <c r="I8569" i="20"/>
  <c r="I8573" i="20"/>
  <c r="I8576" i="20"/>
  <c r="E8586" i="20"/>
  <c r="F8555" i="20"/>
  <c r="G8555" i="20" s="1"/>
  <c r="I8562" i="20"/>
  <c r="I8566" i="20"/>
  <c r="I8570" i="20"/>
  <c r="I8574" i="20"/>
  <c r="E8584" i="20"/>
  <c r="F8556" i="20"/>
  <c r="G8556" i="20" s="1"/>
  <c r="I8563" i="20"/>
  <c r="B8531" i="20"/>
  <c r="B8530" i="20"/>
  <c r="E8525" i="20"/>
  <c r="F8525" i="20" s="1"/>
  <c r="H8526" i="20" s="1"/>
  <c r="N8493" i="20" s="1"/>
  <c r="C8521" i="20"/>
  <c r="B8521" i="20"/>
  <c r="C8520" i="20"/>
  <c r="B8520" i="20"/>
  <c r="C8519" i="20"/>
  <c r="B8519" i="20"/>
  <c r="C8518" i="20"/>
  <c r="B8518" i="20"/>
  <c r="C8517" i="20"/>
  <c r="B8517" i="20"/>
  <c r="C8516" i="20"/>
  <c r="B8516" i="20"/>
  <c r="C8515" i="20"/>
  <c r="B8515" i="20"/>
  <c r="C8514" i="20"/>
  <c r="B8514" i="20"/>
  <c r="C8513" i="20"/>
  <c r="B8513" i="20"/>
  <c r="C8512" i="20"/>
  <c r="B8512" i="20"/>
  <c r="C8511" i="20"/>
  <c r="B8511" i="20"/>
  <c r="C8510" i="20"/>
  <c r="B8510" i="20"/>
  <c r="C8509" i="20"/>
  <c r="B8509" i="20"/>
  <c r="C8508" i="20"/>
  <c r="B8508" i="20"/>
  <c r="C8507" i="20"/>
  <c r="B8507" i="20"/>
  <c r="C8506" i="20"/>
  <c r="C8505" i="20"/>
  <c r="E8501" i="20"/>
  <c r="D8501" i="20"/>
  <c r="B8501" i="20"/>
  <c r="E8500" i="20"/>
  <c r="D8500" i="20"/>
  <c r="B8500" i="20"/>
  <c r="E8499" i="20"/>
  <c r="D8499" i="20"/>
  <c r="B8499" i="20"/>
  <c r="D8498" i="20"/>
  <c r="B8498" i="20"/>
  <c r="G8495" i="20"/>
  <c r="G8494" i="20"/>
  <c r="B8494" i="20"/>
  <c r="B8493" i="20"/>
  <c r="H8492" i="20"/>
  <c r="B8489" i="20"/>
  <c r="E8530" i="20"/>
  <c r="E6705" i="20"/>
  <c r="B6706" i="20"/>
  <c r="B6705" i="20"/>
  <c r="E6700" i="20"/>
  <c r="F6700" i="20" s="1"/>
  <c r="H6701" i="20" s="1"/>
  <c r="N6671" i="20" s="1"/>
  <c r="D6696" i="20"/>
  <c r="F6696" i="20" s="1"/>
  <c r="C6696" i="20"/>
  <c r="B6696" i="20"/>
  <c r="D6695" i="20"/>
  <c r="F6695" i="20" s="1"/>
  <c r="C6695" i="20"/>
  <c r="B6695" i="20"/>
  <c r="D6694" i="20"/>
  <c r="F6694" i="20" s="1"/>
  <c r="C6694" i="20"/>
  <c r="B6694" i="20"/>
  <c r="D6693" i="20"/>
  <c r="F6693" i="20" s="1"/>
  <c r="C6693" i="20"/>
  <c r="B6693" i="20"/>
  <c r="D6692" i="20"/>
  <c r="F6692" i="20" s="1"/>
  <c r="C6692" i="20"/>
  <c r="B6692" i="20"/>
  <c r="D6691" i="20"/>
  <c r="F6691" i="20" s="1"/>
  <c r="C6691" i="20"/>
  <c r="B6691" i="20"/>
  <c r="D6690" i="20"/>
  <c r="F6690" i="20" s="1"/>
  <c r="C6690" i="20"/>
  <c r="B6690" i="20"/>
  <c r="D6689" i="20"/>
  <c r="F6689" i="20" s="1"/>
  <c r="C6689" i="20"/>
  <c r="B6689" i="20"/>
  <c r="D6688" i="20"/>
  <c r="F6688" i="20" s="1"/>
  <c r="C6688" i="20"/>
  <c r="B6688" i="20"/>
  <c r="D6687" i="20"/>
  <c r="F6687" i="20" s="1"/>
  <c r="C6687" i="20"/>
  <c r="B6687" i="20"/>
  <c r="D6686" i="20"/>
  <c r="F6686" i="20" s="1"/>
  <c r="C6686" i="20"/>
  <c r="B6686" i="20"/>
  <c r="D6685" i="20"/>
  <c r="F6685" i="20" s="1"/>
  <c r="C6685" i="20"/>
  <c r="B6685" i="20"/>
  <c r="D6684" i="20"/>
  <c r="F6684" i="20" s="1"/>
  <c r="C6684" i="20"/>
  <c r="C6683" i="20"/>
  <c r="E6679" i="20"/>
  <c r="D6679" i="20"/>
  <c r="B6679" i="20"/>
  <c r="E6678" i="20"/>
  <c r="D6678" i="20"/>
  <c r="B6678" i="20"/>
  <c r="E6677" i="20"/>
  <c r="D6677" i="20"/>
  <c r="B6677" i="20"/>
  <c r="D6676" i="20"/>
  <c r="B6676" i="20"/>
  <c r="G6673" i="20"/>
  <c r="I6695" i="20" s="1"/>
  <c r="G6672" i="20"/>
  <c r="B6672" i="20"/>
  <c r="B6671" i="20"/>
  <c r="H6670" i="20"/>
  <c r="B6667" i="20"/>
  <c r="E6653" i="20"/>
  <c r="B6654" i="20"/>
  <c r="B6653" i="20"/>
  <c r="E6648" i="20"/>
  <c r="F6648" i="20" s="1"/>
  <c r="H6649" i="20" s="1"/>
  <c r="N6619" i="20" s="1"/>
  <c r="D6644" i="20"/>
  <c r="F6644" i="20" s="1"/>
  <c r="C6644" i="20"/>
  <c r="B6644" i="20"/>
  <c r="D6643" i="20"/>
  <c r="F6643" i="20" s="1"/>
  <c r="C6643" i="20"/>
  <c r="B6643" i="20"/>
  <c r="D6642" i="20"/>
  <c r="F6642" i="20" s="1"/>
  <c r="C6642" i="20"/>
  <c r="B6642" i="20"/>
  <c r="D6641" i="20"/>
  <c r="F6641" i="20" s="1"/>
  <c r="C6641" i="20"/>
  <c r="B6641" i="20"/>
  <c r="D6640" i="20"/>
  <c r="F6640" i="20" s="1"/>
  <c r="C6640" i="20"/>
  <c r="B6640" i="20"/>
  <c r="D6639" i="20"/>
  <c r="F6639" i="20" s="1"/>
  <c r="C6639" i="20"/>
  <c r="B6639" i="20"/>
  <c r="D6638" i="20"/>
  <c r="F6638" i="20" s="1"/>
  <c r="C6638" i="20"/>
  <c r="B6638" i="20"/>
  <c r="D6637" i="20"/>
  <c r="F6637" i="20" s="1"/>
  <c r="C6637" i="20"/>
  <c r="B6637" i="20"/>
  <c r="D6636" i="20"/>
  <c r="F6636" i="20" s="1"/>
  <c r="C6636" i="20"/>
  <c r="B6636" i="20"/>
  <c r="D6635" i="20"/>
  <c r="F6635" i="20" s="1"/>
  <c r="C6635" i="20"/>
  <c r="B6635" i="20"/>
  <c r="D6634" i="20"/>
  <c r="F6634" i="20" s="1"/>
  <c r="C6634" i="20"/>
  <c r="B6634" i="20"/>
  <c r="D6633" i="20"/>
  <c r="F6633" i="20" s="1"/>
  <c r="C6633" i="20"/>
  <c r="B6633" i="20"/>
  <c r="D6632" i="20"/>
  <c r="F6632" i="20" s="1"/>
  <c r="C6632" i="20"/>
  <c r="C6631" i="20"/>
  <c r="E6627" i="20"/>
  <c r="D6627" i="20"/>
  <c r="B6627" i="20"/>
  <c r="E6626" i="20"/>
  <c r="D6626" i="20"/>
  <c r="B6626" i="20"/>
  <c r="D6625" i="20"/>
  <c r="B6625" i="20"/>
  <c r="D6624" i="20"/>
  <c r="B6624" i="20"/>
  <c r="G6621" i="20"/>
  <c r="I6643" i="20" s="1"/>
  <c r="G6620" i="20"/>
  <c r="B6620" i="20"/>
  <c r="B6619" i="20"/>
  <c r="H6618" i="20"/>
  <c r="B6615" i="20"/>
  <c r="B6602" i="20"/>
  <c r="B6601" i="20"/>
  <c r="E6596" i="20"/>
  <c r="F6596" i="20" s="1"/>
  <c r="H6597" i="20" s="1"/>
  <c r="N6567" i="20" s="1"/>
  <c r="D6592" i="20"/>
  <c r="F6592" i="20" s="1"/>
  <c r="C6592" i="20"/>
  <c r="B6592" i="20"/>
  <c r="D6591" i="20"/>
  <c r="F6591" i="20" s="1"/>
  <c r="C6591" i="20"/>
  <c r="B6591" i="20"/>
  <c r="D6590" i="20"/>
  <c r="F6590" i="20" s="1"/>
  <c r="C6590" i="20"/>
  <c r="B6590" i="20"/>
  <c r="D6589" i="20"/>
  <c r="F6589" i="20" s="1"/>
  <c r="C6589" i="20"/>
  <c r="B6589" i="20"/>
  <c r="D6588" i="20"/>
  <c r="F6588" i="20" s="1"/>
  <c r="C6588" i="20"/>
  <c r="B6588" i="20"/>
  <c r="D6587" i="20"/>
  <c r="F6587" i="20" s="1"/>
  <c r="C6587" i="20"/>
  <c r="B6587" i="20"/>
  <c r="D6586" i="20"/>
  <c r="F6586" i="20" s="1"/>
  <c r="C6586" i="20"/>
  <c r="B6586" i="20"/>
  <c r="D6585" i="20"/>
  <c r="F6585" i="20" s="1"/>
  <c r="C6585" i="20"/>
  <c r="B6585" i="20"/>
  <c r="D6584" i="20"/>
  <c r="F6584" i="20" s="1"/>
  <c r="C6584" i="20"/>
  <c r="B6584" i="20"/>
  <c r="D6583" i="20"/>
  <c r="F6583" i="20" s="1"/>
  <c r="C6583" i="20"/>
  <c r="B6583" i="20"/>
  <c r="D6582" i="20"/>
  <c r="F6582" i="20" s="1"/>
  <c r="C6582" i="20"/>
  <c r="B6582" i="20"/>
  <c r="D6581" i="20"/>
  <c r="F6581" i="20" s="1"/>
  <c r="C6581" i="20"/>
  <c r="B6581" i="20"/>
  <c r="D6580" i="20"/>
  <c r="F6580" i="20" s="1"/>
  <c r="C6580" i="20"/>
  <c r="C6579" i="20"/>
  <c r="E6575" i="20"/>
  <c r="D6575" i="20"/>
  <c r="B6575" i="20"/>
  <c r="E6574" i="20"/>
  <c r="D6574" i="20"/>
  <c r="B6574" i="20"/>
  <c r="D6573" i="20"/>
  <c r="B6573" i="20"/>
  <c r="D6572" i="20"/>
  <c r="B6572" i="20"/>
  <c r="G6569" i="20"/>
  <c r="I6591" i="20" s="1"/>
  <c r="G6568" i="20"/>
  <c r="B6568" i="20"/>
  <c r="B6567" i="20"/>
  <c r="H6566" i="20"/>
  <c r="B6563" i="20"/>
  <c r="E6601" i="20"/>
  <c r="I43" i="4"/>
  <c r="K43" i="4" s="1"/>
  <c r="F43" i="4" s="1"/>
  <c r="D6579" i="20" s="1"/>
  <c r="F6579" i="20" s="1"/>
  <c r="B4952" i="20"/>
  <c r="B4951" i="20"/>
  <c r="E4946" i="20"/>
  <c r="F4946" i="20" s="1"/>
  <c r="H4947" i="20" s="1"/>
  <c r="N4918" i="20" s="1"/>
  <c r="D4942" i="20"/>
  <c r="F4942" i="20" s="1"/>
  <c r="C4942" i="20"/>
  <c r="B4942" i="20"/>
  <c r="D4941" i="20"/>
  <c r="F4941" i="20" s="1"/>
  <c r="C4941" i="20"/>
  <c r="B4941" i="20"/>
  <c r="D4940" i="20"/>
  <c r="F4940" i="20" s="1"/>
  <c r="C4940" i="20"/>
  <c r="B4940" i="20"/>
  <c r="D4939" i="20"/>
  <c r="F4939" i="20" s="1"/>
  <c r="C4939" i="20"/>
  <c r="B4939" i="20"/>
  <c r="D4938" i="20"/>
  <c r="F4938" i="20" s="1"/>
  <c r="C4938" i="20"/>
  <c r="B4938" i="20"/>
  <c r="D4937" i="20"/>
  <c r="F4937" i="20" s="1"/>
  <c r="C4937" i="20"/>
  <c r="B4937" i="20"/>
  <c r="D4936" i="20"/>
  <c r="F4936" i="20" s="1"/>
  <c r="C4936" i="20"/>
  <c r="B4936" i="20"/>
  <c r="D4935" i="20"/>
  <c r="F4935" i="20" s="1"/>
  <c r="C4935" i="20"/>
  <c r="B4935" i="20"/>
  <c r="D4934" i="20"/>
  <c r="F4934" i="20" s="1"/>
  <c r="C4934" i="20"/>
  <c r="B4934" i="20"/>
  <c r="D4933" i="20"/>
  <c r="F4933" i="20" s="1"/>
  <c r="C4933" i="20"/>
  <c r="B4933" i="20"/>
  <c r="D4932" i="20"/>
  <c r="F4932" i="20" s="1"/>
  <c r="C4932" i="20"/>
  <c r="B4932" i="20"/>
  <c r="D4931" i="20"/>
  <c r="F4931" i="20" s="1"/>
  <c r="C4931" i="20"/>
  <c r="B4931" i="20"/>
  <c r="C4930" i="20"/>
  <c r="C4929" i="20"/>
  <c r="E4925" i="20"/>
  <c r="G4925" i="20" s="1"/>
  <c r="D4925" i="20"/>
  <c r="B4925" i="20"/>
  <c r="E4924" i="20"/>
  <c r="D4924" i="20"/>
  <c r="B4924" i="20"/>
  <c r="D4923" i="20"/>
  <c r="B4923" i="20"/>
  <c r="G4920" i="20"/>
  <c r="I4941" i="20" s="1"/>
  <c r="G4919" i="20"/>
  <c r="B4919" i="20"/>
  <c r="B4918" i="20"/>
  <c r="H4917" i="20"/>
  <c r="B4914" i="20"/>
  <c r="E4951" i="20"/>
  <c r="B4901" i="20"/>
  <c r="B4900" i="20"/>
  <c r="E4895" i="20"/>
  <c r="F4895" i="20" s="1"/>
  <c r="H4896" i="20" s="1"/>
  <c r="N4867" i="20" s="1"/>
  <c r="D4891" i="20"/>
  <c r="F4891" i="20" s="1"/>
  <c r="C4891" i="20"/>
  <c r="B4891" i="20"/>
  <c r="D4890" i="20"/>
  <c r="F4890" i="20" s="1"/>
  <c r="C4890" i="20"/>
  <c r="B4890" i="20"/>
  <c r="D4889" i="20"/>
  <c r="F4889" i="20" s="1"/>
  <c r="C4889" i="20"/>
  <c r="B4889" i="20"/>
  <c r="D4888" i="20"/>
  <c r="F4888" i="20" s="1"/>
  <c r="C4888" i="20"/>
  <c r="B4888" i="20"/>
  <c r="D4887" i="20"/>
  <c r="F4887" i="20" s="1"/>
  <c r="C4887" i="20"/>
  <c r="B4887" i="20"/>
  <c r="D4886" i="20"/>
  <c r="F4886" i="20" s="1"/>
  <c r="C4886" i="20"/>
  <c r="B4886" i="20"/>
  <c r="D4885" i="20"/>
  <c r="F4885" i="20" s="1"/>
  <c r="C4885" i="20"/>
  <c r="B4885" i="20"/>
  <c r="D4884" i="20"/>
  <c r="F4884" i="20" s="1"/>
  <c r="C4884" i="20"/>
  <c r="B4884" i="20"/>
  <c r="D4883" i="20"/>
  <c r="F4883" i="20" s="1"/>
  <c r="C4883" i="20"/>
  <c r="B4883" i="20"/>
  <c r="D4882" i="20"/>
  <c r="F4882" i="20" s="1"/>
  <c r="C4882" i="20"/>
  <c r="B4882" i="20"/>
  <c r="D4881" i="20"/>
  <c r="F4881" i="20" s="1"/>
  <c r="C4881" i="20"/>
  <c r="B4881" i="20"/>
  <c r="D4880" i="20"/>
  <c r="F4880" i="20" s="1"/>
  <c r="C4880" i="20"/>
  <c r="B4880" i="20"/>
  <c r="C4879" i="20"/>
  <c r="C4878" i="20"/>
  <c r="E4874" i="20"/>
  <c r="G4874" i="20" s="1"/>
  <c r="D4874" i="20"/>
  <c r="B4874" i="20"/>
  <c r="E4873" i="20"/>
  <c r="D4873" i="20"/>
  <c r="B4873" i="20"/>
  <c r="D4872" i="20"/>
  <c r="B4872" i="20"/>
  <c r="G4869" i="20"/>
  <c r="I4890" i="20" s="1"/>
  <c r="G4868" i="20"/>
  <c r="B4868" i="20"/>
  <c r="B4867" i="20"/>
  <c r="H4866" i="20"/>
  <c r="B4863" i="20"/>
  <c r="E4900" i="20"/>
  <c r="B4850" i="20"/>
  <c r="B4849" i="20"/>
  <c r="E4844" i="20"/>
  <c r="F4844" i="20" s="1"/>
  <c r="H4845" i="20" s="1"/>
  <c r="N4816" i="20" s="1"/>
  <c r="D4840" i="20"/>
  <c r="F4840" i="20" s="1"/>
  <c r="C4840" i="20"/>
  <c r="B4840" i="20"/>
  <c r="D4839" i="20"/>
  <c r="F4839" i="20" s="1"/>
  <c r="C4839" i="20"/>
  <c r="B4839" i="20"/>
  <c r="D4838" i="20"/>
  <c r="F4838" i="20" s="1"/>
  <c r="C4838" i="20"/>
  <c r="B4838" i="20"/>
  <c r="D4837" i="20"/>
  <c r="F4837" i="20" s="1"/>
  <c r="C4837" i="20"/>
  <c r="B4837" i="20"/>
  <c r="D4836" i="20"/>
  <c r="F4836" i="20" s="1"/>
  <c r="C4836" i="20"/>
  <c r="B4836" i="20"/>
  <c r="D4835" i="20"/>
  <c r="F4835" i="20" s="1"/>
  <c r="C4835" i="20"/>
  <c r="B4835" i="20"/>
  <c r="D4834" i="20"/>
  <c r="F4834" i="20" s="1"/>
  <c r="C4834" i="20"/>
  <c r="B4834" i="20"/>
  <c r="D4833" i="20"/>
  <c r="F4833" i="20" s="1"/>
  <c r="C4833" i="20"/>
  <c r="B4833" i="20"/>
  <c r="D4832" i="20"/>
  <c r="F4832" i="20" s="1"/>
  <c r="C4832" i="20"/>
  <c r="B4832" i="20"/>
  <c r="D4831" i="20"/>
  <c r="F4831" i="20" s="1"/>
  <c r="C4831" i="20"/>
  <c r="B4831" i="20"/>
  <c r="D4830" i="20"/>
  <c r="F4830" i="20" s="1"/>
  <c r="C4830" i="20"/>
  <c r="B4830" i="20"/>
  <c r="D4829" i="20"/>
  <c r="F4829" i="20" s="1"/>
  <c r="C4829" i="20"/>
  <c r="B4829" i="20"/>
  <c r="C4828" i="20"/>
  <c r="C4827" i="20"/>
  <c r="E4823" i="20"/>
  <c r="G4823" i="20" s="1"/>
  <c r="D4823" i="20"/>
  <c r="B4823" i="20"/>
  <c r="E4822" i="20"/>
  <c r="D4822" i="20"/>
  <c r="B4822" i="20"/>
  <c r="D4821" i="20"/>
  <c r="B4821" i="20"/>
  <c r="G4818" i="20"/>
  <c r="I4839" i="20" s="1"/>
  <c r="G4817" i="20"/>
  <c r="B4817" i="20"/>
  <c r="B4816" i="20"/>
  <c r="H4815" i="20"/>
  <c r="B4812" i="20"/>
  <c r="E4849" i="20"/>
  <c r="I227" i="4"/>
  <c r="K227" i="4" s="1"/>
  <c r="F227" i="4" s="1"/>
  <c r="B2450" i="20"/>
  <c r="B2449" i="20"/>
  <c r="E2444" i="20"/>
  <c r="F2444" i="20" s="1"/>
  <c r="H2445" i="20" s="1"/>
  <c r="N2416" i="20" s="1"/>
  <c r="D2440" i="20"/>
  <c r="F2440" i="20" s="1"/>
  <c r="C2440" i="20"/>
  <c r="B2440" i="20"/>
  <c r="D2439" i="20"/>
  <c r="F2439" i="20" s="1"/>
  <c r="C2439" i="20"/>
  <c r="B2439" i="20"/>
  <c r="D2438" i="20"/>
  <c r="F2438" i="20" s="1"/>
  <c r="C2438" i="20"/>
  <c r="B2438" i="20"/>
  <c r="D2437" i="20"/>
  <c r="F2437" i="20" s="1"/>
  <c r="C2437" i="20"/>
  <c r="B2437" i="20"/>
  <c r="D2436" i="20"/>
  <c r="F2436" i="20" s="1"/>
  <c r="C2436" i="20"/>
  <c r="B2436" i="20"/>
  <c r="D2435" i="20"/>
  <c r="F2435" i="20" s="1"/>
  <c r="C2435" i="20"/>
  <c r="B2435" i="20"/>
  <c r="C2434" i="20"/>
  <c r="B2434" i="20"/>
  <c r="C2433" i="20"/>
  <c r="B2433" i="20"/>
  <c r="C2432" i="20"/>
  <c r="B2432" i="20"/>
  <c r="C2431" i="20"/>
  <c r="B2431" i="20"/>
  <c r="C2430" i="20"/>
  <c r="B2430" i="20"/>
  <c r="C2429" i="20"/>
  <c r="B2429" i="20"/>
  <c r="C2428" i="20"/>
  <c r="C2427" i="20"/>
  <c r="D2423" i="20"/>
  <c r="B2423" i="20"/>
  <c r="D2422" i="20"/>
  <c r="B2422" i="20"/>
  <c r="D2421" i="20"/>
  <c r="B2421" i="20"/>
  <c r="G2418" i="20"/>
  <c r="I2439" i="20" s="1"/>
  <c r="G2417" i="20"/>
  <c r="B2417" i="20"/>
  <c r="B2416" i="20"/>
  <c r="H2415" i="20"/>
  <c r="B2412" i="20"/>
  <c r="H2411" i="20"/>
  <c r="E2449" i="20" s="1"/>
  <c r="B2399" i="20"/>
  <c r="B2398" i="20"/>
  <c r="E2393" i="20"/>
  <c r="F2393" i="20" s="1"/>
  <c r="H2394" i="20" s="1"/>
  <c r="N2365" i="20" s="1"/>
  <c r="D2389" i="20"/>
  <c r="F2389" i="20" s="1"/>
  <c r="C2389" i="20"/>
  <c r="B2389" i="20"/>
  <c r="D2388" i="20"/>
  <c r="F2388" i="20" s="1"/>
  <c r="C2388" i="20"/>
  <c r="B2388" i="20"/>
  <c r="D2387" i="20"/>
  <c r="F2387" i="20" s="1"/>
  <c r="C2387" i="20"/>
  <c r="B2387" i="20"/>
  <c r="D2386" i="20"/>
  <c r="F2386" i="20" s="1"/>
  <c r="C2386" i="20"/>
  <c r="B2386" i="20"/>
  <c r="D2385" i="20"/>
  <c r="F2385" i="20" s="1"/>
  <c r="C2385" i="20"/>
  <c r="B2385" i="20"/>
  <c r="D2384" i="20"/>
  <c r="F2384" i="20" s="1"/>
  <c r="C2384" i="20"/>
  <c r="B2384" i="20"/>
  <c r="C2383" i="20"/>
  <c r="B2383" i="20"/>
  <c r="C2382" i="20"/>
  <c r="B2382" i="20"/>
  <c r="C2381" i="20"/>
  <c r="B2381" i="20"/>
  <c r="C2380" i="20"/>
  <c r="B2380" i="20"/>
  <c r="C2379" i="20"/>
  <c r="B2379" i="20"/>
  <c r="C2378" i="20"/>
  <c r="B2378" i="20"/>
  <c r="C2377" i="20"/>
  <c r="C2376" i="20"/>
  <c r="D2372" i="20"/>
  <c r="B2372" i="20"/>
  <c r="D2371" i="20"/>
  <c r="B2371" i="20"/>
  <c r="D2370" i="20"/>
  <c r="B2370" i="20"/>
  <c r="G2367" i="20"/>
  <c r="I2388" i="20" s="1"/>
  <c r="G2366" i="20"/>
  <c r="B2366" i="20"/>
  <c r="B2365" i="20"/>
  <c r="H2364" i="20"/>
  <c r="B2361" i="20"/>
  <c r="H2360" i="20"/>
  <c r="E2398" i="20" s="1"/>
  <c r="B2348" i="20"/>
  <c r="B2347" i="20"/>
  <c r="E2342" i="20"/>
  <c r="F2342" i="20" s="1"/>
  <c r="H2343" i="20" s="1"/>
  <c r="N2314" i="20" s="1"/>
  <c r="D2338" i="20"/>
  <c r="F2338" i="20" s="1"/>
  <c r="C2338" i="20"/>
  <c r="B2338" i="20"/>
  <c r="D2337" i="20"/>
  <c r="F2337" i="20" s="1"/>
  <c r="C2337" i="20"/>
  <c r="B2337" i="20"/>
  <c r="D2336" i="20"/>
  <c r="F2336" i="20" s="1"/>
  <c r="C2336" i="20"/>
  <c r="B2336" i="20"/>
  <c r="D2335" i="20"/>
  <c r="F2335" i="20" s="1"/>
  <c r="C2335" i="20"/>
  <c r="B2335" i="20"/>
  <c r="D2334" i="20"/>
  <c r="F2334" i="20" s="1"/>
  <c r="C2334" i="20"/>
  <c r="B2334" i="20"/>
  <c r="D2333" i="20"/>
  <c r="F2333" i="20" s="1"/>
  <c r="C2333" i="20"/>
  <c r="B2333" i="20"/>
  <c r="C2332" i="20"/>
  <c r="B2332" i="20"/>
  <c r="C2331" i="20"/>
  <c r="B2331" i="20"/>
  <c r="C2330" i="20"/>
  <c r="B2330" i="20"/>
  <c r="C2329" i="20"/>
  <c r="B2329" i="20"/>
  <c r="C2328" i="20"/>
  <c r="B2328" i="20"/>
  <c r="C2327" i="20"/>
  <c r="B2327" i="20"/>
  <c r="C2326" i="20"/>
  <c r="C2325" i="20"/>
  <c r="D2321" i="20"/>
  <c r="B2321" i="20"/>
  <c r="D2320" i="20"/>
  <c r="B2320" i="20"/>
  <c r="D2319" i="20"/>
  <c r="B2319" i="20"/>
  <c r="G2316" i="20"/>
  <c r="I2337" i="20" s="1"/>
  <c r="G2315" i="20"/>
  <c r="B2315" i="20"/>
  <c r="B2314" i="20"/>
  <c r="H2313" i="20"/>
  <c r="B2310" i="20"/>
  <c r="H2309" i="20"/>
  <c r="E2347" i="20" s="1"/>
  <c r="B2281" i="20"/>
  <c r="B2280" i="20"/>
  <c r="B2279" i="20"/>
  <c r="B2278" i="20"/>
  <c r="B2277" i="20"/>
  <c r="B2276" i="20"/>
  <c r="B2297" i="20"/>
  <c r="B2296" i="20"/>
  <c r="E2291" i="20"/>
  <c r="F2291" i="20" s="1"/>
  <c r="H2292" i="20" s="1"/>
  <c r="N2263" i="20" s="1"/>
  <c r="D2287" i="20"/>
  <c r="F2287" i="20" s="1"/>
  <c r="C2287" i="20"/>
  <c r="B2287" i="20"/>
  <c r="D2286" i="20"/>
  <c r="F2286" i="20" s="1"/>
  <c r="C2286" i="20"/>
  <c r="B2286" i="20"/>
  <c r="D2285" i="20"/>
  <c r="F2285" i="20" s="1"/>
  <c r="C2285" i="20"/>
  <c r="B2285" i="20"/>
  <c r="D2284" i="20"/>
  <c r="F2284" i="20" s="1"/>
  <c r="C2284" i="20"/>
  <c r="B2284" i="20"/>
  <c r="D2283" i="20"/>
  <c r="F2283" i="20" s="1"/>
  <c r="C2283" i="20"/>
  <c r="B2283" i="20"/>
  <c r="D2282" i="20"/>
  <c r="F2282" i="20" s="1"/>
  <c r="C2282" i="20"/>
  <c r="B2282" i="20"/>
  <c r="C2281" i="20"/>
  <c r="C2280" i="20"/>
  <c r="C2279" i="20"/>
  <c r="C2278" i="20"/>
  <c r="C2277" i="20"/>
  <c r="C2276" i="20"/>
  <c r="C2275" i="20"/>
  <c r="C2274" i="20"/>
  <c r="D2270" i="20"/>
  <c r="B2270" i="20"/>
  <c r="D2269" i="20"/>
  <c r="B2269" i="20"/>
  <c r="D2268" i="20"/>
  <c r="B2268" i="20"/>
  <c r="G2265" i="20"/>
  <c r="I2286" i="20" s="1"/>
  <c r="G2264" i="20"/>
  <c r="B2264" i="20"/>
  <c r="B2263" i="20"/>
  <c r="H2262" i="20"/>
  <c r="B2259" i="20"/>
  <c r="H2258" i="20"/>
  <c r="E2296" i="20" s="1"/>
  <c r="I189" i="4"/>
  <c r="K189" i="4" s="1"/>
  <c r="F189" i="4" s="1"/>
  <c r="D3039" i="20" s="1"/>
  <c r="F3039" i="20" s="1"/>
  <c r="E4901" i="20" l="1"/>
  <c r="E2348" i="20"/>
  <c r="E2399" i="20"/>
  <c r="E2450" i="20"/>
  <c r="E4850" i="20"/>
  <c r="E2297" i="20"/>
  <c r="F8498" i="20"/>
  <c r="E8531" i="20"/>
  <c r="F2268" i="20"/>
  <c r="F2319" i="20"/>
  <c r="F2370" i="20"/>
  <c r="F2421" i="20"/>
  <c r="F4872" i="20"/>
  <c r="E4952" i="20"/>
  <c r="I8512" i="20"/>
  <c r="I8517" i="20"/>
  <c r="I8516" i="20"/>
  <c r="I8520" i="20"/>
  <c r="I8521" i="20"/>
  <c r="I8509" i="20"/>
  <c r="I8513" i="20"/>
  <c r="I8505" i="20"/>
  <c r="I8506" i="20"/>
  <c r="I8510" i="20"/>
  <c r="I8514" i="20"/>
  <c r="I8518" i="20"/>
  <c r="F8499" i="20"/>
  <c r="G8499" i="20" s="1"/>
  <c r="F8500" i="20"/>
  <c r="G8500" i="20" s="1"/>
  <c r="I8507" i="20"/>
  <c r="I8511" i="20"/>
  <c r="I8515" i="20"/>
  <c r="I8519" i="20"/>
  <c r="E8529" i="20"/>
  <c r="F8501" i="20"/>
  <c r="G8501" i="20" s="1"/>
  <c r="I8508" i="20"/>
  <c r="I6684" i="20"/>
  <c r="I6683" i="20"/>
  <c r="I6696" i="20"/>
  <c r="I6692" i="20"/>
  <c r="I6688" i="20"/>
  <c r="I6644" i="20"/>
  <c r="G6677" i="20"/>
  <c r="E6706" i="20"/>
  <c r="I6637" i="20"/>
  <c r="F6678" i="20"/>
  <c r="G6678" i="20" s="1"/>
  <c r="I6685" i="20"/>
  <c r="I6689" i="20"/>
  <c r="I6693" i="20"/>
  <c r="I6632" i="20"/>
  <c r="F6679" i="20"/>
  <c r="G6679" i="20" s="1"/>
  <c r="I6686" i="20"/>
  <c r="I6690" i="20"/>
  <c r="I6694" i="20"/>
  <c r="E6704" i="20"/>
  <c r="I6631" i="20"/>
  <c r="I6633" i="20"/>
  <c r="F6676" i="20"/>
  <c r="I6687" i="20"/>
  <c r="I6691" i="20"/>
  <c r="I6640" i="20"/>
  <c r="I6636" i="20"/>
  <c r="I6641" i="20"/>
  <c r="E6654" i="20"/>
  <c r="F6626" i="20"/>
  <c r="G6626" i="20" s="1"/>
  <c r="F6625" i="20"/>
  <c r="F6627" i="20"/>
  <c r="G6627" i="20" s="1"/>
  <c r="I6634" i="20"/>
  <c r="I6638" i="20"/>
  <c r="I6642" i="20"/>
  <c r="E6652" i="20"/>
  <c r="F6624" i="20"/>
  <c r="I6635" i="20"/>
  <c r="I6639" i="20"/>
  <c r="I6592" i="20"/>
  <c r="I6579" i="20"/>
  <c r="I6580" i="20"/>
  <c r="I6584" i="20"/>
  <c r="I6588" i="20"/>
  <c r="I6581" i="20"/>
  <c r="I6585" i="20"/>
  <c r="I6589" i="20"/>
  <c r="H6593" i="20"/>
  <c r="K6567" i="20" s="1"/>
  <c r="F6573" i="20"/>
  <c r="E6602" i="20"/>
  <c r="F6574" i="20"/>
  <c r="G6574" i="20" s="1"/>
  <c r="F6575" i="20"/>
  <c r="G6575" i="20" s="1"/>
  <c r="I6582" i="20"/>
  <c r="I6586" i="20"/>
  <c r="I6590" i="20"/>
  <c r="E6600" i="20"/>
  <c r="F6572" i="20"/>
  <c r="I6583" i="20"/>
  <c r="I6587" i="20"/>
  <c r="I4930" i="20"/>
  <c r="F4923" i="20"/>
  <c r="I4931" i="20"/>
  <c r="I4935" i="20"/>
  <c r="I4939" i="20"/>
  <c r="F4924" i="20"/>
  <c r="G4924" i="20" s="1"/>
  <c r="I4932" i="20"/>
  <c r="I4936" i="20"/>
  <c r="I4940" i="20"/>
  <c r="E4950" i="20"/>
  <c r="I4929" i="20"/>
  <c r="I4934" i="20"/>
  <c r="I4938" i="20"/>
  <c r="I4942" i="20"/>
  <c r="I4933" i="20"/>
  <c r="I4937" i="20"/>
  <c r="F4873" i="20"/>
  <c r="G4873" i="20" s="1"/>
  <c r="I4881" i="20"/>
  <c r="I4885" i="20"/>
  <c r="I4889" i="20"/>
  <c r="E4899" i="20"/>
  <c r="I4878" i="20"/>
  <c r="I4879" i="20"/>
  <c r="I4883" i="20"/>
  <c r="I4887" i="20"/>
  <c r="I4891" i="20"/>
  <c r="I4880" i="20"/>
  <c r="I4884" i="20"/>
  <c r="I4888" i="20"/>
  <c r="I4882" i="20"/>
  <c r="I4886" i="20"/>
  <c r="I4827" i="20"/>
  <c r="I4828" i="20"/>
  <c r="I4832" i="20"/>
  <c r="I4836" i="20"/>
  <c r="I4840" i="20"/>
  <c r="F4821" i="20"/>
  <c r="I4829" i="20"/>
  <c r="I4833" i="20"/>
  <c r="I4837" i="20"/>
  <c r="F4822" i="20"/>
  <c r="G4822" i="20" s="1"/>
  <c r="I4830" i="20"/>
  <c r="I4834" i="20"/>
  <c r="I4838" i="20"/>
  <c r="E4848" i="20"/>
  <c r="I4831" i="20"/>
  <c r="I4835" i="20"/>
  <c r="I2428" i="20"/>
  <c r="I2440" i="20"/>
  <c r="I2427" i="20"/>
  <c r="I2436" i="20"/>
  <c r="I2432" i="20"/>
  <c r="F2422" i="20"/>
  <c r="I2429" i="20"/>
  <c r="I2433" i="20"/>
  <c r="I2437" i="20"/>
  <c r="F2423" i="20"/>
  <c r="I2430" i="20"/>
  <c r="I2434" i="20"/>
  <c r="I2438" i="20"/>
  <c r="E2448" i="20"/>
  <c r="I2431" i="20"/>
  <c r="I2435" i="20"/>
  <c r="I2378" i="20"/>
  <c r="I2389" i="20"/>
  <c r="I2385" i="20"/>
  <c r="I2381" i="20"/>
  <c r="I2386" i="20"/>
  <c r="I2376" i="20"/>
  <c r="I2377" i="20"/>
  <c r="I2382" i="20"/>
  <c r="I2325" i="20"/>
  <c r="I2326" i="20"/>
  <c r="F2371" i="20"/>
  <c r="I2338" i="20"/>
  <c r="I2334" i="20"/>
  <c r="F2372" i="20"/>
  <c r="I2379" i="20"/>
  <c r="I2383" i="20"/>
  <c r="I2387" i="20"/>
  <c r="E2397" i="20"/>
  <c r="I2330" i="20"/>
  <c r="I2380" i="20"/>
  <c r="I2384" i="20"/>
  <c r="F2320" i="20"/>
  <c r="I2327" i="20"/>
  <c r="I2331" i="20"/>
  <c r="I2335" i="20"/>
  <c r="F2321" i="20"/>
  <c r="I2328" i="20"/>
  <c r="I2332" i="20"/>
  <c r="I2336" i="20"/>
  <c r="E2346" i="20"/>
  <c r="I2329" i="20"/>
  <c r="I2333" i="20"/>
  <c r="I2283" i="20"/>
  <c r="I2275" i="20"/>
  <c r="I2277" i="20"/>
  <c r="I2279" i="20"/>
  <c r="I2287" i="20"/>
  <c r="I2274" i="20"/>
  <c r="F2269" i="20"/>
  <c r="I2276" i="20"/>
  <c r="I2280" i="20"/>
  <c r="I2284" i="20"/>
  <c r="F2270" i="20"/>
  <c r="I2281" i="20"/>
  <c r="I2285" i="20"/>
  <c r="E2295" i="20"/>
  <c r="I2278" i="20"/>
  <c r="I2282" i="20"/>
  <c r="B8476" i="20"/>
  <c r="B8475" i="20"/>
  <c r="E8470" i="20"/>
  <c r="F8470" i="20" s="1"/>
  <c r="H8471" i="20" s="1"/>
  <c r="N8446" i="20" s="1"/>
  <c r="D8466" i="20"/>
  <c r="F8466" i="20" s="1"/>
  <c r="C8466" i="20"/>
  <c r="B8466" i="20"/>
  <c r="D8465" i="20"/>
  <c r="F8465" i="20" s="1"/>
  <c r="C8465" i="20"/>
  <c r="B8465" i="20"/>
  <c r="D8464" i="20"/>
  <c r="F8464" i="20" s="1"/>
  <c r="C8464" i="20"/>
  <c r="B8464" i="20"/>
  <c r="D8463" i="20"/>
  <c r="F8463" i="20" s="1"/>
  <c r="C8463" i="20"/>
  <c r="B8463" i="20"/>
  <c r="D8462" i="20"/>
  <c r="F8462" i="20" s="1"/>
  <c r="C8462" i="20"/>
  <c r="B8462" i="20"/>
  <c r="D8461" i="20"/>
  <c r="F8461" i="20" s="1"/>
  <c r="C8461" i="20"/>
  <c r="B8461" i="20"/>
  <c r="D8460" i="20"/>
  <c r="F8460" i="20" s="1"/>
  <c r="C8460" i="20"/>
  <c r="B8460" i="20"/>
  <c r="D8459" i="20"/>
  <c r="F8459" i="20" s="1"/>
  <c r="C8459" i="20"/>
  <c r="C8458" i="20"/>
  <c r="E8454" i="20"/>
  <c r="D8454" i="20"/>
  <c r="B8454" i="20"/>
  <c r="D8453" i="20"/>
  <c r="B8453" i="20"/>
  <c r="D8452" i="20"/>
  <c r="B8452" i="20"/>
  <c r="D8451" i="20"/>
  <c r="B8451" i="20"/>
  <c r="G8448" i="20"/>
  <c r="I8465" i="20" s="1"/>
  <c r="G8447" i="20"/>
  <c r="B8447" i="20"/>
  <c r="B8446" i="20"/>
  <c r="H8445" i="20"/>
  <c r="B8442" i="20"/>
  <c r="H8441" i="20"/>
  <c r="E8475" i="20" s="1"/>
  <c r="H8394" i="20"/>
  <c r="E8429" i="20" s="1"/>
  <c r="B8429" i="20"/>
  <c r="B8428" i="20"/>
  <c r="E8423" i="20"/>
  <c r="F8423" i="20" s="1"/>
  <c r="H8424" i="20" s="1"/>
  <c r="N8399" i="20" s="1"/>
  <c r="D8419" i="20"/>
  <c r="F8419" i="20" s="1"/>
  <c r="C8419" i="20"/>
  <c r="B8419" i="20"/>
  <c r="D8418" i="20"/>
  <c r="F8418" i="20" s="1"/>
  <c r="C8418" i="20"/>
  <c r="B8418" i="20"/>
  <c r="D8417" i="20"/>
  <c r="F8417" i="20" s="1"/>
  <c r="C8417" i="20"/>
  <c r="B8417" i="20"/>
  <c r="D8416" i="20"/>
  <c r="F8416" i="20" s="1"/>
  <c r="C8416" i="20"/>
  <c r="B8416" i="20"/>
  <c r="D8415" i="20"/>
  <c r="F8415" i="20" s="1"/>
  <c r="C8415" i="20"/>
  <c r="B8415" i="20"/>
  <c r="D8414" i="20"/>
  <c r="F8414" i="20" s="1"/>
  <c r="C8414" i="20"/>
  <c r="B8414" i="20"/>
  <c r="D8413" i="20"/>
  <c r="F8413" i="20" s="1"/>
  <c r="C8413" i="20"/>
  <c r="B8413" i="20"/>
  <c r="D8412" i="20"/>
  <c r="F8412" i="20" s="1"/>
  <c r="C8412" i="20"/>
  <c r="C8411" i="20"/>
  <c r="E8407" i="20"/>
  <c r="D8407" i="20"/>
  <c r="B8407" i="20"/>
  <c r="D8406" i="20"/>
  <c r="B8406" i="20"/>
  <c r="D8405" i="20"/>
  <c r="B8405" i="20"/>
  <c r="D8404" i="20"/>
  <c r="B8404" i="20"/>
  <c r="G8401" i="20"/>
  <c r="G8400" i="20"/>
  <c r="B8400" i="20"/>
  <c r="B8399" i="20"/>
  <c r="H8398" i="20"/>
  <c r="B8395" i="20"/>
  <c r="F8406" i="20" l="1"/>
  <c r="E8428" i="20"/>
  <c r="F8453" i="20"/>
  <c r="F8451" i="20"/>
  <c r="E8476" i="20"/>
  <c r="F8454" i="20"/>
  <c r="G8454" i="20" s="1"/>
  <c r="I8466" i="20"/>
  <c r="I8462" i="20"/>
  <c r="F8452" i="20"/>
  <c r="I8458" i="20"/>
  <c r="I8459" i="20"/>
  <c r="I8463" i="20"/>
  <c r="I8460" i="20"/>
  <c r="I8464" i="20"/>
  <c r="E8474" i="20"/>
  <c r="I8461" i="20"/>
  <c r="F8407" i="20"/>
  <c r="G8407" i="20" s="1"/>
  <c r="F8404" i="20"/>
  <c r="I8415" i="20"/>
  <c r="I8419" i="20"/>
  <c r="F8405" i="20"/>
  <c r="I8411" i="20"/>
  <c r="I8412" i="20"/>
  <c r="I8416" i="20"/>
  <c r="I8417" i="20"/>
  <c r="I8413" i="20"/>
  <c r="I8418" i="20"/>
  <c r="E8427" i="20"/>
  <c r="I8414" i="20"/>
  <c r="B9233" i="20" l="1"/>
  <c r="B9232" i="20"/>
  <c r="E9227" i="20"/>
  <c r="F9227" i="20" s="1"/>
  <c r="H9228" i="20" s="1"/>
  <c r="N9198" i="20" s="1"/>
  <c r="D9223" i="20"/>
  <c r="F9223" i="20" s="1"/>
  <c r="C9223" i="20"/>
  <c r="B9223" i="20"/>
  <c r="D9222" i="20"/>
  <c r="F9222" i="20" s="1"/>
  <c r="C9222" i="20"/>
  <c r="B9222" i="20"/>
  <c r="D9221" i="20"/>
  <c r="F9221" i="20" s="1"/>
  <c r="C9221" i="20"/>
  <c r="B9221" i="20"/>
  <c r="D9220" i="20"/>
  <c r="F9220" i="20" s="1"/>
  <c r="C9220" i="20"/>
  <c r="B9220" i="20"/>
  <c r="D9219" i="20"/>
  <c r="F9219" i="20" s="1"/>
  <c r="C9219" i="20"/>
  <c r="B9219" i="20"/>
  <c r="C9218" i="20"/>
  <c r="B9218" i="20"/>
  <c r="C9217" i="20"/>
  <c r="B9217" i="20"/>
  <c r="C9216" i="20"/>
  <c r="B9216" i="20"/>
  <c r="C9215" i="20"/>
  <c r="B9215" i="20"/>
  <c r="C9214" i="20"/>
  <c r="B9214" i="20"/>
  <c r="C9213" i="20"/>
  <c r="B9213" i="20"/>
  <c r="C9212" i="20"/>
  <c r="B9212" i="20"/>
  <c r="C9211" i="20"/>
  <c r="C9210" i="20"/>
  <c r="E9206" i="20"/>
  <c r="D9206" i="20"/>
  <c r="B9206" i="20"/>
  <c r="D9205" i="20"/>
  <c r="B9205" i="20"/>
  <c r="D9204" i="20"/>
  <c r="B9204" i="20"/>
  <c r="D9203" i="20"/>
  <c r="B9203" i="20"/>
  <c r="G9200" i="20"/>
  <c r="I9222" i="20" s="1"/>
  <c r="G9199" i="20"/>
  <c r="B9199" i="20"/>
  <c r="B9198" i="20"/>
  <c r="H9197" i="20"/>
  <c r="B9194" i="20"/>
  <c r="H9193" i="20"/>
  <c r="E9232" i="20" s="1"/>
  <c r="F279" i="4"/>
  <c r="I21" i="4"/>
  <c r="K21" i="4" s="1"/>
  <c r="F21" i="4" s="1"/>
  <c r="D2171" i="20" s="1"/>
  <c r="F2171" i="20" s="1"/>
  <c r="B2246" i="20"/>
  <c r="B2245" i="20"/>
  <c r="E2240" i="20"/>
  <c r="F2240" i="20" s="1"/>
  <c r="H2241" i="20" s="1"/>
  <c r="N2212" i="20" s="1"/>
  <c r="D2236" i="20"/>
  <c r="F2236" i="20" s="1"/>
  <c r="C2236" i="20"/>
  <c r="B2236" i="20"/>
  <c r="D2235" i="20"/>
  <c r="F2235" i="20" s="1"/>
  <c r="C2235" i="20"/>
  <c r="B2235" i="20"/>
  <c r="D2234" i="20"/>
  <c r="F2234" i="20" s="1"/>
  <c r="C2234" i="20"/>
  <c r="B2234" i="20"/>
  <c r="D2233" i="20"/>
  <c r="F2233" i="20" s="1"/>
  <c r="C2233" i="20"/>
  <c r="B2233" i="20"/>
  <c r="D2232" i="20"/>
  <c r="F2232" i="20" s="1"/>
  <c r="C2232" i="20"/>
  <c r="B2232" i="20"/>
  <c r="D2231" i="20"/>
  <c r="F2231" i="20" s="1"/>
  <c r="C2231" i="20"/>
  <c r="B2231" i="20"/>
  <c r="D2230" i="20"/>
  <c r="F2230" i="20" s="1"/>
  <c r="C2230" i="20"/>
  <c r="B2230" i="20"/>
  <c r="C2229" i="20"/>
  <c r="B2229" i="20"/>
  <c r="C2228" i="20"/>
  <c r="B2228" i="20"/>
  <c r="C2227" i="20"/>
  <c r="B2227" i="20"/>
  <c r="C2226" i="20"/>
  <c r="B2226" i="20"/>
  <c r="C2225" i="20"/>
  <c r="B2225" i="20"/>
  <c r="C2224" i="20"/>
  <c r="C2223" i="20"/>
  <c r="D2219" i="20"/>
  <c r="B2219" i="20"/>
  <c r="D2218" i="20"/>
  <c r="B2218" i="20"/>
  <c r="D2217" i="20"/>
  <c r="B2217" i="20"/>
  <c r="G2214" i="20"/>
  <c r="I2235" i="20" s="1"/>
  <c r="G2213" i="20"/>
  <c r="B2213" i="20"/>
  <c r="B2212" i="20"/>
  <c r="H2211" i="20"/>
  <c r="B2208" i="20"/>
  <c r="H2207" i="20"/>
  <c r="E2245" i="20" s="1"/>
  <c r="B2194" i="20"/>
  <c r="B2193" i="20"/>
  <c r="E2188" i="20"/>
  <c r="F2188" i="20" s="1"/>
  <c r="H2189" i="20" s="1"/>
  <c r="N2160" i="20" s="1"/>
  <c r="D2184" i="20"/>
  <c r="F2184" i="20" s="1"/>
  <c r="C2184" i="20"/>
  <c r="B2184" i="20"/>
  <c r="D2183" i="20"/>
  <c r="F2183" i="20" s="1"/>
  <c r="C2183" i="20"/>
  <c r="B2183" i="20"/>
  <c r="D2182" i="20"/>
  <c r="F2182" i="20" s="1"/>
  <c r="C2182" i="20"/>
  <c r="B2182" i="20"/>
  <c r="D2181" i="20"/>
  <c r="F2181" i="20" s="1"/>
  <c r="C2181" i="20"/>
  <c r="B2181" i="20"/>
  <c r="D2180" i="20"/>
  <c r="F2180" i="20" s="1"/>
  <c r="C2180" i="20"/>
  <c r="B2180" i="20"/>
  <c r="D2179" i="20"/>
  <c r="F2179" i="20" s="1"/>
  <c r="C2179" i="20"/>
  <c r="B2179" i="20"/>
  <c r="C2178" i="20"/>
  <c r="B2178" i="20"/>
  <c r="C2177" i="20"/>
  <c r="B2177" i="20"/>
  <c r="C2176" i="20"/>
  <c r="B2176" i="20"/>
  <c r="C2175" i="20"/>
  <c r="B2175" i="20"/>
  <c r="C2174" i="20"/>
  <c r="B2174" i="20"/>
  <c r="C2173" i="20"/>
  <c r="B2173" i="20"/>
  <c r="C2172" i="20"/>
  <c r="C2171" i="20"/>
  <c r="E2167" i="20"/>
  <c r="D2167" i="20"/>
  <c r="B2167" i="20"/>
  <c r="D2166" i="20"/>
  <c r="B2166" i="20"/>
  <c r="D2165" i="20"/>
  <c r="B2165" i="20"/>
  <c r="G2162" i="20"/>
  <c r="I2181" i="20" s="1"/>
  <c r="G2161" i="20"/>
  <c r="B2161" i="20"/>
  <c r="B2160" i="20"/>
  <c r="H2159" i="20"/>
  <c r="B2156" i="20"/>
  <c r="H2155" i="20"/>
  <c r="F2166" i="20" s="1"/>
  <c r="B2143" i="20"/>
  <c r="B2142" i="20"/>
  <c r="E2137" i="20"/>
  <c r="F2137" i="20" s="1"/>
  <c r="H2138" i="20" s="1"/>
  <c r="N2109" i="20" s="1"/>
  <c r="D2133" i="20"/>
  <c r="F2133" i="20" s="1"/>
  <c r="C2133" i="20"/>
  <c r="B2133" i="20"/>
  <c r="D2132" i="20"/>
  <c r="F2132" i="20" s="1"/>
  <c r="C2132" i="20"/>
  <c r="B2132" i="20"/>
  <c r="D2131" i="20"/>
  <c r="F2131" i="20" s="1"/>
  <c r="C2131" i="20"/>
  <c r="B2131" i="20"/>
  <c r="D2130" i="20"/>
  <c r="F2130" i="20" s="1"/>
  <c r="C2130" i="20"/>
  <c r="B2130" i="20"/>
  <c r="D2129" i="20"/>
  <c r="F2129" i="20" s="1"/>
  <c r="C2129" i="20"/>
  <c r="B2129" i="20"/>
  <c r="D2128" i="20"/>
  <c r="F2128" i="20" s="1"/>
  <c r="C2128" i="20"/>
  <c r="B2128" i="20"/>
  <c r="C2127" i="20"/>
  <c r="B2127" i="20"/>
  <c r="C2126" i="20"/>
  <c r="B2126" i="20"/>
  <c r="C2125" i="20"/>
  <c r="B2125" i="20"/>
  <c r="C2124" i="20"/>
  <c r="B2124" i="20"/>
  <c r="C2123" i="20"/>
  <c r="B2123" i="20"/>
  <c r="C2122" i="20"/>
  <c r="B2122" i="20"/>
  <c r="C2121" i="20"/>
  <c r="C2120" i="20"/>
  <c r="D2116" i="20"/>
  <c r="B2116" i="20"/>
  <c r="D2115" i="20"/>
  <c r="B2115" i="20"/>
  <c r="D2114" i="20"/>
  <c r="B2114" i="20"/>
  <c r="G2111" i="20"/>
  <c r="I2132" i="20" s="1"/>
  <c r="G2110" i="20"/>
  <c r="B2110" i="20"/>
  <c r="B2109" i="20"/>
  <c r="H2108" i="20"/>
  <c r="B2105" i="20"/>
  <c r="H2104" i="20"/>
  <c r="E2142" i="20" s="1"/>
  <c r="I201" i="4"/>
  <c r="K201" i="4" s="1"/>
  <c r="F201" i="4" s="1"/>
  <c r="D2069" i="20" s="1"/>
  <c r="F2069" i="20" s="1"/>
  <c r="I202" i="4"/>
  <c r="K202" i="4" s="1"/>
  <c r="F202" i="4" s="1"/>
  <c r="D2835" i="20" s="1"/>
  <c r="F2835" i="20" s="1"/>
  <c r="B2092" i="20"/>
  <c r="B2091" i="20"/>
  <c r="E2086" i="20"/>
  <c r="F2086" i="20" s="1"/>
  <c r="H2087" i="20" s="1"/>
  <c r="N2058" i="20" s="1"/>
  <c r="D2082" i="20"/>
  <c r="F2082" i="20" s="1"/>
  <c r="C2082" i="20"/>
  <c r="B2082" i="20"/>
  <c r="D2081" i="20"/>
  <c r="F2081" i="20" s="1"/>
  <c r="C2081" i="20"/>
  <c r="B2081" i="20"/>
  <c r="D2080" i="20"/>
  <c r="F2080" i="20" s="1"/>
  <c r="C2080" i="20"/>
  <c r="B2080" i="20"/>
  <c r="D2079" i="20"/>
  <c r="F2079" i="20" s="1"/>
  <c r="C2079" i="20"/>
  <c r="B2079" i="20"/>
  <c r="D2078" i="20"/>
  <c r="F2078" i="20" s="1"/>
  <c r="C2078" i="20"/>
  <c r="B2078" i="20"/>
  <c r="D2077" i="20"/>
  <c r="F2077" i="20" s="1"/>
  <c r="C2077" i="20"/>
  <c r="B2077" i="20"/>
  <c r="C2076" i="20"/>
  <c r="B2076" i="20"/>
  <c r="C2075" i="20"/>
  <c r="B2075" i="20"/>
  <c r="C2074" i="20"/>
  <c r="B2074" i="20"/>
  <c r="C2073" i="20"/>
  <c r="B2073" i="20"/>
  <c r="C2072" i="20"/>
  <c r="B2072" i="20"/>
  <c r="C2071" i="20"/>
  <c r="B2071" i="20"/>
  <c r="C2070" i="20"/>
  <c r="C2069" i="20"/>
  <c r="D2065" i="20"/>
  <c r="B2065" i="20"/>
  <c r="D2064" i="20"/>
  <c r="B2064" i="20"/>
  <c r="D2063" i="20"/>
  <c r="B2063" i="20"/>
  <c r="G2060" i="20"/>
  <c r="I2081" i="20" s="1"/>
  <c r="G2059" i="20"/>
  <c r="B2059" i="20"/>
  <c r="B2058" i="20"/>
  <c r="H2057" i="20"/>
  <c r="B2054" i="20"/>
  <c r="H2053" i="20"/>
  <c r="E2091" i="20" s="1"/>
  <c r="I169" i="4"/>
  <c r="K169" i="4" s="1"/>
  <c r="F169" i="4" s="1"/>
  <c r="B2041" i="20"/>
  <c r="B2040" i="20"/>
  <c r="E2035" i="20"/>
  <c r="F2035" i="20" s="1"/>
  <c r="H2036" i="20" s="1"/>
  <c r="N2007" i="20" s="1"/>
  <c r="D2031" i="20"/>
  <c r="F2031" i="20" s="1"/>
  <c r="C2031" i="20"/>
  <c r="B2031" i="20"/>
  <c r="D2030" i="20"/>
  <c r="F2030" i="20" s="1"/>
  <c r="C2030" i="20"/>
  <c r="B2030" i="20"/>
  <c r="D2029" i="20"/>
  <c r="F2029" i="20" s="1"/>
  <c r="C2029" i="20"/>
  <c r="B2029" i="20"/>
  <c r="D2028" i="20"/>
  <c r="F2028" i="20" s="1"/>
  <c r="C2028" i="20"/>
  <c r="B2028" i="20"/>
  <c r="D2027" i="20"/>
  <c r="F2027" i="20" s="1"/>
  <c r="C2027" i="20"/>
  <c r="B2027" i="20"/>
  <c r="D2026" i="20"/>
  <c r="F2026" i="20" s="1"/>
  <c r="C2026" i="20"/>
  <c r="B2026" i="20"/>
  <c r="C2025" i="20"/>
  <c r="B2025" i="20"/>
  <c r="C2024" i="20"/>
  <c r="B2024" i="20"/>
  <c r="C2023" i="20"/>
  <c r="B2023" i="20"/>
  <c r="C2022" i="20"/>
  <c r="B2022" i="20"/>
  <c r="C2021" i="20"/>
  <c r="B2021" i="20"/>
  <c r="C2020" i="20"/>
  <c r="B2020" i="20"/>
  <c r="C2019" i="20"/>
  <c r="C2018" i="20"/>
  <c r="D2014" i="20"/>
  <c r="B2014" i="20"/>
  <c r="D2013" i="20"/>
  <c r="B2013" i="20"/>
  <c r="D2012" i="20"/>
  <c r="B2012" i="20"/>
  <c r="G2009" i="20"/>
  <c r="I2030" i="20" s="1"/>
  <c r="G2008" i="20"/>
  <c r="B2008" i="20"/>
  <c r="B2007" i="20"/>
  <c r="H2006" i="20"/>
  <c r="B2003" i="20"/>
  <c r="H2002" i="20"/>
  <c r="E2040" i="20" s="1"/>
  <c r="B1990" i="20"/>
  <c r="B1989" i="20"/>
  <c r="E1984" i="20"/>
  <c r="F1984" i="20" s="1"/>
  <c r="H1985" i="20" s="1"/>
  <c r="N1956" i="20" s="1"/>
  <c r="D1980" i="20"/>
  <c r="F1980" i="20" s="1"/>
  <c r="C1980" i="20"/>
  <c r="B1980" i="20"/>
  <c r="D1979" i="20"/>
  <c r="F1979" i="20" s="1"/>
  <c r="C1979" i="20"/>
  <c r="B1979" i="20"/>
  <c r="D1978" i="20"/>
  <c r="F1978" i="20" s="1"/>
  <c r="C1978" i="20"/>
  <c r="B1978" i="20"/>
  <c r="D1977" i="20"/>
  <c r="F1977" i="20" s="1"/>
  <c r="C1977" i="20"/>
  <c r="B1977" i="20"/>
  <c r="D1976" i="20"/>
  <c r="F1976" i="20" s="1"/>
  <c r="C1976" i="20"/>
  <c r="B1976" i="20"/>
  <c r="D1975" i="20"/>
  <c r="F1975" i="20" s="1"/>
  <c r="C1975" i="20"/>
  <c r="B1975" i="20"/>
  <c r="C1974" i="20"/>
  <c r="B1974" i="20"/>
  <c r="C1973" i="20"/>
  <c r="B1973" i="20"/>
  <c r="C1972" i="20"/>
  <c r="B1972" i="20"/>
  <c r="C1971" i="20"/>
  <c r="B1971" i="20"/>
  <c r="C1970" i="20"/>
  <c r="B1970" i="20"/>
  <c r="C1969" i="20"/>
  <c r="B1969" i="20"/>
  <c r="C1968" i="20"/>
  <c r="C1967" i="20"/>
  <c r="D1963" i="20"/>
  <c r="B1963" i="20"/>
  <c r="D1962" i="20"/>
  <c r="B1962" i="20"/>
  <c r="D1961" i="20"/>
  <c r="B1961" i="20"/>
  <c r="G1958" i="20"/>
  <c r="I1979" i="20" s="1"/>
  <c r="G1957" i="20"/>
  <c r="B1957" i="20"/>
  <c r="B1956" i="20"/>
  <c r="H1955" i="20"/>
  <c r="B1952" i="20"/>
  <c r="H1951" i="20"/>
  <c r="E1989" i="20" s="1"/>
  <c r="B1939" i="20"/>
  <c r="B1938" i="20"/>
  <c r="E1933" i="20"/>
  <c r="F1933" i="20" s="1"/>
  <c r="H1934" i="20" s="1"/>
  <c r="N1905" i="20" s="1"/>
  <c r="D1929" i="20"/>
  <c r="F1929" i="20" s="1"/>
  <c r="C1929" i="20"/>
  <c r="B1929" i="20"/>
  <c r="D1928" i="20"/>
  <c r="F1928" i="20" s="1"/>
  <c r="C1928" i="20"/>
  <c r="B1928" i="20"/>
  <c r="D1927" i="20"/>
  <c r="F1927" i="20" s="1"/>
  <c r="C1927" i="20"/>
  <c r="B1927" i="20"/>
  <c r="D1926" i="20"/>
  <c r="F1926" i="20" s="1"/>
  <c r="C1926" i="20"/>
  <c r="B1926" i="20"/>
  <c r="D1925" i="20"/>
  <c r="F1925" i="20" s="1"/>
  <c r="C1925" i="20"/>
  <c r="B1925" i="20"/>
  <c r="D1924" i="20"/>
  <c r="F1924" i="20" s="1"/>
  <c r="C1924" i="20"/>
  <c r="B1924" i="20"/>
  <c r="C1923" i="20"/>
  <c r="B1923" i="20"/>
  <c r="C1922" i="20"/>
  <c r="B1922" i="20"/>
  <c r="C1921" i="20"/>
  <c r="B1921" i="20"/>
  <c r="C1920" i="20"/>
  <c r="B1920" i="20"/>
  <c r="C1919" i="20"/>
  <c r="B1919" i="20"/>
  <c r="C1918" i="20"/>
  <c r="B1918" i="20"/>
  <c r="C1917" i="20"/>
  <c r="C1916" i="20"/>
  <c r="D1912" i="20"/>
  <c r="B1912" i="20"/>
  <c r="D1911" i="20"/>
  <c r="B1911" i="20"/>
  <c r="D1910" i="20"/>
  <c r="B1910" i="20"/>
  <c r="G1907" i="20"/>
  <c r="I1928" i="20" s="1"/>
  <c r="G1906" i="20"/>
  <c r="B1906" i="20"/>
  <c r="B1905" i="20"/>
  <c r="H1904" i="20"/>
  <c r="B1901" i="20"/>
  <c r="H1900" i="20"/>
  <c r="E1938" i="20" s="1"/>
  <c r="B1888" i="20"/>
  <c r="B1887" i="20"/>
  <c r="E1882" i="20"/>
  <c r="F1882" i="20" s="1"/>
  <c r="H1883" i="20" s="1"/>
  <c r="N1854" i="20" s="1"/>
  <c r="D1878" i="20"/>
  <c r="F1878" i="20" s="1"/>
  <c r="C1878" i="20"/>
  <c r="B1878" i="20"/>
  <c r="D1877" i="20"/>
  <c r="F1877" i="20" s="1"/>
  <c r="C1877" i="20"/>
  <c r="B1877" i="20"/>
  <c r="D1876" i="20"/>
  <c r="F1876" i="20" s="1"/>
  <c r="C1876" i="20"/>
  <c r="B1876" i="20"/>
  <c r="D1875" i="20"/>
  <c r="F1875" i="20" s="1"/>
  <c r="C1875" i="20"/>
  <c r="B1875" i="20"/>
  <c r="D1874" i="20"/>
  <c r="F1874" i="20" s="1"/>
  <c r="C1874" i="20"/>
  <c r="B1874" i="20"/>
  <c r="D1873" i="20"/>
  <c r="F1873" i="20" s="1"/>
  <c r="C1873" i="20"/>
  <c r="B1873" i="20"/>
  <c r="C1872" i="20"/>
  <c r="B1872" i="20"/>
  <c r="C1871" i="20"/>
  <c r="B1871" i="20"/>
  <c r="C1870" i="20"/>
  <c r="B1870" i="20"/>
  <c r="C1869" i="20"/>
  <c r="B1869" i="20"/>
  <c r="C1868" i="20"/>
  <c r="B1868" i="20"/>
  <c r="C1867" i="20"/>
  <c r="B1867" i="20"/>
  <c r="C1866" i="20"/>
  <c r="C1865" i="20"/>
  <c r="D1861" i="20"/>
  <c r="B1861" i="20"/>
  <c r="D1860" i="20"/>
  <c r="B1860" i="20"/>
  <c r="D1859" i="20"/>
  <c r="B1859" i="20"/>
  <c r="G1856" i="20"/>
  <c r="I1877" i="20" s="1"/>
  <c r="G1855" i="20"/>
  <c r="B1855" i="20"/>
  <c r="B1854" i="20"/>
  <c r="H1853" i="20"/>
  <c r="B1850" i="20"/>
  <c r="H1849" i="20"/>
  <c r="E1887" i="20" s="1"/>
  <c r="H1798" i="20"/>
  <c r="E1837" i="20" s="1"/>
  <c r="I265" i="4"/>
  <c r="K265" i="4" s="1"/>
  <c r="F265" i="4" s="1"/>
  <c r="D1865" i="20" s="1"/>
  <c r="F1865" i="20" s="1"/>
  <c r="I269" i="4"/>
  <c r="K269" i="4" s="1"/>
  <c r="F269" i="4" s="1"/>
  <c r="D4110" i="20" s="1"/>
  <c r="F4110" i="20" s="1"/>
  <c r="I268" i="4"/>
  <c r="K268" i="4" s="1"/>
  <c r="F268" i="4" s="1"/>
  <c r="I266" i="4"/>
  <c r="K266" i="4" s="1"/>
  <c r="F266" i="4" s="1"/>
  <c r="D1916" i="20" s="1"/>
  <c r="F1916" i="20" s="1"/>
  <c r="I264" i="4"/>
  <c r="K264" i="4" s="1"/>
  <c r="F264" i="4" s="1"/>
  <c r="B1837" i="20"/>
  <c r="B1836" i="20"/>
  <c r="E1831" i="20"/>
  <c r="F1831" i="20" s="1"/>
  <c r="H1832" i="20" s="1"/>
  <c r="N1803" i="20" s="1"/>
  <c r="D1827" i="20"/>
  <c r="F1827" i="20" s="1"/>
  <c r="C1827" i="20"/>
  <c r="B1827" i="20"/>
  <c r="D1826" i="20"/>
  <c r="F1826" i="20" s="1"/>
  <c r="C1826" i="20"/>
  <c r="B1826" i="20"/>
  <c r="D1825" i="20"/>
  <c r="F1825" i="20" s="1"/>
  <c r="C1825" i="20"/>
  <c r="B1825" i="20"/>
  <c r="D1824" i="20"/>
  <c r="F1824" i="20" s="1"/>
  <c r="C1824" i="20"/>
  <c r="B1824" i="20"/>
  <c r="D1823" i="20"/>
  <c r="F1823" i="20" s="1"/>
  <c r="C1823" i="20"/>
  <c r="B1823" i="20"/>
  <c r="D1822" i="20"/>
  <c r="F1822" i="20" s="1"/>
  <c r="C1822" i="20"/>
  <c r="B1822" i="20"/>
  <c r="C1821" i="20"/>
  <c r="B1821" i="20"/>
  <c r="C1820" i="20"/>
  <c r="B1820" i="20"/>
  <c r="C1819" i="20"/>
  <c r="B1819" i="20"/>
  <c r="C1818" i="20"/>
  <c r="B1818" i="20"/>
  <c r="C1817" i="20"/>
  <c r="B1817" i="20"/>
  <c r="C1816" i="20"/>
  <c r="B1816" i="20"/>
  <c r="C1815" i="20"/>
  <c r="C1814" i="20"/>
  <c r="D1810" i="20"/>
  <c r="B1810" i="20"/>
  <c r="D1809" i="20"/>
  <c r="B1809" i="20"/>
  <c r="D1808" i="20"/>
  <c r="B1808" i="20"/>
  <c r="G1805" i="20"/>
  <c r="I1826" i="20" s="1"/>
  <c r="G1804" i="20"/>
  <c r="B1804" i="20"/>
  <c r="B1803" i="20"/>
  <c r="H1802" i="20"/>
  <c r="B1799" i="20"/>
  <c r="H9509" i="20"/>
  <c r="E9549" i="20" s="1"/>
  <c r="B9549" i="20"/>
  <c r="B9548" i="20"/>
  <c r="E9543" i="20"/>
  <c r="F9543" i="20" s="1"/>
  <c r="H9544" i="20" s="1"/>
  <c r="N9514" i="20" s="1"/>
  <c r="D9539" i="20"/>
  <c r="F9539" i="20" s="1"/>
  <c r="C9539" i="20"/>
  <c r="B9539" i="20"/>
  <c r="D9538" i="20"/>
  <c r="F9538" i="20" s="1"/>
  <c r="C9538" i="20"/>
  <c r="B9538" i="20"/>
  <c r="D9537" i="20"/>
  <c r="F9537" i="20" s="1"/>
  <c r="C9537" i="20"/>
  <c r="B9537" i="20"/>
  <c r="D9536" i="20"/>
  <c r="F9536" i="20" s="1"/>
  <c r="C9536" i="20"/>
  <c r="B9536" i="20"/>
  <c r="D9535" i="20"/>
  <c r="F9535" i="20" s="1"/>
  <c r="C9535" i="20"/>
  <c r="B9535" i="20"/>
  <c r="D9534" i="20"/>
  <c r="F9534" i="20" s="1"/>
  <c r="C9534" i="20"/>
  <c r="B9534" i="20"/>
  <c r="D9533" i="20"/>
  <c r="F9533" i="20" s="1"/>
  <c r="C9533" i="20"/>
  <c r="B9533" i="20"/>
  <c r="D9532" i="20"/>
  <c r="F9532" i="20" s="1"/>
  <c r="C9532" i="20"/>
  <c r="B9532" i="20"/>
  <c r="D9531" i="20"/>
  <c r="F9531" i="20" s="1"/>
  <c r="C9531" i="20"/>
  <c r="B9531" i="20"/>
  <c r="D9530" i="20"/>
  <c r="F9530" i="20" s="1"/>
  <c r="C9530" i="20"/>
  <c r="B9530" i="20"/>
  <c r="D9529" i="20"/>
  <c r="F9529" i="20" s="1"/>
  <c r="C9529" i="20"/>
  <c r="B9529" i="20"/>
  <c r="D9528" i="20"/>
  <c r="F9528" i="20" s="1"/>
  <c r="C9528" i="20"/>
  <c r="B9528" i="20"/>
  <c r="C9527" i="20"/>
  <c r="C9526" i="20"/>
  <c r="D9522" i="20"/>
  <c r="B9522" i="20"/>
  <c r="E9521" i="20"/>
  <c r="D9521" i="20"/>
  <c r="B9521" i="20"/>
  <c r="D9520" i="20"/>
  <c r="B9520" i="20"/>
  <c r="D9519" i="20"/>
  <c r="B9519" i="20"/>
  <c r="G9516" i="20"/>
  <c r="I9539" i="20" s="1"/>
  <c r="G9515" i="20"/>
  <c r="B9515" i="20"/>
  <c r="B9514" i="20"/>
  <c r="H9513" i="20"/>
  <c r="B9510" i="20"/>
  <c r="H9457" i="20"/>
  <c r="E9496" i="20" s="1"/>
  <c r="I122" i="4"/>
  <c r="K122" i="4" s="1"/>
  <c r="F122" i="4" s="1"/>
  <c r="I317" i="4"/>
  <c r="K317" i="4" s="1"/>
  <c r="F317" i="4" s="1"/>
  <c r="B9497" i="20"/>
  <c r="B9496" i="20"/>
  <c r="E9491" i="20"/>
  <c r="F9491" i="20" s="1"/>
  <c r="H9492" i="20" s="1"/>
  <c r="N9462" i="20" s="1"/>
  <c r="D9487" i="20"/>
  <c r="F9487" i="20" s="1"/>
  <c r="C9487" i="20"/>
  <c r="B9487" i="20"/>
  <c r="D9486" i="20"/>
  <c r="F9486" i="20" s="1"/>
  <c r="C9486" i="20"/>
  <c r="B9486" i="20"/>
  <c r="D9485" i="20"/>
  <c r="F9485" i="20" s="1"/>
  <c r="C9485" i="20"/>
  <c r="B9485" i="20"/>
  <c r="D9484" i="20"/>
  <c r="F9484" i="20" s="1"/>
  <c r="C9484" i="20"/>
  <c r="B9484" i="20"/>
  <c r="D9483" i="20"/>
  <c r="F9483" i="20" s="1"/>
  <c r="C9483" i="20"/>
  <c r="B9483" i="20"/>
  <c r="D9482" i="20"/>
  <c r="F9482" i="20" s="1"/>
  <c r="C9482" i="20"/>
  <c r="B9482" i="20"/>
  <c r="D9481" i="20"/>
  <c r="F9481" i="20" s="1"/>
  <c r="C9481" i="20"/>
  <c r="B9481" i="20"/>
  <c r="D9480" i="20"/>
  <c r="F9480" i="20" s="1"/>
  <c r="C9480" i="20"/>
  <c r="B9480" i="20"/>
  <c r="D9479" i="20"/>
  <c r="F9479" i="20" s="1"/>
  <c r="C9479" i="20"/>
  <c r="B9479" i="20"/>
  <c r="D9478" i="20"/>
  <c r="F9478" i="20" s="1"/>
  <c r="C9478" i="20"/>
  <c r="B9478" i="20"/>
  <c r="C9477" i="20"/>
  <c r="B9477" i="20"/>
  <c r="C9476" i="20"/>
  <c r="B9476" i="20"/>
  <c r="C9475" i="20"/>
  <c r="C9474" i="20"/>
  <c r="D9470" i="20"/>
  <c r="B9470" i="20"/>
  <c r="E9469" i="20"/>
  <c r="D9469" i="20"/>
  <c r="B9469" i="20"/>
  <c r="D9468" i="20"/>
  <c r="B9468" i="20"/>
  <c r="D9467" i="20"/>
  <c r="B9467" i="20"/>
  <c r="G9464" i="20"/>
  <c r="I9486" i="20" s="1"/>
  <c r="G9463" i="20"/>
  <c r="B9463" i="20"/>
  <c r="B9462" i="20"/>
  <c r="H9461" i="20"/>
  <c r="B9458" i="20"/>
  <c r="H9405" i="20"/>
  <c r="E9444" i="20" s="1"/>
  <c r="I318" i="4"/>
  <c r="K318" i="4" s="1"/>
  <c r="F318" i="4" s="1"/>
  <c r="I123" i="4"/>
  <c r="K123" i="4" s="1"/>
  <c r="F123" i="4" s="1"/>
  <c r="I301" i="4"/>
  <c r="K301" i="4" s="1"/>
  <c r="F301" i="4" s="1"/>
  <c r="D9422" i="20" s="1"/>
  <c r="F9422" i="20" s="1"/>
  <c r="B9445" i="20"/>
  <c r="B9444" i="20"/>
  <c r="E9439" i="20"/>
  <c r="F9439" i="20" s="1"/>
  <c r="H9440" i="20" s="1"/>
  <c r="N9410" i="20" s="1"/>
  <c r="D9435" i="20"/>
  <c r="F9435" i="20" s="1"/>
  <c r="C9435" i="20"/>
  <c r="B9435" i="20"/>
  <c r="D9434" i="20"/>
  <c r="F9434" i="20" s="1"/>
  <c r="C9434" i="20"/>
  <c r="B9434" i="20"/>
  <c r="D9433" i="20"/>
  <c r="F9433" i="20" s="1"/>
  <c r="C9433" i="20"/>
  <c r="B9433" i="20"/>
  <c r="D9432" i="20"/>
  <c r="F9432" i="20" s="1"/>
  <c r="C9432" i="20"/>
  <c r="B9432" i="20"/>
  <c r="D9431" i="20"/>
  <c r="F9431" i="20" s="1"/>
  <c r="C9431" i="20"/>
  <c r="B9431" i="20"/>
  <c r="D9430" i="20"/>
  <c r="F9430" i="20" s="1"/>
  <c r="C9430" i="20"/>
  <c r="B9430" i="20"/>
  <c r="D9429" i="20"/>
  <c r="F9429" i="20" s="1"/>
  <c r="C9429" i="20"/>
  <c r="B9429" i="20"/>
  <c r="D9428" i="20"/>
  <c r="F9428" i="20" s="1"/>
  <c r="C9428" i="20"/>
  <c r="B9428" i="20"/>
  <c r="D9427" i="20"/>
  <c r="F9427" i="20" s="1"/>
  <c r="C9427" i="20"/>
  <c r="B9427" i="20"/>
  <c r="D9426" i="20"/>
  <c r="F9426" i="20" s="1"/>
  <c r="C9426" i="20"/>
  <c r="B9426" i="20"/>
  <c r="C9425" i="20"/>
  <c r="B9425" i="20"/>
  <c r="C9424" i="20"/>
  <c r="B9424" i="20"/>
  <c r="C9423" i="20"/>
  <c r="C9422" i="20"/>
  <c r="D9418" i="20"/>
  <c r="B9418" i="20"/>
  <c r="E9417" i="20"/>
  <c r="D9417" i="20"/>
  <c r="B9417" i="20"/>
  <c r="D9416" i="20"/>
  <c r="B9416" i="20"/>
  <c r="D9415" i="20"/>
  <c r="B9415" i="20"/>
  <c r="G9412" i="20"/>
  <c r="I9434" i="20" s="1"/>
  <c r="G9411" i="20"/>
  <c r="B9411" i="20"/>
  <c r="B9410" i="20"/>
  <c r="H9409" i="20"/>
  <c r="B9406" i="20"/>
  <c r="B9392" i="20"/>
  <c r="B9391" i="20"/>
  <c r="E9386" i="20"/>
  <c r="F9386" i="20" s="1"/>
  <c r="H9387" i="20" s="1"/>
  <c r="N9357" i="20" s="1"/>
  <c r="D9382" i="20"/>
  <c r="F9382" i="20" s="1"/>
  <c r="C9382" i="20"/>
  <c r="B9382" i="20"/>
  <c r="D9381" i="20"/>
  <c r="F9381" i="20" s="1"/>
  <c r="C9381" i="20"/>
  <c r="B9381" i="20"/>
  <c r="D9380" i="20"/>
  <c r="F9380" i="20" s="1"/>
  <c r="C9380" i="20"/>
  <c r="B9380" i="20"/>
  <c r="D9379" i="20"/>
  <c r="F9379" i="20" s="1"/>
  <c r="C9379" i="20"/>
  <c r="B9379" i="20"/>
  <c r="D9378" i="20"/>
  <c r="F9378" i="20" s="1"/>
  <c r="C9378" i="20"/>
  <c r="B9378" i="20"/>
  <c r="D9377" i="20"/>
  <c r="F9377" i="20" s="1"/>
  <c r="C9377" i="20"/>
  <c r="B9377" i="20"/>
  <c r="D9376" i="20"/>
  <c r="F9376" i="20" s="1"/>
  <c r="C9376" i="20"/>
  <c r="B9376" i="20"/>
  <c r="D9375" i="20"/>
  <c r="F9375" i="20" s="1"/>
  <c r="C9375" i="20"/>
  <c r="B9375" i="20"/>
  <c r="D9374" i="20"/>
  <c r="F9374" i="20" s="1"/>
  <c r="C9374" i="20"/>
  <c r="B9374" i="20"/>
  <c r="D9373" i="20"/>
  <c r="F9373" i="20" s="1"/>
  <c r="C9373" i="20"/>
  <c r="B9373" i="20"/>
  <c r="D9372" i="20"/>
  <c r="F9372" i="20" s="1"/>
  <c r="C9372" i="20"/>
  <c r="B9372" i="20"/>
  <c r="D9371" i="20"/>
  <c r="F9371" i="20" s="1"/>
  <c r="C9371" i="20"/>
  <c r="B9371" i="20"/>
  <c r="C9370" i="20"/>
  <c r="C9369" i="20"/>
  <c r="E9365" i="20"/>
  <c r="D9365" i="20"/>
  <c r="B9365" i="20"/>
  <c r="E9364" i="20"/>
  <c r="D9364" i="20"/>
  <c r="B9364" i="20"/>
  <c r="D9363" i="20"/>
  <c r="B9363" i="20"/>
  <c r="D9362" i="20"/>
  <c r="B9362" i="20"/>
  <c r="G9359" i="20"/>
  <c r="I9381" i="20" s="1"/>
  <c r="G9358" i="20"/>
  <c r="B9358" i="20"/>
  <c r="B9357" i="20"/>
  <c r="H9356" i="20"/>
  <c r="B9353" i="20"/>
  <c r="E9391" i="20"/>
  <c r="E9339" i="20"/>
  <c r="B9340" i="20"/>
  <c r="B9339" i="20"/>
  <c r="E9334" i="20"/>
  <c r="F9334" i="20" s="1"/>
  <c r="H9335" i="20" s="1"/>
  <c r="N9305" i="20" s="1"/>
  <c r="D9330" i="20"/>
  <c r="F9330" i="20" s="1"/>
  <c r="C9330" i="20"/>
  <c r="B9330" i="20"/>
  <c r="D9329" i="20"/>
  <c r="F9329" i="20" s="1"/>
  <c r="C9329" i="20"/>
  <c r="B9329" i="20"/>
  <c r="D9328" i="20"/>
  <c r="F9328" i="20" s="1"/>
  <c r="C9328" i="20"/>
  <c r="B9328" i="20"/>
  <c r="D9327" i="20"/>
  <c r="F9327" i="20" s="1"/>
  <c r="C9327" i="20"/>
  <c r="B9327" i="20"/>
  <c r="D9326" i="20"/>
  <c r="F9326" i="20" s="1"/>
  <c r="C9326" i="20"/>
  <c r="B9326" i="20"/>
  <c r="D9325" i="20"/>
  <c r="F9325" i="20" s="1"/>
  <c r="C9325" i="20"/>
  <c r="B9325" i="20"/>
  <c r="D9324" i="20"/>
  <c r="F9324" i="20" s="1"/>
  <c r="C9324" i="20"/>
  <c r="B9324" i="20"/>
  <c r="D9323" i="20"/>
  <c r="F9323" i="20" s="1"/>
  <c r="C9323" i="20"/>
  <c r="B9323" i="20"/>
  <c r="D9322" i="20"/>
  <c r="F9322" i="20" s="1"/>
  <c r="C9322" i="20"/>
  <c r="B9322" i="20"/>
  <c r="D9321" i="20"/>
  <c r="F9321" i="20" s="1"/>
  <c r="C9321" i="20"/>
  <c r="B9321" i="20"/>
  <c r="D9320" i="20"/>
  <c r="F9320" i="20" s="1"/>
  <c r="C9320" i="20"/>
  <c r="B9320" i="20"/>
  <c r="D9319" i="20"/>
  <c r="F9319" i="20" s="1"/>
  <c r="C9319" i="20"/>
  <c r="B9319" i="20"/>
  <c r="C9318" i="20"/>
  <c r="C9317" i="20"/>
  <c r="E9313" i="20"/>
  <c r="D9313" i="20"/>
  <c r="B9313" i="20"/>
  <c r="E9312" i="20"/>
  <c r="D9312" i="20"/>
  <c r="B9312" i="20"/>
  <c r="D9311" i="20"/>
  <c r="B9311" i="20"/>
  <c r="D9310" i="20"/>
  <c r="B9310" i="20"/>
  <c r="G9307" i="20"/>
  <c r="I9329" i="20" s="1"/>
  <c r="G9306" i="20"/>
  <c r="B9306" i="20"/>
  <c r="B9305" i="20"/>
  <c r="H9304" i="20"/>
  <c r="B9301" i="20"/>
  <c r="E9287" i="20"/>
  <c r="I314" i="4"/>
  <c r="K314" i="4" s="1"/>
  <c r="F314" i="4" s="1"/>
  <c r="D9630" i="20" s="1"/>
  <c r="F9630" i="20" s="1"/>
  <c r="B9288" i="20"/>
  <c r="B9287" i="20"/>
  <c r="E9282" i="20"/>
  <c r="F9282" i="20" s="1"/>
  <c r="H9283" i="20" s="1"/>
  <c r="N9253" i="20" s="1"/>
  <c r="D9278" i="20"/>
  <c r="F9278" i="20" s="1"/>
  <c r="C9278" i="20"/>
  <c r="B9278" i="20"/>
  <c r="D9277" i="20"/>
  <c r="F9277" i="20" s="1"/>
  <c r="C9277" i="20"/>
  <c r="B9277" i="20"/>
  <c r="D9276" i="20"/>
  <c r="F9276" i="20" s="1"/>
  <c r="C9276" i="20"/>
  <c r="B9276" i="20"/>
  <c r="D9275" i="20"/>
  <c r="F9275" i="20" s="1"/>
  <c r="C9275" i="20"/>
  <c r="B9275" i="20"/>
  <c r="D9274" i="20"/>
  <c r="F9274" i="20" s="1"/>
  <c r="C9274" i="20"/>
  <c r="B9274" i="20"/>
  <c r="D9273" i="20"/>
  <c r="F9273" i="20" s="1"/>
  <c r="C9273" i="20"/>
  <c r="B9273" i="20"/>
  <c r="D9272" i="20"/>
  <c r="F9272" i="20" s="1"/>
  <c r="C9272" i="20"/>
  <c r="B9272" i="20"/>
  <c r="C9271" i="20"/>
  <c r="B9271" i="20"/>
  <c r="D9270" i="20"/>
  <c r="F9270" i="20" s="1"/>
  <c r="C9270" i="20"/>
  <c r="B9270" i="20"/>
  <c r="D9269" i="20"/>
  <c r="F9269" i="20" s="1"/>
  <c r="C9269" i="20"/>
  <c r="B9269" i="20"/>
  <c r="D9268" i="20"/>
  <c r="F9268" i="20" s="1"/>
  <c r="C9268" i="20"/>
  <c r="B9268" i="20"/>
  <c r="D9267" i="20"/>
  <c r="F9267" i="20" s="1"/>
  <c r="C9267" i="20"/>
  <c r="B9267" i="20"/>
  <c r="C9266" i="20"/>
  <c r="C9265" i="20"/>
  <c r="E9261" i="20"/>
  <c r="D9261" i="20"/>
  <c r="B9261" i="20"/>
  <c r="E9260" i="20"/>
  <c r="D9260" i="20"/>
  <c r="B9260" i="20"/>
  <c r="D9259" i="20"/>
  <c r="B9259" i="20"/>
  <c r="D9258" i="20"/>
  <c r="B9258" i="20"/>
  <c r="G9255" i="20"/>
  <c r="I9277" i="20" s="1"/>
  <c r="G9254" i="20"/>
  <c r="B9254" i="20"/>
  <c r="B9253" i="20"/>
  <c r="H9252" i="20"/>
  <c r="B9249" i="20"/>
  <c r="B6550" i="20"/>
  <c r="B6549" i="20"/>
  <c r="E6544" i="20"/>
  <c r="F6544" i="20" s="1"/>
  <c r="H6545" i="20" s="1"/>
  <c r="N6515" i="20" s="1"/>
  <c r="D6540" i="20"/>
  <c r="F6540" i="20" s="1"/>
  <c r="C6540" i="20"/>
  <c r="B6540" i="20"/>
  <c r="D6539" i="20"/>
  <c r="F6539" i="20" s="1"/>
  <c r="C6539" i="20"/>
  <c r="B6539" i="20"/>
  <c r="D6538" i="20"/>
  <c r="F6538" i="20" s="1"/>
  <c r="C6538" i="20"/>
  <c r="B6538" i="20"/>
  <c r="D6537" i="20"/>
  <c r="F6537" i="20" s="1"/>
  <c r="C6537" i="20"/>
  <c r="B6537" i="20"/>
  <c r="D6536" i="20"/>
  <c r="F6536" i="20" s="1"/>
  <c r="C6536" i="20"/>
  <c r="B6536" i="20"/>
  <c r="D6535" i="20"/>
  <c r="F6535" i="20" s="1"/>
  <c r="C6535" i="20"/>
  <c r="B6535" i="20"/>
  <c r="D6534" i="20"/>
  <c r="F6534" i="20" s="1"/>
  <c r="C6534" i="20"/>
  <c r="B6534" i="20"/>
  <c r="D6533" i="20"/>
  <c r="F6533" i="20" s="1"/>
  <c r="C6533" i="20"/>
  <c r="B6533" i="20"/>
  <c r="D6532" i="20"/>
  <c r="F6532" i="20" s="1"/>
  <c r="C6532" i="20"/>
  <c r="B6532" i="20"/>
  <c r="D6531" i="20"/>
  <c r="F6531" i="20" s="1"/>
  <c r="C6531" i="20"/>
  <c r="B6531" i="20"/>
  <c r="D6530" i="20"/>
  <c r="F6530" i="20" s="1"/>
  <c r="C6530" i="20"/>
  <c r="B6530" i="20"/>
  <c r="D6529" i="20"/>
  <c r="F6529" i="20" s="1"/>
  <c r="C6529" i="20"/>
  <c r="B6529" i="20"/>
  <c r="D6528" i="20"/>
  <c r="F6528" i="20" s="1"/>
  <c r="C6528" i="20"/>
  <c r="C6527" i="20"/>
  <c r="E6523" i="20"/>
  <c r="D6523" i="20"/>
  <c r="B6523" i="20"/>
  <c r="E6522" i="20"/>
  <c r="D6522" i="20"/>
  <c r="B6522" i="20"/>
  <c r="E6521" i="20"/>
  <c r="D6521" i="20"/>
  <c r="B6521" i="20"/>
  <c r="D6520" i="20"/>
  <c r="B6520" i="20"/>
  <c r="G6517" i="20"/>
  <c r="I6539" i="20" s="1"/>
  <c r="G6516" i="20"/>
  <c r="B6516" i="20"/>
  <c r="B6515" i="20"/>
  <c r="H6514" i="20"/>
  <c r="B6511" i="20"/>
  <c r="E6549" i="20"/>
  <c r="I58" i="4"/>
  <c r="K58" i="4" s="1"/>
  <c r="F58" i="4" s="1"/>
  <c r="B6498" i="20"/>
  <c r="B6497" i="20"/>
  <c r="E6492" i="20"/>
  <c r="F6492" i="20" s="1"/>
  <c r="H6493" i="20" s="1"/>
  <c r="N6463" i="20" s="1"/>
  <c r="D6488" i="20"/>
  <c r="F6488" i="20" s="1"/>
  <c r="C6488" i="20"/>
  <c r="B6488" i="20"/>
  <c r="D6487" i="20"/>
  <c r="F6487" i="20" s="1"/>
  <c r="C6487" i="20"/>
  <c r="B6487" i="20"/>
  <c r="D6486" i="20"/>
  <c r="F6486" i="20" s="1"/>
  <c r="C6486" i="20"/>
  <c r="B6486" i="20"/>
  <c r="D6485" i="20"/>
  <c r="F6485" i="20" s="1"/>
  <c r="C6485" i="20"/>
  <c r="B6485" i="20"/>
  <c r="D6484" i="20"/>
  <c r="F6484" i="20" s="1"/>
  <c r="C6484" i="20"/>
  <c r="B6484" i="20"/>
  <c r="D6483" i="20"/>
  <c r="F6483" i="20" s="1"/>
  <c r="C6483" i="20"/>
  <c r="B6483" i="20"/>
  <c r="D6482" i="20"/>
  <c r="F6482" i="20" s="1"/>
  <c r="C6482" i="20"/>
  <c r="B6482" i="20"/>
  <c r="D6481" i="20"/>
  <c r="F6481" i="20" s="1"/>
  <c r="C6481" i="20"/>
  <c r="B6481" i="20"/>
  <c r="D6480" i="20"/>
  <c r="F6480" i="20" s="1"/>
  <c r="C6480" i="20"/>
  <c r="B6480" i="20"/>
  <c r="D6479" i="20"/>
  <c r="F6479" i="20" s="1"/>
  <c r="C6479" i="20"/>
  <c r="B6479" i="20"/>
  <c r="D6478" i="20"/>
  <c r="F6478" i="20" s="1"/>
  <c r="C6478" i="20"/>
  <c r="B6478" i="20"/>
  <c r="D6477" i="20"/>
  <c r="F6477" i="20" s="1"/>
  <c r="C6477" i="20"/>
  <c r="B6477" i="20"/>
  <c r="D6476" i="20"/>
  <c r="F6476" i="20" s="1"/>
  <c r="C6476" i="20"/>
  <c r="C6475" i="20"/>
  <c r="E6471" i="20"/>
  <c r="D6471" i="20"/>
  <c r="B6471" i="20"/>
  <c r="E6470" i="20"/>
  <c r="D6470" i="20"/>
  <c r="B6470" i="20"/>
  <c r="E6469" i="20"/>
  <c r="D6469" i="20"/>
  <c r="B6469" i="20"/>
  <c r="D6468" i="20"/>
  <c r="B6468" i="20"/>
  <c r="G6465" i="20"/>
  <c r="I6487" i="20" s="1"/>
  <c r="G6464" i="20"/>
  <c r="B6464" i="20"/>
  <c r="B6463" i="20"/>
  <c r="H6462" i="20"/>
  <c r="B6459" i="20"/>
  <c r="E6497" i="20"/>
  <c r="E6445" i="20"/>
  <c r="B6446" i="20"/>
  <c r="B6445" i="20"/>
  <c r="E6440" i="20"/>
  <c r="F6440" i="20" s="1"/>
  <c r="H6441" i="20" s="1"/>
  <c r="N6411" i="20" s="1"/>
  <c r="D6436" i="20"/>
  <c r="F6436" i="20" s="1"/>
  <c r="C6436" i="20"/>
  <c r="B6436" i="20"/>
  <c r="D6435" i="20"/>
  <c r="F6435" i="20" s="1"/>
  <c r="C6435" i="20"/>
  <c r="B6435" i="20"/>
  <c r="D6434" i="20"/>
  <c r="F6434" i="20" s="1"/>
  <c r="C6434" i="20"/>
  <c r="B6434" i="20"/>
  <c r="D6433" i="20"/>
  <c r="F6433" i="20" s="1"/>
  <c r="C6433" i="20"/>
  <c r="B6433" i="20"/>
  <c r="D6432" i="20"/>
  <c r="F6432" i="20" s="1"/>
  <c r="C6432" i="20"/>
  <c r="B6432" i="20"/>
  <c r="D6431" i="20"/>
  <c r="F6431" i="20" s="1"/>
  <c r="C6431" i="20"/>
  <c r="B6431" i="20"/>
  <c r="D6430" i="20"/>
  <c r="F6430" i="20" s="1"/>
  <c r="C6430" i="20"/>
  <c r="B6430" i="20"/>
  <c r="D6429" i="20"/>
  <c r="F6429" i="20" s="1"/>
  <c r="C6429" i="20"/>
  <c r="B6429" i="20"/>
  <c r="D6428" i="20"/>
  <c r="F6428" i="20" s="1"/>
  <c r="C6428" i="20"/>
  <c r="B6428" i="20"/>
  <c r="D6427" i="20"/>
  <c r="F6427" i="20" s="1"/>
  <c r="C6427" i="20"/>
  <c r="B6427" i="20"/>
  <c r="D6426" i="20"/>
  <c r="F6426" i="20" s="1"/>
  <c r="C6426" i="20"/>
  <c r="B6426" i="20"/>
  <c r="D6425" i="20"/>
  <c r="F6425" i="20" s="1"/>
  <c r="C6425" i="20"/>
  <c r="B6425" i="20"/>
  <c r="D6424" i="20"/>
  <c r="F6424" i="20" s="1"/>
  <c r="C6424" i="20"/>
  <c r="C6423" i="20"/>
  <c r="E6419" i="20"/>
  <c r="D6419" i="20"/>
  <c r="B6419" i="20"/>
  <c r="E6418" i="20"/>
  <c r="D6418" i="20"/>
  <c r="B6418" i="20"/>
  <c r="E6417" i="20"/>
  <c r="D6417" i="20"/>
  <c r="B6417" i="20"/>
  <c r="D6416" i="20"/>
  <c r="B6416" i="20"/>
  <c r="G6413" i="20"/>
  <c r="I6435" i="20" s="1"/>
  <c r="G6412" i="20"/>
  <c r="B6412" i="20"/>
  <c r="B6411" i="20"/>
  <c r="H6410" i="20"/>
  <c r="B6407" i="20"/>
  <c r="E6393" i="20"/>
  <c r="I35" i="4"/>
  <c r="K35" i="4" s="1"/>
  <c r="F35" i="4" s="1"/>
  <c r="B6394" i="20"/>
  <c r="B6393" i="20"/>
  <c r="E6388" i="20"/>
  <c r="F6388" i="20" s="1"/>
  <c r="H6389" i="20" s="1"/>
  <c r="N6359" i="20" s="1"/>
  <c r="D6384" i="20"/>
  <c r="F6384" i="20" s="1"/>
  <c r="C6384" i="20"/>
  <c r="B6384" i="20"/>
  <c r="D6383" i="20"/>
  <c r="F6383" i="20" s="1"/>
  <c r="C6383" i="20"/>
  <c r="B6383" i="20"/>
  <c r="D6382" i="20"/>
  <c r="F6382" i="20" s="1"/>
  <c r="C6382" i="20"/>
  <c r="B6382" i="20"/>
  <c r="D6381" i="20"/>
  <c r="F6381" i="20" s="1"/>
  <c r="C6381" i="20"/>
  <c r="B6381" i="20"/>
  <c r="D6380" i="20"/>
  <c r="F6380" i="20" s="1"/>
  <c r="C6380" i="20"/>
  <c r="B6380" i="20"/>
  <c r="D6379" i="20"/>
  <c r="F6379" i="20" s="1"/>
  <c r="C6379" i="20"/>
  <c r="B6379" i="20"/>
  <c r="D6378" i="20"/>
  <c r="F6378" i="20" s="1"/>
  <c r="C6378" i="20"/>
  <c r="B6378" i="20"/>
  <c r="D6377" i="20"/>
  <c r="F6377" i="20" s="1"/>
  <c r="C6377" i="20"/>
  <c r="B6377" i="20"/>
  <c r="D6376" i="20"/>
  <c r="F6376" i="20" s="1"/>
  <c r="C6376" i="20"/>
  <c r="B6376" i="20"/>
  <c r="D6375" i="20"/>
  <c r="F6375" i="20" s="1"/>
  <c r="C6375" i="20"/>
  <c r="B6375" i="20"/>
  <c r="D6374" i="20"/>
  <c r="F6374" i="20" s="1"/>
  <c r="C6374" i="20"/>
  <c r="B6374" i="20"/>
  <c r="D6373" i="20"/>
  <c r="F6373" i="20" s="1"/>
  <c r="C6373" i="20"/>
  <c r="B6373" i="20"/>
  <c r="D6372" i="20"/>
  <c r="F6372" i="20" s="1"/>
  <c r="C6372" i="20"/>
  <c r="C6371" i="20"/>
  <c r="E6367" i="20"/>
  <c r="D6367" i="20"/>
  <c r="B6367" i="20"/>
  <c r="E6366" i="20"/>
  <c r="D6366" i="20"/>
  <c r="B6366" i="20"/>
  <c r="E6365" i="20"/>
  <c r="D6365" i="20"/>
  <c r="B6365" i="20"/>
  <c r="D6364" i="20"/>
  <c r="B6364" i="20"/>
  <c r="G6361" i="20"/>
  <c r="I6383" i="20" s="1"/>
  <c r="G6360" i="20"/>
  <c r="B6360" i="20"/>
  <c r="B6359" i="20"/>
  <c r="H6358" i="20"/>
  <c r="B6355" i="20"/>
  <c r="E6342" i="20"/>
  <c r="B6343" i="20"/>
  <c r="B6342" i="20"/>
  <c r="E6337" i="20"/>
  <c r="F6337" i="20" s="1"/>
  <c r="H6338" i="20" s="1"/>
  <c r="N6308" i="20" s="1"/>
  <c r="D6333" i="20"/>
  <c r="F6333" i="20" s="1"/>
  <c r="C6333" i="20"/>
  <c r="B6333" i="20"/>
  <c r="D6332" i="20"/>
  <c r="F6332" i="20" s="1"/>
  <c r="C6332" i="20"/>
  <c r="B6332" i="20"/>
  <c r="D6331" i="20"/>
  <c r="F6331" i="20" s="1"/>
  <c r="C6331" i="20"/>
  <c r="B6331" i="20"/>
  <c r="D6330" i="20"/>
  <c r="F6330" i="20" s="1"/>
  <c r="C6330" i="20"/>
  <c r="B6330" i="20"/>
  <c r="D6329" i="20"/>
  <c r="F6329" i="20" s="1"/>
  <c r="C6329" i="20"/>
  <c r="B6329" i="20"/>
  <c r="D6328" i="20"/>
  <c r="F6328" i="20" s="1"/>
  <c r="C6328" i="20"/>
  <c r="B6328" i="20"/>
  <c r="D6327" i="20"/>
  <c r="F6327" i="20" s="1"/>
  <c r="C6327" i="20"/>
  <c r="B6327" i="20"/>
  <c r="D6326" i="20"/>
  <c r="F6326" i="20" s="1"/>
  <c r="C6326" i="20"/>
  <c r="B6326" i="20"/>
  <c r="D6325" i="20"/>
  <c r="F6325" i="20" s="1"/>
  <c r="C6325" i="20"/>
  <c r="B6325" i="20"/>
  <c r="D6324" i="20"/>
  <c r="F6324" i="20" s="1"/>
  <c r="C6324" i="20"/>
  <c r="B6324" i="20"/>
  <c r="D6323" i="20"/>
  <c r="F6323" i="20" s="1"/>
  <c r="C6323" i="20"/>
  <c r="B6323" i="20"/>
  <c r="D6322" i="20"/>
  <c r="F6322" i="20" s="1"/>
  <c r="C6322" i="20"/>
  <c r="B6322" i="20"/>
  <c r="D6321" i="20"/>
  <c r="F6321" i="20" s="1"/>
  <c r="C6321" i="20"/>
  <c r="C6320" i="20"/>
  <c r="E6316" i="20"/>
  <c r="D6316" i="20"/>
  <c r="B6316" i="20"/>
  <c r="E6315" i="20"/>
  <c r="D6315" i="20"/>
  <c r="B6315" i="20"/>
  <c r="E6314" i="20"/>
  <c r="D6314" i="20"/>
  <c r="B6314" i="20"/>
  <c r="D6313" i="20"/>
  <c r="B6313" i="20"/>
  <c r="G6310" i="20"/>
  <c r="I6332" i="20" s="1"/>
  <c r="G6309" i="20"/>
  <c r="B6309" i="20"/>
  <c r="B6308" i="20"/>
  <c r="H6307" i="20"/>
  <c r="B6304" i="20"/>
  <c r="I230" i="4"/>
  <c r="K230" i="4" s="1"/>
  <c r="F230" i="4" s="1"/>
  <c r="D5184" i="20" s="1"/>
  <c r="F5184" i="20" s="1"/>
  <c r="B4799" i="20"/>
  <c r="B4798" i="20"/>
  <c r="E4793" i="20"/>
  <c r="F4793" i="20" s="1"/>
  <c r="H4794" i="20" s="1"/>
  <c r="N4765" i="20" s="1"/>
  <c r="D4789" i="20"/>
  <c r="F4789" i="20" s="1"/>
  <c r="C4789" i="20"/>
  <c r="B4789" i="20"/>
  <c r="D4788" i="20"/>
  <c r="F4788" i="20" s="1"/>
  <c r="C4788" i="20"/>
  <c r="B4788" i="20"/>
  <c r="D4787" i="20"/>
  <c r="F4787" i="20" s="1"/>
  <c r="C4787" i="20"/>
  <c r="B4787" i="20"/>
  <c r="D4786" i="20"/>
  <c r="F4786" i="20" s="1"/>
  <c r="C4786" i="20"/>
  <c r="B4786" i="20"/>
  <c r="D4785" i="20"/>
  <c r="F4785" i="20" s="1"/>
  <c r="C4785" i="20"/>
  <c r="B4785" i="20"/>
  <c r="D4784" i="20"/>
  <c r="F4784" i="20" s="1"/>
  <c r="C4784" i="20"/>
  <c r="B4784" i="20"/>
  <c r="D4783" i="20"/>
  <c r="F4783" i="20" s="1"/>
  <c r="C4783" i="20"/>
  <c r="B4783" i="20"/>
  <c r="D4782" i="20"/>
  <c r="F4782" i="20" s="1"/>
  <c r="C4782" i="20"/>
  <c r="B4782" i="20"/>
  <c r="D4781" i="20"/>
  <c r="F4781" i="20" s="1"/>
  <c r="C4781" i="20"/>
  <c r="B4781" i="20"/>
  <c r="D4780" i="20"/>
  <c r="F4780" i="20" s="1"/>
  <c r="C4780" i="20"/>
  <c r="B4780" i="20"/>
  <c r="D4779" i="20"/>
  <c r="F4779" i="20" s="1"/>
  <c r="C4779" i="20"/>
  <c r="B4779" i="20"/>
  <c r="D4778" i="20"/>
  <c r="F4778" i="20" s="1"/>
  <c r="C4778" i="20"/>
  <c r="B4778" i="20"/>
  <c r="C4777" i="20"/>
  <c r="C4776" i="20"/>
  <c r="E4772" i="20"/>
  <c r="G4772" i="20" s="1"/>
  <c r="D4772" i="20"/>
  <c r="B4772" i="20"/>
  <c r="E4771" i="20"/>
  <c r="D4771" i="20"/>
  <c r="B4771" i="20"/>
  <c r="D4770" i="20"/>
  <c r="B4770" i="20"/>
  <c r="G4767" i="20"/>
  <c r="I4788" i="20" s="1"/>
  <c r="G4766" i="20"/>
  <c r="B4766" i="20"/>
  <c r="B4765" i="20"/>
  <c r="H4764" i="20"/>
  <c r="B4761" i="20"/>
  <c r="E4798" i="20"/>
  <c r="I229" i="4"/>
  <c r="K229" i="4" s="1"/>
  <c r="F229" i="4" s="1"/>
  <c r="D4827" i="20" s="1"/>
  <c r="F4827" i="20" s="1"/>
  <c r="B4748" i="20"/>
  <c r="B4747" i="20"/>
  <c r="E4742" i="20"/>
  <c r="F4742" i="20" s="1"/>
  <c r="H4743" i="20" s="1"/>
  <c r="N4714" i="20" s="1"/>
  <c r="D4738" i="20"/>
  <c r="F4738" i="20" s="1"/>
  <c r="C4738" i="20"/>
  <c r="B4738" i="20"/>
  <c r="D4737" i="20"/>
  <c r="F4737" i="20" s="1"/>
  <c r="C4737" i="20"/>
  <c r="B4737" i="20"/>
  <c r="D4736" i="20"/>
  <c r="F4736" i="20" s="1"/>
  <c r="C4736" i="20"/>
  <c r="B4736" i="20"/>
  <c r="D4735" i="20"/>
  <c r="F4735" i="20" s="1"/>
  <c r="C4735" i="20"/>
  <c r="B4735" i="20"/>
  <c r="D4734" i="20"/>
  <c r="F4734" i="20" s="1"/>
  <c r="C4734" i="20"/>
  <c r="B4734" i="20"/>
  <c r="D4733" i="20"/>
  <c r="F4733" i="20" s="1"/>
  <c r="C4733" i="20"/>
  <c r="B4733" i="20"/>
  <c r="D4732" i="20"/>
  <c r="F4732" i="20" s="1"/>
  <c r="C4732" i="20"/>
  <c r="B4732" i="20"/>
  <c r="D4731" i="20"/>
  <c r="F4731" i="20" s="1"/>
  <c r="C4731" i="20"/>
  <c r="B4731" i="20"/>
  <c r="D4730" i="20"/>
  <c r="F4730" i="20" s="1"/>
  <c r="C4730" i="20"/>
  <c r="B4730" i="20"/>
  <c r="D4729" i="20"/>
  <c r="F4729" i="20" s="1"/>
  <c r="C4729" i="20"/>
  <c r="B4729" i="20"/>
  <c r="D4728" i="20"/>
  <c r="F4728" i="20" s="1"/>
  <c r="C4728" i="20"/>
  <c r="B4728" i="20"/>
  <c r="D4727" i="20"/>
  <c r="F4727" i="20" s="1"/>
  <c r="C4727" i="20"/>
  <c r="B4727" i="20"/>
  <c r="C4726" i="20"/>
  <c r="C4725" i="20"/>
  <c r="E4721" i="20"/>
  <c r="G4721" i="20" s="1"/>
  <c r="D4721" i="20"/>
  <c r="B4721" i="20"/>
  <c r="D4720" i="20"/>
  <c r="B4720" i="20"/>
  <c r="D4719" i="20"/>
  <c r="B4719" i="20"/>
  <c r="G4716" i="20"/>
  <c r="I4737" i="20" s="1"/>
  <c r="G4715" i="20"/>
  <c r="B4715" i="20"/>
  <c r="B4714" i="20"/>
  <c r="H4713" i="20"/>
  <c r="B4710" i="20"/>
  <c r="E4747" i="20"/>
  <c r="I226" i="4"/>
  <c r="K226" i="4" s="1"/>
  <c r="F226" i="4" s="1"/>
  <c r="B4697" i="20"/>
  <c r="B4696" i="20"/>
  <c r="E4691" i="20"/>
  <c r="F4691" i="20" s="1"/>
  <c r="H4692" i="20" s="1"/>
  <c r="N4663" i="20" s="1"/>
  <c r="D4687" i="20"/>
  <c r="F4687" i="20" s="1"/>
  <c r="C4687" i="20"/>
  <c r="B4687" i="20"/>
  <c r="D4686" i="20"/>
  <c r="F4686" i="20" s="1"/>
  <c r="C4686" i="20"/>
  <c r="B4686" i="20"/>
  <c r="D4685" i="20"/>
  <c r="F4685" i="20" s="1"/>
  <c r="C4685" i="20"/>
  <c r="B4685" i="20"/>
  <c r="D4684" i="20"/>
  <c r="F4684" i="20" s="1"/>
  <c r="C4684" i="20"/>
  <c r="B4684" i="20"/>
  <c r="D4683" i="20"/>
  <c r="F4683" i="20" s="1"/>
  <c r="C4683" i="20"/>
  <c r="B4683" i="20"/>
  <c r="D4682" i="20"/>
  <c r="F4682" i="20" s="1"/>
  <c r="C4682" i="20"/>
  <c r="B4682" i="20"/>
  <c r="D4681" i="20"/>
  <c r="F4681" i="20" s="1"/>
  <c r="C4681" i="20"/>
  <c r="B4681" i="20"/>
  <c r="D4680" i="20"/>
  <c r="F4680" i="20" s="1"/>
  <c r="C4680" i="20"/>
  <c r="B4680" i="20"/>
  <c r="D4679" i="20"/>
  <c r="F4679" i="20" s="1"/>
  <c r="C4679" i="20"/>
  <c r="B4679" i="20"/>
  <c r="D4678" i="20"/>
  <c r="F4678" i="20" s="1"/>
  <c r="C4678" i="20"/>
  <c r="B4678" i="20"/>
  <c r="D4677" i="20"/>
  <c r="F4677" i="20" s="1"/>
  <c r="C4677" i="20"/>
  <c r="B4677" i="20"/>
  <c r="D4676" i="20"/>
  <c r="F4676" i="20" s="1"/>
  <c r="C4676" i="20"/>
  <c r="B4676" i="20"/>
  <c r="C4675" i="20"/>
  <c r="C4674" i="20"/>
  <c r="E4670" i="20"/>
  <c r="G4670" i="20" s="1"/>
  <c r="D4670" i="20"/>
  <c r="B4670" i="20"/>
  <c r="D4669" i="20"/>
  <c r="B4669" i="20"/>
  <c r="D4668" i="20"/>
  <c r="B4668" i="20"/>
  <c r="G4665" i="20"/>
  <c r="I4686" i="20" s="1"/>
  <c r="G4664" i="20"/>
  <c r="B4664" i="20"/>
  <c r="B4663" i="20"/>
  <c r="H4662" i="20"/>
  <c r="B4659" i="20"/>
  <c r="E4696" i="20"/>
  <c r="D6996" i="20" l="1"/>
  <c r="F6996" i="20" s="1"/>
  <c r="H7010" i="20" s="1"/>
  <c r="K6984" i="20" s="1"/>
  <c r="D7308" i="20"/>
  <c r="F7308" i="20" s="1"/>
  <c r="H7322" i="20" s="1"/>
  <c r="D1967" i="20"/>
  <c r="F1967" i="20" s="1"/>
  <c r="D3447" i="20"/>
  <c r="F3447" i="20" s="1"/>
  <c r="D2120" i="20"/>
  <c r="F2120" i="20" s="1"/>
  <c r="F1808" i="20"/>
  <c r="E1836" i="20"/>
  <c r="F9519" i="20"/>
  <c r="D2223" i="20"/>
  <c r="F2223" i="20" s="1"/>
  <c r="D2478" i="20"/>
  <c r="F2478" i="20" s="1"/>
  <c r="E1939" i="20"/>
  <c r="E2143" i="20"/>
  <c r="F1963" i="20"/>
  <c r="F2167" i="20"/>
  <c r="G2167" i="20" s="1"/>
  <c r="F1910" i="20"/>
  <c r="F2217" i="20"/>
  <c r="I9211" i="20"/>
  <c r="I9223" i="20"/>
  <c r="I9210" i="20"/>
  <c r="I9219" i="20"/>
  <c r="I9215" i="20"/>
  <c r="F9205" i="20"/>
  <c r="I9212" i="20"/>
  <c r="I9216" i="20"/>
  <c r="I9220" i="20"/>
  <c r="F9206" i="20"/>
  <c r="G9206" i="20" s="1"/>
  <c r="I9213" i="20"/>
  <c r="I9217" i="20"/>
  <c r="I9221" i="20"/>
  <c r="E9231" i="20"/>
  <c r="F9204" i="20"/>
  <c r="E9233" i="20"/>
  <c r="F9203" i="20"/>
  <c r="I9214" i="20"/>
  <c r="I9218" i="20"/>
  <c r="I2232" i="20"/>
  <c r="I2233" i="20"/>
  <c r="I2234" i="20"/>
  <c r="E4748" i="20"/>
  <c r="F1861" i="20"/>
  <c r="F2114" i="20"/>
  <c r="E2194" i="20"/>
  <c r="I2223" i="20"/>
  <c r="I2228" i="20"/>
  <c r="I2229" i="20"/>
  <c r="I2230" i="20"/>
  <c r="E2092" i="20"/>
  <c r="F4719" i="20"/>
  <c r="F1859" i="20"/>
  <c r="E1888" i="20"/>
  <c r="F2012" i="20"/>
  <c r="F2063" i="20"/>
  <c r="E2193" i="20"/>
  <c r="I2226" i="20"/>
  <c r="E2246" i="20"/>
  <c r="E4799" i="20"/>
  <c r="F1961" i="20"/>
  <c r="E1990" i="20"/>
  <c r="F2165" i="20"/>
  <c r="E2192" i="20"/>
  <c r="I2224" i="20"/>
  <c r="I2225" i="20"/>
  <c r="I2236" i="20"/>
  <c r="I2178" i="20"/>
  <c r="I2174" i="20"/>
  <c r="I2182" i="20"/>
  <c r="I2175" i="20"/>
  <c r="I2179" i="20"/>
  <c r="I2183" i="20"/>
  <c r="F2218" i="20"/>
  <c r="I2171" i="20"/>
  <c r="I2172" i="20"/>
  <c r="I2176" i="20"/>
  <c r="I2180" i="20"/>
  <c r="I2184" i="20"/>
  <c r="F2219" i="20"/>
  <c r="E2244" i="20"/>
  <c r="I2173" i="20"/>
  <c r="I2177" i="20"/>
  <c r="I2227" i="20"/>
  <c r="I2231" i="20"/>
  <c r="I2121" i="20"/>
  <c r="I2120" i="20"/>
  <c r="I2129" i="20"/>
  <c r="I2133" i="20"/>
  <c r="I2125" i="20"/>
  <c r="F2115" i="20"/>
  <c r="I2122" i="20"/>
  <c r="I2126" i="20"/>
  <c r="I2130" i="20"/>
  <c r="F2116" i="20"/>
  <c r="I2123" i="20"/>
  <c r="I2127" i="20"/>
  <c r="I2131" i="20"/>
  <c r="E2141" i="20"/>
  <c r="I2124" i="20"/>
  <c r="I2128" i="20"/>
  <c r="I2069" i="20"/>
  <c r="I2078" i="20"/>
  <c r="I2082" i="20"/>
  <c r="I2074" i="20"/>
  <c r="I2070" i="20"/>
  <c r="I2018" i="20"/>
  <c r="F2064" i="20"/>
  <c r="I2071" i="20"/>
  <c r="I2075" i="20"/>
  <c r="I2079" i="20"/>
  <c r="F2065" i="20"/>
  <c r="I2072" i="20"/>
  <c r="I2076" i="20"/>
  <c r="I2080" i="20"/>
  <c r="E2090" i="20"/>
  <c r="I2019" i="20"/>
  <c r="I2073" i="20"/>
  <c r="I2077" i="20"/>
  <c r="I2023" i="20"/>
  <c r="I2027" i="20"/>
  <c r="I2031" i="20"/>
  <c r="E2041" i="20"/>
  <c r="F2013" i="20"/>
  <c r="I2020" i="20"/>
  <c r="I2024" i="20"/>
  <c r="I2028" i="20"/>
  <c r="F2014" i="20"/>
  <c r="I2021" i="20"/>
  <c r="I2025" i="20"/>
  <c r="I2029" i="20"/>
  <c r="E2039" i="20"/>
  <c r="I2022" i="20"/>
  <c r="I2026" i="20"/>
  <c r="I1980" i="20"/>
  <c r="I1972" i="20"/>
  <c r="I1967" i="20"/>
  <c r="I1968" i="20"/>
  <c r="I1976" i="20"/>
  <c r="I1916" i="20"/>
  <c r="I1929" i="20"/>
  <c r="F1962" i="20"/>
  <c r="I1969" i="20"/>
  <c r="I1973" i="20"/>
  <c r="I1977" i="20"/>
  <c r="I1918" i="20"/>
  <c r="I1878" i="20"/>
  <c r="I1970" i="20"/>
  <c r="I1974" i="20"/>
  <c r="I1978" i="20"/>
  <c r="E1988" i="20"/>
  <c r="I1925" i="20"/>
  <c r="I1971" i="20"/>
  <c r="I1975" i="20"/>
  <c r="I1921" i="20"/>
  <c r="I1926" i="20"/>
  <c r="I1917" i="20"/>
  <c r="I1922" i="20"/>
  <c r="F1912" i="20"/>
  <c r="I1919" i="20"/>
  <c r="I1923" i="20"/>
  <c r="I1927" i="20"/>
  <c r="E1937" i="20"/>
  <c r="F1911" i="20"/>
  <c r="I1920" i="20"/>
  <c r="I1924" i="20"/>
  <c r="I1874" i="20"/>
  <c r="I1870" i="20"/>
  <c r="I1865" i="20"/>
  <c r="I1866" i="20"/>
  <c r="F1860" i="20"/>
  <c r="I1867" i="20"/>
  <c r="I1871" i="20"/>
  <c r="I1875" i="20"/>
  <c r="I1868" i="20"/>
  <c r="I1872" i="20"/>
  <c r="I1876" i="20"/>
  <c r="E1886" i="20"/>
  <c r="I1869" i="20"/>
  <c r="I1873" i="20"/>
  <c r="I1827" i="20"/>
  <c r="I1814" i="20"/>
  <c r="I1823" i="20"/>
  <c r="I1815" i="20"/>
  <c r="I1819" i="20"/>
  <c r="F1809" i="20"/>
  <c r="I1816" i="20"/>
  <c r="I1820" i="20"/>
  <c r="I1824" i="20"/>
  <c r="F1810" i="20"/>
  <c r="I1817" i="20"/>
  <c r="I1821" i="20"/>
  <c r="I1825" i="20"/>
  <c r="E1835" i="20"/>
  <c r="I1818" i="20"/>
  <c r="I1822" i="20"/>
  <c r="I9475" i="20"/>
  <c r="I9474" i="20"/>
  <c r="I9422" i="20"/>
  <c r="I9487" i="20"/>
  <c r="E9547" i="20"/>
  <c r="F9520" i="20"/>
  <c r="F9521" i="20"/>
  <c r="G9521" i="20" s="1"/>
  <c r="F9522" i="20"/>
  <c r="E9548" i="20"/>
  <c r="I9528" i="20"/>
  <c r="I9532" i="20"/>
  <c r="I9536" i="20"/>
  <c r="I9529" i="20"/>
  <c r="I9533" i="20"/>
  <c r="I9537" i="20"/>
  <c r="I9530" i="20"/>
  <c r="I9534" i="20"/>
  <c r="I9538" i="20"/>
  <c r="I9526" i="20"/>
  <c r="I9527" i="20"/>
  <c r="I9531" i="20"/>
  <c r="I9535" i="20"/>
  <c r="D9477" i="20"/>
  <c r="F9477" i="20" s="1"/>
  <c r="D9425" i="20"/>
  <c r="F9425" i="20" s="1"/>
  <c r="D9424" i="20"/>
  <c r="F9424" i="20" s="1"/>
  <c r="D9476" i="20"/>
  <c r="F9476" i="20" s="1"/>
  <c r="I9483" i="20"/>
  <c r="I9479" i="20"/>
  <c r="F9469" i="20"/>
  <c r="G9469" i="20" s="1"/>
  <c r="I9476" i="20"/>
  <c r="I9480" i="20"/>
  <c r="I9484" i="20"/>
  <c r="E9497" i="20"/>
  <c r="F9470" i="20"/>
  <c r="I9477" i="20"/>
  <c r="I9481" i="20"/>
  <c r="I9485" i="20"/>
  <c r="E9495" i="20"/>
  <c r="F9468" i="20"/>
  <c r="F9467" i="20"/>
  <c r="I9478" i="20"/>
  <c r="I9482" i="20"/>
  <c r="I9427" i="20"/>
  <c r="I9435" i="20"/>
  <c r="I9423" i="20"/>
  <c r="I9431" i="20"/>
  <c r="F9416" i="20"/>
  <c r="E9445" i="20"/>
  <c r="I9374" i="20"/>
  <c r="F9417" i="20"/>
  <c r="G9417" i="20" s="1"/>
  <c r="I9424" i="20"/>
  <c r="I9428" i="20"/>
  <c r="I9432" i="20"/>
  <c r="I9370" i="20"/>
  <c r="F9418" i="20"/>
  <c r="I9425" i="20"/>
  <c r="I9429" i="20"/>
  <c r="I9433" i="20"/>
  <c r="E9443" i="20"/>
  <c r="F9415" i="20"/>
  <c r="I9426" i="20"/>
  <c r="I9430" i="20"/>
  <c r="I9369" i="20"/>
  <c r="I9382" i="20"/>
  <c r="I9378" i="20"/>
  <c r="F9363" i="20"/>
  <c r="E9392" i="20"/>
  <c r="F9364" i="20"/>
  <c r="G9364" i="20" s="1"/>
  <c r="I9371" i="20"/>
  <c r="I9375" i="20"/>
  <c r="I9379" i="20"/>
  <c r="I9318" i="20"/>
  <c r="F9365" i="20"/>
  <c r="G9365" i="20" s="1"/>
  <c r="I9372" i="20"/>
  <c r="I9376" i="20"/>
  <c r="I9380" i="20"/>
  <c r="E9390" i="20"/>
  <c r="F9362" i="20"/>
  <c r="I9373" i="20"/>
  <c r="I9377" i="20"/>
  <c r="I9317" i="20"/>
  <c r="I9330" i="20"/>
  <c r="I9326" i="20"/>
  <c r="I9322" i="20"/>
  <c r="F9312" i="20"/>
  <c r="G9312" i="20" s="1"/>
  <c r="I9319" i="20"/>
  <c r="I9323" i="20"/>
  <c r="I9327" i="20"/>
  <c r="F9311" i="20"/>
  <c r="E9340" i="20"/>
  <c r="F9313" i="20"/>
  <c r="G9313" i="20" s="1"/>
  <c r="I9320" i="20"/>
  <c r="I9324" i="20"/>
  <c r="I9328" i="20"/>
  <c r="E9338" i="20"/>
  <c r="I9266" i="20"/>
  <c r="I9278" i="20"/>
  <c r="F9310" i="20"/>
  <c r="I9321" i="20"/>
  <c r="I9325" i="20"/>
  <c r="I9265" i="20"/>
  <c r="I9274" i="20"/>
  <c r="I9270" i="20"/>
  <c r="E9288" i="20"/>
  <c r="F9260" i="20"/>
  <c r="G9260" i="20" s="1"/>
  <c r="I9267" i="20"/>
  <c r="I9271" i="20"/>
  <c r="I9275" i="20"/>
  <c r="F9261" i="20"/>
  <c r="G9261" i="20" s="1"/>
  <c r="I9268" i="20"/>
  <c r="I9272" i="20"/>
  <c r="I9276" i="20"/>
  <c r="E9286" i="20"/>
  <c r="F9259" i="20"/>
  <c r="F9258" i="20"/>
  <c r="I9269" i="20"/>
  <c r="I9273" i="20"/>
  <c r="I6528" i="20"/>
  <c r="I6527" i="20"/>
  <c r="I6540" i="20"/>
  <c r="I6536" i="20"/>
  <c r="I6532" i="20"/>
  <c r="I6476" i="20"/>
  <c r="F6521" i="20"/>
  <c r="G6521" i="20" s="1"/>
  <c r="E6550" i="20"/>
  <c r="F6522" i="20"/>
  <c r="G6522" i="20" s="1"/>
  <c r="I6529" i="20"/>
  <c r="I6533" i="20"/>
  <c r="I6537" i="20"/>
  <c r="I6424" i="20"/>
  <c r="F6523" i="20"/>
  <c r="G6523" i="20" s="1"/>
  <c r="I6530" i="20"/>
  <c r="I6534" i="20"/>
  <c r="I6538" i="20"/>
  <c r="E6548" i="20"/>
  <c r="F6520" i="20"/>
  <c r="I6531" i="20"/>
  <c r="I6535" i="20"/>
  <c r="I6475" i="20"/>
  <c r="I6488" i="20"/>
  <c r="I6484" i="20"/>
  <c r="I6480" i="20"/>
  <c r="E6498" i="20"/>
  <c r="F6470" i="20"/>
  <c r="G6470" i="20" s="1"/>
  <c r="I6477" i="20"/>
  <c r="I6481" i="20"/>
  <c r="I6485" i="20"/>
  <c r="F6469" i="20"/>
  <c r="G6469" i="20" s="1"/>
  <c r="F6471" i="20"/>
  <c r="G6471" i="20" s="1"/>
  <c r="I6478" i="20"/>
  <c r="I6482" i="20"/>
  <c r="I6486" i="20"/>
  <c r="E6496" i="20"/>
  <c r="F6468" i="20"/>
  <c r="I6479" i="20"/>
  <c r="I6483" i="20"/>
  <c r="I6423" i="20"/>
  <c r="I6436" i="20"/>
  <c r="I6432" i="20"/>
  <c r="I6428" i="20"/>
  <c r="F6417" i="20"/>
  <c r="G6417" i="20" s="1"/>
  <c r="E6446" i="20"/>
  <c r="I6321" i="20"/>
  <c r="I6326" i="20"/>
  <c r="F6418" i="20"/>
  <c r="G6418" i="20" s="1"/>
  <c r="I6425" i="20"/>
  <c r="I6429" i="20"/>
  <c r="I6433" i="20"/>
  <c r="F6419" i="20"/>
  <c r="G6419" i="20" s="1"/>
  <c r="I6426" i="20"/>
  <c r="I6430" i="20"/>
  <c r="I6434" i="20"/>
  <c r="E6444" i="20"/>
  <c r="F6416" i="20"/>
  <c r="I6427" i="20"/>
  <c r="I6431" i="20"/>
  <c r="D6320" i="20"/>
  <c r="F6320" i="20" s="1"/>
  <c r="H6334" i="20" s="1"/>
  <c r="K6308" i="20" s="1"/>
  <c r="F6365" i="20"/>
  <c r="G6365" i="20" s="1"/>
  <c r="I6371" i="20"/>
  <c r="I6372" i="20"/>
  <c r="I6376" i="20"/>
  <c r="I6380" i="20"/>
  <c r="I6384" i="20"/>
  <c r="E6394" i="20"/>
  <c r="F6366" i="20"/>
  <c r="G6366" i="20" s="1"/>
  <c r="I6373" i="20"/>
  <c r="I6377" i="20"/>
  <c r="I6381" i="20"/>
  <c r="F6367" i="20"/>
  <c r="G6367" i="20" s="1"/>
  <c r="I6374" i="20"/>
  <c r="I6378" i="20"/>
  <c r="I6382" i="20"/>
  <c r="E6392" i="20"/>
  <c r="F6364" i="20"/>
  <c r="I6375" i="20"/>
  <c r="I6379" i="20"/>
  <c r="I6320" i="20"/>
  <c r="I6322" i="20"/>
  <c r="I6333" i="20"/>
  <c r="I6329" i="20"/>
  <c r="I6325" i="20"/>
  <c r="I6330" i="20"/>
  <c r="E6343" i="20"/>
  <c r="F6316" i="20"/>
  <c r="G6316" i="20" s="1"/>
  <c r="I6323" i="20"/>
  <c r="I6327" i="20"/>
  <c r="I6331" i="20"/>
  <c r="E6341" i="20"/>
  <c r="F6314" i="20"/>
  <c r="G6314" i="20" s="1"/>
  <c r="F6315" i="20"/>
  <c r="G6315" i="20" s="1"/>
  <c r="F6313" i="20"/>
  <c r="I6324" i="20"/>
  <c r="I6328" i="20"/>
  <c r="D4725" i="20"/>
  <c r="F4725" i="20" s="1"/>
  <c r="D4674" i="20"/>
  <c r="F4674" i="20" s="1"/>
  <c r="I4785" i="20"/>
  <c r="I4789" i="20"/>
  <c r="F4770" i="20"/>
  <c r="I4778" i="20"/>
  <c r="I4782" i="20"/>
  <c r="I4786" i="20"/>
  <c r="I4776" i="20"/>
  <c r="I4781" i="20"/>
  <c r="F4771" i="20"/>
  <c r="G4771" i="20" s="1"/>
  <c r="I4779" i="20"/>
  <c r="I4783" i="20"/>
  <c r="I4787" i="20"/>
  <c r="E4797" i="20"/>
  <c r="I4777" i="20"/>
  <c r="I4780" i="20"/>
  <c r="I4784" i="20"/>
  <c r="I4727" i="20"/>
  <c r="I4731" i="20"/>
  <c r="I4735" i="20"/>
  <c r="I4728" i="20"/>
  <c r="I4732" i="20"/>
  <c r="I4736" i="20"/>
  <c r="E4746" i="20"/>
  <c r="I4725" i="20"/>
  <c r="I4726" i="20"/>
  <c r="I4730" i="20"/>
  <c r="I4734" i="20"/>
  <c r="I4738" i="20"/>
  <c r="F4720" i="20"/>
  <c r="I4729" i="20"/>
  <c r="I4733" i="20"/>
  <c r="I4674" i="20"/>
  <c r="I4675" i="20"/>
  <c r="I4683" i="20"/>
  <c r="I4687" i="20"/>
  <c r="F4668" i="20"/>
  <c r="I4676" i="20"/>
  <c r="I4680" i="20"/>
  <c r="I4684" i="20"/>
  <c r="F4669" i="20"/>
  <c r="I4677" i="20"/>
  <c r="I4681" i="20"/>
  <c r="I4685" i="20"/>
  <c r="E4695" i="20"/>
  <c r="I4679" i="20"/>
  <c r="E4697" i="20"/>
  <c r="I4678" i="20"/>
  <c r="I4682" i="20"/>
  <c r="K7296" i="20" l="1"/>
  <c r="B1786" i="20"/>
  <c r="B1785" i="20"/>
  <c r="E1780" i="20"/>
  <c r="F1780" i="20" s="1"/>
  <c r="H1781" i="20" s="1"/>
  <c r="N1752" i="20" s="1"/>
  <c r="D1776" i="20"/>
  <c r="F1776" i="20" s="1"/>
  <c r="C1776" i="20"/>
  <c r="B1776" i="20"/>
  <c r="D1775" i="20"/>
  <c r="F1775" i="20" s="1"/>
  <c r="C1775" i="20"/>
  <c r="B1775" i="20"/>
  <c r="D1774" i="20"/>
  <c r="F1774" i="20" s="1"/>
  <c r="C1774" i="20"/>
  <c r="B1774" i="20"/>
  <c r="D1773" i="20"/>
  <c r="F1773" i="20" s="1"/>
  <c r="C1773" i="20"/>
  <c r="B1773" i="20"/>
  <c r="D1772" i="20"/>
  <c r="F1772" i="20" s="1"/>
  <c r="C1772" i="20"/>
  <c r="B1772" i="20"/>
  <c r="D1771" i="20"/>
  <c r="F1771" i="20" s="1"/>
  <c r="C1771" i="20"/>
  <c r="B1771" i="20"/>
  <c r="C1770" i="20"/>
  <c r="B1770" i="20"/>
  <c r="C1769" i="20"/>
  <c r="B1769" i="20"/>
  <c r="C1768" i="20"/>
  <c r="B1768" i="20"/>
  <c r="C1767" i="20"/>
  <c r="B1767" i="20"/>
  <c r="C1766" i="20"/>
  <c r="B1766" i="20"/>
  <c r="C1765" i="20"/>
  <c r="B1765" i="20"/>
  <c r="C1764" i="20"/>
  <c r="C1763" i="20"/>
  <c r="D1759" i="20"/>
  <c r="B1759" i="20"/>
  <c r="D1758" i="20"/>
  <c r="B1758" i="20"/>
  <c r="D1757" i="20"/>
  <c r="B1757" i="20"/>
  <c r="G1754" i="20"/>
  <c r="I1775" i="20" s="1"/>
  <c r="G1753" i="20"/>
  <c r="B1753" i="20"/>
  <c r="B1752" i="20"/>
  <c r="H1751" i="20"/>
  <c r="B1748" i="20"/>
  <c r="H1747" i="20"/>
  <c r="E1785" i="20" s="1"/>
  <c r="B1735" i="20"/>
  <c r="B1734" i="20"/>
  <c r="E1729" i="20"/>
  <c r="F1729" i="20" s="1"/>
  <c r="H1730" i="20" s="1"/>
  <c r="N1701" i="20" s="1"/>
  <c r="D1725" i="20"/>
  <c r="F1725" i="20" s="1"/>
  <c r="C1725" i="20"/>
  <c r="B1725" i="20"/>
  <c r="D1724" i="20"/>
  <c r="F1724" i="20" s="1"/>
  <c r="C1724" i="20"/>
  <c r="B1724" i="20"/>
  <c r="D1723" i="20"/>
  <c r="F1723" i="20" s="1"/>
  <c r="C1723" i="20"/>
  <c r="B1723" i="20"/>
  <c r="D1722" i="20"/>
  <c r="F1722" i="20" s="1"/>
  <c r="C1722" i="20"/>
  <c r="B1722" i="20"/>
  <c r="D1721" i="20"/>
  <c r="F1721" i="20" s="1"/>
  <c r="C1721" i="20"/>
  <c r="B1721" i="20"/>
  <c r="D1720" i="20"/>
  <c r="F1720" i="20" s="1"/>
  <c r="C1720" i="20"/>
  <c r="B1720" i="20"/>
  <c r="C1719" i="20"/>
  <c r="B1719" i="20"/>
  <c r="C1718" i="20"/>
  <c r="B1718" i="20"/>
  <c r="C1717" i="20"/>
  <c r="B1717" i="20"/>
  <c r="C1716" i="20"/>
  <c r="B1716" i="20"/>
  <c r="C1715" i="20"/>
  <c r="B1715" i="20"/>
  <c r="C1714" i="20"/>
  <c r="B1714" i="20"/>
  <c r="C1713" i="20"/>
  <c r="C1712" i="20"/>
  <c r="D1708" i="20"/>
  <c r="B1708" i="20"/>
  <c r="D1707" i="20"/>
  <c r="B1707" i="20"/>
  <c r="D1706" i="20"/>
  <c r="B1706" i="20"/>
  <c r="G1703" i="20"/>
  <c r="I1724" i="20" s="1"/>
  <c r="G1702" i="20"/>
  <c r="B1702" i="20"/>
  <c r="B1701" i="20"/>
  <c r="H1700" i="20"/>
  <c r="B1697" i="20"/>
  <c r="H1696" i="20"/>
  <c r="E1734" i="20" s="1"/>
  <c r="B1683" i="20"/>
  <c r="B1682" i="20"/>
  <c r="E1677" i="20"/>
  <c r="F1677" i="20" s="1"/>
  <c r="H1678" i="20" s="1"/>
  <c r="N1649" i="20" s="1"/>
  <c r="D1673" i="20"/>
  <c r="F1673" i="20" s="1"/>
  <c r="C1673" i="20"/>
  <c r="B1673" i="20"/>
  <c r="D1672" i="20"/>
  <c r="F1672" i="20" s="1"/>
  <c r="C1672" i="20"/>
  <c r="B1672" i="20"/>
  <c r="D1671" i="20"/>
  <c r="F1671" i="20" s="1"/>
  <c r="C1671" i="20"/>
  <c r="B1671" i="20"/>
  <c r="D1670" i="20"/>
  <c r="F1670" i="20" s="1"/>
  <c r="C1670" i="20"/>
  <c r="B1670" i="20"/>
  <c r="D1669" i="20"/>
  <c r="F1669" i="20" s="1"/>
  <c r="C1669" i="20"/>
  <c r="B1669" i="20"/>
  <c r="D1668" i="20"/>
  <c r="F1668" i="20" s="1"/>
  <c r="C1668" i="20"/>
  <c r="B1668" i="20"/>
  <c r="C1667" i="20"/>
  <c r="B1667" i="20"/>
  <c r="C1666" i="20"/>
  <c r="B1666" i="20"/>
  <c r="C1665" i="20"/>
  <c r="B1665" i="20"/>
  <c r="C1664" i="20"/>
  <c r="B1664" i="20"/>
  <c r="C1663" i="20"/>
  <c r="B1663" i="20"/>
  <c r="C1662" i="20"/>
  <c r="B1662" i="20"/>
  <c r="C1661" i="20"/>
  <c r="C1660" i="20"/>
  <c r="D1656" i="20"/>
  <c r="B1656" i="20"/>
  <c r="D1655" i="20"/>
  <c r="B1655" i="20"/>
  <c r="D1654" i="20"/>
  <c r="B1654" i="20"/>
  <c r="G1651" i="20"/>
  <c r="I1672" i="20" s="1"/>
  <c r="G1650" i="20"/>
  <c r="B1650" i="20"/>
  <c r="B1649" i="20"/>
  <c r="H1648" i="20"/>
  <c r="B1645" i="20"/>
  <c r="H1644" i="20"/>
  <c r="E1682" i="20" s="1"/>
  <c r="B1632" i="20"/>
  <c r="B1631" i="20"/>
  <c r="E1626" i="20"/>
  <c r="F1626" i="20" s="1"/>
  <c r="H1627" i="20" s="1"/>
  <c r="N1598" i="20" s="1"/>
  <c r="D1622" i="20"/>
  <c r="F1622" i="20" s="1"/>
  <c r="C1622" i="20"/>
  <c r="B1622" i="20"/>
  <c r="D1621" i="20"/>
  <c r="F1621" i="20" s="1"/>
  <c r="C1621" i="20"/>
  <c r="B1621" i="20"/>
  <c r="D1620" i="20"/>
  <c r="F1620" i="20" s="1"/>
  <c r="C1620" i="20"/>
  <c r="B1620" i="20"/>
  <c r="D1619" i="20"/>
  <c r="F1619" i="20" s="1"/>
  <c r="C1619" i="20"/>
  <c r="B1619" i="20"/>
  <c r="D1618" i="20"/>
  <c r="F1618" i="20" s="1"/>
  <c r="C1618" i="20"/>
  <c r="B1618" i="20"/>
  <c r="D1617" i="20"/>
  <c r="F1617" i="20" s="1"/>
  <c r="C1617" i="20"/>
  <c r="B1617" i="20"/>
  <c r="C1616" i="20"/>
  <c r="B1616" i="20"/>
  <c r="C1615" i="20"/>
  <c r="B1615" i="20"/>
  <c r="C1614" i="20"/>
  <c r="B1614" i="20"/>
  <c r="C1613" i="20"/>
  <c r="B1613" i="20"/>
  <c r="C1612" i="20"/>
  <c r="B1612" i="20"/>
  <c r="C1611" i="20"/>
  <c r="B1611" i="20"/>
  <c r="C1610" i="20"/>
  <c r="C1609" i="20"/>
  <c r="D1605" i="20"/>
  <c r="B1605" i="20"/>
  <c r="D1604" i="20"/>
  <c r="B1604" i="20"/>
  <c r="D1603" i="20"/>
  <c r="B1603" i="20"/>
  <c r="G1600" i="20"/>
  <c r="I1621" i="20" s="1"/>
  <c r="G1599" i="20"/>
  <c r="B1599" i="20"/>
  <c r="B1598" i="20"/>
  <c r="H1597" i="20"/>
  <c r="B1594" i="20"/>
  <c r="H1593" i="20"/>
  <c r="E1631" i="20" s="1"/>
  <c r="B1581" i="20"/>
  <c r="B1580" i="20"/>
  <c r="E1575" i="20"/>
  <c r="F1575" i="20" s="1"/>
  <c r="H1576" i="20" s="1"/>
  <c r="N1547" i="20" s="1"/>
  <c r="D1571" i="20"/>
  <c r="F1571" i="20" s="1"/>
  <c r="C1571" i="20"/>
  <c r="B1571" i="20"/>
  <c r="D1570" i="20"/>
  <c r="F1570" i="20" s="1"/>
  <c r="C1570" i="20"/>
  <c r="B1570" i="20"/>
  <c r="D1569" i="20"/>
  <c r="F1569" i="20" s="1"/>
  <c r="C1569" i="20"/>
  <c r="B1569" i="20"/>
  <c r="D1568" i="20"/>
  <c r="F1568" i="20" s="1"/>
  <c r="C1568" i="20"/>
  <c r="B1568" i="20"/>
  <c r="D1567" i="20"/>
  <c r="F1567" i="20" s="1"/>
  <c r="C1567" i="20"/>
  <c r="B1567" i="20"/>
  <c r="D1566" i="20"/>
  <c r="F1566" i="20" s="1"/>
  <c r="C1566" i="20"/>
  <c r="B1566" i="20"/>
  <c r="C1565" i="20"/>
  <c r="B1565" i="20"/>
  <c r="C1564" i="20"/>
  <c r="B1564" i="20"/>
  <c r="C1563" i="20"/>
  <c r="B1563" i="20"/>
  <c r="C1562" i="20"/>
  <c r="B1562" i="20"/>
  <c r="C1561" i="20"/>
  <c r="B1561" i="20"/>
  <c r="C1560" i="20"/>
  <c r="B1560" i="20"/>
  <c r="C1559" i="20"/>
  <c r="C1558" i="20"/>
  <c r="D1554" i="20"/>
  <c r="B1554" i="20"/>
  <c r="D1553" i="20"/>
  <c r="B1553" i="20"/>
  <c r="D1552" i="20"/>
  <c r="B1552" i="20"/>
  <c r="G1549" i="20"/>
  <c r="I1570" i="20" s="1"/>
  <c r="G1548" i="20"/>
  <c r="B1548" i="20"/>
  <c r="B1547" i="20"/>
  <c r="H1546" i="20"/>
  <c r="B1543" i="20"/>
  <c r="H1542" i="20"/>
  <c r="E1580" i="20" s="1"/>
  <c r="B1530" i="20"/>
  <c r="B1529" i="20"/>
  <c r="E1524" i="20"/>
  <c r="F1524" i="20" s="1"/>
  <c r="H1525" i="20" s="1"/>
  <c r="N1496" i="20" s="1"/>
  <c r="D1520" i="20"/>
  <c r="F1520" i="20" s="1"/>
  <c r="C1520" i="20"/>
  <c r="B1520" i="20"/>
  <c r="D1519" i="20"/>
  <c r="F1519" i="20" s="1"/>
  <c r="C1519" i="20"/>
  <c r="B1519" i="20"/>
  <c r="D1518" i="20"/>
  <c r="F1518" i="20" s="1"/>
  <c r="C1518" i="20"/>
  <c r="B1518" i="20"/>
  <c r="D1517" i="20"/>
  <c r="F1517" i="20" s="1"/>
  <c r="C1517" i="20"/>
  <c r="B1517" i="20"/>
  <c r="D1516" i="20"/>
  <c r="F1516" i="20" s="1"/>
  <c r="C1516" i="20"/>
  <c r="B1516" i="20"/>
  <c r="D1515" i="20"/>
  <c r="F1515" i="20" s="1"/>
  <c r="C1515" i="20"/>
  <c r="B1515" i="20"/>
  <c r="C1514" i="20"/>
  <c r="B1514" i="20"/>
  <c r="C1513" i="20"/>
  <c r="B1513" i="20"/>
  <c r="C1512" i="20"/>
  <c r="B1512" i="20"/>
  <c r="C1511" i="20"/>
  <c r="B1511" i="20"/>
  <c r="C1510" i="20"/>
  <c r="B1510" i="20"/>
  <c r="C1509" i="20"/>
  <c r="B1509" i="20"/>
  <c r="C1508" i="20"/>
  <c r="C1507" i="20"/>
  <c r="D1503" i="20"/>
  <c r="B1503" i="20"/>
  <c r="D1502" i="20"/>
  <c r="B1502" i="20"/>
  <c r="D1501" i="20"/>
  <c r="B1501" i="20"/>
  <c r="G1498" i="20"/>
  <c r="I1519" i="20" s="1"/>
  <c r="G1497" i="20"/>
  <c r="B1497" i="20"/>
  <c r="B1496" i="20"/>
  <c r="H1495" i="20"/>
  <c r="B1492" i="20"/>
  <c r="H1491" i="20"/>
  <c r="E1529" i="20" s="1"/>
  <c r="B1479" i="20"/>
  <c r="B1478" i="20"/>
  <c r="E1473" i="20"/>
  <c r="F1473" i="20" s="1"/>
  <c r="H1474" i="20" s="1"/>
  <c r="N1445" i="20" s="1"/>
  <c r="D1469" i="20"/>
  <c r="F1469" i="20" s="1"/>
  <c r="C1469" i="20"/>
  <c r="B1469" i="20"/>
  <c r="D1468" i="20"/>
  <c r="F1468" i="20" s="1"/>
  <c r="C1468" i="20"/>
  <c r="B1468" i="20"/>
  <c r="D1467" i="20"/>
  <c r="F1467" i="20" s="1"/>
  <c r="C1467" i="20"/>
  <c r="B1467" i="20"/>
  <c r="D1466" i="20"/>
  <c r="F1466" i="20" s="1"/>
  <c r="C1466" i="20"/>
  <c r="B1466" i="20"/>
  <c r="D1465" i="20"/>
  <c r="F1465" i="20" s="1"/>
  <c r="C1465" i="20"/>
  <c r="B1465" i="20"/>
  <c r="D1464" i="20"/>
  <c r="F1464" i="20" s="1"/>
  <c r="C1464" i="20"/>
  <c r="B1464" i="20"/>
  <c r="C1463" i="20"/>
  <c r="B1463" i="20"/>
  <c r="C1462" i="20"/>
  <c r="B1462" i="20"/>
  <c r="C1461" i="20"/>
  <c r="B1461" i="20"/>
  <c r="C1460" i="20"/>
  <c r="B1460" i="20"/>
  <c r="C1459" i="20"/>
  <c r="B1459" i="20"/>
  <c r="C1458" i="20"/>
  <c r="B1458" i="20"/>
  <c r="C1457" i="20"/>
  <c r="C1456" i="20"/>
  <c r="D1452" i="20"/>
  <c r="B1452" i="20"/>
  <c r="D1451" i="20"/>
  <c r="B1451" i="20"/>
  <c r="D1450" i="20"/>
  <c r="B1450" i="20"/>
  <c r="G1447" i="20"/>
  <c r="I1468" i="20" s="1"/>
  <c r="G1446" i="20"/>
  <c r="B1446" i="20"/>
  <c r="B1445" i="20"/>
  <c r="H1444" i="20"/>
  <c r="B1441" i="20"/>
  <c r="H1440" i="20"/>
  <c r="E1478" i="20" s="1"/>
  <c r="B1428" i="20"/>
  <c r="B1427" i="20"/>
  <c r="E1422" i="20"/>
  <c r="F1422" i="20" s="1"/>
  <c r="H1423" i="20" s="1"/>
  <c r="N1394" i="20" s="1"/>
  <c r="D1418" i="20"/>
  <c r="F1418" i="20" s="1"/>
  <c r="C1418" i="20"/>
  <c r="B1418" i="20"/>
  <c r="D1417" i="20"/>
  <c r="F1417" i="20" s="1"/>
  <c r="C1417" i="20"/>
  <c r="B1417" i="20"/>
  <c r="D1416" i="20"/>
  <c r="F1416" i="20" s="1"/>
  <c r="C1416" i="20"/>
  <c r="B1416" i="20"/>
  <c r="D1415" i="20"/>
  <c r="F1415" i="20" s="1"/>
  <c r="C1415" i="20"/>
  <c r="B1415" i="20"/>
  <c r="D1414" i="20"/>
  <c r="F1414" i="20" s="1"/>
  <c r="C1414" i="20"/>
  <c r="B1414" i="20"/>
  <c r="D1413" i="20"/>
  <c r="F1413" i="20" s="1"/>
  <c r="C1413" i="20"/>
  <c r="B1413" i="20"/>
  <c r="D1412" i="20"/>
  <c r="F1412" i="20" s="1"/>
  <c r="C1412" i="20"/>
  <c r="B1412" i="20"/>
  <c r="C1411" i="20"/>
  <c r="B1411" i="20"/>
  <c r="C1410" i="20"/>
  <c r="B1410" i="20"/>
  <c r="C1409" i="20"/>
  <c r="B1409" i="20"/>
  <c r="C1408" i="20"/>
  <c r="B1408" i="20"/>
  <c r="C1407" i="20"/>
  <c r="B1407" i="20"/>
  <c r="C1406" i="20"/>
  <c r="C1405" i="20"/>
  <c r="D1401" i="20"/>
  <c r="B1401" i="20"/>
  <c r="D1400" i="20"/>
  <c r="B1400" i="20"/>
  <c r="D1399" i="20"/>
  <c r="B1399" i="20"/>
  <c r="G1396" i="20"/>
  <c r="I1417" i="20" s="1"/>
  <c r="G1395" i="20"/>
  <c r="B1395" i="20"/>
  <c r="B1394" i="20"/>
  <c r="H1393" i="20"/>
  <c r="B1390" i="20"/>
  <c r="H1389" i="20"/>
  <c r="E1427" i="20" s="1"/>
  <c r="B1377" i="20"/>
  <c r="B1376" i="20"/>
  <c r="E1371" i="20"/>
  <c r="F1371" i="20" s="1"/>
  <c r="H1372" i="20" s="1"/>
  <c r="N1343" i="20" s="1"/>
  <c r="D1367" i="20"/>
  <c r="F1367" i="20" s="1"/>
  <c r="C1367" i="20"/>
  <c r="B1367" i="20"/>
  <c r="D1366" i="20"/>
  <c r="F1366" i="20" s="1"/>
  <c r="C1366" i="20"/>
  <c r="B1366" i="20"/>
  <c r="D1365" i="20"/>
  <c r="F1365" i="20" s="1"/>
  <c r="C1365" i="20"/>
  <c r="B1365" i="20"/>
  <c r="D1364" i="20"/>
  <c r="F1364" i="20" s="1"/>
  <c r="C1364" i="20"/>
  <c r="B1364" i="20"/>
  <c r="D1363" i="20"/>
  <c r="F1363" i="20" s="1"/>
  <c r="C1363" i="20"/>
  <c r="B1363" i="20"/>
  <c r="D1362" i="20"/>
  <c r="F1362" i="20" s="1"/>
  <c r="C1362" i="20"/>
  <c r="B1362" i="20"/>
  <c r="D1361" i="20"/>
  <c r="F1361" i="20" s="1"/>
  <c r="C1361" i="20"/>
  <c r="B1361" i="20"/>
  <c r="C1360" i="20"/>
  <c r="B1360" i="20"/>
  <c r="C1359" i="20"/>
  <c r="B1359" i="20"/>
  <c r="C1358" i="20"/>
  <c r="B1358" i="20"/>
  <c r="C1357" i="20"/>
  <c r="B1357" i="20"/>
  <c r="C1356" i="20"/>
  <c r="B1356" i="20"/>
  <c r="C1355" i="20"/>
  <c r="C1354" i="20"/>
  <c r="D1350" i="20"/>
  <c r="B1350" i="20"/>
  <c r="D1349" i="20"/>
  <c r="B1349" i="20"/>
  <c r="D1348" i="20"/>
  <c r="B1348" i="20"/>
  <c r="G1345" i="20"/>
  <c r="I1366" i="20" s="1"/>
  <c r="G1344" i="20"/>
  <c r="B1344" i="20"/>
  <c r="B1343" i="20"/>
  <c r="H1342" i="20"/>
  <c r="B1339" i="20"/>
  <c r="H1338" i="20"/>
  <c r="E1376" i="20" s="1"/>
  <c r="B1326" i="20"/>
  <c r="B1325" i="20"/>
  <c r="E1320" i="20"/>
  <c r="F1320" i="20" s="1"/>
  <c r="H1321" i="20" s="1"/>
  <c r="N1292" i="20" s="1"/>
  <c r="D1316" i="20"/>
  <c r="F1316" i="20" s="1"/>
  <c r="C1316" i="20"/>
  <c r="B1316" i="20"/>
  <c r="D1315" i="20"/>
  <c r="F1315" i="20" s="1"/>
  <c r="C1315" i="20"/>
  <c r="B1315" i="20"/>
  <c r="D1314" i="20"/>
  <c r="F1314" i="20" s="1"/>
  <c r="C1314" i="20"/>
  <c r="B1314" i="20"/>
  <c r="D1313" i="20"/>
  <c r="F1313" i="20" s="1"/>
  <c r="C1313" i="20"/>
  <c r="B1313" i="20"/>
  <c r="D1312" i="20"/>
  <c r="F1312" i="20" s="1"/>
  <c r="C1312" i="20"/>
  <c r="B1312" i="20"/>
  <c r="D1311" i="20"/>
  <c r="F1311" i="20" s="1"/>
  <c r="C1311" i="20"/>
  <c r="B1311" i="20"/>
  <c r="D1310" i="20"/>
  <c r="F1310" i="20" s="1"/>
  <c r="C1310" i="20"/>
  <c r="B1310" i="20"/>
  <c r="C1309" i="20"/>
  <c r="B1309" i="20"/>
  <c r="C1308" i="20"/>
  <c r="B1308" i="20"/>
  <c r="C1307" i="20"/>
  <c r="B1307" i="20"/>
  <c r="C1306" i="20"/>
  <c r="B1306" i="20"/>
  <c r="C1305" i="20"/>
  <c r="B1305" i="20"/>
  <c r="C1304" i="20"/>
  <c r="C1303" i="20"/>
  <c r="D1299" i="20"/>
  <c r="B1299" i="20"/>
  <c r="D1298" i="20"/>
  <c r="B1298" i="20"/>
  <c r="D1297" i="20"/>
  <c r="B1297" i="20"/>
  <c r="G1294" i="20"/>
  <c r="I1315" i="20" s="1"/>
  <c r="G1293" i="20"/>
  <c r="B1293" i="20"/>
  <c r="B1292" i="20"/>
  <c r="H1291" i="20"/>
  <c r="B1288" i="20"/>
  <c r="H1287" i="20"/>
  <c r="E1325" i="20" s="1"/>
  <c r="B1275" i="20"/>
  <c r="B1274" i="20"/>
  <c r="E1269" i="20"/>
  <c r="F1269" i="20" s="1"/>
  <c r="H1270" i="20" s="1"/>
  <c r="N1241" i="20" s="1"/>
  <c r="D1265" i="20"/>
  <c r="F1265" i="20" s="1"/>
  <c r="C1265" i="20"/>
  <c r="B1265" i="20"/>
  <c r="D1264" i="20"/>
  <c r="F1264" i="20" s="1"/>
  <c r="C1264" i="20"/>
  <c r="B1264" i="20"/>
  <c r="D1263" i="20"/>
  <c r="F1263" i="20" s="1"/>
  <c r="C1263" i="20"/>
  <c r="B1263" i="20"/>
  <c r="D1262" i="20"/>
  <c r="F1262" i="20" s="1"/>
  <c r="C1262" i="20"/>
  <c r="B1262" i="20"/>
  <c r="D1261" i="20"/>
  <c r="F1261" i="20" s="1"/>
  <c r="C1261" i="20"/>
  <c r="B1261" i="20"/>
  <c r="D1260" i="20"/>
  <c r="F1260" i="20" s="1"/>
  <c r="C1260" i="20"/>
  <c r="B1260" i="20"/>
  <c r="C1259" i="20"/>
  <c r="B1259" i="20"/>
  <c r="C1258" i="20"/>
  <c r="B1258" i="20"/>
  <c r="C1257" i="20"/>
  <c r="B1257" i="20"/>
  <c r="C1256" i="20"/>
  <c r="B1256" i="20"/>
  <c r="C1255" i="20"/>
  <c r="B1255" i="20"/>
  <c r="C1254" i="20"/>
  <c r="B1254" i="20"/>
  <c r="C1253" i="20"/>
  <c r="C1252" i="20"/>
  <c r="D1248" i="20"/>
  <c r="B1248" i="20"/>
  <c r="D1247" i="20"/>
  <c r="B1247" i="20"/>
  <c r="D1246" i="20"/>
  <c r="B1246" i="20"/>
  <c r="G1243" i="20"/>
  <c r="I1264" i="20" s="1"/>
  <c r="G1242" i="20"/>
  <c r="B1242" i="20"/>
  <c r="B1241" i="20"/>
  <c r="H1240" i="20"/>
  <c r="B1237" i="20"/>
  <c r="H1236" i="20"/>
  <c r="E1274" i="20" s="1"/>
  <c r="B1224" i="20"/>
  <c r="B1223" i="20"/>
  <c r="E1218" i="20"/>
  <c r="F1218" i="20" s="1"/>
  <c r="H1219" i="20" s="1"/>
  <c r="N1190" i="20" s="1"/>
  <c r="D1214" i="20"/>
  <c r="F1214" i="20" s="1"/>
  <c r="C1214" i="20"/>
  <c r="B1214" i="20"/>
  <c r="D1213" i="20"/>
  <c r="F1213" i="20" s="1"/>
  <c r="C1213" i="20"/>
  <c r="B1213" i="20"/>
  <c r="D1212" i="20"/>
  <c r="F1212" i="20" s="1"/>
  <c r="C1212" i="20"/>
  <c r="B1212" i="20"/>
  <c r="D1211" i="20"/>
  <c r="F1211" i="20" s="1"/>
  <c r="C1211" i="20"/>
  <c r="B1211" i="20"/>
  <c r="D1210" i="20"/>
  <c r="F1210" i="20" s="1"/>
  <c r="C1210" i="20"/>
  <c r="B1210" i="20"/>
  <c r="D1209" i="20"/>
  <c r="F1209" i="20" s="1"/>
  <c r="C1209" i="20"/>
  <c r="B1209" i="20"/>
  <c r="C1208" i="20"/>
  <c r="B1208" i="20"/>
  <c r="C1207" i="20"/>
  <c r="B1207" i="20"/>
  <c r="C1206" i="20"/>
  <c r="B1206" i="20"/>
  <c r="C1205" i="20"/>
  <c r="B1205" i="20"/>
  <c r="C1204" i="20"/>
  <c r="B1204" i="20"/>
  <c r="C1203" i="20"/>
  <c r="B1203" i="20"/>
  <c r="C1202" i="20"/>
  <c r="C1201" i="20"/>
  <c r="D1197" i="20"/>
  <c r="B1197" i="20"/>
  <c r="D1196" i="20"/>
  <c r="B1196" i="20"/>
  <c r="D1195" i="20"/>
  <c r="B1195" i="20"/>
  <c r="G1192" i="20"/>
  <c r="I1213" i="20" s="1"/>
  <c r="G1191" i="20"/>
  <c r="B1191" i="20"/>
  <c r="B1190" i="20"/>
  <c r="H1189" i="20"/>
  <c r="B1186" i="20"/>
  <c r="H1185" i="20"/>
  <c r="E1223" i="20" s="1"/>
  <c r="E1530" i="20" l="1"/>
  <c r="E1479" i="20"/>
  <c r="E1377" i="20"/>
  <c r="E1581" i="20"/>
  <c r="F1450" i="20"/>
  <c r="F1501" i="20"/>
  <c r="F1552" i="20"/>
  <c r="F1603" i="20"/>
  <c r="F1654" i="20"/>
  <c r="F1706" i="20"/>
  <c r="F1757" i="20"/>
  <c r="E1632" i="20"/>
  <c r="E1683" i="20"/>
  <c r="E1735" i="20"/>
  <c r="E1786" i="20"/>
  <c r="I1776" i="20"/>
  <c r="I1768" i="20"/>
  <c r="I1763" i="20"/>
  <c r="I1764" i="20"/>
  <c r="I1772" i="20"/>
  <c r="F1758" i="20"/>
  <c r="I1765" i="20"/>
  <c r="I1769" i="20"/>
  <c r="I1773" i="20"/>
  <c r="F1759" i="20"/>
  <c r="I1766" i="20"/>
  <c r="I1770" i="20"/>
  <c r="I1774" i="20"/>
  <c r="E1784" i="20"/>
  <c r="I1665" i="20"/>
  <c r="I1767" i="20"/>
  <c r="I1771" i="20"/>
  <c r="I1713" i="20"/>
  <c r="I1725" i="20"/>
  <c r="I1712" i="20"/>
  <c r="I1721" i="20"/>
  <c r="I1717" i="20"/>
  <c r="I1673" i="20"/>
  <c r="F1707" i="20"/>
  <c r="I1714" i="20"/>
  <c r="I1718" i="20"/>
  <c r="I1722" i="20"/>
  <c r="I1660" i="20"/>
  <c r="I1661" i="20"/>
  <c r="F1708" i="20"/>
  <c r="I1715" i="20"/>
  <c r="I1719" i="20"/>
  <c r="I1723" i="20"/>
  <c r="E1733" i="20"/>
  <c r="I1716" i="20"/>
  <c r="I1720" i="20"/>
  <c r="I1669" i="20"/>
  <c r="I1622" i="20"/>
  <c r="F1655" i="20"/>
  <c r="I1662" i="20"/>
  <c r="I1666" i="20"/>
  <c r="I1670" i="20"/>
  <c r="I1614" i="20"/>
  <c r="F1656" i="20"/>
  <c r="I1663" i="20"/>
  <c r="I1667" i="20"/>
  <c r="I1671" i="20"/>
  <c r="E1681" i="20"/>
  <c r="I1664" i="20"/>
  <c r="I1668" i="20"/>
  <c r="I1609" i="20"/>
  <c r="I1610" i="20"/>
  <c r="I1618" i="20"/>
  <c r="I1560" i="20"/>
  <c r="I1571" i="20"/>
  <c r="F1604" i="20"/>
  <c r="I1611" i="20"/>
  <c r="I1615" i="20"/>
  <c r="I1619" i="20"/>
  <c r="I1558" i="20"/>
  <c r="F1605" i="20"/>
  <c r="I1612" i="20"/>
  <c r="I1616" i="20"/>
  <c r="I1620" i="20"/>
  <c r="E1630" i="20"/>
  <c r="I1613" i="20"/>
  <c r="I1617" i="20"/>
  <c r="I1567" i="20"/>
  <c r="I1563" i="20"/>
  <c r="I1568" i="20"/>
  <c r="I1559" i="20"/>
  <c r="I1564" i="20"/>
  <c r="F1553" i="20"/>
  <c r="F1554" i="20"/>
  <c r="I1561" i="20"/>
  <c r="I1565" i="20"/>
  <c r="I1569" i="20"/>
  <c r="E1579" i="20"/>
  <c r="I1562" i="20"/>
  <c r="I1566" i="20"/>
  <c r="I1520" i="20"/>
  <c r="I1507" i="20"/>
  <c r="I1508" i="20"/>
  <c r="I1456" i="20"/>
  <c r="I1516" i="20"/>
  <c r="I1512" i="20"/>
  <c r="I1469" i="20"/>
  <c r="F1502" i="20"/>
  <c r="I1509" i="20"/>
  <c r="I1513" i="20"/>
  <c r="I1517" i="20"/>
  <c r="F1503" i="20"/>
  <c r="I1510" i="20"/>
  <c r="I1514" i="20"/>
  <c r="I1518" i="20"/>
  <c r="E1528" i="20"/>
  <c r="I1458" i="20"/>
  <c r="I1511" i="20"/>
  <c r="I1515" i="20"/>
  <c r="I1465" i="20"/>
  <c r="I1461" i="20"/>
  <c r="I1457" i="20"/>
  <c r="F1451" i="20"/>
  <c r="I1462" i="20"/>
  <c r="I1466" i="20"/>
  <c r="F1452" i="20"/>
  <c r="I1459" i="20"/>
  <c r="I1463" i="20"/>
  <c r="I1467" i="20"/>
  <c r="E1477" i="20"/>
  <c r="I1460" i="20"/>
  <c r="I1464" i="20"/>
  <c r="E1326" i="20"/>
  <c r="F1299" i="20"/>
  <c r="F1297" i="20"/>
  <c r="F1348" i="20"/>
  <c r="F1399" i="20"/>
  <c r="I1405" i="20"/>
  <c r="I1406" i="20"/>
  <c r="I1410" i="20"/>
  <c r="I1414" i="20"/>
  <c r="I1418" i="20"/>
  <c r="E1428" i="20"/>
  <c r="F1400" i="20"/>
  <c r="I1407" i="20"/>
  <c r="I1411" i="20"/>
  <c r="I1415" i="20"/>
  <c r="F1401" i="20"/>
  <c r="I1408" i="20"/>
  <c r="I1412" i="20"/>
  <c r="I1416" i="20"/>
  <c r="E1426" i="20"/>
  <c r="I1409" i="20"/>
  <c r="I1413" i="20"/>
  <c r="I1367" i="20"/>
  <c r="I1363" i="20"/>
  <c r="I1354" i="20"/>
  <c r="I1355" i="20"/>
  <c r="I1359" i="20"/>
  <c r="I1364" i="20"/>
  <c r="I1356" i="20"/>
  <c r="I1360" i="20"/>
  <c r="F1349" i="20"/>
  <c r="F1350" i="20"/>
  <c r="I1357" i="20"/>
  <c r="I1361" i="20"/>
  <c r="I1365" i="20"/>
  <c r="E1375" i="20"/>
  <c r="I1358" i="20"/>
  <c r="I1362" i="20"/>
  <c r="I1304" i="20"/>
  <c r="I1316" i="20"/>
  <c r="I1303" i="20"/>
  <c r="I1312" i="20"/>
  <c r="I1308" i="20"/>
  <c r="F1298" i="20"/>
  <c r="I1305" i="20"/>
  <c r="I1309" i="20"/>
  <c r="I1313" i="20"/>
  <c r="I1306" i="20"/>
  <c r="I1310" i="20"/>
  <c r="I1314" i="20"/>
  <c r="E1324" i="20"/>
  <c r="I1307" i="20"/>
  <c r="I1311" i="20"/>
  <c r="F1246" i="20"/>
  <c r="F1195" i="20"/>
  <c r="E1275" i="20"/>
  <c r="I1265" i="20"/>
  <c r="I1254" i="20"/>
  <c r="I1252" i="20"/>
  <c r="I1261" i="20"/>
  <c r="I1257" i="20"/>
  <c r="I1253" i="20"/>
  <c r="I1258" i="20"/>
  <c r="I1262" i="20"/>
  <c r="F1247" i="20"/>
  <c r="F1248" i="20"/>
  <c r="I1255" i="20"/>
  <c r="I1259" i="20"/>
  <c r="I1263" i="20"/>
  <c r="E1273" i="20"/>
  <c r="I1256" i="20"/>
  <c r="I1260" i="20"/>
  <c r="I1202" i="20"/>
  <c r="I1214" i="20"/>
  <c r="I1201" i="20"/>
  <c r="I1210" i="20"/>
  <c r="I1206" i="20"/>
  <c r="I1203" i="20"/>
  <c r="I1207" i="20"/>
  <c r="I1211" i="20"/>
  <c r="F1196" i="20"/>
  <c r="I1204" i="20"/>
  <c r="I1208" i="20"/>
  <c r="I1212" i="20"/>
  <c r="E1222" i="20"/>
  <c r="E1224" i="20"/>
  <c r="F1197" i="20"/>
  <c r="I1205" i="20"/>
  <c r="I1209" i="20"/>
  <c r="B1173" i="20" l="1"/>
  <c r="B1172" i="20"/>
  <c r="E1167" i="20"/>
  <c r="F1167" i="20" s="1"/>
  <c r="H1168" i="20" s="1"/>
  <c r="N1139" i="20" s="1"/>
  <c r="D1163" i="20"/>
  <c r="F1163" i="20" s="1"/>
  <c r="C1163" i="20"/>
  <c r="B1163" i="20"/>
  <c r="D1162" i="20"/>
  <c r="F1162" i="20" s="1"/>
  <c r="C1162" i="20"/>
  <c r="B1162" i="20"/>
  <c r="D1161" i="20"/>
  <c r="F1161" i="20" s="1"/>
  <c r="C1161" i="20"/>
  <c r="B1161" i="20"/>
  <c r="D1160" i="20"/>
  <c r="F1160" i="20" s="1"/>
  <c r="C1160" i="20"/>
  <c r="B1160" i="20"/>
  <c r="D1159" i="20"/>
  <c r="F1159" i="20" s="1"/>
  <c r="C1159" i="20"/>
  <c r="B1159" i="20"/>
  <c r="D1158" i="20"/>
  <c r="F1158" i="20" s="1"/>
  <c r="C1158" i="20"/>
  <c r="B1158" i="20"/>
  <c r="C1157" i="20"/>
  <c r="B1157" i="20"/>
  <c r="C1156" i="20"/>
  <c r="B1156" i="20"/>
  <c r="C1155" i="20"/>
  <c r="B1155" i="20"/>
  <c r="C1154" i="20"/>
  <c r="B1154" i="20"/>
  <c r="C1153" i="20"/>
  <c r="B1153" i="20"/>
  <c r="C1152" i="20"/>
  <c r="B1152" i="20"/>
  <c r="C1151" i="20"/>
  <c r="C1150" i="20"/>
  <c r="D1146" i="20"/>
  <c r="B1146" i="20"/>
  <c r="D1145" i="20"/>
  <c r="B1145" i="20"/>
  <c r="D1144" i="20"/>
  <c r="B1144" i="20"/>
  <c r="G1141" i="20"/>
  <c r="I1162" i="20" s="1"/>
  <c r="G1140" i="20"/>
  <c r="B1140" i="20"/>
  <c r="B1139" i="20"/>
  <c r="H1138" i="20"/>
  <c r="B1135" i="20"/>
  <c r="H1134" i="20"/>
  <c r="E1172" i="20" s="1"/>
  <c r="B1067" i="20"/>
  <c r="B1066" i="20"/>
  <c r="E1061" i="20"/>
  <c r="F1061" i="20" s="1"/>
  <c r="H1062" i="20" s="1"/>
  <c r="N1033" i="20" s="1"/>
  <c r="D1057" i="20"/>
  <c r="F1057" i="20" s="1"/>
  <c r="C1057" i="20"/>
  <c r="B1057" i="20"/>
  <c r="D1056" i="20"/>
  <c r="F1056" i="20" s="1"/>
  <c r="C1056" i="20"/>
  <c r="B1056" i="20"/>
  <c r="D1055" i="20"/>
  <c r="F1055" i="20" s="1"/>
  <c r="C1055" i="20"/>
  <c r="B1055" i="20"/>
  <c r="D1054" i="20"/>
  <c r="F1054" i="20" s="1"/>
  <c r="C1054" i="20"/>
  <c r="B1054" i="20"/>
  <c r="D1053" i="20"/>
  <c r="F1053" i="20" s="1"/>
  <c r="C1053" i="20"/>
  <c r="B1053" i="20"/>
  <c r="D1052" i="20"/>
  <c r="F1052" i="20" s="1"/>
  <c r="C1052" i="20"/>
  <c r="B1052" i="20"/>
  <c r="C1051" i="20"/>
  <c r="B1051" i="20"/>
  <c r="C1050" i="20"/>
  <c r="B1050" i="20"/>
  <c r="C1049" i="20"/>
  <c r="B1049" i="20"/>
  <c r="C1048" i="20"/>
  <c r="B1048" i="20"/>
  <c r="C1047" i="20"/>
  <c r="B1047" i="20"/>
  <c r="C1046" i="20"/>
  <c r="B1046" i="20"/>
  <c r="C1045" i="20"/>
  <c r="C1044" i="20"/>
  <c r="D1040" i="20"/>
  <c r="B1040" i="20"/>
  <c r="D1039" i="20"/>
  <c r="B1039" i="20"/>
  <c r="D1038" i="20"/>
  <c r="B1038" i="20"/>
  <c r="G1035" i="20"/>
  <c r="I1056" i="20" s="1"/>
  <c r="G1034" i="20"/>
  <c r="B1034" i="20"/>
  <c r="B1033" i="20"/>
  <c r="H1032" i="20"/>
  <c r="B1029" i="20"/>
  <c r="H1028" i="20"/>
  <c r="E1066" i="20" s="1"/>
  <c r="B1016" i="20"/>
  <c r="B1015" i="20"/>
  <c r="E1010" i="20"/>
  <c r="F1010" i="20" s="1"/>
  <c r="H1011" i="20" s="1"/>
  <c r="N982" i="20" s="1"/>
  <c r="D1006" i="20"/>
  <c r="F1006" i="20" s="1"/>
  <c r="C1006" i="20"/>
  <c r="B1006" i="20"/>
  <c r="D1005" i="20"/>
  <c r="F1005" i="20" s="1"/>
  <c r="C1005" i="20"/>
  <c r="B1005" i="20"/>
  <c r="D1004" i="20"/>
  <c r="F1004" i="20" s="1"/>
  <c r="C1004" i="20"/>
  <c r="B1004" i="20"/>
  <c r="D1003" i="20"/>
  <c r="F1003" i="20" s="1"/>
  <c r="C1003" i="20"/>
  <c r="B1003" i="20"/>
  <c r="D1002" i="20"/>
  <c r="F1002" i="20" s="1"/>
  <c r="C1002" i="20"/>
  <c r="B1002" i="20"/>
  <c r="D1001" i="20"/>
  <c r="F1001" i="20" s="1"/>
  <c r="C1001" i="20"/>
  <c r="B1001" i="20"/>
  <c r="C1000" i="20"/>
  <c r="B1000" i="20"/>
  <c r="C999" i="20"/>
  <c r="B999" i="20"/>
  <c r="C998" i="20"/>
  <c r="B998" i="20"/>
  <c r="C997" i="20"/>
  <c r="B997" i="20"/>
  <c r="C996" i="20"/>
  <c r="B996" i="20"/>
  <c r="C995" i="20"/>
  <c r="B995" i="20"/>
  <c r="C994" i="20"/>
  <c r="C993" i="20"/>
  <c r="D989" i="20"/>
  <c r="B989" i="20"/>
  <c r="D988" i="20"/>
  <c r="B988" i="20"/>
  <c r="D987" i="20"/>
  <c r="B987" i="20"/>
  <c r="G984" i="20"/>
  <c r="I1005" i="20" s="1"/>
  <c r="G983" i="20"/>
  <c r="B983" i="20"/>
  <c r="B982" i="20"/>
  <c r="H981" i="20"/>
  <c r="B978" i="20"/>
  <c r="H977" i="20"/>
  <c r="E1015" i="20" s="1"/>
  <c r="B965" i="20"/>
  <c r="B964" i="20"/>
  <c r="E959" i="20"/>
  <c r="F959" i="20" s="1"/>
  <c r="H960" i="20" s="1"/>
  <c r="N931" i="20" s="1"/>
  <c r="D955" i="20"/>
  <c r="F955" i="20" s="1"/>
  <c r="C955" i="20"/>
  <c r="B955" i="20"/>
  <c r="D954" i="20"/>
  <c r="F954" i="20" s="1"/>
  <c r="C954" i="20"/>
  <c r="B954" i="20"/>
  <c r="D953" i="20"/>
  <c r="F953" i="20" s="1"/>
  <c r="C953" i="20"/>
  <c r="B953" i="20"/>
  <c r="D952" i="20"/>
  <c r="F952" i="20" s="1"/>
  <c r="C952" i="20"/>
  <c r="B952" i="20"/>
  <c r="D951" i="20"/>
  <c r="F951" i="20" s="1"/>
  <c r="C951" i="20"/>
  <c r="B951" i="20"/>
  <c r="D950" i="20"/>
  <c r="F950" i="20" s="1"/>
  <c r="C950" i="20"/>
  <c r="B950" i="20"/>
  <c r="C949" i="20"/>
  <c r="B949" i="20"/>
  <c r="C948" i="20"/>
  <c r="B948" i="20"/>
  <c r="C947" i="20"/>
  <c r="B947" i="20"/>
  <c r="C946" i="20"/>
  <c r="B946" i="20"/>
  <c r="C945" i="20"/>
  <c r="B945" i="20"/>
  <c r="C944" i="20"/>
  <c r="B944" i="20"/>
  <c r="C943" i="20"/>
  <c r="C942" i="20"/>
  <c r="D938" i="20"/>
  <c r="B938" i="20"/>
  <c r="D937" i="20"/>
  <c r="B937" i="20"/>
  <c r="D936" i="20"/>
  <c r="B936" i="20"/>
  <c r="G933" i="20"/>
  <c r="I954" i="20" s="1"/>
  <c r="G932" i="20"/>
  <c r="B932" i="20"/>
  <c r="B931" i="20"/>
  <c r="H930" i="20"/>
  <c r="B927" i="20"/>
  <c r="H926" i="20"/>
  <c r="E964" i="20" s="1"/>
  <c r="B914" i="20"/>
  <c r="B913" i="20"/>
  <c r="E908" i="20"/>
  <c r="F908" i="20" s="1"/>
  <c r="H909" i="20" s="1"/>
  <c r="N880" i="20" s="1"/>
  <c r="D904" i="20"/>
  <c r="F904" i="20" s="1"/>
  <c r="C904" i="20"/>
  <c r="B904" i="20"/>
  <c r="D903" i="20"/>
  <c r="F903" i="20" s="1"/>
  <c r="C903" i="20"/>
  <c r="B903" i="20"/>
  <c r="D902" i="20"/>
  <c r="F902" i="20" s="1"/>
  <c r="C902" i="20"/>
  <c r="B902" i="20"/>
  <c r="D901" i="20"/>
  <c r="F901" i="20" s="1"/>
  <c r="C901" i="20"/>
  <c r="B901" i="20"/>
  <c r="D900" i="20"/>
  <c r="F900" i="20" s="1"/>
  <c r="C900" i="20"/>
  <c r="B900" i="20"/>
  <c r="D899" i="20"/>
  <c r="F899" i="20" s="1"/>
  <c r="C899" i="20"/>
  <c r="B899" i="20"/>
  <c r="C898" i="20"/>
  <c r="B898" i="20"/>
  <c r="C897" i="20"/>
  <c r="B897" i="20"/>
  <c r="C896" i="20"/>
  <c r="B896" i="20"/>
  <c r="C895" i="20"/>
  <c r="B895" i="20"/>
  <c r="C894" i="20"/>
  <c r="B894" i="20"/>
  <c r="C893" i="20"/>
  <c r="B893" i="20"/>
  <c r="C892" i="20"/>
  <c r="C891" i="20"/>
  <c r="D887" i="20"/>
  <c r="B887" i="20"/>
  <c r="D886" i="20"/>
  <c r="B886" i="20"/>
  <c r="D885" i="20"/>
  <c r="B885" i="20"/>
  <c r="G882" i="20"/>
  <c r="I903" i="20" s="1"/>
  <c r="G881" i="20"/>
  <c r="B881" i="20"/>
  <c r="B880" i="20"/>
  <c r="H879" i="20"/>
  <c r="B876" i="20"/>
  <c r="H875" i="20"/>
  <c r="E913" i="20" s="1"/>
  <c r="B1122" i="20"/>
  <c r="B1121" i="20"/>
  <c r="E1116" i="20"/>
  <c r="F1116" i="20" s="1"/>
  <c r="H1117" i="20" s="1"/>
  <c r="N1088" i="20" s="1"/>
  <c r="D1112" i="20"/>
  <c r="F1112" i="20" s="1"/>
  <c r="C1112" i="20"/>
  <c r="B1112" i="20"/>
  <c r="D1111" i="20"/>
  <c r="F1111" i="20" s="1"/>
  <c r="C1111" i="20"/>
  <c r="B1111" i="20"/>
  <c r="D1110" i="20"/>
  <c r="F1110" i="20" s="1"/>
  <c r="C1110" i="20"/>
  <c r="B1110" i="20"/>
  <c r="D1109" i="20"/>
  <c r="F1109" i="20" s="1"/>
  <c r="C1109" i="20"/>
  <c r="B1109" i="20"/>
  <c r="D1108" i="20"/>
  <c r="F1108" i="20" s="1"/>
  <c r="C1108" i="20"/>
  <c r="B1108" i="20"/>
  <c r="D1107" i="20"/>
  <c r="F1107" i="20" s="1"/>
  <c r="C1107" i="20"/>
  <c r="B1107" i="20"/>
  <c r="C1106" i="20"/>
  <c r="B1106" i="20"/>
  <c r="C1105" i="20"/>
  <c r="B1105" i="20"/>
  <c r="C1104" i="20"/>
  <c r="B1104" i="20"/>
  <c r="C1103" i="20"/>
  <c r="B1103" i="20"/>
  <c r="C1102" i="20"/>
  <c r="B1102" i="20"/>
  <c r="C1101" i="20"/>
  <c r="B1101" i="20"/>
  <c r="C1100" i="20"/>
  <c r="C1099" i="20"/>
  <c r="D1095" i="20"/>
  <c r="B1095" i="20"/>
  <c r="D1094" i="20"/>
  <c r="B1094" i="20"/>
  <c r="D1093" i="20"/>
  <c r="B1093" i="20"/>
  <c r="G1090" i="20"/>
  <c r="I1111" i="20" s="1"/>
  <c r="G1089" i="20"/>
  <c r="B1089" i="20"/>
  <c r="B1088" i="20"/>
  <c r="H1087" i="20"/>
  <c r="B1084" i="20"/>
  <c r="H1083" i="20"/>
  <c r="E1121" i="20" s="1"/>
  <c r="B863" i="20"/>
  <c r="B862" i="20"/>
  <c r="E857" i="20"/>
  <c r="F857" i="20" s="1"/>
  <c r="H858" i="20" s="1"/>
  <c r="N829" i="20" s="1"/>
  <c r="D853" i="20"/>
  <c r="F853" i="20" s="1"/>
  <c r="C853" i="20"/>
  <c r="B853" i="20"/>
  <c r="D852" i="20"/>
  <c r="F852" i="20" s="1"/>
  <c r="C852" i="20"/>
  <c r="B852" i="20"/>
  <c r="D851" i="20"/>
  <c r="F851" i="20" s="1"/>
  <c r="C851" i="20"/>
  <c r="B851" i="20"/>
  <c r="D850" i="20"/>
  <c r="F850" i="20" s="1"/>
  <c r="C850" i="20"/>
  <c r="B850" i="20"/>
  <c r="D849" i="20"/>
  <c r="F849" i="20" s="1"/>
  <c r="C849" i="20"/>
  <c r="B849" i="20"/>
  <c r="D848" i="20"/>
  <c r="F848" i="20" s="1"/>
  <c r="C848" i="20"/>
  <c r="B848" i="20"/>
  <c r="C847" i="20"/>
  <c r="B847" i="20"/>
  <c r="C846" i="20"/>
  <c r="B846" i="20"/>
  <c r="C845" i="20"/>
  <c r="B845" i="20"/>
  <c r="C844" i="20"/>
  <c r="B844" i="20"/>
  <c r="C843" i="20"/>
  <c r="B843" i="20"/>
  <c r="C842" i="20"/>
  <c r="B842" i="20"/>
  <c r="C841" i="20"/>
  <c r="C840" i="20"/>
  <c r="D836" i="20"/>
  <c r="B836" i="20"/>
  <c r="D835" i="20"/>
  <c r="B835" i="20"/>
  <c r="D834" i="20"/>
  <c r="B834" i="20"/>
  <c r="G831" i="20"/>
  <c r="I852" i="20" s="1"/>
  <c r="G830" i="20"/>
  <c r="B830" i="20"/>
  <c r="B829" i="20"/>
  <c r="H828" i="20"/>
  <c r="B825" i="20"/>
  <c r="H824" i="20"/>
  <c r="E862" i="20" s="1"/>
  <c r="O3" i="25"/>
  <c r="N3" i="25"/>
  <c r="M3" i="25"/>
  <c r="L3" i="25"/>
  <c r="K3" i="25"/>
  <c r="P10" i="25" s="1"/>
  <c r="J3" i="25"/>
  <c r="I3" i="25"/>
  <c r="H3" i="25"/>
  <c r="G3" i="25"/>
  <c r="I171" i="4"/>
  <c r="K171" i="4" s="1"/>
  <c r="F171" i="4" s="1"/>
  <c r="D1712" i="20" s="1"/>
  <c r="F1712" i="20" s="1"/>
  <c r="I170" i="4"/>
  <c r="K170" i="4" s="1"/>
  <c r="F170" i="4" s="1"/>
  <c r="D1660" i="20" s="1"/>
  <c r="F1660" i="20" s="1"/>
  <c r="I153" i="4"/>
  <c r="K153" i="4" s="1"/>
  <c r="F153" i="4" s="1"/>
  <c r="D891" i="20" s="1"/>
  <c r="F891" i="20" s="1"/>
  <c r="I152" i="4"/>
  <c r="K152" i="4" s="1"/>
  <c r="F152" i="4" s="1"/>
  <c r="D840" i="20" s="1"/>
  <c r="F840" i="20" s="1"/>
  <c r="I155" i="4"/>
  <c r="K155" i="4" s="1"/>
  <c r="F155" i="4" s="1"/>
  <c r="D993" i="20" s="1"/>
  <c r="F993" i="20" s="1"/>
  <c r="I154" i="4"/>
  <c r="K154" i="4" s="1"/>
  <c r="F154" i="4" s="1"/>
  <c r="I158" i="4"/>
  <c r="K158" i="4" s="1"/>
  <c r="F158" i="4" s="1"/>
  <c r="D1099" i="20" s="1"/>
  <c r="F1099" i="20" s="1"/>
  <c r="I156" i="4"/>
  <c r="K156" i="4" s="1"/>
  <c r="F156" i="4" s="1"/>
  <c r="D1044" i="20" s="1"/>
  <c r="F1044" i="20" s="1"/>
  <c r="I160" i="4"/>
  <c r="K160" i="4" s="1"/>
  <c r="F160" i="4" s="1"/>
  <c r="D1201" i="20" s="1"/>
  <c r="F1201" i="20" s="1"/>
  <c r="I159" i="4"/>
  <c r="K159" i="4" s="1"/>
  <c r="F159" i="4" s="1"/>
  <c r="D1150" i="20" s="1"/>
  <c r="F1150" i="20" s="1"/>
  <c r="I162" i="4"/>
  <c r="K162" i="4" s="1"/>
  <c r="F162" i="4" s="1"/>
  <c r="I161" i="4"/>
  <c r="K161" i="4" s="1"/>
  <c r="F161" i="4" s="1"/>
  <c r="D1252" i="20" s="1"/>
  <c r="F1252" i="20" s="1"/>
  <c r="I164" i="4"/>
  <c r="K164" i="4" s="1"/>
  <c r="F164" i="4" s="1"/>
  <c r="D1405" i="20" s="1"/>
  <c r="F1405" i="20" s="1"/>
  <c r="I163" i="4"/>
  <c r="K163" i="4" s="1"/>
  <c r="F163" i="4" s="1"/>
  <c r="D1354" i="20" s="1"/>
  <c r="F1354" i="20" s="1"/>
  <c r="I166" i="4"/>
  <c r="K166" i="4" s="1"/>
  <c r="F166" i="4" s="1"/>
  <c r="D1507" i="20" s="1"/>
  <c r="F1507" i="20" s="1"/>
  <c r="I165" i="4"/>
  <c r="K165" i="4" s="1"/>
  <c r="F165" i="4" s="1"/>
  <c r="D1456" i="20" s="1"/>
  <c r="F1456" i="20" s="1"/>
  <c r="I168" i="4"/>
  <c r="K168" i="4" s="1"/>
  <c r="F168" i="4" s="1"/>
  <c r="D1609" i="20" s="1"/>
  <c r="F1609" i="20" s="1"/>
  <c r="I167" i="4"/>
  <c r="K167" i="4" s="1"/>
  <c r="F167" i="4" s="1"/>
  <c r="D1558" i="20" s="1"/>
  <c r="F1558" i="20" s="1"/>
  <c r="I172" i="4"/>
  <c r="K172" i="4" s="1"/>
  <c r="F172" i="4" s="1"/>
  <c r="D2018" i="20" s="1"/>
  <c r="F2018" i="20" s="1"/>
  <c r="I195" i="4"/>
  <c r="K195" i="4" s="1"/>
  <c r="F195" i="4" s="1"/>
  <c r="D3243" i="20" s="1"/>
  <c r="F3243" i="20" s="1"/>
  <c r="P28" i="25" l="1"/>
  <c r="G177" i="4" s="1"/>
  <c r="I177" i="4" s="1"/>
  <c r="K177" i="4" s="1"/>
  <c r="F177" i="4" s="1"/>
  <c r="D3804" i="20" s="1"/>
  <c r="F3804" i="20" s="1"/>
  <c r="P27" i="25"/>
  <c r="P26" i="25"/>
  <c r="P25" i="25"/>
  <c r="G179" i="4" s="1"/>
  <c r="I179" i="4" s="1"/>
  <c r="K179" i="4" s="1"/>
  <c r="F179" i="4" s="1"/>
  <c r="D3396" i="20" s="1"/>
  <c r="F3396" i="20" s="1"/>
  <c r="D1303" i="20"/>
  <c r="F1303" i="20" s="1"/>
  <c r="D3702" i="20"/>
  <c r="F3702" i="20" s="1"/>
  <c r="D942" i="20"/>
  <c r="F942" i="20" s="1"/>
  <c r="P21" i="25"/>
  <c r="G174" i="4" s="1"/>
  <c r="I174" i="4" s="1"/>
  <c r="K174" i="4" s="1"/>
  <c r="F174" i="4" s="1"/>
  <c r="P24" i="25"/>
  <c r="G180" i="4" s="1"/>
  <c r="I180" i="4" s="1"/>
  <c r="K180" i="4" s="1"/>
  <c r="F180" i="4" s="1"/>
  <c r="D2376" i="20" s="1"/>
  <c r="F2376" i="20" s="1"/>
  <c r="P23" i="25"/>
  <c r="G178" i="4" s="1"/>
  <c r="I178" i="4" s="1"/>
  <c r="K178" i="4" s="1"/>
  <c r="F178" i="4" s="1"/>
  <c r="D2325" i="20" s="1"/>
  <c r="F2325" i="20" s="1"/>
  <c r="P22" i="25"/>
  <c r="I176" i="4" s="1"/>
  <c r="K176" i="4" s="1"/>
  <c r="F176" i="4" s="1"/>
  <c r="D3753" i="20" s="1"/>
  <c r="F3753" i="20" s="1"/>
  <c r="F885" i="20"/>
  <c r="F936" i="20"/>
  <c r="F987" i="20"/>
  <c r="D1763" i="20"/>
  <c r="F1763" i="20" s="1"/>
  <c r="D1814" i="20"/>
  <c r="F1814" i="20" s="1"/>
  <c r="E914" i="20"/>
  <c r="E965" i="20"/>
  <c r="F1144" i="20"/>
  <c r="F1038" i="20"/>
  <c r="E1016" i="20"/>
  <c r="E1067" i="20"/>
  <c r="E1173" i="20"/>
  <c r="I1150" i="20"/>
  <c r="I1155" i="20"/>
  <c r="I1151" i="20"/>
  <c r="I1163" i="20"/>
  <c r="I1159" i="20"/>
  <c r="I1057" i="20"/>
  <c r="F1145" i="20"/>
  <c r="I1152" i="20"/>
  <c r="I1156" i="20"/>
  <c r="I1160" i="20"/>
  <c r="F1146" i="20"/>
  <c r="I1153" i="20"/>
  <c r="I1157" i="20"/>
  <c r="I1161" i="20"/>
  <c r="E1171" i="20"/>
  <c r="I1044" i="20"/>
  <c r="I1045" i="20"/>
  <c r="I1154" i="20"/>
  <c r="I1158" i="20"/>
  <c r="I1053" i="20"/>
  <c r="I1049" i="20"/>
  <c r="F1039" i="20"/>
  <c r="I1046" i="20"/>
  <c r="I1050" i="20"/>
  <c r="I1054" i="20"/>
  <c r="F1040" i="20"/>
  <c r="I1047" i="20"/>
  <c r="I1051" i="20"/>
  <c r="I1055" i="20"/>
  <c r="E1065" i="20"/>
  <c r="I1048" i="20"/>
  <c r="I1052" i="20"/>
  <c r="I994" i="20"/>
  <c r="I1006" i="20"/>
  <c r="I993" i="20"/>
  <c r="I1002" i="20"/>
  <c r="I998" i="20"/>
  <c r="I955" i="20"/>
  <c r="F988" i="20"/>
  <c r="I995" i="20"/>
  <c r="I999" i="20"/>
  <c r="I1003" i="20"/>
  <c r="F989" i="20"/>
  <c r="I996" i="20"/>
  <c r="I1000" i="20"/>
  <c r="I1004" i="20"/>
  <c r="E1014" i="20"/>
  <c r="I942" i="20"/>
  <c r="I943" i="20"/>
  <c r="I997" i="20"/>
  <c r="I1001" i="20"/>
  <c r="I951" i="20"/>
  <c r="I947" i="20"/>
  <c r="F937" i="20"/>
  <c r="I944" i="20"/>
  <c r="I948" i="20"/>
  <c r="I952" i="20"/>
  <c r="F938" i="20"/>
  <c r="I945" i="20"/>
  <c r="I949" i="20"/>
  <c r="I953" i="20"/>
  <c r="E963" i="20"/>
  <c r="I946" i="20"/>
  <c r="I950" i="20"/>
  <c r="I904" i="20"/>
  <c r="I891" i="20"/>
  <c r="I892" i="20"/>
  <c r="I900" i="20"/>
  <c r="I896" i="20"/>
  <c r="F886" i="20"/>
  <c r="I893" i="20"/>
  <c r="I897" i="20"/>
  <c r="I901" i="20"/>
  <c r="F887" i="20"/>
  <c r="I894" i="20"/>
  <c r="I898" i="20"/>
  <c r="I902" i="20"/>
  <c r="E912" i="20"/>
  <c r="I895" i="20"/>
  <c r="I899" i="20"/>
  <c r="I1112" i="20"/>
  <c r="I1104" i="20"/>
  <c r="F1093" i="20"/>
  <c r="I1100" i="20"/>
  <c r="I1099" i="20"/>
  <c r="I1101" i="20"/>
  <c r="I1108" i="20"/>
  <c r="E1122" i="20"/>
  <c r="F1094" i="20"/>
  <c r="I1105" i="20"/>
  <c r="I1109" i="20"/>
  <c r="F1095" i="20"/>
  <c r="I1102" i="20"/>
  <c r="I1106" i="20"/>
  <c r="I1110" i="20"/>
  <c r="E1120" i="20"/>
  <c r="I1103" i="20"/>
  <c r="I1107" i="20"/>
  <c r="I840" i="20"/>
  <c r="I841" i="20"/>
  <c r="I853" i="20"/>
  <c r="I849" i="20"/>
  <c r="I845" i="20"/>
  <c r="F834" i="20"/>
  <c r="E863" i="20"/>
  <c r="F835" i="20"/>
  <c r="I842" i="20"/>
  <c r="I846" i="20"/>
  <c r="I850" i="20"/>
  <c r="F836" i="20"/>
  <c r="I843" i="20"/>
  <c r="I847" i="20"/>
  <c r="I851" i="20"/>
  <c r="E861" i="20"/>
  <c r="I844" i="20"/>
  <c r="I848" i="20"/>
  <c r="P6" i="25"/>
  <c r="P18" i="25"/>
  <c r="P3" i="25"/>
  <c r="G173" i="4" s="1"/>
  <c r="I173" i="4" s="1"/>
  <c r="K173" i="4" s="1"/>
  <c r="F173" i="4" s="1"/>
  <c r="D3855" i="20" s="1"/>
  <c r="F3855" i="20" s="1"/>
  <c r="P7" i="25"/>
  <c r="P11" i="25"/>
  <c r="P15" i="25"/>
  <c r="P19" i="25"/>
  <c r="P4" i="25"/>
  <c r="P8" i="25"/>
  <c r="P12" i="25"/>
  <c r="P16" i="25"/>
  <c r="P20" i="25"/>
  <c r="P14" i="25"/>
  <c r="P5" i="25"/>
  <c r="P9" i="25"/>
  <c r="P13" i="25"/>
  <c r="P17" i="25"/>
  <c r="G175" i="4" l="1"/>
  <c r="I175" i="4" s="1"/>
  <c r="K175" i="4" s="1"/>
  <c r="F175" i="4" s="1"/>
  <c r="D3498" i="20" s="1"/>
  <c r="F3498" i="20" s="1"/>
  <c r="G157" i="4"/>
  <c r="I157" i="4" s="1"/>
  <c r="K157" i="4" s="1"/>
  <c r="F157" i="4" s="1"/>
  <c r="D3549" i="20" s="1"/>
  <c r="F3549" i="20" s="1"/>
  <c r="D2274" i="20"/>
  <c r="F2274" i="20" s="1"/>
  <c r="H8976" i="20"/>
  <c r="E9019" i="20" s="1"/>
  <c r="B9019" i="20"/>
  <c r="B9018" i="20"/>
  <c r="E9013" i="20"/>
  <c r="F9013" i="20" s="1"/>
  <c r="H9014" i="20" s="1"/>
  <c r="N8981" i="20" s="1"/>
  <c r="D9009" i="20"/>
  <c r="F9009" i="20" s="1"/>
  <c r="C9009" i="20"/>
  <c r="B9009" i="20"/>
  <c r="D9008" i="20"/>
  <c r="F9008" i="20" s="1"/>
  <c r="C9008" i="20"/>
  <c r="B9008" i="20"/>
  <c r="D9007" i="20"/>
  <c r="F9007" i="20" s="1"/>
  <c r="C9007" i="20"/>
  <c r="B9007" i="20"/>
  <c r="D9006" i="20"/>
  <c r="F9006" i="20" s="1"/>
  <c r="C9006" i="20"/>
  <c r="B9006" i="20"/>
  <c r="D9005" i="20"/>
  <c r="F9005" i="20" s="1"/>
  <c r="C9005" i="20"/>
  <c r="B9005" i="20"/>
  <c r="D9004" i="20"/>
  <c r="F9004" i="20" s="1"/>
  <c r="C9004" i="20"/>
  <c r="B9004" i="20"/>
  <c r="D9003" i="20"/>
  <c r="F9003" i="20" s="1"/>
  <c r="C9003" i="20"/>
  <c r="B9003" i="20"/>
  <c r="D9002" i="20"/>
  <c r="F9002" i="20" s="1"/>
  <c r="C9002" i="20"/>
  <c r="B9002" i="20"/>
  <c r="D9001" i="20"/>
  <c r="F9001" i="20" s="1"/>
  <c r="C9001" i="20"/>
  <c r="B9001" i="20"/>
  <c r="D9000" i="20"/>
  <c r="F9000" i="20" s="1"/>
  <c r="C9000" i="20"/>
  <c r="B9000" i="20"/>
  <c r="D8999" i="20"/>
  <c r="F8999" i="20" s="1"/>
  <c r="C8999" i="20"/>
  <c r="B8999" i="20"/>
  <c r="D8998" i="20"/>
  <c r="F8998" i="20" s="1"/>
  <c r="C8998" i="20"/>
  <c r="B8998" i="20"/>
  <c r="D8997" i="20"/>
  <c r="F8997" i="20" s="1"/>
  <c r="C8997" i="20"/>
  <c r="B8997" i="20"/>
  <c r="D8996" i="20"/>
  <c r="F8996" i="20" s="1"/>
  <c r="C8996" i="20"/>
  <c r="B8996" i="20"/>
  <c r="D8995" i="20"/>
  <c r="F8995" i="20" s="1"/>
  <c r="C8995" i="20"/>
  <c r="B8995" i="20"/>
  <c r="C8994" i="20"/>
  <c r="C8993" i="20"/>
  <c r="E8989" i="20"/>
  <c r="D8989" i="20"/>
  <c r="B8989" i="20"/>
  <c r="D8988" i="20"/>
  <c r="B8988" i="20"/>
  <c r="D8987" i="20"/>
  <c r="B8987" i="20"/>
  <c r="D8986" i="20"/>
  <c r="B8986" i="20"/>
  <c r="G8983" i="20"/>
  <c r="I9008" i="20" s="1"/>
  <c r="G8982" i="20"/>
  <c r="B8982" i="20"/>
  <c r="B8981" i="20"/>
  <c r="H8980" i="20"/>
  <c r="B8977" i="20"/>
  <c r="H9141" i="20"/>
  <c r="E9180" i="20" s="1"/>
  <c r="I332" i="4"/>
  <c r="K332" i="4" s="1"/>
  <c r="G335" i="4"/>
  <c r="I335" i="4" s="1"/>
  <c r="K335" i="4" s="1"/>
  <c r="I334" i="4"/>
  <c r="K334" i="4" s="1"/>
  <c r="I333" i="4"/>
  <c r="K333" i="4" s="1"/>
  <c r="I331" i="4"/>
  <c r="K331" i="4" s="1"/>
  <c r="B9181" i="20"/>
  <c r="B9180" i="20"/>
  <c r="E9175" i="20"/>
  <c r="F9175" i="20" s="1"/>
  <c r="H9176" i="20" s="1"/>
  <c r="N9146" i="20" s="1"/>
  <c r="D9171" i="20"/>
  <c r="F9171" i="20" s="1"/>
  <c r="C9171" i="20"/>
  <c r="B9171" i="20"/>
  <c r="D9170" i="20"/>
  <c r="F9170" i="20" s="1"/>
  <c r="C9170" i="20"/>
  <c r="B9170" i="20"/>
  <c r="D9169" i="20"/>
  <c r="F9169" i="20" s="1"/>
  <c r="C9169" i="20"/>
  <c r="B9169" i="20"/>
  <c r="D9168" i="20"/>
  <c r="F9168" i="20" s="1"/>
  <c r="C9168" i="20"/>
  <c r="B9168" i="20"/>
  <c r="D9167" i="20"/>
  <c r="F9167" i="20" s="1"/>
  <c r="C9167" i="20"/>
  <c r="B9167" i="20"/>
  <c r="D9166" i="20"/>
  <c r="F9166" i="20" s="1"/>
  <c r="C9166" i="20"/>
  <c r="B9166" i="20"/>
  <c r="D9165" i="20"/>
  <c r="F9165" i="20" s="1"/>
  <c r="C9165" i="20"/>
  <c r="B9165" i="20"/>
  <c r="C9164" i="20"/>
  <c r="B9164" i="20"/>
  <c r="C9163" i="20"/>
  <c r="B9163" i="20"/>
  <c r="C9162" i="20"/>
  <c r="B9162" i="20"/>
  <c r="C9161" i="20"/>
  <c r="B9161" i="20"/>
  <c r="C9160" i="20"/>
  <c r="B9160" i="20"/>
  <c r="C9159" i="20"/>
  <c r="C9158" i="20"/>
  <c r="E9154" i="20"/>
  <c r="D9154" i="20"/>
  <c r="B9154" i="20"/>
  <c r="E9153" i="20"/>
  <c r="D9153" i="20"/>
  <c r="B9153" i="20"/>
  <c r="D9152" i="20"/>
  <c r="B9152" i="20"/>
  <c r="D9151" i="20"/>
  <c r="B9151" i="20"/>
  <c r="G9148" i="20"/>
  <c r="I9170" i="20" s="1"/>
  <c r="G9147" i="20"/>
  <c r="B9147" i="20"/>
  <c r="B9146" i="20"/>
  <c r="H9145" i="20"/>
  <c r="B9142" i="20"/>
  <c r="E9128" i="20"/>
  <c r="F8931" i="20"/>
  <c r="I330" i="4"/>
  <c r="K330" i="4" s="1"/>
  <c r="B9129" i="20"/>
  <c r="B9128" i="20"/>
  <c r="E9123" i="20"/>
  <c r="F9123" i="20" s="1"/>
  <c r="H9124" i="20" s="1"/>
  <c r="N9094" i="20" s="1"/>
  <c r="D9119" i="20"/>
  <c r="F9119" i="20" s="1"/>
  <c r="C9119" i="20"/>
  <c r="B9119" i="20"/>
  <c r="D9118" i="20"/>
  <c r="F9118" i="20" s="1"/>
  <c r="C9118" i="20"/>
  <c r="B9118" i="20"/>
  <c r="D9117" i="20"/>
  <c r="F9117" i="20" s="1"/>
  <c r="C9117" i="20"/>
  <c r="B9117" i="20"/>
  <c r="D9116" i="20"/>
  <c r="F9116" i="20" s="1"/>
  <c r="C9116" i="20"/>
  <c r="B9116" i="20"/>
  <c r="D9115" i="20"/>
  <c r="F9115" i="20" s="1"/>
  <c r="C9115" i="20"/>
  <c r="B9115" i="20"/>
  <c r="D9114" i="20"/>
  <c r="F9114" i="20" s="1"/>
  <c r="C9114" i="20"/>
  <c r="B9114" i="20"/>
  <c r="D9113" i="20"/>
  <c r="F9113" i="20" s="1"/>
  <c r="C9113" i="20"/>
  <c r="B9113" i="20"/>
  <c r="D9112" i="20"/>
  <c r="F9112" i="20" s="1"/>
  <c r="C9112" i="20"/>
  <c r="B9112" i="20"/>
  <c r="D9111" i="20"/>
  <c r="F9111" i="20" s="1"/>
  <c r="C9111" i="20"/>
  <c r="B9111" i="20"/>
  <c r="D9110" i="20"/>
  <c r="F9110" i="20" s="1"/>
  <c r="C9110" i="20"/>
  <c r="B9110" i="20"/>
  <c r="C9109" i="20"/>
  <c r="B9109" i="20"/>
  <c r="C9108" i="20"/>
  <c r="B9108" i="20"/>
  <c r="C9107" i="20"/>
  <c r="C9106" i="20"/>
  <c r="E9102" i="20"/>
  <c r="D9102" i="20"/>
  <c r="B9102" i="20"/>
  <c r="E9101" i="20"/>
  <c r="D9101" i="20"/>
  <c r="B9101" i="20"/>
  <c r="D9100" i="20"/>
  <c r="B9100" i="20"/>
  <c r="D9099" i="20"/>
  <c r="B9099" i="20"/>
  <c r="G9096" i="20"/>
  <c r="I9113" i="20" s="1"/>
  <c r="G9095" i="20"/>
  <c r="B9095" i="20"/>
  <c r="B9094" i="20"/>
  <c r="H9093" i="20"/>
  <c r="B9090" i="20"/>
  <c r="B8964" i="20"/>
  <c r="B8963" i="20"/>
  <c r="E8958" i="20"/>
  <c r="F8958" i="20" s="1"/>
  <c r="H8959" i="20" s="1"/>
  <c r="N8926" i="20" s="1"/>
  <c r="D8954" i="20"/>
  <c r="F8954" i="20" s="1"/>
  <c r="C8954" i="20"/>
  <c r="B8954" i="20"/>
  <c r="D8953" i="20"/>
  <c r="F8953" i="20" s="1"/>
  <c r="C8953" i="20"/>
  <c r="B8953" i="20"/>
  <c r="D8952" i="20"/>
  <c r="F8952" i="20" s="1"/>
  <c r="C8952" i="20"/>
  <c r="B8952" i="20"/>
  <c r="D8951" i="20"/>
  <c r="F8951" i="20" s="1"/>
  <c r="C8951" i="20"/>
  <c r="B8951" i="20"/>
  <c r="D8950" i="20"/>
  <c r="F8950" i="20" s="1"/>
  <c r="C8950" i="20"/>
  <c r="B8950" i="20"/>
  <c r="D8949" i="20"/>
  <c r="F8949" i="20" s="1"/>
  <c r="C8949" i="20"/>
  <c r="B8949" i="20"/>
  <c r="D8948" i="20"/>
  <c r="F8948" i="20" s="1"/>
  <c r="C8948" i="20"/>
  <c r="B8948" i="20"/>
  <c r="D8947" i="20"/>
  <c r="F8947" i="20" s="1"/>
  <c r="C8947" i="20"/>
  <c r="B8947" i="20"/>
  <c r="D8946" i="20"/>
  <c r="F8946" i="20" s="1"/>
  <c r="C8946" i="20"/>
  <c r="B8946" i="20"/>
  <c r="D8945" i="20"/>
  <c r="F8945" i="20" s="1"/>
  <c r="C8945" i="20"/>
  <c r="B8945" i="20"/>
  <c r="D8944" i="20"/>
  <c r="F8944" i="20" s="1"/>
  <c r="C8944" i="20"/>
  <c r="B8944" i="20"/>
  <c r="D8943" i="20"/>
  <c r="F8943" i="20" s="1"/>
  <c r="C8943" i="20"/>
  <c r="B8943" i="20"/>
  <c r="D8942" i="20"/>
  <c r="F8942" i="20" s="1"/>
  <c r="C8942" i="20"/>
  <c r="B8942" i="20"/>
  <c r="D8941" i="20"/>
  <c r="F8941" i="20" s="1"/>
  <c r="C8941" i="20"/>
  <c r="B8941" i="20"/>
  <c r="C8940" i="20"/>
  <c r="B8940" i="20"/>
  <c r="C8939" i="20"/>
  <c r="C8938" i="20"/>
  <c r="E8934" i="20"/>
  <c r="D8934" i="20"/>
  <c r="B8934" i="20"/>
  <c r="E8933" i="20"/>
  <c r="D8933" i="20"/>
  <c r="B8933" i="20"/>
  <c r="D8932" i="20"/>
  <c r="B8932" i="20"/>
  <c r="D8931" i="20"/>
  <c r="B8931" i="20"/>
  <c r="G8928" i="20"/>
  <c r="I8945" i="20" s="1"/>
  <c r="G8927" i="20"/>
  <c r="B8927" i="20"/>
  <c r="B8926" i="20"/>
  <c r="H8925" i="20"/>
  <c r="B8922" i="20"/>
  <c r="C8371" i="20"/>
  <c r="B8371" i="20"/>
  <c r="C8367" i="20"/>
  <c r="B8367" i="20"/>
  <c r="C8368" i="20"/>
  <c r="B8368" i="20"/>
  <c r="E8963" i="20" l="1"/>
  <c r="I9009" i="20"/>
  <c r="E9018" i="20"/>
  <c r="F8988" i="20"/>
  <c r="F8989" i="20"/>
  <c r="G8989" i="20" s="1"/>
  <c r="F8986" i="20"/>
  <c r="I9005" i="20"/>
  <c r="I9001" i="20"/>
  <c r="I8997" i="20"/>
  <c r="F8987" i="20"/>
  <c r="I8993" i="20"/>
  <c r="I8994" i="20"/>
  <c r="I8998" i="20"/>
  <c r="I9002" i="20"/>
  <c r="I9006" i="20"/>
  <c r="I8995" i="20"/>
  <c r="I8999" i="20"/>
  <c r="I9003" i="20"/>
  <c r="I9007" i="20"/>
  <c r="E9017" i="20"/>
  <c r="I8996" i="20"/>
  <c r="I9000" i="20"/>
  <c r="I9004" i="20"/>
  <c r="I9159" i="20"/>
  <c r="I8949" i="20"/>
  <c r="I9167" i="20"/>
  <c r="I9158" i="20"/>
  <c r="I9171" i="20"/>
  <c r="I9163" i="20"/>
  <c r="F9152" i="20"/>
  <c r="E9181" i="20"/>
  <c r="I8950" i="20"/>
  <c r="F9153" i="20"/>
  <c r="G9153" i="20" s="1"/>
  <c r="I9160" i="20"/>
  <c r="I9164" i="20"/>
  <c r="I9168" i="20"/>
  <c r="I8953" i="20"/>
  <c r="F9154" i="20"/>
  <c r="G9154" i="20" s="1"/>
  <c r="I9161" i="20"/>
  <c r="I9165" i="20"/>
  <c r="I9169" i="20"/>
  <c r="E9179" i="20"/>
  <c r="F9151" i="20"/>
  <c r="I9162" i="20"/>
  <c r="I9166" i="20"/>
  <c r="E9129" i="20"/>
  <c r="F9101" i="20"/>
  <c r="G9101" i="20" s="1"/>
  <c r="F9102" i="20"/>
  <c r="G9102" i="20" s="1"/>
  <c r="F9099" i="20"/>
  <c r="E8964" i="20"/>
  <c r="I9110" i="20"/>
  <c r="I9114" i="20"/>
  <c r="I9119" i="20"/>
  <c r="F9100" i="20"/>
  <c r="I9106" i="20"/>
  <c r="I9107" i="20"/>
  <c r="I9111" i="20"/>
  <c r="I9115" i="20"/>
  <c r="I9117" i="20"/>
  <c r="I9108" i="20"/>
  <c r="I9112" i="20"/>
  <c r="I9116" i="20"/>
  <c r="I9118" i="20"/>
  <c r="E9127" i="20"/>
  <c r="I9109" i="20"/>
  <c r="I8942" i="20"/>
  <c r="I8954" i="20"/>
  <c r="I8938" i="20"/>
  <c r="I8939" i="20"/>
  <c r="I8943" i="20"/>
  <c r="I8946" i="20"/>
  <c r="I8947" i="20"/>
  <c r="I8951" i="20"/>
  <c r="F8933" i="20"/>
  <c r="G8933" i="20" s="1"/>
  <c r="I8940" i="20"/>
  <c r="I8944" i="20"/>
  <c r="I8948" i="20"/>
  <c r="I8952" i="20"/>
  <c r="E8962" i="20"/>
  <c r="F8932" i="20"/>
  <c r="F8934" i="20"/>
  <c r="G8934" i="20" s="1"/>
  <c r="I8941" i="20"/>
  <c r="B8382" i="20"/>
  <c r="B8381" i="20"/>
  <c r="E8376" i="20"/>
  <c r="F8376" i="20" s="1"/>
  <c r="H8377" i="20" s="1"/>
  <c r="N8344" i="20" s="1"/>
  <c r="C8372" i="20"/>
  <c r="B8372" i="20"/>
  <c r="C8370" i="20"/>
  <c r="B8370" i="20"/>
  <c r="C8369" i="20"/>
  <c r="B8369" i="20"/>
  <c r="C8366" i="20"/>
  <c r="B8366" i="20"/>
  <c r="C8365" i="20"/>
  <c r="B8365" i="20"/>
  <c r="C8364" i="20"/>
  <c r="B8364" i="20"/>
  <c r="C8363" i="20"/>
  <c r="B8363" i="20"/>
  <c r="C8362" i="20"/>
  <c r="B8362" i="20"/>
  <c r="C8361" i="20"/>
  <c r="B8361" i="20"/>
  <c r="C8360" i="20"/>
  <c r="B8360" i="20"/>
  <c r="C8359" i="20"/>
  <c r="B8359" i="20"/>
  <c r="C8358" i="20"/>
  <c r="B8358" i="20"/>
  <c r="C8357" i="20"/>
  <c r="C8356" i="20"/>
  <c r="E8352" i="20"/>
  <c r="D8352" i="20"/>
  <c r="B8352" i="20"/>
  <c r="E8351" i="20"/>
  <c r="D8351" i="20"/>
  <c r="B8351" i="20"/>
  <c r="E8350" i="20"/>
  <c r="D8350" i="20"/>
  <c r="B8350" i="20"/>
  <c r="D8349" i="20"/>
  <c r="B8349" i="20"/>
  <c r="G8346" i="20"/>
  <c r="G8345" i="20"/>
  <c r="B8345" i="20"/>
  <c r="B8344" i="20"/>
  <c r="H8343" i="20"/>
  <c r="B8340" i="20"/>
  <c r="E8381" i="20"/>
  <c r="B6291" i="20"/>
  <c r="B6290" i="20"/>
  <c r="E6285" i="20"/>
  <c r="F6285" i="20" s="1"/>
  <c r="H6286" i="20" s="1"/>
  <c r="N6256" i="20" s="1"/>
  <c r="D6281" i="20"/>
  <c r="F6281" i="20" s="1"/>
  <c r="C6281" i="20"/>
  <c r="B6281" i="20"/>
  <c r="D6280" i="20"/>
  <c r="F6280" i="20" s="1"/>
  <c r="C6280" i="20"/>
  <c r="B6280" i="20"/>
  <c r="D6279" i="20"/>
  <c r="F6279" i="20" s="1"/>
  <c r="C6279" i="20"/>
  <c r="B6279" i="20"/>
  <c r="D6278" i="20"/>
  <c r="F6278" i="20" s="1"/>
  <c r="C6278" i="20"/>
  <c r="B6278" i="20"/>
  <c r="D6277" i="20"/>
  <c r="F6277" i="20" s="1"/>
  <c r="C6277" i="20"/>
  <c r="B6277" i="20"/>
  <c r="D6276" i="20"/>
  <c r="F6276" i="20" s="1"/>
  <c r="C6276" i="20"/>
  <c r="B6276" i="20"/>
  <c r="D6275" i="20"/>
  <c r="F6275" i="20" s="1"/>
  <c r="C6275" i="20"/>
  <c r="B6275" i="20"/>
  <c r="D6274" i="20"/>
  <c r="F6274" i="20" s="1"/>
  <c r="C6274" i="20"/>
  <c r="B6274" i="20"/>
  <c r="D6273" i="20"/>
  <c r="F6273" i="20" s="1"/>
  <c r="C6273" i="20"/>
  <c r="B6273" i="20"/>
  <c r="D6272" i="20"/>
  <c r="F6272" i="20" s="1"/>
  <c r="C6272" i="20"/>
  <c r="B6272" i="20"/>
  <c r="D6271" i="20"/>
  <c r="F6271" i="20" s="1"/>
  <c r="C6271" i="20"/>
  <c r="B6271" i="20"/>
  <c r="D6270" i="20"/>
  <c r="F6270" i="20" s="1"/>
  <c r="C6270" i="20"/>
  <c r="B6270" i="20"/>
  <c r="D6269" i="20"/>
  <c r="F6269" i="20" s="1"/>
  <c r="C6269" i="20"/>
  <c r="D6268" i="20"/>
  <c r="F6268" i="20" s="1"/>
  <c r="C6268" i="20"/>
  <c r="E6264" i="20"/>
  <c r="D6264" i="20"/>
  <c r="B6264" i="20"/>
  <c r="E6263" i="20"/>
  <c r="D6263" i="20"/>
  <c r="B6263" i="20"/>
  <c r="E6262" i="20"/>
  <c r="D6262" i="20"/>
  <c r="B6262" i="20"/>
  <c r="D6261" i="20"/>
  <c r="B6261" i="20"/>
  <c r="G6258" i="20"/>
  <c r="I6280" i="20" s="1"/>
  <c r="G6257" i="20"/>
  <c r="B6257" i="20"/>
  <c r="B6256" i="20"/>
  <c r="H6255" i="20"/>
  <c r="B6252" i="20"/>
  <c r="E6290" i="20"/>
  <c r="B6239" i="20"/>
  <c r="B6238" i="20"/>
  <c r="E6233" i="20"/>
  <c r="F6233" i="20" s="1"/>
  <c r="H6234" i="20" s="1"/>
  <c r="N6204" i="20" s="1"/>
  <c r="D6229" i="20"/>
  <c r="F6229" i="20" s="1"/>
  <c r="C6229" i="20"/>
  <c r="B6229" i="20"/>
  <c r="D6228" i="20"/>
  <c r="F6228" i="20" s="1"/>
  <c r="C6228" i="20"/>
  <c r="B6228" i="20"/>
  <c r="D6227" i="20"/>
  <c r="F6227" i="20" s="1"/>
  <c r="C6227" i="20"/>
  <c r="B6227" i="20"/>
  <c r="D6226" i="20"/>
  <c r="F6226" i="20" s="1"/>
  <c r="C6226" i="20"/>
  <c r="B6226" i="20"/>
  <c r="D6225" i="20"/>
  <c r="F6225" i="20" s="1"/>
  <c r="C6225" i="20"/>
  <c r="B6225" i="20"/>
  <c r="D6224" i="20"/>
  <c r="F6224" i="20" s="1"/>
  <c r="C6224" i="20"/>
  <c r="B6224" i="20"/>
  <c r="D6223" i="20"/>
  <c r="F6223" i="20" s="1"/>
  <c r="C6223" i="20"/>
  <c r="B6223" i="20"/>
  <c r="D6222" i="20"/>
  <c r="F6222" i="20" s="1"/>
  <c r="C6222" i="20"/>
  <c r="B6222" i="20"/>
  <c r="D6221" i="20"/>
  <c r="F6221" i="20" s="1"/>
  <c r="C6221" i="20"/>
  <c r="B6221" i="20"/>
  <c r="D6220" i="20"/>
  <c r="F6220" i="20" s="1"/>
  <c r="C6220" i="20"/>
  <c r="B6220" i="20"/>
  <c r="D6219" i="20"/>
  <c r="F6219" i="20" s="1"/>
  <c r="C6219" i="20"/>
  <c r="B6219" i="20"/>
  <c r="D6218" i="20"/>
  <c r="F6218" i="20" s="1"/>
  <c r="C6218" i="20"/>
  <c r="B6218" i="20"/>
  <c r="D6217" i="20"/>
  <c r="F6217" i="20" s="1"/>
  <c r="C6217" i="20"/>
  <c r="C6216" i="20"/>
  <c r="E6212" i="20"/>
  <c r="D6212" i="20"/>
  <c r="B6212" i="20"/>
  <c r="E6211" i="20"/>
  <c r="D6211" i="20"/>
  <c r="B6211" i="20"/>
  <c r="E6210" i="20"/>
  <c r="D6210" i="20"/>
  <c r="B6210" i="20"/>
  <c r="D6209" i="20"/>
  <c r="B6209" i="20"/>
  <c r="G6206" i="20"/>
  <c r="I6228" i="20" s="1"/>
  <c r="G6205" i="20"/>
  <c r="B6205" i="20"/>
  <c r="B6204" i="20"/>
  <c r="H6203" i="20"/>
  <c r="B6200" i="20"/>
  <c r="E6238" i="20"/>
  <c r="B6187" i="20"/>
  <c r="B6186" i="20"/>
  <c r="E6181" i="20"/>
  <c r="F6181" i="20" s="1"/>
  <c r="H6182" i="20" s="1"/>
  <c r="N6152" i="20" s="1"/>
  <c r="D6177" i="20"/>
  <c r="F6177" i="20" s="1"/>
  <c r="C6177" i="20"/>
  <c r="B6177" i="20"/>
  <c r="D6176" i="20"/>
  <c r="F6176" i="20" s="1"/>
  <c r="C6176" i="20"/>
  <c r="B6176" i="20"/>
  <c r="D6175" i="20"/>
  <c r="F6175" i="20" s="1"/>
  <c r="C6175" i="20"/>
  <c r="B6175" i="20"/>
  <c r="D6174" i="20"/>
  <c r="F6174" i="20" s="1"/>
  <c r="C6174" i="20"/>
  <c r="B6174" i="20"/>
  <c r="D6173" i="20"/>
  <c r="F6173" i="20" s="1"/>
  <c r="C6173" i="20"/>
  <c r="B6173" i="20"/>
  <c r="D6172" i="20"/>
  <c r="F6172" i="20" s="1"/>
  <c r="C6172" i="20"/>
  <c r="B6172" i="20"/>
  <c r="D6171" i="20"/>
  <c r="F6171" i="20" s="1"/>
  <c r="C6171" i="20"/>
  <c r="B6171" i="20"/>
  <c r="D6170" i="20"/>
  <c r="F6170" i="20" s="1"/>
  <c r="C6170" i="20"/>
  <c r="B6170" i="20"/>
  <c r="D6169" i="20"/>
  <c r="F6169" i="20" s="1"/>
  <c r="C6169" i="20"/>
  <c r="B6169" i="20"/>
  <c r="D6168" i="20"/>
  <c r="F6168" i="20" s="1"/>
  <c r="C6168" i="20"/>
  <c r="B6168" i="20"/>
  <c r="D6167" i="20"/>
  <c r="F6167" i="20" s="1"/>
  <c r="C6167" i="20"/>
  <c r="B6167" i="20"/>
  <c r="D6166" i="20"/>
  <c r="F6166" i="20" s="1"/>
  <c r="C6166" i="20"/>
  <c r="B6166" i="20"/>
  <c r="D6165" i="20"/>
  <c r="F6165" i="20" s="1"/>
  <c r="C6165" i="20"/>
  <c r="C6164" i="20"/>
  <c r="E6160" i="20"/>
  <c r="D6160" i="20"/>
  <c r="B6160" i="20"/>
  <c r="E6159" i="20"/>
  <c r="D6159" i="20"/>
  <c r="B6159" i="20"/>
  <c r="D6158" i="20"/>
  <c r="B6158" i="20"/>
  <c r="D6157" i="20"/>
  <c r="B6157" i="20"/>
  <c r="G6154" i="20"/>
  <c r="I6176" i="20" s="1"/>
  <c r="G6153" i="20"/>
  <c r="B6153" i="20"/>
  <c r="B6152" i="20"/>
  <c r="H6151" i="20"/>
  <c r="B6148" i="20"/>
  <c r="E6186" i="20"/>
  <c r="B6135" i="20"/>
  <c r="B6134" i="20"/>
  <c r="E6129" i="20"/>
  <c r="F6129" i="20" s="1"/>
  <c r="H6130" i="20" s="1"/>
  <c r="N6100" i="20" s="1"/>
  <c r="D6125" i="20"/>
  <c r="F6125" i="20" s="1"/>
  <c r="C6125" i="20"/>
  <c r="B6125" i="20"/>
  <c r="D6124" i="20"/>
  <c r="F6124" i="20" s="1"/>
  <c r="C6124" i="20"/>
  <c r="B6124" i="20"/>
  <c r="D6123" i="20"/>
  <c r="F6123" i="20" s="1"/>
  <c r="C6123" i="20"/>
  <c r="B6123" i="20"/>
  <c r="D6122" i="20"/>
  <c r="F6122" i="20" s="1"/>
  <c r="C6122" i="20"/>
  <c r="B6122" i="20"/>
  <c r="D6121" i="20"/>
  <c r="F6121" i="20" s="1"/>
  <c r="C6121" i="20"/>
  <c r="B6121" i="20"/>
  <c r="D6120" i="20"/>
  <c r="F6120" i="20" s="1"/>
  <c r="C6120" i="20"/>
  <c r="B6120" i="20"/>
  <c r="D6119" i="20"/>
  <c r="F6119" i="20" s="1"/>
  <c r="C6119" i="20"/>
  <c r="B6119" i="20"/>
  <c r="D6118" i="20"/>
  <c r="F6118" i="20" s="1"/>
  <c r="C6118" i="20"/>
  <c r="B6118" i="20"/>
  <c r="D6117" i="20"/>
  <c r="F6117" i="20" s="1"/>
  <c r="C6117" i="20"/>
  <c r="B6117" i="20"/>
  <c r="D6116" i="20"/>
  <c r="F6116" i="20" s="1"/>
  <c r="C6116" i="20"/>
  <c r="B6116" i="20"/>
  <c r="D6115" i="20"/>
  <c r="F6115" i="20" s="1"/>
  <c r="C6115" i="20"/>
  <c r="B6115" i="20"/>
  <c r="D6114" i="20"/>
  <c r="F6114" i="20" s="1"/>
  <c r="C6114" i="20"/>
  <c r="B6114" i="20"/>
  <c r="D6113" i="20"/>
  <c r="F6113" i="20" s="1"/>
  <c r="C6113" i="20"/>
  <c r="C6112" i="20"/>
  <c r="E6108" i="20"/>
  <c r="D6108" i="20"/>
  <c r="B6108" i="20"/>
  <c r="E6107" i="20"/>
  <c r="D6107" i="20"/>
  <c r="B6107" i="20"/>
  <c r="D6106" i="20"/>
  <c r="B6106" i="20"/>
  <c r="D6105" i="20"/>
  <c r="B6105" i="20"/>
  <c r="G6102" i="20"/>
  <c r="I6124" i="20" s="1"/>
  <c r="G6101" i="20"/>
  <c r="B6101" i="20"/>
  <c r="B6100" i="20"/>
  <c r="H6099" i="20"/>
  <c r="B6096" i="20"/>
  <c r="E6134" i="20"/>
  <c r="E6082" i="20"/>
  <c r="B6083" i="20"/>
  <c r="B6082" i="20"/>
  <c r="E6077" i="20"/>
  <c r="F6077" i="20" s="1"/>
  <c r="H6078" i="20" s="1"/>
  <c r="N6048" i="20" s="1"/>
  <c r="D6073" i="20"/>
  <c r="F6073" i="20" s="1"/>
  <c r="C6073" i="20"/>
  <c r="B6073" i="20"/>
  <c r="D6072" i="20"/>
  <c r="F6072" i="20" s="1"/>
  <c r="C6072" i="20"/>
  <c r="B6072" i="20"/>
  <c r="D6071" i="20"/>
  <c r="F6071" i="20" s="1"/>
  <c r="C6071" i="20"/>
  <c r="B6071" i="20"/>
  <c r="D6070" i="20"/>
  <c r="F6070" i="20" s="1"/>
  <c r="C6070" i="20"/>
  <c r="B6070" i="20"/>
  <c r="D6069" i="20"/>
  <c r="F6069" i="20" s="1"/>
  <c r="C6069" i="20"/>
  <c r="B6069" i="20"/>
  <c r="D6068" i="20"/>
  <c r="F6068" i="20" s="1"/>
  <c r="C6068" i="20"/>
  <c r="B6068" i="20"/>
  <c r="D6067" i="20"/>
  <c r="F6067" i="20" s="1"/>
  <c r="C6067" i="20"/>
  <c r="B6067" i="20"/>
  <c r="D6066" i="20"/>
  <c r="F6066" i="20" s="1"/>
  <c r="C6066" i="20"/>
  <c r="B6066" i="20"/>
  <c r="D6065" i="20"/>
  <c r="F6065" i="20" s="1"/>
  <c r="C6065" i="20"/>
  <c r="B6065" i="20"/>
  <c r="D6064" i="20"/>
  <c r="F6064" i="20" s="1"/>
  <c r="C6064" i="20"/>
  <c r="B6064" i="20"/>
  <c r="D6063" i="20"/>
  <c r="F6063" i="20" s="1"/>
  <c r="C6063" i="20"/>
  <c r="B6063" i="20"/>
  <c r="D6062" i="20"/>
  <c r="F6062" i="20" s="1"/>
  <c r="C6062" i="20"/>
  <c r="B6062" i="20"/>
  <c r="D6061" i="20"/>
  <c r="F6061" i="20" s="1"/>
  <c r="C6061" i="20"/>
  <c r="C6060" i="20"/>
  <c r="E6056" i="20"/>
  <c r="D6056" i="20"/>
  <c r="B6056" i="20"/>
  <c r="E6055" i="20"/>
  <c r="D6055" i="20"/>
  <c r="B6055" i="20"/>
  <c r="D6054" i="20"/>
  <c r="B6054" i="20"/>
  <c r="D6053" i="20"/>
  <c r="B6053" i="20"/>
  <c r="G6050" i="20"/>
  <c r="I6072" i="20" s="1"/>
  <c r="G6049" i="20"/>
  <c r="B6049" i="20"/>
  <c r="B6048" i="20"/>
  <c r="H6047" i="20"/>
  <c r="B6044" i="20"/>
  <c r="H5939" i="20"/>
  <c r="H5991" i="20"/>
  <c r="I309" i="4"/>
  <c r="K309" i="4" s="1"/>
  <c r="F309" i="4" s="1"/>
  <c r="D9526" i="20" s="1"/>
  <c r="F9526" i="20" s="1"/>
  <c r="I329" i="4"/>
  <c r="K329" i="4" s="1"/>
  <c r="F329" i="4" s="1"/>
  <c r="I328" i="4"/>
  <c r="K328" i="4" s="1"/>
  <c r="F328" i="4" s="1"/>
  <c r="I8370" i="20" l="1"/>
  <c r="I8371" i="20"/>
  <c r="I8368" i="20"/>
  <c r="I8367" i="20"/>
  <c r="I8357" i="20"/>
  <c r="I8356" i="20"/>
  <c r="I8372" i="20"/>
  <c r="I8365" i="20"/>
  <c r="I8361" i="20"/>
  <c r="F8350" i="20"/>
  <c r="G8350" i="20" s="1"/>
  <c r="E8382" i="20"/>
  <c r="F8351" i="20"/>
  <c r="G8351" i="20" s="1"/>
  <c r="I8358" i="20"/>
  <c r="I8362" i="20"/>
  <c r="I8366" i="20"/>
  <c r="F8352" i="20"/>
  <c r="G8352" i="20" s="1"/>
  <c r="I8359" i="20"/>
  <c r="I8363" i="20"/>
  <c r="I8369" i="20"/>
  <c r="E8380" i="20"/>
  <c r="F8349" i="20"/>
  <c r="I8360" i="20"/>
  <c r="I8364" i="20"/>
  <c r="I6269" i="20"/>
  <c r="I6281" i="20"/>
  <c r="I6277" i="20"/>
  <c r="I6268" i="20"/>
  <c r="I6273" i="20"/>
  <c r="H6282" i="20"/>
  <c r="K6256" i="20" s="1"/>
  <c r="E6291" i="20"/>
  <c r="F6263" i="20"/>
  <c r="G6263" i="20" s="1"/>
  <c r="I6270" i="20"/>
  <c r="I6274" i="20"/>
  <c r="I6278" i="20"/>
  <c r="F6264" i="20"/>
  <c r="G6264" i="20" s="1"/>
  <c r="I6271" i="20"/>
  <c r="I6275" i="20"/>
  <c r="I6279" i="20"/>
  <c r="E6289" i="20"/>
  <c r="F6262" i="20"/>
  <c r="G6262" i="20" s="1"/>
  <c r="I6217" i="20"/>
  <c r="F6261" i="20"/>
  <c r="I6272" i="20"/>
  <c r="I6276" i="20"/>
  <c r="I6216" i="20"/>
  <c r="I6229" i="20"/>
  <c r="I6225" i="20"/>
  <c r="I6221" i="20"/>
  <c r="F6211" i="20"/>
  <c r="G6211" i="20" s="1"/>
  <c r="I6218" i="20"/>
  <c r="I6222" i="20"/>
  <c r="I6226" i="20"/>
  <c r="F6212" i="20"/>
  <c r="G6212" i="20" s="1"/>
  <c r="I6219" i="20"/>
  <c r="I6223" i="20"/>
  <c r="I6227" i="20"/>
  <c r="E6237" i="20"/>
  <c r="F6210" i="20"/>
  <c r="G6210" i="20" s="1"/>
  <c r="E6239" i="20"/>
  <c r="F6209" i="20"/>
  <c r="I6220" i="20"/>
  <c r="I6224" i="20"/>
  <c r="I6169" i="20"/>
  <c r="I6165" i="20"/>
  <c r="I6177" i="20"/>
  <c r="I6164" i="20"/>
  <c r="I6173" i="20"/>
  <c r="F6158" i="20"/>
  <c r="E6187" i="20"/>
  <c r="F6159" i="20"/>
  <c r="G6159" i="20" s="1"/>
  <c r="I6166" i="20"/>
  <c r="I6170" i="20"/>
  <c r="I6174" i="20"/>
  <c r="F6160" i="20"/>
  <c r="G6160" i="20" s="1"/>
  <c r="I6167" i="20"/>
  <c r="I6171" i="20"/>
  <c r="I6175" i="20"/>
  <c r="E6185" i="20"/>
  <c r="F6157" i="20"/>
  <c r="I6168" i="20"/>
  <c r="I6172" i="20"/>
  <c r="I6113" i="20"/>
  <c r="I6112" i="20"/>
  <c r="I6125" i="20"/>
  <c r="I6121" i="20"/>
  <c r="I6117" i="20"/>
  <c r="E6135" i="20"/>
  <c r="F6107" i="20"/>
  <c r="G6107" i="20" s="1"/>
  <c r="I6114" i="20"/>
  <c r="I6118" i="20"/>
  <c r="I6122" i="20"/>
  <c r="F6106" i="20"/>
  <c r="F6108" i="20"/>
  <c r="G6108" i="20" s="1"/>
  <c r="I6115" i="20"/>
  <c r="I6119" i="20"/>
  <c r="I6123" i="20"/>
  <c r="E6133" i="20"/>
  <c r="F6105" i="20"/>
  <c r="I6116" i="20"/>
  <c r="I6120" i="20"/>
  <c r="F6054" i="20"/>
  <c r="I6060" i="20"/>
  <c r="I6061" i="20"/>
  <c r="I6065" i="20"/>
  <c r="I6069" i="20"/>
  <c r="I6073" i="20"/>
  <c r="E6083" i="20"/>
  <c r="I6062" i="20"/>
  <c r="I6066" i="20"/>
  <c r="I6070" i="20"/>
  <c r="F6056" i="20"/>
  <c r="G6056" i="20" s="1"/>
  <c r="I6063" i="20"/>
  <c r="I6067" i="20"/>
  <c r="I6071" i="20"/>
  <c r="E6081" i="20"/>
  <c r="F6055" i="20"/>
  <c r="G6055" i="20" s="1"/>
  <c r="F6053" i="20"/>
  <c r="I6064" i="20"/>
  <c r="I6068" i="20"/>
  <c r="I303" i="4" l="1"/>
  <c r="K303" i="4" s="1"/>
  <c r="F303" i="4" s="1"/>
  <c r="D9474" i="20" s="1"/>
  <c r="F9474" i="20" s="1"/>
  <c r="B6031" i="20"/>
  <c r="B6030" i="20"/>
  <c r="E6025" i="20"/>
  <c r="F6025" i="20" s="1"/>
  <c r="H6026" i="20" s="1"/>
  <c r="N5996" i="20" s="1"/>
  <c r="D6021" i="20"/>
  <c r="F6021" i="20" s="1"/>
  <c r="C6021" i="20"/>
  <c r="B6021" i="20"/>
  <c r="D6020" i="20"/>
  <c r="F6020" i="20" s="1"/>
  <c r="C6020" i="20"/>
  <c r="B6020" i="20"/>
  <c r="D6019" i="20"/>
  <c r="F6019" i="20" s="1"/>
  <c r="C6019" i="20"/>
  <c r="B6019" i="20"/>
  <c r="D6018" i="20"/>
  <c r="F6018" i="20" s="1"/>
  <c r="C6018" i="20"/>
  <c r="B6018" i="20"/>
  <c r="D6017" i="20"/>
  <c r="F6017" i="20" s="1"/>
  <c r="C6017" i="20"/>
  <c r="B6017" i="20"/>
  <c r="D6016" i="20"/>
  <c r="F6016" i="20" s="1"/>
  <c r="C6016" i="20"/>
  <c r="B6016" i="20"/>
  <c r="D6015" i="20"/>
  <c r="F6015" i="20" s="1"/>
  <c r="C6015" i="20"/>
  <c r="B6015" i="20"/>
  <c r="D6014" i="20"/>
  <c r="F6014" i="20" s="1"/>
  <c r="C6014" i="20"/>
  <c r="B6014" i="20"/>
  <c r="D6013" i="20"/>
  <c r="F6013" i="20" s="1"/>
  <c r="C6013" i="20"/>
  <c r="B6013" i="20"/>
  <c r="D6012" i="20"/>
  <c r="F6012" i="20" s="1"/>
  <c r="C6012" i="20"/>
  <c r="B6012" i="20"/>
  <c r="C6011" i="20"/>
  <c r="B6011" i="20"/>
  <c r="C6010" i="20"/>
  <c r="B6010" i="20"/>
  <c r="C6009" i="20"/>
  <c r="C6008" i="20"/>
  <c r="D6004" i="20"/>
  <c r="B6004" i="20"/>
  <c r="E6003" i="20"/>
  <c r="D6003" i="20"/>
  <c r="B6003" i="20"/>
  <c r="D6002" i="20"/>
  <c r="B6002" i="20"/>
  <c r="D6001" i="20"/>
  <c r="B6001" i="20"/>
  <c r="G5998" i="20"/>
  <c r="I6020" i="20" s="1"/>
  <c r="G5997" i="20"/>
  <c r="B5997" i="20"/>
  <c r="B5996" i="20"/>
  <c r="H5995" i="20"/>
  <c r="B5992" i="20"/>
  <c r="E6030" i="20"/>
  <c r="E5978" i="20"/>
  <c r="I36" i="4"/>
  <c r="K36" i="4" s="1"/>
  <c r="F36" i="4" s="1"/>
  <c r="B5979" i="20"/>
  <c r="B5978" i="20"/>
  <c r="E5973" i="20"/>
  <c r="F5973" i="20" s="1"/>
  <c r="H5974" i="20" s="1"/>
  <c r="N5944" i="20" s="1"/>
  <c r="D5969" i="20"/>
  <c r="F5969" i="20" s="1"/>
  <c r="C5969" i="20"/>
  <c r="B5969" i="20"/>
  <c r="D5968" i="20"/>
  <c r="F5968" i="20" s="1"/>
  <c r="C5968" i="20"/>
  <c r="B5968" i="20"/>
  <c r="D5967" i="20"/>
  <c r="F5967" i="20" s="1"/>
  <c r="C5967" i="20"/>
  <c r="B5967" i="20"/>
  <c r="D5966" i="20"/>
  <c r="F5966" i="20" s="1"/>
  <c r="C5966" i="20"/>
  <c r="B5966" i="20"/>
  <c r="D5965" i="20"/>
  <c r="F5965" i="20" s="1"/>
  <c r="C5965" i="20"/>
  <c r="B5965" i="20"/>
  <c r="D5964" i="20"/>
  <c r="F5964" i="20" s="1"/>
  <c r="C5964" i="20"/>
  <c r="B5964" i="20"/>
  <c r="D5963" i="20"/>
  <c r="F5963" i="20" s="1"/>
  <c r="C5963" i="20"/>
  <c r="B5963" i="20"/>
  <c r="D5962" i="20"/>
  <c r="F5962" i="20" s="1"/>
  <c r="C5962" i="20"/>
  <c r="B5962" i="20"/>
  <c r="D5961" i="20"/>
  <c r="F5961" i="20" s="1"/>
  <c r="C5961" i="20"/>
  <c r="B5961" i="20"/>
  <c r="C5960" i="20"/>
  <c r="B5960" i="20"/>
  <c r="C5959" i="20"/>
  <c r="B5959" i="20"/>
  <c r="C5958" i="20"/>
  <c r="B5958" i="20"/>
  <c r="C5957" i="20"/>
  <c r="C5956" i="20"/>
  <c r="D5952" i="20"/>
  <c r="B5952" i="20"/>
  <c r="E5951" i="20"/>
  <c r="D5951" i="20"/>
  <c r="B5951" i="20"/>
  <c r="D5950" i="20"/>
  <c r="B5950" i="20"/>
  <c r="D5949" i="20"/>
  <c r="B5949" i="20"/>
  <c r="G5946" i="20"/>
  <c r="I5968" i="20" s="1"/>
  <c r="G5945" i="20"/>
  <c r="B5945" i="20"/>
  <c r="B5944" i="20"/>
  <c r="H5943" i="20"/>
  <c r="B5940" i="20"/>
  <c r="H5887" i="20"/>
  <c r="F5898" i="20" s="1"/>
  <c r="D5898" i="20"/>
  <c r="B5898" i="20"/>
  <c r="B5927" i="20"/>
  <c r="B5926" i="20"/>
  <c r="E5921" i="20"/>
  <c r="F5921" i="20" s="1"/>
  <c r="H5922" i="20" s="1"/>
  <c r="N5892" i="20" s="1"/>
  <c r="D5917" i="20"/>
  <c r="F5917" i="20" s="1"/>
  <c r="C5917" i="20"/>
  <c r="B5917" i="20"/>
  <c r="D5916" i="20"/>
  <c r="F5916" i="20" s="1"/>
  <c r="C5916" i="20"/>
  <c r="B5916" i="20"/>
  <c r="D5915" i="20"/>
  <c r="F5915" i="20" s="1"/>
  <c r="C5915" i="20"/>
  <c r="B5915" i="20"/>
  <c r="D5914" i="20"/>
  <c r="F5914" i="20" s="1"/>
  <c r="C5914" i="20"/>
  <c r="B5914" i="20"/>
  <c r="D5913" i="20"/>
  <c r="F5913" i="20" s="1"/>
  <c r="C5913" i="20"/>
  <c r="B5913" i="20"/>
  <c r="D5912" i="20"/>
  <c r="F5912" i="20" s="1"/>
  <c r="C5912" i="20"/>
  <c r="B5912" i="20"/>
  <c r="D5911" i="20"/>
  <c r="F5911" i="20" s="1"/>
  <c r="C5911" i="20"/>
  <c r="B5911" i="20"/>
  <c r="D5910" i="20"/>
  <c r="F5910" i="20" s="1"/>
  <c r="C5910" i="20"/>
  <c r="B5910" i="20"/>
  <c r="D5909" i="20"/>
  <c r="F5909" i="20" s="1"/>
  <c r="C5909" i="20"/>
  <c r="B5909" i="20"/>
  <c r="D5908" i="20"/>
  <c r="F5908" i="20" s="1"/>
  <c r="C5908" i="20"/>
  <c r="B5908" i="20"/>
  <c r="C5907" i="20"/>
  <c r="B5907" i="20"/>
  <c r="C5906" i="20"/>
  <c r="B5906" i="20"/>
  <c r="C5905" i="20"/>
  <c r="C5904" i="20"/>
  <c r="D5900" i="20"/>
  <c r="B5900" i="20"/>
  <c r="E5899" i="20"/>
  <c r="D5899" i="20"/>
  <c r="B5899" i="20"/>
  <c r="D5897" i="20"/>
  <c r="B5897" i="20"/>
  <c r="G5894" i="20"/>
  <c r="I5916" i="20" s="1"/>
  <c r="G5893" i="20"/>
  <c r="B5893" i="20"/>
  <c r="B5892" i="20"/>
  <c r="H5891" i="20"/>
  <c r="B5888" i="20"/>
  <c r="B4646" i="20"/>
  <c r="B4645" i="20"/>
  <c r="E4640" i="20"/>
  <c r="F4640" i="20" s="1"/>
  <c r="H4641" i="20" s="1"/>
  <c r="N4612" i="20" s="1"/>
  <c r="D4636" i="20"/>
  <c r="F4636" i="20" s="1"/>
  <c r="C4636" i="20"/>
  <c r="B4636" i="20"/>
  <c r="D4635" i="20"/>
  <c r="F4635" i="20" s="1"/>
  <c r="C4635" i="20"/>
  <c r="B4635" i="20"/>
  <c r="D4634" i="20"/>
  <c r="F4634" i="20" s="1"/>
  <c r="C4634" i="20"/>
  <c r="B4634" i="20"/>
  <c r="D4633" i="20"/>
  <c r="F4633" i="20" s="1"/>
  <c r="C4633" i="20"/>
  <c r="B4633" i="20"/>
  <c r="D4632" i="20"/>
  <c r="F4632" i="20" s="1"/>
  <c r="C4632" i="20"/>
  <c r="B4632" i="20"/>
  <c r="D4631" i="20"/>
  <c r="F4631" i="20" s="1"/>
  <c r="C4631" i="20"/>
  <c r="B4631" i="20"/>
  <c r="D4630" i="20"/>
  <c r="F4630" i="20" s="1"/>
  <c r="C4630" i="20"/>
  <c r="B4630" i="20"/>
  <c r="D4629" i="20"/>
  <c r="F4629" i="20" s="1"/>
  <c r="C4629" i="20"/>
  <c r="B4629" i="20"/>
  <c r="D4628" i="20"/>
  <c r="F4628" i="20" s="1"/>
  <c r="C4628" i="20"/>
  <c r="B4628" i="20"/>
  <c r="D4627" i="20"/>
  <c r="F4627" i="20" s="1"/>
  <c r="C4627" i="20"/>
  <c r="B4627" i="20"/>
  <c r="D4626" i="20"/>
  <c r="F4626" i="20" s="1"/>
  <c r="C4626" i="20"/>
  <c r="B4626" i="20"/>
  <c r="D4625" i="20"/>
  <c r="F4625" i="20" s="1"/>
  <c r="C4625" i="20"/>
  <c r="B4625" i="20"/>
  <c r="C4624" i="20"/>
  <c r="C4623" i="20"/>
  <c r="E4619" i="20"/>
  <c r="G4619" i="20" s="1"/>
  <c r="D4619" i="20"/>
  <c r="B4619" i="20"/>
  <c r="D4618" i="20"/>
  <c r="B4618" i="20"/>
  <c r="D4617" i="20"/>
  <c r="B4617" i="20"/>
  <c r="G4614" i="20"/>
  <c r="I4635" i="20" s="1"/>
  <c r="G4613" i="20"/>
  <c r="B4613" i="20"/>
  <c r="B4612" i="20"/>
  <c r="H4611" i="20"/>
  <c r="B4608" i="20"/>
  <c r="E4645" i="20"/>
  <c r="I225" i="4"/>
  <c r="K225" i="4" s="1"/>
  <c r="F225" i="4" s="1"/>
  <c r="D5389" i="20" s="1"/>
  <c r="F5389" i="20" s="1"/>
  <c r="I244" i="4"/>
  <c r="K244" i="4" s="1"/>
  <c r="F244" i="4" s="1"/>
  <c r="B4594" i="20"/>
  <c r="B4593" i="20"/>
  <c r="E4588" i="20"/>
  <c r="F4588" i="20" s="1"/>
  <c r="H4589" i="20" s="1"/>
  <c r="N4560" i="20" s="1"/>
  <c r="D4584" i="20"/>
  <c r="F4584" i="20" s="1"/>
  <c r="C4584" i="20"/>
  <c r="B4584" i="20"/>
  <c r="D4583" i="20"/>
  <c r="F4583" i="20" s="1"/>
  <c r="C4583" i="20"/>
  <c r="B4583" i="20"/>
  <c r="D4582" i="20"/>
  <c r="F4582" i="20" s="1"/>
  <c r="C4582" i="20"/>
  <c r="B4582" i="20"/>
  <c r="D4581" i="20"/>
  <c r="F4581" i="20" s="1"/>
  <c r="C4581" i="20"/>
  <c r="B4581" i="20"/>
  <c r="D4580" i="20"/>
  <c r="F4580" i="20" s="1"/>
  <c r="C4580" i="20"/>
  <c r="B4580" i="20"/>
  <c r="D4579" i="20"/>
  <c r="F4579" i="20" s="1"/>
  <c r="C4579" i="20"/>
  <c r="B4579" i="20"/>
  <c r="D4578" i="20"/>
  <c r="F4578" i="20" s="1"/>
  <c r="C4578" i="20"/>
  <c r="B4578" i="20"/>
  <c r="D4577" i="20"/>
  <c r="F4577" i="20" s="1"/>
  <c r="C4577" i="20"/>
  <c r="B4577" i="20"/>
  <c r="D4576" i="20"/>
  <c r="F4576" i="20" s="1"/>
  <c r="C4576" i="20"/>
  <c r="B4576" i="20"/>
  <c r="D4575" i="20"/>
  <c r="F4575" i="20" s="1"/>
  <c r="C4575" i="20"/>
  <c r="B4575" i="20"/>
  <c r="D4574" i="20"/>
  <c r="F4574" i="20" s="1"/>
  <c r="C4574" i="20"/>
  <c r="B4574" i="20"/>
  <c r="D4573" i="20"/>
  <c r="F4573" i="20" s="1"/>
  <c r="C4573" i="20"/>
  <c r="B4573" i="20"/>
  <c r="C4572" i="20"/>
  <c r="C4571" i="20"/>
  <c r="E4567" i="20"/>
  <c r="G4567" i="20" s="1"/>
  <c r="D4567" i="20"/>
  <c r="B4567" i="20"/>
  <c r="E4566" i="20"/>
  <c r="D4566" i="20"/>
  <c r="B4566" i="20"/>
  <c r="D4565" i="20"/>
  <c r="B4565" i="20"/>
  <c r="G4562" i="20"/>
  <c r="I4583" i="20" s="1"/>
  <c r="G4561" i="20"/>
  <c r="B4561" i="20"/>
  <c r="B4560" i="20"/>
  <c r="H4559" i="20"/>
  <c r="B4556" i="20"/>
  <c r="E4593" i="20"/>
  <c r="B4543" i="20"/>
  <c r="B4542" i="20"/>
  <c r="E4537" i="20"/>
  <c r="F4537" i="20" s="1"/>
  <c r="H4538" i="20" s="1"/>
  <c r="N4509" i="20" s="1"/>
  <c r="D4533" i="20"/>
  <c r="F4533" i="20" s="1"/>
  <c r="C4533" i="20"/>
  <c r="B4533" i="20"/>
  <c r="D4532" i="20"/>
  <c r="F4532" i="20" s="1"/>
  <c r="C4532" i="20"/>
  <c r="B4532" i="20"/>
  <c r="D4531" i="20"/>
  <c r="F4531" i="20" s="1"/>
  <c r="C4531" i="20"/>
  <c r="B4531" i="20"/>
  <c r="D4530" i="20"/>
  <c r="F4530" i="20" s="1"/>
  <c r="C4530" i="20"/>
  <c r="B4530" i="20"/>
  <c r="D4529" i="20"/>
  <c r="F4529" i="20" s="1"/>
  <c r="C4529" i="20"/>
  <c r="B4529" i="20"/>
  <c r="D4528" i="20"/>
  <c r="F4528" i="20" s="1"/>
  <c r="C4528" i="20"/>
  <c r="B4528" i="20"/>
  <c r="D4527" i="20"/>
  <c r="F4527" i="20" s="1"/>
  <c r="C4527" i="20"/>
  <c r="B4527" i="20"/>
  <c r="D4526" i="20"/>
  <c r="F4526" i="20" s="1"/>
  <c r="C4526" i="20"/>
  <c r="B4526" i="20"/>
  <c r="D4525" i="20"/>
  <c r="F4525" i="20" s="1"/>
  <c r="C4525" i="20"/>
  <c r="B4525" i="20"/>
  <c r="D4524" i="20"/>
  <c r="F4524" i="20" s="1"/>
  <c r="C4524" i="20"/>
  <c r="B4524" i="20"/>
  <c r="D4523" i="20"/>
  <c r="F4523" i="20" s="1"/>
  <c r="C4523" i="20"/>
  <c r="B4523" i="20"/>
  <c r="D4522" i="20"/>
  <c r="F4522" i="20" s="1"/>
  <c r="C4522" i="20"/>
  <c r="B4522" i="20"/>
  <c r="C4521" i="20"/>
  <c r="C4520" i="20"/>
  <c r="E4516" i="20"/>
  <c r="G4516" i="20" s="1"/>
  <c r="D4516" i="20"/>
  <c r="B4516" i="20"/>
  <c r="E4515" i="20"/>
  <c r="D4515" i="20"/>
  <c r="B4515" i="20"/>
  <c r="D4514" i="20"/>
  <c r="B4514" i="20"/>
  <c r="G4511" i="20"/>
  <c r="I4532" i="20" s="1"/>
  <c r="G4510" i="20"/>
  <c r="B4510" i="20"/>
  <c r="B4509" i="20"/>
  <c r="H4508" i="20"/>
  <c r="B4505" i="20"/>
  <c r="E4542" i="20"/>
  <c r="B811" i="20"/>
  <c r="B810" i="20"/>
  <c r="E805" i="20"/>
  <c r="F805" i="20" s="1"/>
  <c r="H806" i="20" s="1"/>
  <c r="N777" i="20" s="1"/>
  <c r="D801" i="20"/>
  <c r="F801" i="20" s="1"/>
  <c r="C801" i="20"/>
  <c r="B801" i="20"/>
  <c r="D800" i="20"/>
  <c r="F800" i="20" s="1"/>
  <c r="C800" i="20"/>
  <c r="B800" i="20"/>
  <c r="D799" i="20"/>
  <c r="F799" i="20" s="1"/>
  <c r="C799" i="20"/>
  <c r="B799" i="20"/>
  <c r="D798" i="20"/>
  <c r="F798" i="20" s="1"/>
  <c r="C798" i="20"/>
  <c r="B798" i="20"/>
  <c r="D797" i="20"/>
  <c r="F797" i="20" s="1"/>
  <c r="C797" i="20"/>
  <c r="B797" i="20"/>
  <c r="D796" i="20"/>
  <c r="F796" i="20" s="1"/>
  <c r="C796" i="20"/>
  <c r="B796" i="20"/>
  <c r="D795" i="20"/>
  <c r="F795" i="20" s="1"/>
  <c r="C795" i="20"/>
  <c r="B795" i="20"/>
  <c r="C794" i="20"/>
  <c r="B794" i="20"/>
  <c r="C793" i="20"/>
  <c r="B793" i="20"/>
  <c r="C792" i="20"/>
  <c r="B792" i="20"/>
  <c r="C791" i="20"/>
  <c r="B791" i="20"/>
  <c r="C790" i="20"/>
  <c r="B790" i="20"/>
  <c r="C789" i="20"/>
  <c r="C788" i="20"/>
  <c r="D784" i="20"/>
  <c r="B784" i="20"/>
  <c r="D783" i="20"/>
  <c r="B783" i="20"/>
  <c r="D782" i="20"/>
  <c r="B782" i="20"/>
  <c r="G779" i="20"/>
  <c r="I800" i="20" s="1"/>
  <c r="G778" i="20"/>
  <c r="B778" i="20"/>
  <c r="B777" i="20"/>
  <c r="H776" i="20"/>
  <c r="B773" i="20"/>
  <c r="H772" i="20"/>
  <c r="E810" i="20" s="1"/>
  <c r="G327" i="4"/>
  <c r="I327" i="4" s="1"/>
  <c r="K327" i="4" s="1"/>
  <c r="F327" i="4" s="1"/>
  <c r="D737" i="20" s="1"/>
  <c r="F737" i="20" s="1"/>
  <c r="B760" i="20"/>
  <c r="B759" i="20"/>
  <c r="E754" i="20"/>
  <c r="F754" i="20" s="1"/>
  <c r="H755" i="20" s="1"/>
  <c r="N726" i="20" s="1"/>
  <c r="D750" i="20"/>
  <c r="F750" i="20" s="1"/>
  <c r="C750" i="20"/>
  <c r="B750" i="20"/>
  <c r="D749" i="20"/>
  <c r="F749" i="20" s="1"/>
  <c r="C749" i="20"/>
  <c r="B749" i="20"/>
  <c r="D748" i="20"/>
  <c r="F748" i="20" s="1"/>
  <c r="C748" i="20"/>
  <c r="B748" i="20"/>
  <c r="D747" i="20"/>
  <c r="F747" i="20" s="1"/>
  <c r="C747" i="20"/>
  <c r="B747" i="20"/>
  <c r="D746" i="20"/>
  <c r="F746" i="20" s="1"/>
  <c r="C746" i="20"/>
  <c r="B746" i="20"/>
  <c r="D745" i="20"/>
  <c r="F745" i="20" s="1"/>
  <c r="C745" i="20"/>
  <c r="B745" i="20"/>
  <c r="D744" i="20"/>
  <c r="F744" i="20" s="1"/>
  <c r="C744" i="20"/>
  <c r="B744" i="20"/>
  <c r="C743" i="20"/>
  <c r="B743" i="20"/>
  <c r="C742" i="20"/>
  <c r="B742" i="20"/>
  <c r="C741" i="20"/>
  <c r="B741" i="20"/>
  <c r="C740" i="20"/>
  <c r="B740" i="20"/>
  <c r="C739" i="20"/>
  <c r="B739" i="20"/>
  <c r="C738" i="20"/>
  <c r="C737" i="20"/>
  <c r="D733" i="20"/>
  <c r="B733" i="20"/>
  <c r="D732" i="20"/>
  <c r="B732" i="20"/>
  <c r="D731" i="20"/>
  <c r="B731" i="20"/>
  <c r="G728" i="20"/>
  <c r="I749" i="20" s="1"/>
  <c r="G727" i="20"/>
  <c r="B727" i="20"/>
  <c r="B726" i="20"/>
  <c r="H725" i="20"/>
  <c r="B722" i="20"/>
  <c r="H721" i="20"/>
  <c r="E759" i="20" s="1"/>
  <c r="B709" i="20"/>
  <c r="B708" i="20"/>
  <c r="E703" i="20"/>
  <c r="F703" i="20" s="1"/>
  <c r="H704" i="20" s="1"/>
  <c r="N675" i="20" s="1"/>
  <c r="D699" i="20"/>
  <c r="F699" i="20" s="1"/>
  <c r="C699" i="20"/>
  <c r="B699" i="20"/>
  <c r="D698" i="20"/>
  <c r="F698" i="20" s="1"/>
  <c r="C698" i="20"/>
  <c r="B698" i="20"/>
  <c r="D697" i="20"/>
  <c r="F697" i="20" s="1"/>
  <c r="C697" i="20"/>
  <c r="B697" i="20"/>
  <c r="D696" i="20"/>
  <c r="F696" i="20" s="1"/>
  <c r="C696" i="20"/>
  <c r="B696" i="20"/>
  <c r="D695" i="20"/>
  <c r="F695" i="20" s="1"/>
  <c r="C695" i="20"/>
  <c r="B695" i="20"/>
  <c r="D694" i="20"/>
  <c r="F694" i="20" s="1"/>
  <c r="C694" i="20"/>
  <c r="B694" i="20"/>
  <c r="D693" i="20"/>
  <c r="F693" i="20" s="1"/>
  <c r="C693" i="20"/>
  <c r="B693" i="20"/>
  <c r="C692" i="20"/>
  <c r="B692" i="20"/>
  <c r="C691" i="20"/>
  <c r="B691" i="20"/>
  <c r="C690" i="20"/>
  <c r="B690" i="20"/>
  <c r="C689" i="20"/>
  <c r="B689" i="20"/>
  <c r="C688" i="20"/>
  <c r="B688" i="20"/>
  <c r="C687" i="20"/>
  <c r="C686" i="20"/>
  <c r="D682" i="20"/>
  <c r="B682" i="20"/>
  <c r="D681" i="20"/>
  <c r="B681" i="20"/>
  <c r="D680" i="20"/>
  <c r="B680" i="20"/>
  <c r="G677" i="20"/>
  <c r="I698" i="20" s="1"/>
  <c r="G676" i="20"/>
  <c r="B676" i="20"/>
  <c r="B675" i="20"/>
  <c r="H674" i="20"/>
  <c r="B671" i="20"/>
  <c r="H670" i="20"/>
  <c r="E708" i="20" s="1"/>
  <c r="H619" i="20"/>
  <c r="F629" i="20" s="1"/>
  <c r="I326" i="4"/>
  <c r="K326" i="4" s="1"/>
  <c r="I281" i="4"/>
  <c r="K281" i="4" s="1"/>
  <c r="F281" i="4" s="1"/>
  <c r="D788" i="20" s="1"/>
  <c r="F788" i="20" s="1"/>
  <c r="B658" i="20"/>
  <c r="B657" i="20"/>
  <c r="E652" i="20"/>
  <c r="F652" i="20" s="1"/>
  <c r="H653" i="20" s="1"/>
  <c r="N624" i="20" s="1"/>
  <c r="D648" i="20"/>
  <c r="F648" i="20" s="1"/>
  <c r="C648" i="20"/>
  <c r="B648" i="20"/>
  <c r="D647" i="20"/>
  <c r="F647" i="20" s="1"/>
  <c r="C647" i="20"/>
  <c r="B647" i="20"/>
  <c r="D646" i="20"/>
  <c r="F646" i="20" s="1"/>
  <c r="C646" i="20"/>
  <c r="B646" i="20"/>
  <c r="D645" i="20"/>
  <c r="F645" i="20" s="1"/>
  <c r="C645" i="20"/>
  <c r="B645" i="20"/>
  <c r="D644" i="20"/>
  <c r="F644" i="20" s="1"/>
  <c r="C644" i="20"/>
  <c r="B644" i="20"/>
  <c r="D643" i="20"/>
  <c r="F643" i="20" s="1"/>
  <c r="C643" i="20"/>
  <c r="B643" i="20"/>
  <c r="C642" i="20"/>
  <c r="B642" i="20"/>
  <c r="C641" i="20"/>
  <c r="B641" i="20"/>
  <c r="C640" i="20"/>
  <c r="B640" i="20"/>
  <c r="C639" i="20"/>
  <c r="B639" i="20"/>
  <c r="C638" i="20"/>
  <c r="B638" i="20"/>
  <c r="C637" i="20"/>
  <c r="B637" i="20"/>
  <c r="C636" i="20"/>
  <c r="C635" i="20"/>
  <c r="D631" i="20"/>
  <c r="B631" i="20"/>
  <c r="D630" i="20"/>
  <c r="B630" i="20"/>
  <c r="D629" i="20"/>
  <c r="B629" i="20"/>
  <c r="G626" i="20"/>
  <c r="I647" i="20" s="1"/>
  <c r="G625" i="20"/>
  <c r="B625" i="20"/>
  <c r="B624" i="20"/>
  <c r="H623" i="20"/>
  <c r="B620" i="20"/>
  <c r="H568" i="20"/>
  <c r="E606" i="20" s="1"/>
  <c r="E591" i="20"/>
  <c r="E588" i="20"/>
  <c r="E590" i="20"/>
  <c r="E585" i="20"/>
  <c r="I324" i="4"/>
  <c r="K324" i="4" s="1"/>
  <c r="B607" i="20"/>
  <c r="B606" i="20"/>
  <c r="E601" i="20"/>
  <c r="F601" i="20" s="1"/>
  <c r="H602" i="20" s="1"/>
  <c r="N573" i="20" s="1"/>
  <c r="D597" i="20"/>
  <c r="F597" i="20" s="1"/>
  <c r="C597" i="20"/>
  <c r="B597" i="20"/>
  <c r="D596" i="20"/>
  <c r="F596" i="20" s="1"/>
  <c r="C596" i="20"/>
  <c r="B596" i="20"/>
  <c r="D595" i="20"/>
  <c r="F595" i="20" s="1"/>
  <c r="C595" i="20"/>
  <c r="B595" i="20"/>
  <c r="D594" i="20"/>
  <c r="F594" i="20" s="1"/>
  <c r="C594" i="20"/>
  <c r="B594" i="20"/>
  <c r="D593" i="20"/>
  <c r="F593" i="20" s="1"/>
  <c r="C593" i="20"/>
  <c r="B593" i="20"/>
  <c r="D592" i="20"/>
  <c r="F592" i="20" s="1"/>
  <c r="C592" i="20"/>
  <c r="B592" i="20"/>
  <c r="C591" i="20"/>
  <c r="B591" i="20"/>
  <c r="C590" i="20"/>
  <c r="B590" i="20"/>
  <c r="C589" i="20"/>
  <c r="B589" i="20"/>
  <c r="C588" i="20"/>
  <c r="B588" i="20"/>
  <c r="C587" i="20"/>
  <c r="B587" i="20"/>
  <c r="C586" i="20"/>
  <c r="B586" i="20"/>
  <c r="C585" i="20"/>
  <c r="C584" i="20"/>
  <c r="E580" i="20"/>
  <c r="D580" i="20"/>
  <c r="B580" i="20"/>
  <c r="D579" i="20"/>
  <c r="B579" i="20"/>
  <c r="D578" i="20"/>
  <c r="B578" i="20"/>
  <c r="G575" i="20"/>
  <c r="I596" i="20" s="1"/>
  <c r="G574" i="20"/>
  <c r="B574" i="20"/>
  <c r="B573" i="20"/>
  <c r="H572" i="20"/>
  <c r="B569" i="20"/>
  <c r="H517" i="20"/>
  <c r="K377" i="4"/>
  <c r="K378" i="4"/>
  <c r="K379" i="4"/>
  <c r="K380" i="4"/>
  <c r="K381" i="4"/>
  <c r="K382" i="4"/>
  <c r="K383" i="4"/>
  <c r="I4" i="4"/>
  <c r="K4" i="4" s="1"/>
  <c r="I5" i="4"/>
  <c r="K5" i="4" s="1"/>
  <c r="I6" i="4"/>
  <c r="K6" i="4" s="1"/>
  <c r="I7" i="4"/>
  <c r="K7" i="4" s="1"/>
  <c r="I8" i="4"/>
  <c r="K8" i="4" s="1"/>
  <c r="I9" i="4"/>
  <c r="K9" i="4" s="1"/>
  <c r="I10" i="4"/>
  <c r="K10" i="4" s="1"/>
  <c r="I11" i="4"/>
  <c r="K11" i="4" s="1"/>
  <c r="I12" i="4"/>
  <c r="K12" i="4" s="1"/>
  <c r="I13" i="4"/>
  <c r="K13" i="4" s="1"/>
  <c r="I14" i="4"/>
  <c r="K14" i="4" s="1"/>
  <c r="I15" i="4"/>
  <c r="K15" i="4" s="1"/>
  <c r="I16" i="4"/>
  <c r="K16" i="4" s="1"/>
  <c r="I17" i="4"/>
  <c r="K17" i="4" s="1"/>
  <c r="I18" i="4"/>
  <c r="K18" i="4" s="1"/>
  <c r="I19" i="4"/>
  <c r="K19" i="4" s="1"/>
  <c r="I22" i="4"/>
  <c r="K22" i="4" s="1"/>
  <c r="F22" i="4" s="1"/>
  <c r="I23" i="4"/>
  <c r="K23" i="4" s="1"/>
  <c r="I24" i="4"/>
  <c r="K24" i="4" s="1"/>
  <c r="I25" i="4"/>
  <c r="K25" i="4" s="1"/>
  <c r="I26" i="4"/>
  <c r="K26" i="4" s="1"/>
  <c r="I27" i="4"/>
  <c r="K27" i="4" s="1"/>
  <c r="I28" i="4"/>
  <c r="K28" i="4" s="1"/>
  <c r="I29" i="4"/>
  <c r="K29" i="4" s="1"/>
  <c r="I30" i="4"/>
  <c r="K30" i="4" s="1"/>
  <c r="I31" i="4"/>
  <c r="K31" i="4" s="1"/>
  <c r="I32" i="4"/>
  <c r="K32" i="4" s="1"/>
  <c r="I33" i="4"/>
  <c r="K33" i="4" s="1"/>
  <c r="I40" i="4"/>
  <c r="K40" i="4" s="1"/>
  <c r="I41" i="4"/>
  <c r="K41" i="4" s="1"/>
  <c r="I42" i="4"/>
  <c r="K42" i="4" s="1"/>
  <c r="I44" i="4"/>
  <c r="K44" i="4" s="1"/>
  <c r="I45" i="4"/>
  <c r="K45" i="4" s="1"/>
  <c r="I46" i="4"/>
  <c r="K46" i="4" s="1"/>
  <c r="I49" i="4"/>
  <c r="K49" i="4" s="1"/>
  <c r="I53" i="4"/>
  <c r="K53" i="4" s="1"/>
  <c r="I54" i="4"/>
  <c r="K54" i="4" s="1"/>
  <c r="I55" i="4"/>
  <c r="K55" i="4" s="1"/>
  <c r="I56" i="4"/>
  <c r="K56" i="4" s="1"/>
  <c r="I57" i="4"/>
  <c r="K57" i="4" s="1"/>
  <c r="I59" i="4"/>
  <c r="K59" i="4" s="1"/>
  <c r="I61" i="4"/>
  <c r="K61" i="4" s="1"/>
  <c r="I62" i="4"/>
  <c r="K62" i="4" s="1"/>
  <c r="I63" i="4"/>
  <c r="K63" i="4" s="1"/>
  <c r="I64" i="4"/>
  <c r="K64" i="4" s="1"/>
  <c r="F64" i="4" s="1"/>
  <c r="D2479" i="20" s="1"/>
  <c r="F2479" i="20" s="1"/>
  <c r="I65" i="4"/>
  <c r="K65" i="4" s="1"/>
  <c r="I66" i="4"/>
  <c r="K66" i="4" s="1"/>
  <c r="I67" i="4"/>
  <c r="K67" i="4" s="1"/>
  <c r="I68" i="4"/>
  <c r="K68" i="4" s="1"/>
  <c r="I69" i="4"/>
  <c r="K69" i="4" s="1"/>
  <c r="I70" i="4"/>
  <c r="K70" i="4" s="1"/>
  <c r="I71" i="4"/>
  <c r="K71" i="4" s="1"/>
  <c r="I72" i="4"/>
  <c r="K72" i="4" s="1"/>
  <c r="I74" i="4"/>
  <c r="K74" i="4" s="1"/>
  <c r="I75" i="4"/>
  <c r="K75" i="4" s="1"/>
  <c r="I76" i="4"/>
  <c r="K76" i="4" s="1"/>
  <c r="I77" i="4"/>
  <c r="K77" i="4" s="1"/>
  <c r="I78" i="4"/>
  <c r="K78" i="4" s="1"/>
  <c r="I79" i="4"/>
  <c r="K79" i="4" s="1"/>
  <c r="I80" i="4"/>
  <c r="K80" i="4" s="1"/>
  <c r="I81" i="4"/>
  <c r="K81" i="4" s="1"/>
  <c r="I82" i="4"/>
  <c r="K82" i="4" s="1"/>
  <c r="I83" i="4"/>
  <c r="K83" i="4" s="1"/>
  <c r="I84" i="4"/>
  <c r="K84" i="4" s="1"/>
  <c r="I85" i="4"/>
  <c r="K85" i="4" s="1"/>
  <c r="I86" i="4"/>
  <c r="K86" i="4" s="1"/>
  <c r="I87" i="4"/>
  <c r="K87" i="4" s="1"/>
  <c r="I88" i="4"/>
  <c r="K88" i="4" s="1"/>
  <c r="I89" i="4"/>
  <c r="K89" i="4" s="1"/>
  <c r="I90" i="4"/>
  <c r="K90" i="4" s="1"/>
  <c r="I91" i="4"/>
  <c r="K91" i="4" s="1"/>
  <c r="I92" i="4"/>
  <c r="K92" i="4" s="1"/>
  <c r="I93" i="4"/>
  <c r="K93" i="4" s="1"/>
  <c r="I94" i="4"/>
  <c r="K94" i="4" s="1"/>
  <c r="I95" i="4"/>
  <c r="K95" i="4" s="1"/>
  <c r="I96" i="4"/>
  <c r="K96" i="4" s="1"/>
  <c r="I97" i="4"/>
  <c r="K97" i="4" s="1"/>
  <c r="I98" i="4"/>
  <c r="K98" i="4" s="1"/>
  <c r="I99" i="4"/>
  <c r="K99" i="4" s="1"/>
  <c r="I100" i="4"/>
  <c r="K100" i="4" s="1"/>
  <c r="I101" i="4"/>
  <c r="K101" i="4" s="1"/>
  <c r="I102" i="4"/>
  <c r="K102" i="4" s="1"/>
  <c r="I103" i="4"/>
  <c r="K103" i="4" s="1"/>
  <c r="I104" i="4"/>
  <c r="K104" i="4" s="1"/>
  <c r="I105" i="4"/>
  <c r="K105" i="4" s="1"/>
  <c r="I106" i="4"/>
  <c r="K106" i="4" s="1"/>
  <c r="I107" i="4"/>
  <c r="K107" i="4" s="1"/>
  <c r="I108" i="4"/>
  <c r="K108" i="4" s="1"/>
  <c r="I109" i="4"/>
  <c r="K109" i="4" s="1"/>
  <c r="I110" i="4"/>
  <c r="K110" i="4" s="1"/>
  <c r="I111" i="4"/>
  <c r="K111" i="4" s="1"/>
  <c r="I112" i="4"/>
  <c r="K112" i="4" s="1"/>
  <c r="I113" i="4"/>
  <c r="K113" i="4" s="1"/>
  <c r="I114" i="4"/>
  <c r="K114" i="4" s="1"/>
  <c r="I115" i="4"/>
  <c r="K115" i="4" s="1"/>
  <c r="I116" i="4"/>
  <c r="K116" i="4" s="1"/>
  <c r="I117" i="4"/>
  <c r="K117" i="4" s="1"/>
  <c r="I118" i="4"/>
  <c r="K118" i="4" s="1"/>
  <c r="I119" i="4"/>
  <c r="K119" i="4" s="1"/>
  <c r="I120" i="4"/>
  <c r="K120" i="4" s="1"/>
  <c r="I121" i="4"/>
  <c r="K121" i="4" s="1"/>
  <c r="I124" i="4"/>
  <c r="K124" i="4" s="1"/>
  <c r="I125" i="4"/>
  <c r="K125" i="4" s="1"/>
  <c r="I126" i="4"/>
  <c r="K126" i="4" s="1"/>
  <c r="I127" i="4"/>
  <c r="K127" i="4" s="1"/>
  <c r="I128" i="4"/>
  <c r="K128" i="4" s="1"/>
  <c r="I129" i="4"/>
  <c r="K129" i="4" s="1"/>
  <c r="I130" i="4"/>
  <c r="K130" i="4" s="1"/>
  <c r="I131" i="4"/>
  <c r="K131" i="4" s="1"/>
  <c r="I132" i="4"/>
  <c r="K132" i="4" s="1"/>
  <c r="I133" i="4"/>
  <c r="K133" i="4" s="1"/>
  <c r="I134" i="4"/>
  <c r="K134" i="4" s="1"/>
  <c r="I135" i="4"/>
  <c r="K135" i="4" s="1"/>
  <c r="I136" i="4"/>
  <c r="K136" i="4" s="1"/>
  <c r="I137" i="4"/>
  <c r="K137" i="4" s="1"/>
  <c r="I138" i="4"/>
  <c r="K138" i="4" s="1"/>
  <c r="I139" i="4"/>
  <c r="K139" i="4" s="1"/>
  <c r="I140" i="4"/>
  <c r="K140" i="4" s="1"/>
  <c r="I141" i="4"/>
  <c r="K141" i="4" s="1"/>
  <c r="I143" i="4"/>
  <c r="K143" i="4" s="1"/>
  <c r="I144" i="4"/>
  <c r="K144" i="4" s="1"/>
  <c r="I145" i="4"/>
  <c r="K145" i="4" s="1"/>
  <c r="I146" i="4"/>
  <c r="K146" i="4" s="1"/>
  <c r="I147" i="4"/>
  <c r="K147" i="4" s="1"/>
  <c r="I148" i="4"/>
  <c r="K148" i="4" s="1"/>
  <c r="I149" i="4"/>
  <c r="K149" i="4" s="1"/>
  <c r="I150" i="4"/>
  <c r="K150" i="4" s="1"/>
  <c r="I151" i="4"/>
  <c r="K151" i="4" s="1"/>
  <c r="I196" i="4"/>
  <c r="K196" i="4" s="1"/>
  <c r="I197" i="4"/>
  <c r="K197" i="4" s="1"/>
  <c r="I199" i="4"/>
  <c r="K199" i="4" s="1"/>
  <c r="I209" i="4"/>
  <c r="K209" i="4" s="1"/>
  <c r="I211" i="4"/>
  <c r="K211" i="4" s="1"/>
  <c r="I212" i="4"/>
  <c r="K212" i="4" s="1"/>
  <c r="I213" i="4"/>
  <c r="K213" i="4" s="1"/>
  <c r="I214" i="4"/>
  <c r="K214" i="4" s="1"/>
  <c r="I215" i="4"/>
  <c r="K215" i="4" s="1"/>
  <c r="I216" i="4"/>
  <c r="K216" i="4" s="1"/>
  <c r="I217" i="4"/>
  <c r="K217" i="4" s="1"/>
  <c r="I218" i="4"/>
  <c r="K218" i="4" s="1"/>
  <c r="I219" i="4"/>
  <c r="K219" i="4" s="1"/>
  <c r="I220" i="4"/>
  <c r="K220" i="4" s="1"/>
  <c r="I221" i="4"/>
  <c r="K221" i="4" s="1"/>
  <c r="I222" i="4"/>
  <c r="K222" i="4" s="1"/>
  <c r="I223" i="4"/>
  <c r="K223" i="4" s="1"/>
  <c r="I224" i="4"/>
  <c r="K224" i="4" s="1"/>
  <c r="I233" i="4"/>
  <c r="K233" i="4" s="1"/>
  <c r="I234" i="4"/>
  <c r="K234" i="4" s="1"/>
  <c r="I235" i="4"/>
  <c r="K235" i="4" s="1"/>
  <c r="I239" i="4"/>
  <c r="K239" i="4" s="1"/>
  <c r="I240" i="4"/>
  <c r="K240" i="4" s="1"/>
  <c r="I241" i="4"/>
  <c r="K241" i="4" s="1"/>
  <c r="I242" i="4"/>
  <c r="K242" i="4" s="1"/>
  <c r="I245" i="4"/>
  <c r="K245" i="4" s="1"/>
  <c r="I247" i="4"/>
  <c r="K247" i="4" s="1"/>
  <c r="I248" i="4"/>
  <c r="K248" i="4" s="1"/>
  <c r="I249" i="4"/>
  <c r="K249" i="4" s="1"/>
  <c r="I251" i="4"/>
  <c r="K251" i="4" s="1"/>
  <c r="I254" i="4"/>
  <c r="K254" i="4" s="1"/>
  <c r="I255" i="4"/>
  <c r="K255" i="4" s="1"/>
  <c r="I256" i="4"/>
  <c r="K256" i="4" s="1"/>
  <c r="I258" i="4"/>
  <c r="K258" i="4" s="1"/>
  <c r="I261" i="4"/>
  <c r="K261" i="4" s="1"/>
  <c r="I262" i="4"/>
  <c r="K262" i="4" s="1"/>
  <c r="I263" i="4"/>
  <c r="K263" i="4" s="1"/>
  <c r="I275" i="4"/>
  <c r="K275" i="4" s="1"/>
  <c r="I276" i="4"/>
  <c r="K276" i="4" s="1"/>
  <c r="I282" i="4"/>
  <c r="K282" i="4" s="1"/>
  <c r="F282" i="4" s="1"/>
  <c r="D2176" i="20" s="1"/>
  <c r="F2176" i="20" s="1"/>
  <c r="I283" i="4"/>
  <c r="K283" i="4" s="1"/>
  <c r="I284" i="4"/>
  <c r="K284" i="4" s="1"/>
  <c r="I285" i="4"/>
  <c r="K285" i="4" s="1"/>
  <c r="I286" i="4"/>
  <c r="K286" i="4" s="1"/>
  <c r="I287" i="4"/>
  <c r="K287" i="4" s="1"/>
  <c r="I288" i="4"/>
  <c r="K288" i="4" s="1"/>
  <c r="I289" i="4"/>
  <c r="K289" i="4" s="1"/>
  <c r="I290" i="4"/>
  <c r="K290" i="4" s="1"/>
  <c r="I291" i="4"/>
  <c r="K291" i="4" s="1"/>
  <c r="I292" i="4"/>
  <c r="K292" i="4" s="1"/>
  <c r="I293" i="4"/>
  <c r="K293" i="4" s="1"/>
  <c r="I304" i="4"/>
  <c r="K304" i="4" s="1"/>
  <c r="I306" i="4"/>
  <c r="K306" i="4" s="1"/>
  <c r="I307" i="4"/>
  <c r="K307" i="4" s="1"/>
  <c r="I308" i="4"/>
  <c r="K308" i="4" s="1"/>
  <c r="I311" i="4"/>
  <c r="K311" i="4" s="1"/>
  <c r="I312" i="4"/>
  <c r="K312" i="4" s="1"/>
  <c r="I313" i="4"/>
  <c r="K313" i="4" s="1"/>
  <c r="I315" i="4"/>
  <c r="K315" i="4" s="1"/>
  <c r="I316" i="4"/>
  <c r="K316" i="4" s="1"/>
  <c r="I319" i="4"/>
  <c r="K319" i="4" s="1"/>
  <c r="I320" i="4"/>
  <c r="K320" i="4" s="1"/>
  <c r="I321" i="4"/>
  <c r="K321" i="4" s="1"/>
  <c r="I322" i="4"/>
  <c r="K322" i="4" s="1"/>
  <c r="I323" i="4"/>
  <c r="K323" i="4" s="1"/>
  <c r="I336" i="4"/>
  <c r="K336" i="4" s="1"/>
  <c r="I337" i="4"/>
  <c r="K337" i="4" s="1"/>
  <c r="I338" i="4"/>
  <c r="K338" i="4" s="1"/>
  <c r="I339" i="4"/>
  <c r="K339" i="4" s="1"/>
  <c r="I340" i="4"/>
  <c r="K340" i="4" s="1"/>
  <c r="I341" i="4"/>
  <c r="K341" i="4" s="1"/>
  <c r="I342" i="4"/>
  <c r="K342" i="4" s="1"/>
  <c r="I343" i="4"/>
  <c r="K343" i="4" s="1"/>
  <c r="I344" i="4"/>
  <c r="K344" i="4" s="1"/>
  <c r="I345" i="4"/>
  <c r="K345" i="4" s="1"/>
  <c r="I346" i="4"/>
  <c r="K346" i="4" s="1"/>
  <c r="I347" i="4"/>
  <c r="K347" i="4" s="1"/>
  <c r="I348" i="4"/>
  <c r="K348" i="4" s="1"/>
  <c r="I349" i="4"/>
  <c r="K349" i="4" s="1"/>
  <c r="I350" i="4"/>
  <c r="K350" i="4" s="1"/>
  <c r="I351" i="4"/>
  <c r="K351" i="4" s="1"/>
  <c r="I352" i="4"/>
  <c r="K352" i="4" s="1"/>
  <c r="I353" i="4"/>
  <c r="K353" i="4" s="1"/>
  <c r="I354" i="4"/>
  <c r="K354" i="4" s="1"/>
  <c r="I355" i="4"/>
  <c r="K355" i="4" s="1"/>
  <c r="I356" i="4"/>
  <c r="K356" i="4" s="1"/>
  <c r="I357" i="4"/>
  <c r="K357" i="4" s="1"/>
  <c r="I358" i="4"/>
  <c r="K358" i="4" s="1"/>
  <c r="I359" i="4"/>
  <c r="K359" i="4" s="1"/>
  <c r="I360" i="4"/>
  <c r="K360" i="4" s="1"/>
  <c r="I361" i="4"/>
  <c r="K361" i="4" s="1"/>
  <c r="I362" i="4"/>
  <c r="K362" i="4" s="1"/>
  <c r="I363" i="4"/>
  <c r="K363" i="4" s="1"/>
  <c r="I364" i="4"/>
  <c r="K364" i="4" s="1"/>
  <c r="I365" i="4"/>
  <c r="K365" i="4" s="1"/>
  <c r="I366" i="4"/>
  <c r="K366" i="4" s="1"/>
  <c r="I367" i="4"/>
  <c r="K367" i="4" s="1"/>
  <c r="I368" i="4"/>
  <c r="K368" i="4" s="1"/>
  <c r="I369" i="4"/>
  <c r="K369" i="4" s="1"/>
  <c r="I370" i="4"/>
  <c r="K370" i="4" s="1"/>
  <c r="I371" i="4"/>
  <c r="K371" i="4" s="1"/>
  <c r="I372" i="4"/>
  <c r="K372" i="4" s="1"/>
  <c r="I373" i="4"/>
  <c r="K373" i="4" s="1"/>
  <c r="I374" i="4"/>
  <c r="K374" i="4" s="1"/>
  <c r="I375" i="4"/>
  <c r="K375" i="4" s="1"/>
  <c r="I376" i="4"/>
  <c r="K376" i="4" s="1"/>
  <c r="D6008" i="20" l="1"/>
  <c r="F6008" i="20" s="1"/>
  <c r="D6371" i="20"/>
  <c r="F6371" i="20" s="1"/>
  <c r="H6385" i="20" s="1"/>
  <c r="K6359" i="20" s="1"/>
  <c r="D738" i="20"/>
  <c r="F738" i="20" s="1"/>
  <c r="D2224" i="20"/>
  <c r="F2224" i="20" s="1"/>
  <c r="D2172" i="20"/>
  <c r="F2172" i="20" s="1"/>
  <c r="E5926" i="20"/>
  <c r="F733" i="20"/>
  <c r="F731" i="20"/>
  <c r="E760" i="20"/>
  <c r="F782" i="20"/>
  <c r="I6009" i="20"/>
  <c r="I6008" i="20"/>
  <c r="I6021" i="20"/>
  <c r="I6017" i="20"/>
  <c r="I6013" i="20"/>
  <c r="E6031" i="20"/>
  <c r="F6003" i="20"/>
  <c r="G6003" i="20" s="1"/>
  <c r="I6010" i="20"/>
  <c r="I6014" i="20"/>
  <c r="I6018" i="20"/>
  <c r="F6002" i="20"/>
  <c r="I5962" i="20"/>
  <c r="F6004" i="20"/>
  <c r="I6011" i="20"/>
  <c r="I6015" i="20"/>
  <c r="I6019" i="20"/>
  <c r="E6029" i="20"/>
  <c r="I5957" i="20"/>
  <c r="F6001" i="20"/>
  <c r="I6012" i="20"/>
  <c r="I6016" i="20"/>
  <c r="I5956" i="20"/>
  <c r="I5958" i="20"/>
  <c r="I5969" i="20"/>
  <c r="I5965" i="20"/>
  <c r="I5961" i="20"/>
  <c r="I5966" i="20"/>
  <c r="E5979" i="20"/>
  <c r="F5950" i="20"/>
  <c r="F5951" i="20"/>
  <c r="G5951" i="20" s="1"/>
  <c r="F5952" i="20"/>
  <c r="I5959" i="20"/>
  <c r="I5963" i="20"/>
  <c r="I5967" i="20"/>
  <c r="E5977" i="20"/>
  <c r="F5949" i="20"/>
  <c r="I5960" i="20"/>
  <c r="I5964" i="20"/>
  <c r="E5927" i="20"/>
  <c r="F5900" i="20"/>
  <c r="F5899" i="20"/>
  <c r="G5899" i="20" s="1"/>
  <c r="I5904" i="20"/>
  <c r="I5905" i="20"/>
  <c r="I5909" i="20"/>
  <c r="I5913" i="20"/>
  <c r="I5917" i="20"/>
  <c r="F5897" i="20"/>
  <c r="I5906" i="20"/>
  <c r="I5910" i="20"/>
  <c r="I5914" i="20"/>
  <c r="I5907" i="20"/>
  <c r="I5911" i="20"/>
  <c r="I5915" i="20"/>
  <c r="E5925" i="20"/>
  <c r="I5908" i="20"/>
  <c r="I5912" i="20"/>
  <c r="E709" i="20"/>
  <c r="E658" i="20"/>
  <c r="E657" i="20"/>
  <c r="F631" i="20"/>
  <c r="E811" i="20"/>
  <c r="E4594" i="20"/>
  <c r="F680" i="20"/>
  <c r="E4543" i="20"/>
  <c r="E4646" i="20"/>
  <c r="I4623" i="20"/>
  <c r="I4624" i="20"/>
  <c r="I4628" i="20"/>
  <c r="I4632" i="20"/>
  <c r="I4636" i="20"/>
  <c r="F4617" i="20"/>
  <c r="I4625" i="20"/>
  <c r="I4629" i="20"/>
  <c r="I4633" i="20"/>
  <c r="F4618" i="20"/>
  <c r="I4626" i="20"/>
  <c r="I4630" i="20"/>
  <c r="I4634" i="20"/>
  <c r="E4644" i="20"/>
  <c r="I4627" i="20"/>
  <c r="I4631" i="20"/>
  <c r="D789" i="20"/>
  <c r="F789" i="20" s="1"/>
  <c r="D687" i="20"/>
  <c r="F687" i="20" s="1"/>
  <c r="I4571" i="20"/>
  <c r="I4576" i="20"/>
  <c r="I4580" i="20"/>
  <c r="F4565" i="20"/>
  <c r="I4573" i="20"/>
  <c r="I4577" i="20"/>
  <c r="I4581" i="20"/>
  <c r="I4572" i="20"/>
  <c r="I4584" i="20"/>
  <c r="F4566" i="20"/>
  <c r="G4566" i="20" s="1"/>
  <c r="I4574" i="20"/>
  <c r="I4578" i="20"/>
  <c r="I4582" i="20"/>
  <c r="E4592" i="20"/>
  <c r="I4575" i="20"/>
  <c r="I4579" i="20"/>
  <c r="F4514" i="20"/>
  <c r="I4522" i="20"/>
  <c r="I4526" i="20"/>
  <c r="I4530" i="20"/>
  <c r="I4520" i="20"/>
  <c r="I4525" i="20"/>
  <c r="I4529" i="20"/>
  <c r="F4515" i="20"/>
  <c r="G4515" i="20" s="1"/>
  <c r="I4523" i="20"/>
  <c r="I4527" i="20"/>
  <c r="I4531" i="20"/>
  <c r="E4541" i="20"/>
  <c r="I4521" i="20"/>
  <c r="I4533" i="20"/>
  <c r="I4524" i="20"/>
  <c r="I4528" i="20"/>
  <c r="I789" i="20"/>
  <c r="I801" i="20"/>
  <c r="I788" i="20"/>
  <c r="I797" i="20"/>
  <c r="I793" i="20"/>
  <c r="F783" i="20"/>
  <c r="I790" i="20"/>
  <c r="I794" i="20"/>
  <c r="I798" i="20"/>
  <c r="F784" i="20"/>
  <c r="I791" i="20"/>
  <c r="I795" i="20"/>
  <c r="I799" i="20"/>
  <c r="E809" i="20"/>
  <c r="I792" i="20"/>
  <c r="I796" i="20"/>
  <c r="I738" i="20"/>
  <c r="I750" i="20"/>
  <c r="I737" i="20"/>
  <c r="I746" i="20"/>
  <c r="I742" i="20"/>
  <c r="I691" i="20"/>
  <c r="F732" i="20"/>
  <c r="I739" i="20"/>
  <c r="I743" i="20"/>
  <c r="I747" i="20"/>
  <c r="I740" i="20"/>
  <c r="I744" i="20"/>
  <c r="I748" i="20"/>
  <c r="E758" i="20"/>
  <c r="I741" i="20"/>
  <c r="I745" i="20"/>
  <c r="I687" i="20"/>
  <c r="I699" i="20"/>
  <c r="I686" i="20"/>
  <c r="I695" i="20"/>
  <c r="F681" i="20"/>
  <c r="I688" i="20"/>
  <c r="I692" i="20"/>
  <c r="I696" i="20"/>
  <c r="F682" i="20"/>
  <c r="I689" i="20"/>
  <c r="I693" i="20"/>
  <c r="I697" i="20"/>
  <c r="E707" i="20"/>
  <c r="I690" i="20"/>
  <c r="I694" i="20"/>
  <c r="D585" i="20"/>
  <c r="F585" i="20" s="1"/>
  <c r="D636" i="20"/>
  <c r="F636" i="20" s="1"/>
  <c r="I639" i="20"/>
  <c r="I636" i="20"/>
  <c r="I641" i="20"/>
  <c r="I642" i="20"/>
  <c r="I644" i="20"/>
  <c r="I648" i="20"/>
  <c r="I635" i="20"/>
  <c r="F630" i="20"/>
  <c r="I645" i="20"/>
  <c r="I637" i="20"/>
  <c r="I640" i="20"/>
  <c r="I646" i="20"/>
  <c r="E656" i="20"/>
  <c r="I638" i="20"/>
  <c r="I643" i="20"/>
  <c r="I584" i="20"/>
  <c r="I586" i="20"/>
  <c r="I590" i="20"/>
  <c r="I594" i="20"/>
  <c r="I587" i="20"/>
  <c r="I585" i="20"/>
  <c r="F580" i="20"/>
  <c r="G580" i="20" s="1"/>
  <c r="F578" i="20"/>
  <c r="I589" i="20"/>
  <c r="I593" i="20"/>
  <c r="I597" i="20"/>
  <c r="E607" i="20"/>
  <c r="I591" i="20"/>
  <c r="I595" i="20"/>
  <c r="E605" i="20"/>
  <c r="F579" i="20"/>
  <c r="I588" i="20"/>
  <c r="I592" i="20"/>
  <c r="F284" i="4"/>
  <c r="D2483" i="20" s="1"/>
  <c r="F2483" i="20" s="1"/>
  <c r="B556" i="20"/>
  <c r="B555" i="20"/>
  <c r="E550" i="20"/>
  <c r="F550" i="20" s="1"/>
  <c r="H551" i="20" s="1"/>
  <c r="N522" i="20" s="1"/>
  <c r="D546" i="20"/>
  <c r="F546" i="20" s="1"/>
  <c r="C546" i="20"/>
  <c r="B546" i="20"/>
  <c r="D545" i="20"/>
  <c r="F545" i="20" s="1"/>
  <c r="C545" i="20"/>
  <c r="B545" i="20"/>
  <c r="D544" i="20"/>
  <c r="F544" i="20" s="1"/>
  <c r="C544" i="20"/>
  <c r="B544" i="20"/>
  <c r="D543" i="20"/>
  <c r="F543" i="20" s="1"/>
  <c r="C543" i="20"/>
  <c r="B543" i="20"/>
  <c r="D542" i="20"/>
  <c r="F542" i="20" s="1"/>
  <c r="C542" i="20"/>
  <c r="B542" i="20"/>
  <c r="D541" i="20"/>
  <c r="F541" i="20" s="1"/>
  <c r="C541" i="20"/>
  <c r="B541" i="20"/>
  <c r="C540" i="20"/>
  <c r="B540" i="20"/>
  <c r="C539" i="20"/>
  <c r="B539" i="20"/>
  <c r="C538" i="20"/>
  <c r="B538" i="20"/>
  <c r="C537" i="20"/>
  <c r="B537" i="20"/>
  <c r="C536" i="20"/>
  <c r="B536" i="20"/>
  <c r="C535" i="20"/>
  <c r="B535" i="20"/>
  <c r="D534" i="20"/>
  <c r="F534" i="20" s="1"/>
  <c r="C534" i="20"/>
  <c r="C533" i="20"/>
  <c r="E529" i="20"/>
  <c r="D529" i="20"/>
  <c r="B529" i="20"/>
  <c r="D528" i="20"/>
  <c r="B528" i="20"/>
  <c r="D527" i="20"/>
  <c r="B527" i="20"/>
  <c r="G524" i="20"/>
  <c r="I545" i="20" s="1"/>
  <c r="G523" i="20"/>
  <c r="B523" i="20"/>
  <c r="B522" i="20"/>
  <c r="H521" i="20"/>
  <c r="B518" i="20"/>
  <c r="E555" i="20"/>
  <c r="D2228" i="20" l="1"/>
  <c r="F2228" i="20" s="1"/>
  <c r="D2177" i="20"/>
  <c r="F2177" i="20" s="1"/>
  <c r="D742" i="20"/>
  <c r="F742" i="20" s="1"/>
  <c r="D691" i="20"/>
  <c r="F691" i="20" s="1"/>
  <c r="D793" i="20"/>
  <c r="F793" i="20" s="1"/>
  <c r="D589" i="20"/>
  <c r="F589" i="20" s="1"/>
  <c r="D640" i="20"/>
  <c r="F640" i="20" s="1"/>
  <c r="I542" i="20"/>
  <c r="I534" i="20"/>
  <c r="I546" i="20"/>
  <c r="I533" i="20"/>
  <c r="I538" i="20"/>
  <c r="F528" i="20"/>
  <c r="I535" i="20"/>
  <c r="I539" i="20"/>
  <c r="I543" i="20"/>
  <c r="F529" i="20"/>
  <c r="G529" i="20" s="1"/>
  <c r="I536" i="20"/>
  <c r="I540" i="20"/>
  <c r="I544" i="20"/>
  <c r="E554" i="20"/>
  <c r="F527" i="20"/>
  <c r="E556" i="20"/>
  <c r="I537" i="20"/>
  <c r="I541" i="20"/>
  <c r="F245" i="4"/>
  <c r="B4492" i="20"/>
  <c r="B4491" i="20"/>
  <c r="E4486" i="20"/>
  <c r="F4486" i="20" s="1"/>
  <c r="H4487" i="20" s="1"/>
  <c r="N4458" i="20" s="1"/>
  <c r="D4482" i="20"/>
  <c r="F4482" i="20" s="1"/>
  <c r="C4482" i="20"/>
  <c r="B4482" i="20"/>
  <c r="D4481" i="20"/>
  <c r="F4481" i="20" s="1"/>
  <c r="C4481" i="20"/>
  <c r="B4481" i="20"/>
  <c r="D4480" i="20"/>
  <c r="F4480" i="20" s="1"/>
  <c r="C4480" i="20"/>
  <c r="B4480" i="20"/>
  <c r="D4479" i="20"/>
  <c r="F4479" i="20" s="1"/>
  <c r="C4479" i="20"/>
  <c r="B4479" i="20"/>
  <c r="D4478" i="20"/>
  <c r="F4478" i="20" s="1"/>
  <c r="C4478" i="20"/>
  <c r="B4478" i="20"/>
  <c r="D4477" i="20"/>
  <c r="F4477" i="20" s="1"/>
  <c r="C4477" i="20"/>
  <c r="B4477" i="20"/>
  <c r="D4476" i="20"/>
  <c r="F4476" i="20" s="1"/>
  <c r="C4476" i="20"/>
  <c r="B4476" i="20"/>
  <c r="D4475" i="20"/>
  <c r="F4475" i="20" s="1"/>
  <c r="C4475" i="20"/>
  <c r="B4475" i="20"/>
  <c r="D4474" i="20"/>
  <c r="F4474" i="20" s="1"/>
  <c r="C4474" i="20"/>
  <c r="B4474" i="20"/>
  <c r="D4473" i="20"/>
  <c r="F4473" i="20" s="1"/>
  <c r="C4473" i="20"/>
  <c r="B4473" i="20"/>
  <c r="D4472" i="20"/>
  <c r="F4472" i="20" s="1"/>
  <c r="C4472" i="20"/>
  <c r="B4472" i="20"/>
  <c r="D4471" i="20"/>
  <c r="F4471" i="20" s="1"/>
  <c r="C4471" i="20"/>
  <c r="B4471" i="20"/>
  <c r="C4470" i="20"/>
  <c r="C4469" i="20"/>
  <c r="E4465" i="20"/>
  <c r="G4465" i="20" s="1"/>
  <c r="D4465" i="20"/>
  <c r="B4465" i="20"/>
  <c r="E4464" i="20"/>
  <c r="D4464" i="20"/>
  <c r="B4464" i="20"/>
  <c r="D4463" i="20"/>
  <c r="B4463" i="20"/>
  <c r="G4460" i="20"/>
  <c r="I4481" i="20" s="1"/>
  <c r="G4459" i="20"/>
  <c r="B4459" i="20"/>
  <c r="B4458" i="20"/>
  <c r="H4457" i="20"/>
  <c r="B4454" i="20"/>
  <c r="E4491" i="20"/>
  <c r="B4441" i="20"/>
  <c r="B4440" i="20"/>
  <c r="E4435" i="20"/>
  <c r="F4435" i="20" s="1"/>
  <c r="H4436" i="20" s="1"/>
  <c r="N4407" i="20" s="1"/>
  <c r="D4431" i="20"/>
  <c r="F4431" i="20" s="1"/>
  <c r="C4431" i="20"/>
  <c r="B4431" i="20"/>
  <c r="D4430" i="20"/>
  <c r="F4430" i="20" s="1"/>
  <c r="C4430" i="20"/>
  <c r="B4430" i="20"/>
  <c r="D4429" i="20"/>
  <c r="F4429" i="20" s="1"/>
  <c r="C4429" i="20"/>
  <c r="B4429" i="20"/>
  <c r="D4428" i="20"/>
  <c r="F4428" i="20" s="1"/>
  <c r="C4428" i="20"/>
  <c r="B4428" i="20"/>
  <c r="D4427" i="20"/>
  <c r="F4427" i="20" s="1"/>
  <c r="C4427" i="20"/>
  <c r="B4427" i="20"/>
  <c r="D4426" i="20"/>
  <c r="F4426" i="20" s="1"/>
  <c r="C4426" i="20"/>
  <c r="B4426" i="20"/>
  <c r="D4425" i="20"/>
  <c r="F4425" i="20" s="1"/>
  <c r="C4425" i="20"/>
  <c r="B4425" i="20"/>
  <c r="D4424" i="20"/>
  <c r="F4424" i="20" s="1"/>
  <c r="C4424" i="20"/>
  <c r="B4424" i="20"/>
  <c r="D4423" i="20"/>
  <c r="F4423" i="20" s="1"/>
  <c r="C4423" i="20"/>
  <c r="B4423" i="20"/>
  <c r="D4422" i="20"/>
  <c r="F4422" i="20" s="1"/>
  <c r="C4422" i="20"/>
  <c r="B4422" i="20"/>
  <c r="D4421" i="20"/>
  <c r="F4421" i="20" s="1"/>
  <c r="C4421" i="20"/>
  <c r="B4421" i="20"/>
  <c r="D4420" i="20"/>
  <c r="F4420" i="20" s="1"/>
  <c r="C4420" i="20"/>
  <c r="B4420" i="20"/>
  <c r="C4419" i="20"/>
  <c r="C4418" i="20"/>
  <c r="E4414" i="20"/>
  <c r="G4414" i="20" s="1"/>
  <c r="D4414" i="20"/>
  <c r="B4414" i="20"/>
  <c r="D4413" i="20"/>
  <c r="B4413" i="20"/>
  <c r="D4412" i="20"/>
  <c r="B4412" i="20"/>
  <c r="G4409" i="20"/>
  <c r="I4430" i="20" s="1"/>
  <c r="G4408" i="20"/>
  <c r="B4408" i="20"/>
  <c r="B4407" i="20"/>
  <c r="H4406" i="20"/>
  <c r="B4403" i="20"/>
  <c r="E4440" i="20"/>
  <c r="E4390" i="20"/>
  <c r="G73" i="4"/>
  <c r="I73" i="4" s="1"/>
  <c r="K73" i="4" s="1"/>
  <c r="F73" i="4" s="1"/>
  <c r="F233" i="4"/>
  <c r="B4390" i="20"/>
  <c r="B4389" i="20"/>
  <c r="E4384" i="20"/>
  <c r="F4384" i="20" s="1"/>
  <c r="H4385" i="20" s="1"/>
  <c r="N4356" i="20" s="1"/>
  <c r="D4380" i="20"/>
  <c r="F4380" i="20" s="1"/>
  <c r="C4380" i="20"/>
  <c r="B4380" i="20"/>
  <c r="D4379" i="20"/>
  <c r="F4379" i="20" s="1"/>
  <c r="C4379" i="20"/>
  <c r="B4379" i="20"/>
  <c r="D4378" i="20"/>
  <c r="F4378" i="20" s="1"/>
  <c r="C4378" i="20"/>
  <c r="B4378" i="20"/>
  <c r="D4377" i="20"/>
  <c r="F4377" i="20" s="1"/>
  <c r="C4377" i="20"/>
  <c r="B4377" i="20"/>
  <c r="D4376" i="20"/>
  <c r="F4376" i="20" s="1"/>
  <c r="C4376" i="20"/>
  <c r="B4376" i="20"/>
  <c r="D4375" i="20"/>
  <c r="F4375" i="20" s="1"/>
  <c r="C4375" i="20"/>
  <c r="B4375" i="20"/>
  <c r="D4374" i="20"/>
  <c r="F4374" i="20" s="1"/>
  <c r="C4374" i="20"/>
  <c r="B4374" i="20"/>
  <c r="C4373" i="20"/>
  <c r="B4373" i="20"/>
  <c r="C4372" i="20"/>
  <c r="B4372" i="20"/>
  <c r="C4371" i="20"/>
  <c r="B4371" i="20"/>
  <c r="C4370" i="20"/>
  <c r="B4370" i="20"/>
  <c r="C4369" i="20"/>
  <c r="B4369" i="20"/>
  <c r="C4368" i="20"/>
  <c r="C4367" i="20"/>
  <c r="E4363" i="20"/>
  <c r="D4363" i="20"/>
  <c r="B4363" i="20"/>
  <c r="D4362" i="20"/>
  <c r="B4362" i="20"/>
  <c r="D4361" i="20"/>
  <c r="B4361" i="20"/>
  <c r="G4358" i="20"/>
  <c r="I4379" i="20" s="1"/>
  <c r="G4357" i="20"/>
  <c r="B4357" i="20"/>
  <c r="B4356" i="20"/>
  <c r="H4355" i="20"/>
  <c r="B4352" i="20"/>
  <c r="B504" i="20"/>
  <c r="B503" i="20"/>
  <c r="E498" i="20"/>
  <c r="F498" i="20" s="1"/>
  <c r="H499" i="20" s="1"/>
  <c r="N470" i="20" s="1"/>
  <c r="D494" i="20"/>
  <c r="F494" i="20" s="1"/>
  <c r="C494" i="20"/>
  <c r="B494" i="20"/>
  <c r="D493" i="20"/>
  <c r="F493" i="20" s="1"/>
  <c r="C493" i="20"/>
  <c r="B493" i="20"/>
  <c r="D492" i="20"/>
  <c r="F492" i="20" s="1"/>
  <c r="C492" i="20"/>
  <c r="B492" i="20"/>
  <c r="D491" i="20"/>
  <c r="F491" i="20" s="1"/>
  <c r="C491" i="20"/>
  <c r="B491" i="20"/>
  <c r="D490" i="20"/>
  <c r="F490" i="20" s="1"/>
  <c r="C490" i="20"/>
  <c r="B490" i="20"/>
  <c r="D489" i="20"/>
  <c r="F489" i="20" s="1"/>
  <c r="C489" i="20"/>
  <c r="B489" i="20"/>
  <c r="D488" i="20"/>
  <c r="F488" i="20" s="1"/>
  <c r="C488" i="20"/>
  <c r="B488" i="20"/>
  <c r="C487" i="20"/>
  <c r="B487" i="20"/>
  <c r="C486" i="20"/>
  <c r="B486" i="20"/>
  <c r="C485" i="20"/>
  <c r="B485" i="20"/>
  <c r="C484" i="20"/>
  <c r="B484" i="20"/>
  <c r="C483" i="20"/>
  <c r="B483" i="20"/>
  <c r="C482" i="20"/>
  <c r="C481" i="20"/>
  <c r="D477" i="20"/>
  <c r="B477" i="20"/>
  <c r="D476" i="20"/>
  <c r="B476" i="20"/>
  <c r="D475" i="20"/>
  <c r="B475" i="20"/>
  <c r="G472" i="20"/>
  <c r="I493" i="20" s="1"/>
  <c r="G471" i="20"/>
  <c r="B471" i="20"/>
  <c r="B470" i="20"/>
  <c r="H469" i="20"/>
  <c r="B466" i="20"/>
  <c r="H465" i="20"/>
  <c r="E503" i="20" s="1"/>
  <c r="H414" i="20"/>
  <c r="E453" i="20" s="1"/>
  <c r="B453" i="20"/>
  <c r="B452" i="20"/>
  <c r="E447" i="20"/>
  <c r="F447" i="20" s="1"/>
  <c r="H448" i="20" s="1"/>
  <c r="N419" i="20" s="1"/>
  <c r="D443" i="20"/>
  <c r="F443" i="20" s="1"/>
  <c r="C443" i="20"/>
  <c r="B443" i="20"/>
  <c r="D442" i="20"/>
  <c r="F442" i="20" s="1"/>
  <c r="C442" i="20"/>
  <c r="B442" i="20"/>
  <c r="D441" i="20"/>
  <c r="F441" i="20" s="1"/>
  <c r="C441" i="20"/>
  <c r="B441" i="20"/>
  <c r="D440" i="20"/>
  <c r="F440" i="20" s="1"/>
  <c r="C440" i="20"/>
  <c r="B440" i="20"/>
  <c r="D439" i="20"/>
  <c r="F439" i="20" s="1"/>
  <c r="C439" i="20"/>
  <c r="B439" i="20"/>
  <c r="D438" i="20"/>
  <c r="F438" i="20" s="1"/>
  <c r="C438" i="20"/>
  <c r="B438" i="20"/>
  <c r="D437" i="20"/>
  <c r="F437" i="20" s="1"/>
  <c r="C437" i="20"/>
  <c r="B437" i="20"/>
  <c r="C436" i="20"/>
  <c r="B436" i="20"/>
  <c r="C435" i="20"/>
  <c r="B435" i="20"/>
  <c r="C434" i="20"/>
  <c r="B434" i="20"/>
  <c r="C433" i="20"/>
  <c r="B433" i="20"/>
  <c r="C432" i="20"/>
  <c r="B432" i="20"/>
  <c r="C431" i="20"/>
  <c r="C430" i="20"/>
  <c r="D426" i="20"/>
  <c r="B426" i="20"/>
  <c r="D425" i="20"/>
  <c r="B425" i="20"/>
  <c r="D424" i="20"/>
  <c r="B424" i="20"/>
  <c r="G421" i="20"/>
  <c r="I442" i="20" s="1"/>
  <c r="G420" i="20"/>
  <c r="B420" i="20"/>
  <c r="B419" i="20"/>
  <c r="H418" i="20"/>
  <c r="B415" i="20"/>
  <c r="B402" i="20"/>
  <c r="B401" i="20"/>
  <c r="E396" i="20"/>
  <c r="F396" i="20" s="1"/>
  <c r="H397" i="20" s="1"/>
  <c r="N368" i="20" s="1"/>
  <c r="D392" i="20"/>
  <c r="F392" i="20" s="1"/>
  <c r="C392" i="20"/>
  <c r="B392" i="20"/>
  <c r="D391" i="20"/>
  <c r="F391" i="20" s="1"/>
  <c r="C391" i="20"/>
  <c r="B391" i="20"/>
  <c r="D390" i="20"/>
  <c r="F390" i="20" s="1"/>
  <c r="C390" i="20"/>
  <c r="B390" i="20"/>
  <c r="D389" i="20"/>
  <c r="F389" i="20" s="1"/>
  <c r="C389" i="20"/>
  <c r="B389" i="20"/>
  <c r="D388" i="20"/>
  <c r="F388" i="20" s="1"/>
  <c r="C388" i="20"/>
  <c r="B388" i="20"/>
  <c r="D387" i="20"/>
  <c r="F387" i="20" s="1"/>
  <c r="C387" i="20"/>
  <c r="B387" i="20"/>
  <c r="C386" i="20"/>
  <c r="B386" i="20"/>
  <c r="C385" i="20"/>
  <c r="B385" i="20"/>
  <c r="C384" i="20"/>
  <c r="B384" i="20"/>
  <c r="C383" i="20"/>
  <c r="B383" i="20"/>
  <c r="C382" i="20"/>
  <c r="B382" i="20"/>
  <c r="C381" i="20"/>
  <c r="B381" i="20"/>
  <c r="C380" i="20"/>
  <c r="C379" i="20"/>
  <c r="D375" i="20"/>
  <c r="B375" i="20"/>
  <c r="D374" i="20"/>
  <c r="B374" i="20"/>
  <c r="D373" i="20"/>
  <c r="B373" i="20"/>
  <c r="G370" i="20"/>
  <c r="I391" i="20" s="1"/>
  <c r="G369" i="20"/>
  <c r="B369" i="20"/>
  <c r="B368" i="20"/>
  <c r="H367" i="20"/>
  <c r="B364" i="20"/>
  <c r="H363" i="20"/>
  <c r="E401" i="20" s="1"/>
  <c r="B351" i="20"/>
  <c r="B350" i="20"/>
  <c r="E345" i="20"/>
  <c r="F345" i="20" s="1"/>
  <c r="H346" i="20" s="1"/>
  <c r="N317" i="20" s="1"/>
  <c r="D341" i="20"/>
  <c r="F341" i="20" s="1"/>
  <c r="C341" i="20"/>
  <c r="B341" i="20"/>
  <c r="D340" i="20"/>
  <c r="F340" i="20" s="1"/>
  <c r="C340" i="20"/>
  <c r="B340" i="20"/>
  <c r="D339" i="20"/>
  <c r="F339" i="20" s="1"/>
  <c r="C339" i="20"/>
  <c r="B339" i="20"/>
  <c r="D338" i="20"/>
  <c r="F338" i="20" s="1"/>
  <c r="C338" i="20"/>
  <c r="B338" i="20"/>
  <c r="D337" i="20"/>
  <c r="F337" i="20" s="1"/>
  <c r="C337" i="20"/>
  <c r="B337" i="20"/>
  <c r="D336" i="20"/>
  <c r="F336" i="20" s="1"/>
  <c r="C336" i="20"/>
  <c r="B336" i="20"/>
  <c r="C335" i="20"/>
  <c r="B335" i="20"/>
  <c r="C334" i="20"/>
  <c r="B334" i="20"/>
  <c r="C333" i="20"/>
  <c r="B333" i="20"/>
  <c r="C332" i="20"/>
  <c r="B332" i="20"/>
  <c r="C331" i="20"/>
  <c r="B331" i="20"/>
  <c r="C330" i="20"/>
  <c r="B330" i="20"/>
  <c r="C329" i="20"/>
  <c r="C328" i="20"/>
  <c r="D324" i="20"/>
  <c r="B324" i="20"/>
  <c r="D323" i="20"/>
  <c r="B323" i="20"/>
  <c r="D322" i="20"/>
  <c r="B322" i="20"/>
  <c r="G319" i="20"/>
  <c r="I340" i="20" s="1"/>
  <c r="G318" i="20"/>
  <c r="B318" i="20"/>
  <c r="B317" i="20"/>
  <c r="H316" i="20"/>
  <c r="B313" i="20"/>
  <c r="H312" i="20"/>
  <c r="E350" i="20" s="1"/>
  <c r="H261" i="20"/>
  <c r="F271" i="20" s="1"/>
  <c r="B300" i="20"/>
  <c r="B299" i="20"/>
  <c r="E294" i="20"/>
  <c r="F294" i="20" s="1"/>
  <c r="H295" i="20" s="1"/>
  <c r="N266" i="20" s="1"/>
  <c r="D290" i="20"/>
  <c r="F290" i="20" s="1"/>
  <c r="C290" i="20"/>
  <c r="B290" i="20"/>
  <c r="D289" i="20"/>
  <c r="F289" i="20" s="1"/>
  <c r="C289" i="20"/>
  <c r="B289" i="20"/>
  <c r="D288" i="20"/>
  <c r="F288" i="20" s="1"/>
  <c r="C288" i="20"/>
  <c r="B288" i="20"/>
  <c r="D287" i="20"/>
  <c r="F287" i="20" s="1"/>
  <c r="C287" i="20"/>
  <c r="B287" i="20"/>
  <c r="D286" i="20"/>
  <c r="F286" i="20" s="1"/>
  <c r="C286" i="20"/>
  <c r="B286" i="20"/>
  <c r="D285" i="20"/>
  <c r="F285" i="20" s="1"/>
  <c r="C285" i="20"/>
  <c r="B285" i="20"/>
  <c r="C284" i="20"/>
  <c r="B284" i="20"/>
  <c r="C283" i="20"/>
  <c r="B283" i="20"/>
  <c r="C282" i="20"/>
  <c r="B282" i="20"/>
  <c r="C281" i="20"/>
  <c r="B281" i="20"/>
  <c r="C280" i="20"/>
  <c r="B280" i="20"/>
  <c r="C279" i="20"/>
  <c r="B279" i="20"/>
  <c r="C278" i="20"/>
  <c r="C277" i="20"/>
  <c r="D273" i="20"/>
  <c r="B273" i="20"/>
  <c r="D272" i="20"/>
  <c r="B272" i="20"/>
  <c r="D271" i="20"/>
  <c r="B271" i="20"/>
  <c r="G268" i="20"/>
  <c r="I289" i="20" s="1"/>
  <c r="G267" i="20"/>
  <c r="B267" i="20"/>
  <c r="B266" i="20"/>
  <c r="H265" i="20"/>
  <c r="B262" i="20"/>
  <c r="B249" i="20"/>
  <c r="B248" i="20"/>
  <c r="E243" i="20"/>
  <c r="F243" i="20" s="1"/>
  <c r="H244" i="20" s="1"/>
  <c r="N215" i="20" s="1"/>
  <c r="D239" i="20"/>
  <c r="F239" i="20" s="1"/>
  <c r="C239" i="20"/>
  <c r="B239" i="20"/>
  <c r="D238" i="20"/>
  <c r="F238" i="20" s="1"/>
  <c r="C238" i="20"/>
  <c r="B238" i="20"/>
  <c r="D237" i="20"/>
  <c r="F237" i="20" s="1"/>
  <c r="C237" i="20"/>
  <c r="B237" i="20"/>
  <c r="D236" i="20"/>
  <c r="F236" i="20" s="1"/>
  <c r="C236" i="20"/>
  <c r="B236" i="20"/>
  <c r="D235" i="20"/>
  <c r="F235" i="20" s="1"/>
  <c r="C235" i="20"/>
  <c r="B235" i="20"/>
  <c r="D234" i="20"/>
  <c r="F234" i="20" s="1"/>
  <c r="C234" i="20"/>
  <c r="B234" i="20"/>
  <c r="C233" i="20"/>
  <c r="B233" i="20"/>
  <c r="C232" i="20"/>
  <c r="B232" i="20"/>
  <c r="C231" i="20"/>
  <c r="B231" i="20"/>
  <c r="C230" i="20"/>
  <c r="B230" i="20"/>
  <c r="C229" i="20"/>
  <c r="B229" i="20"/>
  <c r="C228" i="20"/>
  <c r="B228" i="20"/>
  <c r="C227" i="20"/>
  <c r="C226" i="20"/>
  <c r="D222" i="20"/>
  <c r="B222" i="20"/>
  <c r="D221" i="20"/>
  <c r="B221" i="20"/>
  <c r="D220" i="20"/>
  <c r="B220" i="20"/>
  <c r="G217" i="20"/>
  <c r="I238" i="20" s="1"/>
  <c r="G216" i="20"/>
  <c r="B216" i="20"/>
  <c r="B215" i="20"/>
  <c r="H214" i="20"/>
  <c r="B211" i="20"/>
  <c r="H210" i="20"/>
  <c r="E248" i="20" s="1"/>
  <c r="B198" i="20"/>
  <c r="B197" i="20"/>
  <c r="E192" i="20"/>
  <c r="F192" i="20" s="1"/>
  <c r="H193" i="20" s="1"/>
  <c r="N164" i="20" s="1"/>
  <c r="D188" i="20"/>
  <c r="F188" i="20" s="1"/>
  <c r="C188" i="20"/>
  <c r="B188" i="20"/>
  <c r="D187" i="20"/>
  <c r="F187" i="20" s="1"/>
  <c r="C187" i="20"/>
  <c r="B187" i="20"/>
  <c r="D186" i="20"/>
  <c r="F186" i="20" s="1"/>
  <c r="C186" i="20"/>
  <c r="B186" i="20"/>
  <c r="D185" i="20"/>
  <c r="F185" i="20" s="1"/>
  <c r="C185" i="20"/>
  <c r="B185" i="20"/>
  <c r="D184" i="20"/>
  <c r="F184" i="20" s="1"/>
  <c r="C184" i="20"/>
  <c r="B184" i="20"/>
  <c r="D183" i="20"/>
  <c r="F183" i="20" s="1"/>
  <c r="C183" i="20"/>
  <c r="B183" i="20"/>
  <c r="C182" i="20"/>
  <c r="B182" i="20"/>
  <c r="C181" i="20"/>
  <c r="B181" i="20"/>
  <c r="C180" i="20"/>
  <c r="B180" i="20"/>
  <c r="C179" i="20"/>
  <c r="B179" i="20"/>
  <c r="C178" i="20"/>
  <c r="B178" i="20"/>
  <c r="C177" i="20"/>
  <c r="B177" i="20"/>
  <c r="C176" i="20"/>
  <c r="C175" i="20"/>
  <c r="D171" i="20"/>
  <c r="B171" i="20"/>
  <c r="D170" i="20"/>
  <c r="B170" i="20"/>
  <c r="D169" i="20"/>
  <c r="B169" i="20"/>
  <c r="G166" i="20"/>
  <c r="I187" i="20" s="1"/>
  <c r="G165" i="20"/>
  <c r="B165" i="20"/>
  <c r="B164" i="20"/>
  <c r="H163" i="20"/>
  <c r="B160" i="20"/>
  <c r="H159" i="20"/>
  <c r="E197" i="20" s="1"/>
  <c r="B147" i="20"/>
  <c r="B146" i="20"/>
  <c r="E141" i="20"/>
  <c r="F141" i="20" s="1"/>
  <c r="H142" i="20" s="1"/>
  <c r="N113" i="20" s="1"/>
  <c r="D137" i="20"/>
  <c r="F137" i="20" s="1"/>
  <c r="C137" i="20"/>
  <c r="B137" i="20"/>
  <c r="D136" i="20"/>
  <c r="F136" i="20" s="1"/>
  <c r="C136" i="20"/>
  <c r="B136" i="20"/>
  <c r="D135" i="20"/>
  <c r="F135" i="20" s="1"/>
  <c r="C135" i="20"/>
  <c r="B135" i="20"/>
  <c r="D134" i="20"/>
  <c r="F134" i="20" s="1"/>
  <c r="C134" i="20"/>
  <c r="B134" i="20"/>
  <c r="D133" i="20"/>
  <c r="F133" i="20" s="1"/>
  <c r="C133" i="20"/>
  <c r="B133" i="20"/>
  <c r="D132" i="20"/>
  <c r="F132" i="20" s="1"/>
  <c r="C132" i="20"/>
  <c r="B132" i="20"/>
  <c r="C131" i="20"/>
  <c r="B131" i="20"/>
  <c r="C130" i="20"/>
  <c r="B130" i="20"/>
  <c r="C129" i="20"/>
  <c r="B129" i="20"/>
  <c r="C128" i="20"/>
  <c r="B128" i="20"/>
  <c r="C127" i="20"/>
  <c r="B127" i="20"/>
  <c r="C126" i="20"/>
  <c r="B126" i="20"/>
  <c r="C125" i="20"/>
  <c r="C124" i="20"/>
  <c r="D120" i="20"/>
  <c r="B120" i="20"/>
  <c r="D119" i="20"/>
  <c r="B119" i="20"/>
  <c r="D118" i="20"/>
  <c r="B118" i="20"/>
  <c r="G115" i="20"/>
  <c r="I136" i="20" s="1"/>
  <c r="G114" i="20"/>
  <c r="B114" i="20"/>
  <c r="B113" i="20"/>
  <c r="H112" i="20"/>
  <c r="B109" i="20"/>
  <c r="H108" i="20"/>
  <c r="E146" i="20" s="1"/>
  <c r="I278" i="4"/>
  <c r="K278" i="4" s="1"/>
  <c r="I272" i="4"/>
  <c r="K272" i="4" s="1"/>
  <c r="I271" i="4"/>
  <c r="K271" i="4" s="1"/>
  <c r="I208" i="4"/>
  <c r="K208" i="4" s="1"/>
  <c r="I206" i="4"/>
  <c r="K206" i="4" s="1"/>
  <c r="I205" i="4"/>
  <c r="K205" i="4" s="1"/>
  <c r="I200" i="4"/>
  <c r="K200" i="4" s="1"/>
  <c r="I204" i="4"/>
  <c r="K204" i="4" s="1"/>
  <c r="I203" i="4"/>
  <c r="K203" i="4" s="1"/>
  <c r="B96" i="20"/>
  <c r="B95" i="20"/>
  <c r="E90" i="20"/>
  <c r="F90" i="20" s="1"/>
  <c r="H91" i="20" s="1"/>
  <c r="N62" i="20" s="1"/>
  <c r="D86" i="20"/>
  <c r="F86" i="20" s="1"/>
  <c r="C86" i="20"/>
  <c r="B86" i="20"/>
  <c r="D85" i="20"/>
  <c r="F85" i="20" s="1"/>
  <c r="C85" i="20"/>
  <c r="B85" i="20"/>
  <c r="D84" i="20"/>
  <c r="F84" i="20" s="1"/>
  <c r="C84" i="20"/>
  <c r="B84" i="20"/>
  <c r="D83" i="20"/>
  <c r="F83" i="20" s="1"/>
  <c r="C83" i="20"/>
  <c r="B83" i="20"/>
  <c r="D82" i="20"/>
  <c r="F82" i="20" s="1"/>
  <c r="C82" i="20"/>
  <c r="B82" i="20"/>
  <c r="D81" i="20"/>
  <c r="F81" i="20" s="1"/>
  <c r="C81" i="20"/>
  <c r="B81" i="20"/>
  <c r="C80" i="20"/>
  <c r="B80" i="20"/>
  <c r="C79" i="20"/>
  <c r="B79" i="20"/>
  <c r="C78" i="20"/>
  <c r="B78" i="20"/>
  <c r="C77" i="20"/>
  <c r="B77" i="20"/>
  <c r="C76" i="20"/>
  <c r="B76" i="20"/>
  <c r="C75" i="20"/>
  <c r="B75" i="20"/>
  <c r="C74" i="20"/>
  <c r="C73" i="20"/>
  <c r="D69" i="20"/>
  <c r="B69" i="20"/>
  <c r="D68" i="20"/>
  <c r="B68" i="20"/>
  <c r="D67" i="20"/>
  <c r="B67" i="20"/>
  <c r="G64" i="20"/>
  <c r="I85" i="20" s="1"/>
  <c r="G63" i="20"/>
  <c r="B63" i="20"/>
  <c r="B62" i="20"/>
  <c r="H61" i="20"/>
  <c r="B58" i="20"/>
  <c r="H57" i="20"/>
  <c r="E95" i="20" s="1"/>
  <c r="D5748" i="20" l="1"/>
  <c r="F5748" i="20" s="1"/>
  <c r="D5799" i="20"/>
  <c r="F5799" i="20" s="1"/>
  <c r="H5812" i="20" s="1"/>
  <c r="D5850" i="20"/>
  <c r="F5850" i="20" s="1"/>
  <c r="D5646" i="20"/>
  <c r="F5646" i="20" s="1"/>
  <c r="D5697" i="20"/>
  <c r="F5697" i="20" s="1"/>
  <c r="D5595" i="20"/>
  <c r="F5595" i="20" s="1"/>
  <c r="D5492" i="20"/>
  <c r="F5492" i="20" s="1"/>
  <c r="D5543" i="20"/>
  <c r="F5543" i="20" s="1"/>
  <c r="D5338" i="20"/>
  <c r="F5338" i="20" s="1"/>
  <c r="H5351" i="20" s="1"/>
  <c r="K5326" i="20" s="1"/>
  <c r="D5390" i="20"/>
  <c r="F5390" i="20" s="1"/>
  <c r="H5403" i="20" s="1"/>
  <c r="D5441" i="20"/>
  <c r="F5441" i="20" s="1"/>
  <c r="F426" i="20"/>
  <c r="E452" i="20"/>
  <c r="F424" i="20"/>
  <c r="D4776" i="20"/>
  <c r="F4776" i="20" s="1"/>
  <c r="D5235" i="20"/>
  <c r="F5235" i="20" s="1"/>
  <c r="D5031" i="20"/>
  <c r="F5031" i="20" s="1"/>
  <c r="D5287" i="20"/>
  <c r="F5287" i="20" s="1"/>
  <c r="D5236" i="20"/>
  <c r="F5236" i="20" s="1"/>
  <c r="D5185" i="20"/>
  <c r="F5185" i="20" s="1"/>
  <c r="H5198" i="20" s="1"/>
  <c r="D5134" i="20"/>
  <c r="F5134" i="20" s="1"/>
  <c r="D5083" i="20"/>
  <c r="F5083" i="20" s="1"/>
  <c r="D4981" i="20"/>
  <c r="F4981" i="20" s="1"/>
  <c r="D5032" i="20"/>
  <c r="F5032" i="20" s="1"/>
  <c r="D4777" i="20"/>
  <c r="F4777" i="20" s="1"/>
  <c r="D4930" i="20"/>
  <c r="F4930" i="20" s="1"/>
  <c r="D4879" i="20"/>
  <c r="F4879" i="20" s="1"/>
  <c r="D4828" i="20"/>
  <c r="F4828" i="20" s="1"/>
  <c r="H4841" i="20" s="1"/>
  <c r="E299" i="20"/>
  <c r="D4675" i="20"/>
  <c r="F4675" i="20" s="1"/>
  <c r="H4688" i="20" s="1"/>
  <c r="K4663" i="20" s="1"/>
  <c r="D4726" i="20"/>
  <c r="F4726" i="20" s="1"/>
  <c r="H4739" i="20" s="1"/>
  <c r="D8994" i="20"/>
  <c r="F8994" i="20" s="1"/>
  <c r="F67" i="20"/>
  <c r="D4418" i="20"/>
  <c r="F4418" i="20" s="1"/>
  <c r="D4623" i="20"/>
  <c r="F4623" i="20" s="1"/>
  <c r="D5958" i="20"/>
  <c r="F5958" i="20" s="1"/>
  <c r="D5906" i="20"/>
  <c r="F5906" i="20" s="1"/>
  <c r="D4624" i="20"/>
  <c r="F4624" i="20" s="1"/>
  <c r="E147" i="20"/>
  <c r="E198" i="20"/>
  <c r="E249" i="20"/>
  <c r="E300" i="20"/>
  <c r="F322" i="20"/>
  <c r="F373" i="20"/>
  <c r="E351" i="20"/>
  <c r="E402" i="20"/>
  <c r="E4441" i="20"/>
  <c r="E4492" i="20"/>
  <c r="E96" i="20"/>
  <c r="F118" i="20"/>
  <c r="F169" i="20"/>
  <c r="F220" i="20"/>
  <c r="D4419" i="20"/>
  <c r="F4419" i="20" s="1"/>
  <c r="D4572" i="20"/>
  <c r="F4572" i="20" s="1"/>
  <c r="D4521" i="20"/>
  <c r="F4521" i="20" s="1"/>
  <c r="D4571" i="20"/>
  <c r="F4571" i="20" s="1"/>
  <c r="D4520" i="20"/>
  <c r="F4520" i="20" s="1"/>
  <c r="D4470" i="20"/>
  <c r="F4470" i="20" s="1"/>
  <c r="I4469" i="20"/>
  <c r="I4470" i="20"/>
  <c r="I4474" i="20"/>
  <c r="I4478" i="20"/>
  <c r="I4482" i="20"/>
  <c r="F4463" i="20"/>
  <c r="I4471" i="20"/>
  <c r="I4475" i="20"/>
  <c r="I4479" i="20"/>
  <c r="F4464" i="20"/>
  <c r="G4464" i="20" s="1"/>
  <c r="I4472" i="20"/>
  <c r="I4476" i="20"/>
  <c r="I4480" i="20"/>
  <c r="E4490" i="20"/>
  <c r="I4473" i="20"/>
  <c r="I4477" i="20"/>
  <c r="I4423" i="20"/>
  <c r="F4412" i="20"/>
  <c r="I4420" i="20"/>
  <c r="I4424" i="20"/>
  <c r="I4428" i="20"/>
  <c r="I4418" i="20"/>
  <c r="I4419" i="20"/>
  <c r="I4427" i="20"/>
  <c r="I4431" i="20"/>
  <c r="F4413" i="20"/>
  <c r="I4421" i="20"/>
  <c r="I4425" i="20"/>
  <c r="I4429" i="20"/>
  <c r="E4439" i="20"/>
  <c r="I4422" i="20"/>
  <c r="I4426" i="20"/>
  <c r="E4389" i="20"/>
  <c r="F4361" i="20"/>
  <c r="I4368" i="20"/>
  <c r="I4367" i="20"/>
  <c r="I4372" i="20"/>
  <c r="I4380" i="20"/>
  <c r="I4376" i="20"/>
  <c r="I4369" i="20"/>
  <c r="I4373" i="20"/>
  <c r="I4377" i="20"/>
  <c r="I4370" i="20"/>
  <c r="I4374" i="20"/>
  <c r="I4378" i="20"/>
  <c r="E4388" i="20"/>
  <c r="F4362" i="20"/>
  <c r="G4363" i="20"/>
  <c r="I4371" i="20"/>
  <c r="I4375" i="20"/>
  <c r="F475" i="20"/>
  <c r="I481" i="20"/>
  <c r="I482" i="20"/>
  <c r="I486" i="20"/>
  <c r="I490" i="20"/>
  <c r="I494" i="20"/>
  <c r="E504" i="20"/>
  <c r="I443" i="20"/>
  <c r="F476" i="20"/>
  <c r="I483" i="20"/>
  <c r="I487" i="20"/>
  <c r="I491" i="20"/>
  <c r="F477" i="20"/>
  <c r="I484" i="20"/>
  <c r="I488" i="20"/>
  <c r="I492" i="20"/>
  <c r="E502" i="20"/>
  <c r="I485" i="20"/>
  <c r="I489" i="20"/>
  <c r="I439" i="20"/>
  <c r="I431" i="20"/>
  <c r="I430" i="20"/>
  <c r="I435" i="20"/>
  <c r="F425" i="20"/>
  <c r="I432" i="20"/>
  <c r="I436" i="20"/>
  <c r="I440" i="20"/>
  <c r="I433" i="20"/>
  <c r="I437" i="20"/>
  <c r="I441" i="20"/>
  <c r="E451" i="20"/>
  <c r="I434" i="20"/>
  <c r="I438" i="20"/>
  <c r="I392" i="20"/>
  <c r="I388" i="20"/>
  <c r="I384" i="20"/>
  <c r="I380" i="20"/>
  <c r="I379" i="20"/>
  <c r="F374" i="20"/>
  <c r="I381" i="20"/>
  <c r="I385" i="20"/>
  <c r="I389" i="20"/>
  <c r="F375" i="20"/>
  <c r="I382" i="20"/>
  <c r="I386" i="20"/>
  <c r="I390" i="20"/>
  <c r="E400" i="20"/>
  <c r="I290" i="20"/>
  <c r="I383" i="20"/>
  <c r="I387" i="20"/>
  <c r="I329" i="20"/>
  <c r="I341" i="20"/>
  <c r="I328" i="20"/>
  <c r="I337" i="20"/>
  <c r="I333" i="20"/>
  <c r="I278" i="20"/>
  <c r="F323" i="20"/>
  <c r="I330" i="20"/>
  <c r="I334" i="20"/>
  <c r="I338" i="20"/>
  <c r="I277" i="20"/>
  <c r="I282" i="20"/>
  <c r="F324" i="20"/>
  <c r="I331" i="20"/>
  <c r="I335" i="20"/>
  <c r="I339" i="20"/>
  <c r="E349" i="20"/>
  <c r="I332" i="20"/>
  <c r="I336" i="20"/>
  <c r="I286" i="20"/>
  <c r="F272" i="20"/>
  <c r="I279" i="20"/>
  <c r="I283" i="20"/>
  <c r="I287" i="20"/>
  <c r="F273" i="20"/>
  <c r="I280" i="20"/>
  <c r="I284" i="20"/>
  <c r="I288" i="20"/>
  <c r="E298" i="20"/>
  <c r="I281" i="20"/>
  <c r="I285" i="20"/>
  <c r="I227" i="20"/>
  <c r="I239" i="20"/>
  <c r="I226" i="20"/>
  <c r="I235" i="20"/>
  <c r="I231" i="20"/>
  <c r="F221" i="20"/>
  <c r="I228" i="20"/>
  <c r="I232" i="20"/>
  <c r="I236" i="20"/>
  <c r="F222" i="20"/>
  <c r="I229" i="20"/>
  <c r="I233" i="20"/>
  <c r="I237" i="20"/>
  <c r="E247" i="20"/>
  <c r="I230" i="20"/>
  <c r="I234" i="20"/>
  <c r="I175" i="20"/>
  <c r="I176" i="20"/>
  <c r="I180" i="20"/>
  <c r="I184" i="20"/>
  <c r="I188" i="20"/>
  <c r="I177" i="20"/>
  <c r="I181" i="20"/>
  <c r="I185" i="20"/>
  <c r="F171" i="20"/>
  <c r="I178" i="20"/>
  <c r="I182" i="20"/>
  <c r="I186" i="20"/>
  <c r="E196" i="20"/>
  <c r="F170" i="20"/>
  <c r="I179" i="20"/>
  <c r="I183" i="20"/>
  <c r="I125" i="20"/>
  <c r="I137" i="20"/>
  <c r="I124" i="20"/>
  <c r="I133" i="20"/>
  <c r="I129" i="20"/>
  <c r="F119" i="20"/>
  <c r="I126" i="20"/>
  <c r="I130" i="20"/>
  <c r="I134" i="20"/>
  <c r="F120" i="20"/>
  <c r="I127" i="20"/>
  <c r="I131" i="20"/>
  <c r="I135" i="20"/>
  <c r="E145" i="20"/>
  <c r="I128" i="20"/>
  <c r="I132" i="20"/>
  <c r="I74" i="20"/>
  <c r="I86" i="20"/>
  <c r="I73" i="20"/>
  <c r="I82" i="20"/>
  <c r="I78" i="20"/>
  <c r="F68" i="20"/>
  <c r="I75" i="20"/>
  <c r="I79" i="20"/>
  <c r="I83" i="20"/>
  <c r="I76" i="20"/>
  <c r="I80" i="20"/>
  <c r="I84" i="20"/>
  <c r="E94" i="20"/>
  <c r="F69" i="20"/>
  <c r="I77" i="20"/>
  <c r="I81" i="20"/>
  <c r="K5787" i="20" l="1"/>
  <c r="K5378" i="20"/>
  <c r="H5045" i="20"/>
  <c r="H4790" i="20"/>
  <c r="K4765" i="20" s="1"/>
  <c r="K5173" i="20"/>
  <c r="K4816" i="20"/>
  <c r="K4714" i="20"/>
  <c r="H4637" i="20"/>
  <c r="K4612" i="20" s="1"/>
  <c r="H4432" i="20"/>
  <c r="K4407" i="20" s="1"/>
  <c r="H4534" i="20"/>
  <c r="K4509" i="20" s="1"/>
  <c r="H4585" i="20"/>
  <c r="K4560" i="20" s="1"/>
  <c r="K5020" i="20" l="1"/>
  <c r="H5" i="20" l="1"/>
  <c r="F17" i="20" s="1"/>
  <c r="D16" i="20"/>
  <c r="B16" i="20"/>
  <c r="F255" i="4"/>
  <c r="F324" i="4"/>
  <c r="D9839" i="20" s="1"/>
  <c r="F9839" i="20" s="1"/>
  <c r="F326" i="4"/>
  <c r="F330" i="4"/>
  <c r="D9106" i="20" s="1"/>
  <c r="F9106" i="20" s="1"/>
  <c r="F331" i="4"/>
  <c r="F332" i="4"/>
  <c r="D9108" i="20" s="1"/>
  <c r="F9108" i="20" s="1"/>
  <c r="F333" i="4"/>
  <c r="D9109" i="20" s="1"/>
  <c r="F9109" i="20" s="1"/>
  <c r="F334" i="4"/>
  <c r="F335" i="4"/>
  <c r="I3" i="4"/>
  <c r="B4" i="4"/>
  <c r="B5" i="4" s="1"/>
  <c r="B6" i="4" s="1"/>
  <c r="B7" i="4" s="1"/>
  <c r="B8" i="4" s="1"/>
  <c r="B9" i="4" s="1"/>
  <c r="B10" i="4" s="1"/>
  <c r="B11" i="4" s="1"/>
  <c r="B12" i="4" s="1"/>
  <c r="B13" i="4" s="1"/>
  <c r="B14" i="4" s="1"/>
  <c r="B15" i="4" s="1"/>
  <c r="B16" i="4" s="1"/>
  <c r="D4066" i="20" l="1"/>
  <c r="F4066" i="20" s="1"/>
  <c r="D3964" i="20"/>
  <c r="F3964" i="20" s="1"/>
  <c r="D4015" i="20"/>
  <c r="F4015" i="20" s="1"/>
  <c r="D3913" i="20"/>
  <c r="F3913" i="20" s="1"/>
  <c r="D9787" i="20"/>
  <c r="F9787" i="20" s="1"/>
  <c r="D9735" i="20"/>
  <c r="F9735" i="20" s="1"/>
  <c r="D9048" i="20"/>
  <c r="F9048" i="20" s="1"/>
  <c r="D3862" i="20"/>
  <c r="F3862" i="20" s="1"/>
  <c r="D3811" i="20"/>
  <c r="F3811" i="20" s="1"/>
  <c r="D3602" i="20"/>
  <c r="F3602" i="20" s="1"/>
  <c r="D3704" i="20"/>
  <c r="F3704" i="20" s="1"/>
  <c r="D3653" i="20"/>
  <c r="F3653" i="20" s="1"/>
  <c r="D3760" i="20"/>
  <c r="F3760" i="20" s="1"/>
  <c r="B17" i="4"/>
  <c r="B18" i="4" s="1"/>
  <c r="B19" i="4" s="1"/>
  <c r="B23" i="4" s="1"/>
  <c r="B24" i="4" s="1"/>
  <c r="B25" i="4" s="1"/>
  <c r="B26" i="4" s="1"/>
  <c r="B27" i="4" s="1"/>
  <c r="B28" i="4" s="1"/>
  <c r="B29" i="4" s="1"/>
  <c r="B30" i="4" s="1"/>
  <c r="B20" i="4"/>
  <c r="D686" i="20"/>
  <c r="F686" i="20" s="1"/>
  <c r="D3600" i="20"/>
  <c r="F3600" i="20" s="1"/>
  <c r="D3556" i="20"/>
  <c r="F3556" i="20" s="1"/>
  <c r="D9579" i="20"/>
  <c r="F9579" i="20" s="1"/>
  <c r="D3352" i="20"/>
  <c r="F3352" i="20" s="1"/>
  <c r="D3505" i="20"/>
  <c r="F3505" i="20" s="1"/>
  <c r="D9475" i="20"/>
  <c r="F9475" i="20" s="1"/>
  <c r="H9488" i="20" s="1"/>
  <c r="K9462" i="20" s="1"/>
  <c r="D3301" i="20"/>
  <c r="F3301" i="20" s="1"/>
  <c r="D3148" i="20"/>
  <c r="F3148" i="20" s="1"/>
  <c r="D3046" i="20"/>
  <c r="F3046" i="20" s="1"/>
  <c r="D2791" i="20"/>
  <c r="F2791" i="20" s="1"/>
  <c r="D2995" i="20"/>
  <c r="F2995" i="20" s="1"/>
  <c r="D2944" i="20"/>
  <c r="F2944" i="20" s="1"/>
  <c r="D2740" i="20"/>
  <c r="F2740" i="20" s="1"/>
  <c r="D2689" i="20"/>
  <c r="F2689" i="20" s="1"/>
  <c r="D2893" i="20"/>
  <c r="F2893" i="20" s="1"/>
  <c r="D3250" i="20"/>
  <c r="F3250" i="20" s="1"/>
  <c r="D3199" i="20"/>
  <c r="F3199" i="20" s="1"/>
  <c r="D3097" i="20"/>
  <c r="F3097" i="20" s="1"/>
  <c r="D2842" i="20"/>
  <c r="F2842" i="20" s="1"/>
  <c r="D2638" i="20"/>
  <c r="F2638" i="20" s="1"/>
  <c r="D5237" i="20"/>
  <c r="F5237" i="20" s="1"/>
  <c r="H5249" i="20" s="1"/>
  <c r="K5224" i="20" s="1"/>
  <c r="D5292" i="20"/>
  <c r="F5292" i="20" s="1"/>
  <c r="D2587" i="20"/>
  <c r="F2587" i="20" s="1"/>
  <c r="D2536" i="20"/>
  <c r="F2536" i="20" s="1"/>
  <c r="D2480" i="20"/>
  <c r="F2480" i="20" s="1"/>
  <c r="D9211" i="20"/>
  <c r="F9211" i="20" s="1"/>
  <c r="D9527" i="20"/>
  <c r="F9527" i="20" s="1"/>
  <c r="H9540" i="20" s="1"/>
  <c r="K9514" i="20" s="1"/>
  <c r="D1872" i="20"/>
  <c r="F1872" i="20" s="1"/>
  <c r="D2225" i="20"/>
  <c r="F2225" i="20" s="1"/>
  <c r="D1923" i="20"/>
  <c r="F1923" i="20" s="1"/>
  <c r="D1974" i="20"/>
  <c r="F1974" i="20" s="1"/>
  <c r="D9163" i="20"/>
  <c r="F9163" i="20" s="1"/>
  <c r="D9215" i="20"/>
  <c r="F9215" i="20" s="1"/>
  <c r="D9162" i="20"/>
  <c r="F9162" i="20" s="1"/>
  <c r="D9214" i="20"/>
  <c r="F9214" i="20" s="1"/>
  <c r="D9161" i="20"/>
  <c r="F9161" i="20" s="1"/>
  <c r="D9213" i="20"/>
  <c r="F9213" i="20" s="1"/>
  <c r="D9160" i="20"/>
  <c r="F9160" i="20" s="1"/>
  <c r="D9212" i="20"/>
  <c r="F9212" i="20" s="1"/>
  <c r="D9158" i="20"/>
  <c r="F9158" i="20" s="1"/>
  <c r="D9210" i="20"/>
  <c r="F9210" i="20" s="1"/>
  <c r="D9423" i="20"/>
  <c r="F9423" i="20" s="1"/>
  <c r="H9436" i="20" s="1"/>
  <c r="D8993" i="20"/>
  <c r="F8993" i="20" s="1"/>
  <c r="H9010" i="20" s="1"/>
  <c r="D9159" i="20"/>
  <c r="F9159" i="20" s="1"/>
  <c r="D9107" i="20"/>
  <c r="F9107" i="20" s="1"/>
  <c r="H9120" i="20" s="1"/>
  <c r="D5960" i="20"/>
  <c r="F5960" i="20" s="1"/>
  <c r="D6010" i="20"/>
  <c r="F6010" i="20" s="1"/>
  <c r="F15" i="20"/>
  <c r="D790" i="20"/>
  <c r="F790" i="20" s="1"/>
  <c r="D637" i="20"/>
  <c r="F637" i="20" s="1"/>
  <c r="D586" i="20"/>
  <c r="F586" i="20" s="1"/>
  <c r="D739" i="20"/>
  <c r="F739" i="20" s="1"/>
  <c r="D688" i="20"/>
  <c r="F688" i="20" s="1"/>
  <c r="F16" i="20"/>
  <c r="B21" i="4" l="1"/>
  <c r="B22" i="4"/>
  <c r="B31" i="4"/>
  <c r="B38" i="4" s="1"/>
  <c r="B34" i="4"/>
  <c r="K9094" i="20"/>
  <c r="K8981" i="20"/>
  <c r="K9410" i="20"/>
  <c r="B35" i="4" l="1"/>
  <c r="B37" i="4"/>
  <c r="B32" i="4"/>
  <c r="B33" i="4" s="1"/>
  <c r="B40" i="4" s="1"/>
  <c r="B41" i="4" s="1"/>
  <c r="B42" i="4" s="1"/>
  <c r="B44" i="4" s="1"/>
  <c r="B45" i="4" s="1"/>
  <c r="B48" i="4" s="1"/>
  <c r="B52" i="4" s="1"/>
  <c r="G5" i="5"/>
  <c r="G6" i="5"/>
  <c r="G7" i="5"/>
  <c r="G8" i="5"/>
  <c r="G9" i="5"/>
  <c r="G10" i="5"/>
  <c r="G11" i="5"/>
  <c r="G12" i="5"/>
  <c r="G13" i="5"/>
  <c r="G14" i="5"/>
  <c r="G17" i="5"/>
  <c r="G18" i="5"/>
  <c r="G19" i="5"/>
  <c r="G20" i="5"/>
  <c r="G21" i="5"/>
  <c r="G4" i="5"/>
  <c r="B36" i="4" l="1"/>
  <c r="B39" i="4"/>
  <c r="B43" i="4"/>
  <c r="B46" i="4"/>
  <c r="B47" i="4"/>
  <c r="B51" i="4" s="1"/>
  <c r="B10" i="20"/>
  <c r="B49" i="4" l="1"/>
  <c r="B53" i="4" s="1"/>
  <c r="B54" i="4" s="1"/>
  <c r="B55" i="4" s="1"/>
  <c r="B56" i="4" s="1"/>
  <c r="B57" i="4" s="1"/>
  <c r="B59" i="4" s="1"/>
  <c r="B61" i="4" s="1"/>
  <c r="B62" i="4" s="1"/>
  <c r="B63" i="4" s="1"/>
  <c r="B65" i="4" s="1"/>
  <c r="B66" i="4" s="1"/>
  <c r="B67" i="4" s="1"/>
  <c r="B68" i="4" s="1"/>
  <c r="B69" i="4" s="1"/>
  <c r="B70" i="4" s="1"/>
  <c r="B71" i="4" s="1"/>
  <c r="B72" i="4" s="1"/>
  <c r="B74" i="4" s="1"/>
  <c r="B75" i="4" s="1"/>
  <c r="B76" i="4" s="1"/>
  <c r="B77" i="4" s="1"/>
  <c r="B78" i="4" s="1"/>
  <c r="B79" i="4" s="1"/>
  <c r="B80" i="4" s="1"/>
  <c r="B81" i="4" s="1"/>
  <c r="B82" i="4" s="1"/>
  <c r="B83" i="4" s="1"/>
  <c r="B84" i="4" s="1"/>
  <c r="B85" i="4" s="1"/>
  <c r="B86" i="4" s="1"/>
  <c r="B87" i="4" s="1"/>
  <c r="B88" i="4" s="1"/>
  <c r="B89" i="4" s="1"/>
  <c r="B90" i="4" s="1"/>
  <c r="B91" i="4" s="1"/>
  <c r="B92" i="4" s="1"/>
  <c r="B93" i="4" s="1"/>
  <c r="B94" i="4" s="1"/>
  <c r="B95" i="4" s="1"/>
  <c r="B96" i="4" s="1"/>
  <c r="B97" i="4" s="1"/>
  <c r="B98" i="4" s="1"/>
  <c r="B99" i="4" s="1"/>
  <c r="B100" i="4" s="1"/>
  <c r="B101" i="4" s="1"/>
  <c r="B102" i="4" s="1"/>
  <c r="B103" i="4" s="1"/>
  <c r="B104" i="4" s="1"/>
  <c r="B105" i="4" s="1"/>
  <c r="B106" i="4" s="1"/>
  <c r="B107" i="4" s="1"/>
  <c r="B108" i="4" s="1"/>
  <c r="B109" i="4" s="1"/>
  <c r="B110" i="4" s="1"/>
  <c r="B111" i="4" s="1"/>
  <c r="B112" i="4" s="1"/>
  <c r="B113" i="4" s="1"/>
  <c r="B114" i="4" s="1"/>
  <c r="B115" i="4" s="1"/>
  <c r="B116" i="4" s="1"/>
  <c r="B117" i="4" s="1"/>
  <c r="B118" i="4" s="1"/>
  <c r="B119" i="4" s="1"/>
  <c r="B122" i="4" s="1"/>
  <c r="B50" i="4"/>
  <c r="F320" i="4"/>
  <c r="B64" i="4" l="1"/>
  <c r="B58" i="4"/>
  <c r="B60" i="4" s="1"/>
  <c r="B73" i="4"/>
  <c r="B120" i="4"/>
  <c r="B121" i="4" s="1"/>
  <c r="B124" i="4" s="1"/>
  <c r="B125" i="4" s="1"/>
  <c r="B126" i="4" s="1"/>
  <c r="B127" i="4" s="1"/>
  <c r="B128" i="4" s="1"/>
  <c r="B129" i="4" s="1"/>
  <c r="B130" i="4" s="1"/>
  <c r="B131" i="4" s="1"/>
  <c r="B132" i="4" s="1"/>
  <c r="B152" i="4" s="1"/>
  <c r="B133" i="4" l="1"/>
  <c r="B153" i="4" s="1"/>
  <c r="B123" i="4"/>
  <c r="C22" i="20"/>
  <c r="B23" i="20"/>
  <c r="C23" i="20"/>
  <c r="B24" i="20"/>
  <c r="C24" i="20"/>
  <c r="B25" i="20"/>
  <c r="C25" i="20"/>
  <c r="B26" i="20"/>
  <c r="C26" i="20"/>
  <c r="B27" i="20"/>
  <c r="C27" i="20"/>
  <c r="B28" i="20"/>
  <c r="C28" i="20"/>
  <c r="B29" i="20"/>
  <c r="C29" i="20"/>
  <c r="D29" i="20"/>
  <c r="F29" i="20" s="1"/>
  <c r="B30" i="20"/>
  <c r="C30" i="20"/>
  <c r="D30" i="20"/>
  <c r="F30" i="20" s="1"/>
  <c r="B31" i="20"/>
  <c r="C31" i="20"/>
  <c r="D31" i="20"/>
  <c r="F31" i="20" s="1"/>
  <c r="B32" i="20"/>
  <c r="C32" i="20"/>
  <c r="D32" i="20"/>
  <c r="F32" i="20" s="1"/>
  <c r="B33" i="20"/>
  <c r="C33" i="20"/>
  <c r="D33" i="20"/>
  <c r="F33" i="20" s="1"/>
  <c r="B34" i="20"/>
  <c r="C34" i="20"/>
  <c r="D34" i="20"/>
  <c r="F34" i="20" s="1"/>
  <c r="C21" i="20"/>
  <c r="B134" i="4" l="1"/>
  <c r="B154" i="4" s="1"/>
  <c r="K3" i="24"/>
  <c r="K4" i="24"/>
  <c r="B135" i="4" l="1"/>
  <c r="B155" i="4" s="1"/>
  <c r="M10" i="23"/>
  <c r="E10" i="23"/>
  <c r="C10" i="23"/>
  <c r="D10" i="23" s="1"/>
  <c r="C9" i="23"/>
  <c r="D9" i="23" s="1"/>
  <c r="C8" i="23"/>
  <c r="D8" i="23" s="1"/>
  <c r="M7" i="23"/>
  <c r="E7" i="23"/>
  <c r="C7" i="23"/>
  <c r="D7" i="23" s="1"/>
  <c r="C6" i="23"/>
  <c r="D6" i="23" s="1"/>
  <c r="B136" i="4" l="1"/>
  <c r="B157" i="4" s="1"/>
  <c r="T7" i="23"/>
  <c r="U7" i="23" s="1"/>
  <c r="H7" i="23"/>
  <c r="I7" i="23" s="1"/>
  <c r="K7" i="23"/>
  <c r="L7" i="23" s="1"/>
  <c r="Q7" i="23"/>
  <c r="R7" i="23" s="1"/>
  <c r="N7" i="23"/>
  <c r="O7" i="23" s="1"/>
  <c r="F7" i="23"/>
  <c r="K8" i="23"/>
  <c r="L8" i="23" s="1"/>
  <c r="T8" i="23"/>
  <c r="U8" i="23" s="1"/>
  <c r="F8" i="23"/>
  <c r="H8" i="23"/>
  <c r="I8" i="23" s="1"/>
  <c r="Q8" i="23"/>
  <c r="R8" i="23" s="1"/>
  <c r="N8" i="23"/>
  <c r="O8" i="23" s="1"/>
  <c r="Q9" i="23"/>
  <c r="R9" i="23" s="1"/>
  <c r="K9" i="23"/>
  <c r="L9" i="23" s="1"/>
  <c r="T9" i="23"/>
  <c r="U9" i="23" s="1"/>
  <c r="N9" i="23"/>
  <c r="O9" i="23" s="1"/>
  <c r="H9" i="23"/>
  <c r="I9" i="23" s="1"/>
  <c r="F9" i="23"/>
  <c r="H10" i="23"/>
  <c r="I10" i="23" s="1"/>
  <c r="Q10" i="23"/>
  <c r="R10" i="23" s="1"/>
  <c r="N10" i="23"/>
  <c r="O10" i="23" s="1"/>
  <c r="T10" i="23"/>
  <c r="U10" i="23" s="1"/>
  <c r="K10" i="23"/>
  <c r="L10" i="23" s="1"/>
  <c r="F10" i="23"/>
  <c r="F6" i="23"/>
  <c r="Q6" i="23"/>
  <c r="R6" i="23" s="1"/>
  <c r="H6" i="23"/>
  <c r="I6" i="23" s="1"/>
  <c r="N6" i="23"/>
  <c r="O6" i="23" s="1"/>
  <c r="T6" i="23"/>
  <c r="U6" i="23" s="1"/>
  <c r="K6" i="23"/>
  <c r="L6" i="23" s="1"/>
  <c r="I11" i="23" l="1"/>
  <c r="B156" i="4"/>
  <c r="B137" i="4"/>
  <c r="B158" i="4" s="1"/>
  <c r="L11" i="23"/>
  <c r="R11" i="23"/>
  <c r="U11" i="23"/>
  <c r="O11" i="23"/>
  <c r="F11" i="23"/>
  <c r="B138" i="4" l="1"/>
  <c r="B182" i="4" s="1"/>
  <c r="F144" i="4"/>
  <c r="F136" i="4"/>
  <c r="F137" i="4"/>
  <c r="F138" i="4"/>
  <c r="F139" i="4"/>
  <c r="F140" i="4"/>
  <c r="F141" i="4"/>
  <c r="F143" i="4"/>
  <c r="D8841" i="20" s="1"/>
  <c r="F8841" i="20" s="1"/>
  <c r="F145" i="4"/>
  <c r="D8620" i="20" s="1"/>
  <c r="F8620" i="20" s="1"/>
  <c r="F146" i="4"/>
  <c r="F147" i="4"/>
  <c r="D8622" i="20" s="1"/>
  <c r="F8622" i="20" s="1"/>
  <c r="D8619" i="20" l="1"/>
  <c r="F8619" i="20" s="1"/>
  <c r="D5855" i="20"/>
  <c r="F5855" i="20" s="1"/>
  <c r="B139" i="4"/>
  <c r="B183" i="4" s="1"/>
  <c r="B159" i="4"/>
  <c r="D8787" i="20"/>
  <c r="F8787" i="20" s="1"/>
  <c r="D8842" i="20"/>
  <c r="F8842" i="20" s="1"/>
  <c r="D4111" i="20"/>
  <c r="F4111" i="20" s="1"/>
  <c r="D4162" i="20"/>
  <c r="F4162" i="20" s="1"/>
  <c r="D4213" i="20"/>
  <c r="F4213" i="20" s="1"/>
  <c r="B140" i="4"/>
  <c r="B142" i="4" s="1"/>
  <c r="D3907" i="20"/>
  <c r="F3907" i="20" s="1"/>
  <c r="D4009" i="20"/>
  <c r="F4009" i="20" s="1"/>
  <c r="D3958" i="20"/>
  <c r="F3958" i="20" s="1"/>
  <c r="D4060" i="20"/>
  <c r="F4060" i="20" s="1"/>
  <c r="D3856" i="20"/>
  <c r="F3856" i="20" s="1"/>
  <c r="D3805" i="20"/>
  <c r="F3805" i="20" s="1"/>
  <c r="D8731" i="20"/>
  <c r="F8731" i="20" s="1"/>
  <c r="D8786" i="20"/>
  <c r="F8786" i="20" s="1"/>
  <c r="D8677" i="20"/>
  <c r="F8677" i="20" s="1"/>
  <c r="D8732" i="20"/>
  <c r="F8732" i="20" s="1"/>
  <c r="D3703" i="20"/>
  <c r="F3703" i="20" s="1"/>
  <c r="H3716" i="20" s="1"/>
  <c r="D3652" i="20"/>
  <c r="F3652" i="20" s="1"/>
  <c r="H3665" i="20" s="1"/>
  <c r="D3754" i="20"/>
  <c r="F3754" i="20" s="1"/>
  <c r="D3550" i="20"/>
  <c r="F3550" i="20" s="1"/>
  <c r="D3601" i="20"/>
  <c r="F3601" i="20" s="1"/>
  <c r="H3614" i="20" s="1"/>
  <c r="D3448" i="20"/>
  <c r="F3448" i="20" s="1"/>
  <c r="D3499" i="20"/>
  <c r="F3499" i="20" s="1"/>
  <c r="D8566" i="20"/>
  <c r="F8566" i="20" s="1"/>
  <c r="D8676" i="20"/>
  <c r="F8676" i="20" s="1"/>
  <c r="D3295" i="20"/>
  <c r="F3295" i="20" s="1"/>
  <c r="D3397" i="20"/>
  <c r="F3397" i="20" s="1"/>
  <c r="D3346" i="20"/>
  <c r="F3346" i="20" s="1"/>
  <c r="D3244" i="20"/>
  <c r="F3244" i="20" s="1"/>
  <c r="D2989" i="20"/>
  <c r="F2989" i="20" s="1"/>
  <c r="D2938" i="20"/>
  <c r="F2938" i="20" s="1"/>
  <c r="D2887" i="20"/>
  <c r="F2887" i="20" s="1"/>
  <c r="D2632" i="20"/>
  <c r="F2632" i="20" s="1"/>
  <c r="D2836" i="20"/>
  <c r="F2836" i="20" s="1"/>
  <c r="D3193" i="20"/>
  <c r="F3193" i="20" s="1"/>
  <c r="D2785" i="20"/>
  <c r="F2785" i="20" s="1"/>
  <c r="D3142" i="20"/>
  <c r="F3142" i="20" s="1"/>
  <c r="D3091" i="20"/>
  <c r="F3091" i="20" s="1"/>
  <c r="D3040" i="20"/>
  <c r="F3040" i="20" s="1"/>
  <c r="D2734" i="20"/>
  <c r="F2734" i="20" s="1"/>
  <c r="D2683" i="20"/>
  <c r="F2683" i="20" s="1"/>
  <c r="D2530" i="20"/>
  <c r="F2530" i="20" s="1"/>
  <c r="D2581" i="20"/>
  <c r="F2581" i="20" s="1"/>
  <c r="D8363" i="20"/>
  <c r="F8363" i="20" s="1"/>
  <c r="D8567" i="20"/>
  <c r="F8567" i="20" s="1"/>
  <c r="D8512" i="20"/>
  <c r="F8512" i="20" s="1"/>
  <c r="D8362" i="20"/>
  <c r="F8362" i="20" s="1"/>
  <c r="D8511" i="20"/>
  <c r="F8511" i="20" s="1"/>
  <c r="D2326" i="20"/>
  <c r="F2326" i="20" s="1"/>
  <c r="D2275" i="20"/>
  <c r="F2275" i="20" s="1"/>
  <c r="D2428" i="20"/>
  <c r="F2428" i="20" s="1"/>
  <c r="D2377" i="20"/>
  <c r="F2377" i="20" s="1"/>
  <c r="D2070" i="20"/>
  <c r="F2070" i="20" s="1"/>
  <c r="D2121" i="20"/>
  <c r="F2121" i="20" s="1"/>
  <c r="D1815" i="20"/>
  <c r="F1815" i="20" s="1"/>
  <c r="D1917" i="20"/>
  <c r="F1917" i="20" s="1"/>
  <c r="D1866" i="20"/>
  <c r="F1866" i="20" s="1"/>
  <c r="D1968" i="20"/>
  <c r="F1968" i="20" s="1"/>
  <c r="D2019" i="20"/>
  <c r="F2019" i="20" s="1"/>
  <c r="D1764" i="20"/>
  <c r="F1764" i="20" s="1"/>
  <c r="D1406" i="20"/>
  <c r="F1406" i="20" s="1"/>
  <c r="D1713" i="20"/>
  <c r="F1713" i="20" s="1"/>
  <c r="D1661" i="20"/>
  <c r="F1661" i="20" s="1"/>
  <c r="D1610" i="20"/>
  <c r="F1610" i="20" s="1"/>
  <c r="D1559" i="20"/>
  <c r="F1559" i="20" s="1"/>
  <c r="D1508" i="20"/>
  <c r="F1508" i="20" s="1"/>
  <c r="D1457" i="20"/>
  <c r="F1457" i="20" s="1"/>
  <c r="D1304" i="20"/>
  <c r="F1304" i="20" s="1"/>
  <c r="D1202" i="20"/>
  <c r="F1202" i="20" s="1"/>
  <c r="D1355" i="20"/>
  <c r="F1355" i="20" s="1"/>
  <c r="D1253" i="20"/>
  <c r="F1253" i="20" s="1"/>
  <c r="D1045" i="20"/>
  <c r="F1045" i="20" s="1"/>
  <c r="D892" i="20"/>
  <c r="F892" i="20" s="1"/>
  <c r="D943" i="20"/>
  <c r="F943" i="20" s="1"/>
  <c r="D841" i="20"/>
  <c r="F841" i="20" s="1"/>
  <c r="D1151" i="20"/>
  <c r="F1151" i="20" s="1"/>
  <c r="D994" i="20"/>
  <c r="F994" i="20" s="1"/>
  <c r="D1100" i="20"/>
  <c r="F1100" i="20" s="1"/>
  <c r="D4368" i="20"/>
  <c r="F4368" i="20" s="1"/>
  <c r="D482" i="20"/>
  <c r="F482" i="20" s="1"/>
  <c r="D431" i="20"/>
  <c r="F431" i="20" s="1"/>
  <c r="D380" i="20"/>
  <c r="F380" i="20" s="1"/>
  <c r="D329" i="20"/>
  <c r="F329" i="20" s="1"/>
  <c r="D278" i="20"/>
  <c r="F278" i="20" s="1"/>
  <c r="D227" i="20"/>
  <c r="F227" i="20" s="1"/>
  <c r="D176" i="20"/>
  <c r="F176" i="20" s="1"/>
  <c r="D125" i="20"/>
  <c r="F125" i="20" s="1"/>
  <c r="D74" i="20"/>
  <c r="F74" i="20" s="1"/>
  <c r="D22" i="20"/>
  <c r="F22" i="20" s="1"/>
  <c r="E77" i="22"/>
  <c r="F77" i="22" s="1"/>
  <c r="G77" i="22" s="1"/>
  <c r="E76" i="22"/>
  <c r="F76" i="22" s="1"/>
  <c r="G76" i="22" s="1"/>
  <c r="E75" i="22"/>
  <c r="F75" i="22" s="1"/>
  <c r="G75" i="22" s="1"/>
  <c r="E74" i="22"/>
  <c r="F74" i="22" s="1"/>
  <c r="G74" i="22" s="1"/>
  <c r="E73" i="22"/>
  <c r="F73" i="22" s="1"/>
  <c r="G73" i="22" s="1"/>
  <c r="E70" i="22"/>
  <c r="F70" i="22" s="1"/>
  <c r="G70" i="22" s="1"/>
  <c r="E69" i="22"/>
  <c r="F69" i="22" s="1"/>
  <c r="G69" i="22" s="1"/>
  <c r="E68" i="22"/>
  <c r="E71" i="22" s="1"/>
  <c r="F71" i="22" s="1"/>
  <c r="E65" i="22"/>
  <c r="F65" i="22" s="1"/>
  <c r="G65" i="22" s="1"/>
  <c r="E64" i="22"/>
  <c r="F64" i="22" s="1"/>
  <c r="G64" i="22" s="1"/>
  <c r="E63" i="22"/>
  <c r="E60" i="22"/>
  <c r="F60" i="22" s="1"/>
  <c r="G60" i="22" s="1"/>
  <c r="E59" i="22"/>
  <c r="F59" i="22" s="1"/>
  <c r="G59" i="22" s="1"/>
  <c r="E58" i="22"/>
  <c r="E57" i="22"/>
  <c r="F57" i="22" s="1"/>
  <c r="G57" i="22" s="1"/>
  <c r="E54" i="22"/>
  <c r="F54" i="22" s="1"/>
  <c r="G54" i="22" s="1"/>
  <c r="E53" i="22"/>
  <c r="F53" i="22" s="1"/>
  <c r="G53" i="22" s="1"/>
  <c r="E52" i="22"/>
  <c r="E49" i="22"/>
  <c r="F49" i="22" s="1"/>
  <c r="G49" i="22" s="1"/>
  <c r="E48" i="22"/>
  <c r="F48" i="22" s="1"/>
  <c r="G48" i="22" s="1"/>
  <c r="E47" i="22"/>
  <c r="F47" i="22" s="1"/>
  <c r="G47" i="22" s="1"/>
  <c r="E46" i="22"/>
  <c r="F46" i="22" s="1"/>
  <c r="G46" i="22" s="1"/>
  <c r="E45" i="22"/>
  <c r="E42" i="22"/>
  <c r="F42" i="22" s="1"/>
  <c r="G42" i="22" s="1"/>
  <c r="E41" i="22"/>
  <c r="F41" i="22" s="1"/>
  <c r="G41" i="22" s="1"/>
  <c r="E40" i="22"/>
  <c r="F40" i="22" s="1"/>
  <c r="G40" i="22" s="1"/>
  <c r="E39" i="22"/>
  <c r="F39" i="22" s="1"/>
  <c r="G39" i="22" s="1"/>
  <c r="E38" i="22"/>
  <c r="F38" i="22" s="1"/>
  <c r="G38" i="22" s="1"/>
  <c r="E35" i="22"/>
  <c r="F35" i="22" s="1"/>
  <c r="G35" i="22" s="1"/>
  <c r="E34" i="22"/>
  <c r="F34" i="22" s="1"/>
  <c r="G34" i="22" s="1"/>
  <c r="E33" i="22"/>
  <c r="F33" i="22" s="1"/>
  <c r="G33" i="22" s="1"/>
  <c r="E32" i="22"/>
  <c r="F32" i="22" s="1"/>
  <c r="G32" i="22" s="1"/>
  <c r="E31" i="22"/>
  <c r="F31" i="22" s="1"/>
  <c r="G31" i="22" s="1"/>
  <c r="E30" i="22"/>
  <c r="F30" i="22" s="1"/>
  <c r="G30" i="22" s="1"/>
  <c r="E29" i="22"/>
  <c r="F29" i="22" s="1"/>
  <c r="G29" i="22" s="1"/>
  <c r="E28" i="22"/>
  <c r="F28" i="22" s="1"/>
  <c r="G28" i="22" s="1"/>
  <c r="E27" i="22"/>
  <c r="F27" i="22" s="1"/>
  <c r="G27" i="22" s="1"/>
  <c r="E26" i="22"/>
  <c r="F26" i="22" s="1"/>
  <c r="G26" i="22" s="1"/>
  <c r="E23" i="22"/>
  <c r="F23" i="22" s="1"/>
  <c r="G23" i="22" s="1"/>
  <c r="E22" i="22"/>
  <c r="F22" i="22" s="1"/>
  <c r="G22" i="22" s="1"/>
  <c r="E21" i="22"/>
  <c r="F21" i="22" s="1"/>
  <c r="G21" i="22" s="1"/>
  <c r="E20" i="22"/>
  <c r="F20" i="22" s="1"/>
  <c r="G20" i="22" s="1"/>
  <c r="E19" i="22"/>
  <c r="F19" i="22" s="1"/>
  <c r="G19" i="22" s="1"/>
  <c r="E18" i="22"/>
  <c r="F18" i="22" s="1"/>
  <c r="G18" i="22" s="1"/>
  <c r="E17" i="22"/>
  <c r="F17" i="22" s="1"/>
  <c r="G17" i="22" s="1"/>
  <c r="E16" i="22"/>
  <c r="B160" i="4" l="1"/>
  <c r="B161" i="4"/>
  <c r="B141" i="4"/>
  <c r="B143" i="4" s="1"/>
  <c r="B186" i="4" s="1"/>
  <c r="B181" i="4"/>
  <c r="B184" i="4"/>
  <c r="K3640" i="20"/>
  <c r="K3691" i="20"/>
  <c r="K3589" i="20"/>
  <c r="G78" i="22"/>
  <c r="E10" i="22" s="1"/>
  <c r="G10" i="22" s="1"/>
  <c r="E66" i="22"/>
  <c r="E55" i="22"/>
  <c r="F55" i="22" s="1"/>
  <c r="E36" i="22"/>
  <c r="F36" i="22" s="1"/>
  <c r="E43" i="22"/>
  <c r="E50" i="22"/>
  <c r="F50" i="22" s="1"/>
  <c r="E61" i="22"/>
  <c r="F61" i="22" s="1"/>
  <c r="E24" i="22"/>
  <c r="F24" i="22" s="1"/>
  <c r="E78" i="22"/>
  <c r="F43" i="22"/>
  <c r="G43" i="22"/>
  <c r="E4" i="22" s="1"/>
  <c r="G36" i="22"/>
  <c r="E3" i="22" s="1"/>
  <c r="F58" i="22"/>
  <c r="G58" i="22" s="1"/>
  <c r="G61" i="22" s="1"/>
  <c r="E7" i="22" s="1"/>
  <c r="F68" i="22"/>
  <c r="G68" i="22" s="1"/>
  <c r="G71" i="22" s="1"/>
  <c r="E9" i="22" s="1"/>
  <c r="F16" i="22"/>
  <c r="G16" i="22" s="1"/>
  <c r="G24" i="22" s="1"/>
  <c r="F52" i="22"/>
  <c r="G52" i="22" s="1"/>
  <c r="G55" i="22" s="1"/>
  <c r="E6" i="22" s="1"/>
  <c r="F45" i="22"/>
  <c r="G45" i="22" s="1"/>
  <c r="G50" i="22" s="1"/>
  <c r="E5" i="22" s="1"/>
  <c r="F78" i="22"/>
  <c r="F63" i="22"/>
  <c r="D17" i="20"/>
  <c r="D15" i="20"/>
  <c r="B15" i="20"/>
  <c r="F10" i="22" l="1"/>
  <c r="B162" i="4"/>
  <c r="B144" i="4"/>
  <c r="B163" i="4"/>
  <c r="F7" i="22"/>
  <c r="G7" i="22"/>
  <c r="F66" i="22"/>
  <c r="G63" i="22"/>
  <c r="G66" i="22" s="1"/>
  <c r="E8" i="22" s="1"/>
  <c r="F6" i="22"/>
  <c r="G6" i="22"/>
  <c r="F9" i="22"/>
  <c r="G9" i="22"/>
  <c r="G3" i="22"/>
  <c r="F3" i="22"/>
  <c r="G5" i="22"/>
  <c r="F5" i="22"/>
  <c r="G4" i="22"/>
  <c r="F4" i="22"/>
  <c r="E2" i="22"/>
  <c r="F79" i="4"/>
  <c r="G80" i="22" l="1"/>
  <c r="E11" i="22" s="1"/>
  <c r="B187" i="4"/>
  <c r="B173" i="4"/>
  <c r="B164" i="4"/>
  <c r="B145" i="4"/>
  <c r="G2" i="22"/>
  <c r="F2" i="22"/>
  <c r="G8" i="22"/>
  <c r="F8" i="22"/>
  <c r="F78" i="4"/>
  <c r="B174" i="4" l="1"/>
  <c r="B175" i="4"/>
  <c r="B188" i="4"/>
  <c r="B185" i="4"/>
  <c r="B146" i="4"/>
  <c r="B165" i="4"/>
  <c r="F11" i="22"/>
  <c r="G11" i="22"/>
  <c r="G12" i="22" s="1"/>
  <c r="B8" i="22" s="1"/>
  <c r="B177" i="4" l="1"/>
  <c r="B191" i="4"/>
  <c r="B169" i="4"/>
  <c r="B176" i="4"/>
  <c r="B147" i="4"/>
  <c r="B166" i="4"/>
  <c r="M5" i="5"/>
  <c r="M13" i="5"/>
  <c r="M21" i="5"/>
  <c r="M6" i="5"/>
  <c r="M14" i="5"/>
  <c r="M4" i="5"/>
  <c r="M7" i="5"/>
  <c r="M15" i="5"/>
  <c r="M8" i="5"/>
  <c r="M16" i="5"/>
  <c r="M9" i="5"/>
  <c r="M17" i="5"/>
  <c r="M10" i="5"/>
  <c r="M18" i="5"/>
  <c r="M11" i="5"/>
  <c r="M19" i="5"/>
  <c r="M12" i="5"/>
  <c r="M20" i="5"/>
  <c r="F117" i="4"/>
  <c r="F113" i="4"/>
  <c r="F45" i="4"/>
  <c r="F55" i="4"/>
  <c r="D6631" i="20" s="1"/>
  <c r="F6631" i="20" s="1"/>
  <c r="H6645" i="20" s="1"/>
  <c r="B179" i="4" l="1"/>
  <c r="B192" i="4"/>
  <c r="B178" i="4"/>
  <c r="B190" i="4"/>
  <c r="K6619" i="20"/>
  <c r="B170" i="4"/>
  <c r="B167" i="4"/>
  <c r="B148" i="4"/>
  <c r="F118" i="4"/>
  <c r="F119" i="4"/>
  <c r="D8780" i="20" l="1"/>
  <c r="F8780" i="20" s="1"/>
  <c r="D8835" i="20"/>
  <c r="F8835" i="20" s="1"/>
  <c r="D8670" i="20"/>
  <c r="F8670" i="20" s="1"/>
  <c r="D8725" i="20"/>
  <c r="F8725" i="20" s="1"/>
  <c r="B180" i="4"/>
  <c r="B193" i="4"/>
  <c r="D8356" i="20"/>
  <c r="F8356" i="20" s="1"/>
  <c r="D8560" i="20"/>
  <c r="F8560" i="20" s="1"/>
  <c r="D8505" i="20"/>
  <c r="F8505" i="20" s="1"/>
  <c r="B171" i="4"/>
  <c r="B168" i="4"/>
  <c r="B149" i="4"/>
  <c r="G12" i="20"/>
  <c r="G11" i="20"/>
  <c r="B11" i="20"/>
  <c r="B6" i="20"/>
  <c r="F251" i="4"/>
  <c r="F149" i="4"/>
  <c r="D7520" i="20" s="1"/>
  <c r="F7520" i="20" s="1"/>
  <c r="F307" i="4"/>
  <c r="D9578" i="20" s="1"/>
  <c r="F9578" i="20" s="1"/>
  <c r="H9592" i="20" s="1"/>
  <c r="F283" i="4"/>
  <c r="D9631" i="20" l="1"/>
  <c r="F9631" i="20" s="1"/>
  <c r="H9644" i="20" s="1"/>
  <c r="D9683" i="20"/>
  <c r="F9683" i="20" s="1"/>
  <c r="K9566" i="20"/>
  <c r="B189" i="4"/>
  <c r="B194" i="4"/>
  <c r="B150" i="4"/>
  <c r="B172" i="4"/>
  <c r="D9266" i="20"/>
  <c r="F9266" i="20" s="1"/>
  <c r="D9318" i="20"/>
  <c r="F9318" i="20" s="1"/>
  <c r="D9370" i="20"/>
  <c r="F9370" i="20" s="1"/>
  <c r="D1307" i="20"/>
  <c r="F1307" i="20" s="1"/>
  <c r="D1358" i="20"/>
  <c r="F1358" i="20" s="1"/>
  <c r="D1409" i="20"/>
  <c r="F1409" i="20" s="1"/>
  <c r="D5907" i="20"/>
  <c r="F5907" i="20" s="1"/>
  <c r="D6011" i="20"/>
  <c r="F6011" i="20" s="1"/>
  <c r="D5959" i="20"/>
  <c r="F5959" i="20" s="1"/>
  <c r="D434" i="20"/>
  <c r="F434" i="20" s="1"/>
  <c r="D4371" i="20"/>
  <c r="F4371" i="20" s="1"/>
  <c r="D485" i="20"/>
  <c r="F485" i="20" s="1"/>
  <c r="I21" i="20"/>
  <c r="I23" i="20"/>
  <c r="I31" i="20"/>
  <c r="I25" i="20"/>
  <c r="I33" i="20"/>
  <c r="I29" i="20"/>
  <c r="I22" i="20"/>
  <c r="I30" i="20"/>
  <c r="I27" i="20"/>
  <c r="I24" i="20"/>
  <c r="I32" i="20"/>
  <c r="I26" i="20"/>
  <c r="I34" i="20"/>
  <c r="I28" i="20"/>
  <c r="L5" i="5"/>
  <c r="L6" i="5"/>
  <c r="L7" i="5"/>
  <c r="L8" i="5"/>
  <c r="L9" i="5"/>
  <c r="L10" i="5"/>
  <c r="L11" i="5"/>
  <c r="L14" i="5"/>
  <c r="L17" i="5"/>
  <c r="L18" i="5"/>
  <c r="L19" i="5"/>
  <c r="L20" i="5"/>
  <c r="L21" i="5"/>
  <c r="J5" i="5"/>
  <c r="J6" i="5"/>
  <c r="J7" i="5"/>
  <c r="J8" i="5"/>
  <c r="J9" i="5"/>
  <c r="J10" i="5"/>
  <c r="J11" i="5"/>
  <c r="J14" i="5"/>
  <c r="J17" i="5"/>
  <c r="J18" i="5"/>
  <c r="J19" i="5"/>
  <c r="J20" i="5"/>
  <c r="J21" i="5"/>
  <c r="K5" i="5"/>
  <c r="K6" i="5"/>
  <c r="K7" i="5"/>
  <c r="K8" i="5"/>
  <c r="K9" i="5"/>
  <c r="K10" i="5"/>
  <c r="K11" i="5"/>
  <c r="K14" i="5"/>
  <c r="K17" i="5"/>
  <c r="K18" i="5"/>
  <c r="K19" i="5"/>
  <c r="K20" i="5"/>
  <c r="K21" i="5"/>
  <c r="I5" i="5"/>
  <c r="I6" i="5"/>
  <c r="I7" i="5"/>
  <c r="I8" i="5"/>
  <c r="I9" i="5"/>
  <c r="I10" i="5"/>
  <c r="I11" i="5"/>
  <c r="I14" i="5"/>
  <c r="I17" i="5"/>
  <c r="I18" i="5"/>
  <c r="I19" i="5"/>
  <c r="I20" i="5"/>
  <c r="I21" i="5"/>
  <c r="H5" i="5"/>
  <c r="H6" i="5"/>
  <c r="H7" i="5"/>
  <c r="H8" i="5"/>
  <c r="H9" i="5"/>
  <c r="H10" i="5"/>
  <c r="H11" i="5"/>
  <c r="H14" i="5"/>
  <c r="H17" i="5"/>
  <c r="H18" i="5"/>
  <c r="H19" i="5"/>
  <c r="H20" i="5"/>
  <c r="H21" i="5"/>
  <c r="Q4" i="5"/>
  <c r="L4" i="5"/>
  <c r="K4" i="5"/>
  <c r="J4" i="5"/>
  <c r="I4" i="5"/>
  <c r="H4" i="5"/>
  <c r="N4" i="5"/>
  <c r="K9618" i="20" l="1"/>
  <c r="B195" i="4"/>
  <c r="B151" i="4"/>
  <c r="B196" i="4" s="1"/>
  <c r="R4" i="5"/>
  <c r="S4" i="5" s="1"/>
  <c r="T4" i="5" s="1"/>
  <c r="B197" i="4" l="1"/>
  <c r="B199" i="4" s="1"/>
  <c r="B200" i="4" s="1"/>
  <c r="B203" i="4" s="1"/>
  <c r="B204" i="4" s="1"/>
  <c r="B205" i="4" s="1"/>
  <c r="B198" i="4"/>
  <c r="F44" i="4"/>
  <c r="B201" i="4" l="1"/>
  <c r="B206" i="4"/>
  <c r="B208" i="4" s="1"/>
  <c r="B207" i="4"/>
  <c r="B202" i="4"/>
  <c r="D6475" i="20"/>
  <c r="F6475" i="20" s="1"/>
  <c r="H6489" i="20" s="1"/>
  <c r="D6423" i="20"/>
  <c r="F6423" i="20" s="1"/>
  <c r="H6437" i="20" s="1"/>
  <c r="F211" i="4"/>
  <c r="B209" i="4" l="1"/>
  <c r="B211" i="4" s="1"/>
  <c r="B212" i="4" s="1"/>
  <c r="B213" i="4" s="1"/>
  <c r="B214" i="4" s="1"/>
  <c r="B215" i="4" s="1"/>
  <c r="B216" i="4" s="1"/>
  <c r="B217" i="4" s="1"/>
  <c r="B218" i="4" s="1"/>
  <c r="B219" i="4" s="1"/>
  <c r="B220" i="4" s="1"/>
  <c r="B221" i="4" s="1"/>
  <c r="B222" i="4" s="1"/>
  <c r="B226" i="4" s="1"/>
  <c r="B210" i="4"/>
  <c r="D8681" i="20"/>
  <c r="F8681" i="20" s="1"/>
  <c r="D8736" i="20"/>
  <c r="F8736" i="20" s="1"/>
  <c r="D8571" i="20"/>
  <c r="F8571" i="20" s="1"/>
  <c r="D8516" i="20"/>
  <c r="F8516" i="20" s="1"/>
  <c r="D8367" i="20"/>
  <c r="F8367" i="20" s="1"/>
  <c r="D8411" i="20"/>
  <c r="F8411" i="20" s="1"/>
  <c r="H8420" i="20" s="1"/>
  <c r="K6411" i="20"/>
  <c r="K6463" i="20"/>
  <c r="B17" i="20"/>
  <c r="L210" i="4" s="1"/>
  <c r="E38" i="20"/>
  <c r="F38" i="20" s="1"/>
  <c r="H39" i="20" s="1"/>
  <c r="N10" i="20" s="1"/>
  <c r="B43" i="20"/>
  <c r="B44" i="20"/>
  <c r="B227" i="4" l="1"/>
  <c r="B228" i="4"/>
  <c r="L310" i="4"/>
  <c r="L297" i="4"/>
  <c r="L37" i="4"/>
  <c r="L38" i="4"/>
  <c r="L259" i="4"/>
  <c r="L52" i="4"/>
  <c r="L50" i="4"/>
  <c r="L51" i="4"/>
  <c r="L273" i="4"/>
  <c r="L277" i="4"/>
  <c r="L274" i="4"/>
  <c r="L198" i="4"/>
  <c r="L191" i="4"/>
  <c r="B223" i="4"/>
  <c r="B232" i="4"/>
  <c r="L260" i="4"/>
  <c r="L302" i="4"/>
  <c r="L299" i="4"/>
  <c r="L300" i="4"/>
  <c r="L305" i="4"/>
  <c r="B229" i="4"/>
  <c r="B230" i="4"/>
  <c r="B231" i="4"/>
  <c r="B225" i="4"/>
  <c r="L257" i="4"/>
  <c r="L48" i="4"/>
  <c r="L252" i="4"/>
  <c r="L253" i="4"/>
  <c r="L243" i="4"/>
  <c r="L238" i="4"/>
  <c r="L236" i="4"/>
  <c r="L237" i="4"/>
  <c r="L228" i="4"/>
  <c r="L192" i="4"/>
  <c r="L173" i="4"/>
  <c r="L177" i="4"/>
  <c r="L175" i="4"/>
  <c r="L296" i="4"/>
  <c r="L298" i="4"/>
  <c r="L295" i="4"/>
  <c r="L20" i="4"/>
  <c r="L47" i="4"/>
  <c r="L325" i="4"/>
  <c r="L34" i="4"/>
  <c r="L60" i="4"/>
  <c r="L232" i="4"/>
  <c r="L39" i="4"/>
  <c r="L174" i="4"/>
  <c r="L157" i="4"/>
  <c r="L267" i="4"/>
  <c r="L294" i="4"/>
  <c r="L185" i="4"/>
  <c r="L179" i="4"/>
  <c r="L207" i="4"/>
  <c r="L280" i="4"/>
  <c r="L194" i="4"/>
  <c r="L187" i="4"/>
  <c r="L184" i="4"/>
  <c r="L182" i="4"/>
  <c r="L193" i="4"/>
  <c r="L190" i="4"/>
  <c r="L181" i="4"/>
  <c r="L188" i="4"/>
  <c r="L186" i="4"/>
  <c r="L183" i="4"/>
  <c r="L246" i="4"/>
  <c r="L231" i="4"/>
  <c r="L250" i="4"/>
  <c r="L279" i="4"/>
  <c r="L270" i="4"/>
  <c r="B224" i="4"/>
  <c r="B234" i="4" s="1"/>
  <c r="B238" i="4" s="1"/>
  <c r="B233" i="4"/>
  <c r="B236" i="4" s="1"/>
  <c r="L227" i="4"/>
  <c r="L43" i="4"/>
  <c r="L178" i="4"/>
  <c r="L180" i="4"/>
  <c r="L176" i="4"/>
  <c r="L189" i="4"/>
  <c r="K8399" i="20"/>
  <c r="L21" i="4"/>
  <c r="L169" i="4"/>
  <c r="L201" i="4"/>
  <c r="L202" i="4"/>
  <c r="L265" i="4"/>
  <c r="L266" i="4"/>
  <c r="L268" i="4"/>
  <c r="L264" i="4"/>
  <c r="L269" i="4"/>
  <c r="L122" i="4"/>
  <c r="L317" i="4"/>
  <c r="L318" i="4"/>
  <c r="L123" i="4"/>
  <c r="L301" i="4"/>
  <c r="L58" i="4"/>
  <c r="L314" i="4"/>
  <c r="L230" i="4"/>
  <c r="L35" i="4"/>
  <c r="L226" i="4"/>
  <c r="L229" i="4"/>
  <c r="L158" i="4"/>
  <c r="L161" i="4"/>
  <c r="L165" i="4"/>
  <c r="L160" i="4"/>
  <c r="L152" i="4"/>
  <c r="L162" i="4"/>
  <c r="L195" i="4"/>
  <c r="L167" i="4"/>
  <c r="L164" i="4"/>
  <c r="L159" i="4"/>
  <c r="L166" i="4"/>
  <c r="L170" i="4"/>
  <c r="L153" i="4"/>
  <c r="L154" i="4"/>
  <c r="L172" i="4"/>
  <c r="L156" i="4"/>
  <c r="L155" i="4"/>
  <c r="L163" i="4"/>
  <c r="L171" i="4"/>
  <c r="L168" i="4"/>
  <c r="L330" i="4"/>
  <c r="L335" i="4"/>
  <c r="L333" i="4"/>
  <c r="L331" i="4"/>
  <c r="L332" i="4"/>
  <c r="L334" i="4"/>
  <c r="L36" i="4"/>
  <c r="L309" i="4"/>
  <c r="L329" i="4"/>
  <c r="L328" i="4"/>
  <c r="L303" i="4"/>
  <c r="L327" i="4"/>
  <c r="L225" i="4"/>
  <c r="L244" i="4"/>
  <c r="L324" i="4"/>
  <c r="L326" i="4"/>
  <c r="L281" i="4"/>
  <c r="L245" i="4"/>
  <c r="L284" i="4"/>
  <c r="L282" i="4"/>
  <c r="L64" i="4"/>
  <c r="L22" i="4"/>
  <c r="L73" i="4"/>
  <c r="L233" i="4"/>
  <c r="L320" i="4"/>
  <c r="L79" i="4"/>
  <c r="L113" i="4"/>
  <c r="L119" i="4"/>
  <c r="L118" i="4"/>
  <c r="L149" i="4"/>
  <c r="L251" i="4"/>
  <c r="L283" i="4"/>
  <c r="L307" i="4"/>
  <c r="L339" i="4"/>
  <c r="L343" i="4"/>
  <c r="L347" i="4"/>
  <c r="L351" i="4"/>
  <c r="L355" i="4"/>
  <c r="L359" i="4"/>
  <c r="L363" i="4"/>
  <c r="L367" i="4"/>
  <c r="L371" i="4"/>
  <c r="L375" i="4"/>
  <c r="L379" i="4"/>
  <c r="L383" i="4"/>
  <c r="L387" i="4"/>
  <c r="L391" i="4"/>
  <c r="L395" i="4"/>
  <c r="L399" i="4"/>
  <c r="L403" i="4"/>
  <c r="L407" i="4"/>
  <c r="L88" i="4"/>
  <c r="L77" i="4"/>
  <c r="L336" i="4"/>
  <c r="L340" i="4"/>
  <c r="L344" i="4"/>
  <c r="L348" i="4"/>
  <c r="L352" i="4"/>
  <c r="L356" i="4"/>
  <c r="L360" i="4"/>
  <c r="L364" i="4"/>
  <c r="L337" i="4"/>
  <c r="L341" i="4"/>
  <c r="L345" i="4"/>
  <c r="L349" i="4"/>
  <c r="L353" i="4"/>
  <c r="L357" i="4"/>
  <c r="L361" i="4"/>
  <c r="L365" i="4"/>
  <c r="L369" i="4"/>
  <c r="L373" i="4"/>
  <c r="L377" i="4"/>
  <c r="L381" i="4"/>
  <c r="L385" i="4"/>
  <c r="L41" i="4"/>
  <c r="L338" i="4"/>
  <c r="L342" i="4"/>
  <c r="L346" i="4"/>
  <c r="L350" i="4"/>
  <c r="L354" i="4"/>
  <c r="L358" i="4"/>
  <c r="L362" i="4"/>
  <c r="L366" i="4"/>
  <c r="L370" i="4"/>
  <c r="L374" i="4"/>
  <c r="L378" i="4"/>
  <c r="L382" i="4"/>
  <c r="L386" i="4"/>
  <c r="L390" i="4"/>
  <c r="L394" i="4"/>
  <c r="L398" i="4"/>
  <c r="L402" i="4"/>
  <c r="L406" i="4"/>
  <c r="L368" i="4"/>
  <c r="L384" i="4"/>
  <c r="L393" i="4"/>
  <c r="L401" i="4"/>
  <c r="L409" i="4"/>
  <c r="L413" i="4"/>
  <c r="L3" i="4"/>
  <c r="L9" i="4"/>
  <c r="L13" i="4"/>
  <c r="L17" i="4"/>
  <c r="L24" i="4"/>
  <c r="L28" i="4"/>
  <c r="L32" i="4"/>
  <c r="L44" i="4"/>
  <c r="L53" i="4"/>
  <c r="L59" i="4"/>
  <c r="L63" i="4"/>
  <c r="L68" i="4"/>
  <c r="L72" i="4"/>
  <c r="L83" i="4"/>
  <c r="L84" i="4"/>
  <c r="L89" i="4"/>
  <c r="L93" i="4"/>
  <c r="L95" i="4"/>
  <c r="L101" i="4"/>
  <c r="L105" i="4"/>
  <c r="L109" i="4"/>
  <c r="L114" i="4"/>
  <c r="L120" i="4"/>
  <c r="L126" i="4"/>
  <c r="L129" i="4"/>
  <c r="L134" i="4"/>
  <c r="L145" i="4"/>
  <c r="L203" i="4"/>
  <c r="L200" i="4"/>
  <c r="L148" i="4"/>
  <c r="L196" i="4"/>
  <c r="L218" i="4"/>
  <c r="L235" i="4"/>
  <c r="L213" i="4"/>
  <c r="L221" i="4"/>
  <c r="L241" i="4"/>
  <c r="L254" i="4"/>
  <c r="L262" i="4"/>
  <c r="L275" i="4"/>
  <c r="L285" i="4"/>
  <c r="L289" i="4"/>
  <c r="L308" i="4"/>
  <c r="L306" i="4"/>
  <c r="L313" i="4"/>
  <c r="L323" i="4"/>
  <c r="L372" i="4"/>
  <c r="L388" i="4"/>
  <c r="L396" i="4"/>
  <c r="L404" i="4"/>
  <c r="L410" i="4"/>
  <c r="L414" i="4"/>
  <c r="L7" i="4"/>
  <c r="L6" i="4"/>
  <c r="L14" i="4"/>
  <c r="L18" i="4"/>
  <c r="L25" i="4"/>
  <c r="L29" i="4"/>
  <c r="L33" i="4"/>
  <c r="L45" i="4"/>
  <c r="L54" i="4"/>
  <c r="L61" i="4"/>
  <c r="L65" i="4"/>
  <c r="L69" i="4"/>
  <c r="L74" i="4"/>
  <c r="L82" i="4"/>
  <c r="L85" i="4"/>
  <c r="L90" i="4"/>
  <c r="L94" i="4"/>
  <c r="L98" i="4"/>
  <c r="L102" i="4"/>
  <c r="L106" i="4"/>
  <c r="L110" i="4"/>
  <c r="L115" i="4"/>
  <c r="L121" i="4"/>
  <c r="L136" i="4"/>
  <c r="L128" i="4"/>
  <c r="L133" i="4"/>
  <c r="L146" i="4"/>
  <c r="L208" i="4"/>
  <c r="L197" i="4"/>
  <c r="L147" i="4"/>
  <c r="L212" i="4"/>
  <c r="L220" i="4"/>
  <c r="L240" i="4"/>
  <c r="L215" i="4"/>
  <c r="L223" i="4"/>
  <c r="L247" i="4"/>
  <c r="L256" i="4"/>
  <c r="L263" i="4"/>
  <c r="L276" i="4"/>
  <c r="L286" i="4"/>
  <c r="L290" i="4"/>
  <c r="L293" i="4"/>
  <c r="L315" i="4"/>
  <c r="L321" i="4"/>
  <c r="L376" i="4"/>
  <c r="L389" i="4"/>
  <c r="L397" i="4"/>
  <c r="L405" i="4"/>
  <c r="L411" i="4"/>
  <c r="L415" i="4"/>
  <c r="L10" i="4"/>
  <c r="L11" i="4"/>
  <c r="L15" i="4"/>
  <c r="L19" i="4"/>
  <c r="L26" i="4"/>
  <c r="L30" i="4"/>
  <c r="L40" i="4"/>
  <c r="L46" i="4"/>
  <c r="L55" i="4"/>
  <c r="L62" i="4"/>
  <c r="L66" i="4"/>
  <c r="L70" i="4"/>
  <c r="L75" i="4"/>
  <c r="L81" i="4"/>
  <c r="L86" i="4"/>
  <c r="L92" i="4"/>
  <c r="L96" i="4"/>
  <c r="L99" i="4"/>
  <c r="L103" i="4"/>
  <c r="L107" i="4"/>
  <c r="L111" i="4"/>
  <c r="L116" i="4"/>
  <c r="L124" i="4"/>
  <c r="L132" i="4"/>
  <c r="L127" i="4"/>
  <c r="L131" i="4"/>
  <c r="L211" i="4"/>
  <c r="L205" i="4"/>
  <c r="L199" i="4"/>
  <c r="L150" i="4"/>
  <c r="L214" i="4"/>
  <c r="L222" i="4"/>
  <c r="L242" i="4"/>
  <c r="L217" i="4"/>
  <c r="L234" i="4"/>
  <c r="L249" i="4"/>
  <c r="L258" i="4"/>
  <c r="L271" i="4"/>
  <c r="L278" i="4"/>
  <c r="L287" i="4"/>
  <c r="L291" i="4"/>
  <c r="L311" i="4"/>
  <c r="L316" i="4"/>
  <c r="L322" i="4"/>
  <c r="L380" i="4"/>
  <c r="L392" i="4"/>
  <c r="L400" i="4"/>
  <c r="L408" i="4"/>
  <c r="L412" i="4"/>
  <c r="L416" i="4"/>
  <c r="L8" i="4"/>
  <c r="L12" i="4"/>
  <c r="L16" i="4"/>
  <c r="L23" i="4"/>
  <c r="L27" i="4"/>
  <c r="L31" i="4"/>
  <c r="L42" i="4"/>
  <c r="L49" i="4"/>
  <c r="L57" i="4"/>
  <c r="L56" i="4"/>
  <c r="L67" i="4"/>
  <c r="L71" i="4"/>
  <c r="L76" i="4"/>
  <c r="L80" i="4"/>
  <c r="L87" i="4"/>
  <c r="L91" i="4"/>
  <c r="L97" i="4"/>
  <c r="L100" i="4"/>
  <c r="L104" i="4"/>
  <c r="L108" i="4"/>
  <c r="L112" i="4"/>
  <c r="L117" i="4"/>
  <c r="L125" i="4"/>
  <c r="L130" i="4"/>
  <c r="L135" i="4"/>
  <c r="L144" i="4"/>
  <c r="L206" i="4"/>
  <c r="L204" i="4"/>
  <c r="L209" i="4"/>
  <c r="L151" i="4"/>
  <c r="L216" i="4"/>
  <c r="L224" i="4"/>
  <c r="L248" i="4"/>
  <c r="L219" i="4"/>
  <c r="L239" i="4"/>
  <c r="L261" i="4"/>
  <c r="L272" i="4"/>
  <c r="L288" i="4"/>
  <c r="L292" i="4"/>
  <c r="L304" i="4"/>
  <c r="L312" i="4"/>
  <c r="L319" i="4"/>
  <c r="H9" i="20"/>
  <c r="B235" i="4" l="1"/>
  <c r="B239" i="4" s="1"/>
  <c r="B237" i="4"/>
  <c r="S17" i="1"/>
  <c r="B240" i="4" l="1"/>
  <c r="B244" i="4" s="1"/>
  <c r="B243" i="4"/>
  <c r="F77" i="4"/>
  <c r="B241" i="4" l="1"/>
  <c r="B246" i="4" s="1"/>
  <c r="G13" i="28"/>
  <c r="H13" i="28" s="1"/>
  <c r="I13" i="28" s="1"/>
  <c r="G10" i="28"/>
  <c r="H10" i="28" s="1"/>
  <c r="I10" i="28" s="1"/>
  <c r="G11" i="28"/>
  <c r="H11" i="28" s="1"/>
  <c r="I11" i="28" s="1"/>
  <c r="G12" i="28"/>
  <c r="H12" i="28" s="1"/>
  <c r="I12" i="28" s="1"/>
  <c r="G15" i="28"/>
  <c r="H15" i="28" s="1"/>
  <c r="I15" i="28" s="1"/>
  <c r="F248" i="4"/>
  <c r="D4878" i="20" s="1"/>
  <c r="F4878" i="20" s="1"/>
  <c r="H4892" i="20" s="1"/>
  <c r="F242" i="4"/>
  <c r="F240" i="4"/>
  <c r="F235" i="4"/>
  <c r="D5491" i="20" s="1"/>
  <c r="F5491" i="20" s="1"/>
  <c r="H5505" i="20" s="1"/>
  <c r="F224" i="4"/>
  <c r="F222" i="4"/>
  <c r="F220" i="4"/>
  <c r="F218" i="4"/>
  <c r="F216" i="4"/>
  <c r="F214" i="4"/>
  <c r="D8518" i="20" s="1"/>
  <c r="F8518" i="20" s="1"/>
  <c r="F212" i="4"/>
  <c r="D8846" i="20" l="1"/>
  <c r="F8846" i="20" s="1"/>
  <c r="D8890" i="20"/>
  <c r="F8890" i="20" s="1"/>
  <c r="H8899" i="20" s="1"/>
  <c r="D8782" i="20"/>
  <c r="F8782" i="20" s="1"/>
  <c r="D8837" i="20"/>
  <c r="F8837" i="20" s="1"/>
  <c r="D4114" i="20"/>
  <c r="F4114" i="20" s="1"/>
  <c r="D4165" i="20"/>
  <c r="F4165" i="20" s="1"/>
  <c r="D4216" i="20"/>
  <c r="F4216" i="20" s="1"/>
  <c r="D3910" i="20"/>
  <c r="F3910" i="20" s="1"/>
  <c r="D4063" i="20"/>
  <c r="F4063" i="20" s="1"/>
  <c r="D4012" i="20"/>
  <c r="F4012" i="20" s="1"/>
  <c r="D3961" i="20"/>
  <c r="F3961" i="20" s="1"/>
  <c r="B245" i="4"/>
  <c r="B242" i="4"/>
  <c r="B247" i="4" s="1"/>
  <c r="B248" i="4" s="1"/>
  <c r="B249" i="4" s="1"/>
  <c r="B251" i="4" s="1"/>
  <c r="B254" i="4" s="1"/>
  <c r="B255" i="4" s="1"/>
  <c r="D3859" i="20"/>
  <c r="F3859" i="20" s="1"/>
  <c r="D3808" i="20"/>
  <c r="F3808" i="20" s="1"/>
  <c r="D8458" i="20"/>
  <c r="F8458" i="20" s="1"/>
  <c r="H8467" i="20" s="1"/>
  <c r="K8446" i="20" s="1"/>
  <c r="D8791" i="20"/>
  <c r="F8791" i="20" s="1"/>
  <c r="D8672" i="20"/>
  <c r="F8672" i="20" s="1"/>
  <c r="D8727" i="20"/>
  <c r="F8727" i="20" s="1"/>
  <c r="D3553" i="20"/>
  <c r="F3553" i="20" s="1"/>
  <c r="D3757" i="20"/>
  <c r="F3757" i="20" s="1"/>
  <c r="K5480" i="20"/>
  <c r="D3451" i="20"/>
  <c r="F3451" i="20" s="1"/>
  <c r="D3502" i="20"/>
  <c r="F3502" i="20" s="1"/>
  <c r="D3298" i="20"/>
  <c r="F3298" i="20" s="1"/>
  <c r="D3400" i="20"/>
  <c r="F3400" i="20" s="1"/>
  <c r="D3349" i="20"/>
  <c r="F3349" i="20" s="1"/>
  <c r="D2839" i="20"/>
  <c r="F2839" i="20" s="1"/>
  <c r="D3247" i="20"/>
  <c r="F3247" i="20" s="1"/>
  <c r="D2788" i="20"/>
  <c r="F2788" i="20" s="1"/>
  <c r="D3145" i="20"/>
  <c r="F3145" i="20" s="1"/>
  <c r="D3094" i="20"/>
  <c r="F3094" i="20" s="1"/>
  <c r="D3043" i="20"/>
  <c r="F3043" i="20" s="1"/>
  <c r="D2737" i="20"/>
  <c r="F2737" i="20" s="1"/>
  <c r="D2635" i="20"/>
  <c r="F2635" i="20" s="1"/>
  <c r="D3196" i="20"/>
  <c r="F3196" i="20" s="1"/>
  <c r="D2992" i="20"/>
  <c r="F2992" i="20" s="1"/>
  <c r="D2941" i="20"/>
  <c r="F2941" i="20" s="1"/>
  <c r="D2890" i="20"/>
  <c r="F2890" i="20" s="1"/>
  <c r="D2686" i="20"/>
  <c r="F2686" i="20" s="1"/>
  <c r="D2533" i="20"/>
  <c r="F2533" i="20" s="1"/>
  <c r="D2584" i="20"/>
  <c r="F2584" i="20" s="1"/>
  <c r="K4867" i="20"/>
  <c r="D8358" i="20"/>
  <c r="F8358" i="20" s="1"/>
  <c r="D8562" i="20"/>
  <c r="F8562" i="20" s="1"/>
  <c r="D8507" i="20"/>
  <c r="F8507" i="20" s="1"/>
  <c r="D2380" i="20"/>
  <c r="F2380" i="20" s="1"/>
  <c r="D2278" i="20"/>
  <c r="F2278" i="20" s="1"/>
  <c r="D2431" i="20"/>
  <c r="F2431" i="20" s="1"/>
  <c r="D2329" i="20"/>
  <c r="F2329" i="20" s="1"/>
  <c r="D9271" i="20"/>
  <c r="F9271" i="20" s="1"/>
  <c r="D9216" i="20"/>
  <c r="F9216" i="20" s="1"/>
  <c r="D2073" i="20"/>
  <c r="F2073" i="20" s="1"/>
  <c r="D2124" i="20"/>
  <c r="F2124" i="20" s="1"/>
  <c r="D1818" i="20"/>
  <c r="F1818" i="20" s="1"/>
  <c r="D1920" i="20"/>
  <c r="F1920" i="20" s="1"/>
  <c r="D2022" i="20"/>
  <c r="F2022" i="20" s="1"/>
  <c r="D1971" i="20"/>
  <c r="F1971" i="20" s="1"/>
  <c r="D1869" i="20"/>
  <c r="F1869" i="20" s="1"/>
  <c r="D1716" i="20"/>
  <c r="F1716" i="20" s="1"/>
  <c r="D1664" i="20"/>
  <c r="F1664" i="20" s="1"/>
  <c r="D1613" i="20"/>
  <c r="F1613" i="20" s="1"/>
  <c r="D1562" i="20"/>
  <c r="F1562" i="20" s="1"/>
  <c r="D1511" i="20"/>
  <c r="F1511" i="20" s="1"/>
  <c r="D1460" i="20"/>
  <c r="F1460" i="20" s="1"/>
  <c r="D1205" i="20"/>
  <c r="F1205" i="20" s="1"/>
  <c r="D1767" i="20"/>
  <c r="F1767" i="20" s="1"/>
  <c r="D1256" i="20"/>
  <c r="F1256" i="20" s="1"/>
  <c r="D946" i="20"/>
  <c r="F946" i="20" s="1"/>
  <c r="D844" i="20"/>
  <c r="F844" i="20" s="1"/>
  <c r="D1154" i="20"/>
  <c r="F1154" i="20" s="1"/>
  <c r="D997" i="20"/>
  <c r="F997" i="20" s="1"/>
  <c r="D1103" i="20"/>
  <c r="F1103" i="20" s="1"/>
  <c r="D1048" i="20"/>
  <c r="F1048" i="20" s="1"/>
  <c r="D895" i="20"/>
  <c r="F895" i="20" s="1"/>
  <c r="D9164" i="20"/>
  <c r="F9164" i="20" s="1"/>
  <c r="H9172" i="20" s="1"/>
  <c r="D8369" i="20"/>
  <c r="F8369" i="20" s="1"/>
  <c r="D383" i="20"/>
  <c r="F383" i="20" s="1"/>
  <c r="D332" i="20"/>
  <c r="F332" i="20" s="1"/>
  <c r="D281" i="20"/>
  <c r="F281" i="20" s="1"/>
  <c r="D230" i="20"/>
  <c r="F230" i="20" s="1"/>
  <c r="D179" i="20"/>
  <c r="F179" i="20" s="1"/>
  <c r="D77" i="20"/>
  <c r="F77" i="20" s="1"/>
  <c r="D128" i="20"/>
  <c r="F128" i="20" s="1"/>
  <c r="D25" i="20"/>
  <c r="F25" i="20" s="1"/>
  <c r="J1428" i="13"/>
  <c r="F1428" i="13" s="1"/>
  <c r="J1426" i="13"/>
  <c r="F1426" i="13" s="1"/>
  <c r="J1425" i="13"/>
  <c r="F1425" i="13" s="1"/>
  <c r="J1424" i="13"/>
  <c r="F1424" i="13" s="1"/>
  <c r="J1409" i="13"/>
  <c r="F1409" i="13" s="1"/>
  <c r="J1404" i="13"/>
  <c r="F1404" i="13" s="1"/>
  <c r="J1359" i="13"/>
  <c r="F1359" i="13" s="1"/>
  <c r="G1358" i="13"/>
  <c r="J1358" i="13" s="1"/>
  <c r="F1358" i="13" s="1"/>
  <c r="J1355" i="13"/>
  <c r="F1355" i="13" s="1"/>
  <c r="J1353" i="13"/>
  <c r="J1352" i="13"/>
  <c r="F1352" i="13" s="1"/>
  <c r="J1349" i="13"/>
  <c r="J1347" i="13"/>
  <c r="F1347" i="13" s="1"/>
  <c r="J1346" i="13"/>
  <c r="F1346" i="13" s="1"/>
  <c r="J1338" i="13"/>
  <c r="F1338" i="13" s="1"/>
  <c r="J1337" i="13"/>
  <c r="F1337" i="13" s="1"/>
  <c r="J1336" i="13"/>
  <c r="F1336" i="13" s="1"/>
  <c r="J1335" i="13"/>
  <c r="F1335" i="13" s="1"/>
  <c r="J1334" i="13"/>
  <c r="F1334" i="13" s="1"/>
  <c r="J1333" i="13"/>
  <c r="F1333" i="13" s="1"/>
  <c r="J1332" i="13"/>
  <c r="F1332" i="13" s="1"/>
  <c r="J1331" i="13"/>
  <c r="F1331" i="13" s="1"/>
  <c r="D104" i="7"/>
  <c r="D100" i="7"/>
  <c r="D99" i="7"/>
  <c r="D98" i="7"/>
  <c r="D97" i="7"/>
  <c r="E96" i="7"/>
  <c r="D96" i="7" s="1"/>
  <c r="D95" i="7"/>
  <c r="D94" i="7"/>
  <c r="D93" i="7"/>
  <c r="D91" i="7"/>
  <c r="D90" i="7"/>
  <c r="D89" i="7"/>
  <c r="D88" i="7"/>
  <c r="D85" i="7"/>
  <c r="E8885" i="20" s="1"/>
  <c r="G8885" i="20" s="1"/>
  <c r="D84" i="7"/>
  <c r="D83" i="7"/>
  <c r="E5900" i="20" s="1"/>
  <c r="G5900" i="20" s="1"/>
  <c r="D82" i="7"/>
  <c r="D81" i="7"/>
  <c r="D80" i="7"/>
  <c r="D79" i="7"/>
  <c r="D78" i="7"/>
  <c r="G77" i="7"/>
  <c r="H77" i="7" s="1"/>
  <c r="E77" i="7" s="1"/>
  <c r="D77" i="7" s="1"/>
  <c r="G76" i="7"/>
  <c r="H76" i="7" s="1"/>
  <c r="E76" i="7" s="1"/>
  <c r="D76" i="7" s="1"/>
  <c r="D75" i="7"/>
  <c r="D74" i="7"/>
  <c r="E73" i="7"/>
  <c r="D73" i="7" s="1"/>
  <c r="D71" i="7"/>
  <c r="E9042" i="20" s="1"/>
  <c r="G9042" i="20" s="1"/>
  <c r="D70" i="7"/>
  <c r="D68" i="7"/>
  <c r="D67" i="7"/>
  <c r="D66" i="7"/>
  <c r="D65" i="7"/>
  <c r="D64" i="7"/>
  <c r="E63" i="7"/>
  <c r="D63" i="7" s="1"/>
  <c r="G62" i="7"/>
  <c r="H62" i="7" s="1"/>
  <c r="D62" i="7"/>
  <c r="D61" i="7"/>
  <c r="D58" i="7"/>
  <c r="D57" i="7"/>
  <c r="D56" i="7"/>
  <c r="D55" i="7"/>
  <c r="E54" i="7"/>
  <c r="D54" i="7" s="1"/>
  <c r="D53" i="7"/>
  <c r="D52" i="7"/>
  <c r="D49" i="7"/>
  <c r="G48" i="7"/>
  <c r="H48" i="7" s="1"/>
  <c r="E48" i="7" s="1"/>
  <c r="D48" i="7" s="1"/>
  <c r="G47" i="7"/>
  <c r="H47" i="7" s="1"/>
  <c r="E47" i="7" s="1"/>
  <c r="D47" i="7" s="1"/>
  <c r="G46" i="7"/>
  <c r="H46" i="7" s="1"/>
  <c r="E46" i="7" s="1"/>
  <c r="D46" i="7" s="1"/>
  <c r="G45" i="7"/>
  <c r="H45" i="7" s="1"/>
  <c r="E45" i="7" s="1"/>
  <c r="D45" i="7" s="1"/>
  <c r="G44" i="7"/>
  <c r="H44" i="7" s="1"/>
  <c r="E44" i="7" s="1"/>
  <c r="D44" i="7" s="1"/>
  <c r="D43" i="7"/>
  <c r="D42" i="7"/>
  <c r="D41" i="7"/>
  <c r="D40" i="7"/>
  <c r="D39" i="7"/>
  <c r="E38" i="7"/>
  <c r="D38" i="7" s="1"/>
  <c r="E37" i="7"/>
  <c r="D37" i="7" s="1"/>
  <c r="E36" i="7"/>
  <c r="D36" i="7" s="1"/>
  <c r="D35" i="7"/>
  <c r="D34" i="7"/>
  <c r="D32" i="7"/>
  <c r="D31" i="7"/>
  <c r="D30" i="7"/>
  <c r="D28" i="7"/>
  <c r="D27" i="7"/>
  <c r="D26" i="7"/>
  <c r="D25" i="7"/>
  <c r="D24" i="7"/>
  <c r="D23" i="7"/>
  <c r="D22" i="7"/>
  <c r="D21" i="7"/>
  <c r="D20" i="7"/>
  <c r="D19" i="7"/>
  <c r="D18" i="7"/>
  <c r="E8988" i="20" s="1"/>
  <c r="G8988" i="20" s="1"/>
  <c r="D14" i="7"/>
  <c r="D13" i="7"/>
  <c r="D12" i="7"/>
  <c r="D11" i="7"/>
  <c r="D9" i="7"/>
  <c r="D8" i="7"/>
  <c r="E7" i="7"/>
  <c r="D7" i="7" s="1"/>
  <c r="D6" i="7"/>
  <c r="D5" i="7"/>
  <c r="D4" i="7"/>
  <c r="A4" i="7"/>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D3" i="7"/>
  <c r="Q19" i="5"/>
  <c r="G16" i="5"/>
  <c r="G15" i="5"/>
  <c r="Q7" i="5"/>
  <c r="Q6" i="5"/>
  <c r="F41" i="4"/>
  <c r="D8839" i="20" s="1"/>
  <c r="F8839" i="20" s="1"/>
  <c r="F88" i="4"/>
  <c r="F323" i="4"/>
  <c r="D8621" i="20" s="1"/>
  <c r="F8621" i="20" s="1"/>
  <c r="F322" i="4"/>
  <c r="D9050" i="20" s="1"/>
  <c r="F9050" i="20" s="1"/>
  <c r="F321" i="4"/>
  <c r="F319" i="4"/>
  <c r="F316" i="4"/>
  <c r="D5290" i="20" s="1"/>
  <c r="F5290" i="20" s="1"/>
  <c r="F315" i="4"/>
  <c r="D9265" i="20" s="1"/>
  <c r="F9265" i="20" s="1"/>
  <c r="F313" i="4"/>
  <c r="D9317" i="20" s="1"/>
  <c r="F9317" i="20" s="1"/>
  <c r="H9331" i="20" s="1"/>
  <c r="F312" i="4"/>
  <c r="F311" i="4"/>
  <c r="D9682" i="20" s="1"/>
  <c r="F9682" i="20" s="1"/>
  <c r="H9696" i="20" s="1"/>
  <c r="F306" i="4"/>
  <c r="F304" i="4"/>
  <c r="F298" i="4"/>
  <c r="D8788" i="20" s="1"/>
  <c r="F8788" i="20" s="1"/>
  <c r="F293" i="4"/>
  <c r="F308" i="4"/>
  <c r="D9734" i="20" s="1"/>
  <c r="F9734" i="20" s="1"/>
  <c r="H9748" i="20" s="1"/>
  <c r="F292" i="4"/>
  <c r="F291" i="4"/>
  <c r="F290" i="4"/>
  <c r="F289" i="4"/>
  <c r="F288" i="4"/>
  <c r="F287" i="4"/>
  <c r="F286" i="4"/>
  <c r="F285" i="4"/>
  <c r="F278" i="4"/>
  <c r="D379" i="20" s="1"/>
  <c r="F379" i="20" s="1"/>
  <c r="F276" i="4"/>
  <c r="D2580" i="20" s="1"/>
  <c r="F2580" i="20" s="1"/>
  <c r="F275" i="4"/>
  <c r="F272" i="4"/>
  <c r="D328" i="20" s="1"/>
  <c r="F328" i="20" s="1"/>
  <c r="F271" i="4"/>
  <c r="D277" i="20" s="1"/>
  <c r="F277" i="20" s="1"/>
  <c r="F263" i="4"/>
  <c r="F262" i="4"/>
  <c r="D2484" i="20" s="1"/>
  <c r="F2484" i="20" s="1"/>
  <c r="F261" i="4"/>
  <c r="D5747" i="20" s="1"/>
  <c r="F5747" i="20" s="1"/>
  <c r="H5761" i="20" s="1"/>
  <c r="F258" i="4"/>
  <c r="D5849" i="20" s="1"/>
  <c r="F5849" i="20" s="1"/>
  <c r="F256" i="4"/>
  <c r="F254" i="4"/>
  <c r="D5286" i="20" s="1"/>
  <c r="F5286" i="20" s="1"/>
  <c r="F249" i="4"/>
  <c r="F247" i="4"/>
  <c r="D5440" i="20" s="1"/>
  <c r="F5440" i="20" s="1"/>
  <c r="H5454" i="20" s="1"/>
  <c r="F241" i="4"/>
  <c r="F239" i="4"/>
  <c r="D4469" i="20" s="1"/>
  <c r="F4469" i="20" s="1"/>
  <c r="H4483" i="20" s="1"/>
  <c r="F234" i="4"/>
  <c r="F223" i="4"/>
  <c r="F221" i="4"/>
  <c r="F219" i="4"/>
  <c r="D8200" i="20" s="1"/>
  <c r="F8200" i="20" s="1"/>
  <c r="F217" i="4"/>
  <c r="F215" i="4"/>
  <c r="D8848" i="20" s="1"/>
  <c r="F8848" i="20" s="1"/>
  <c r="F213" i="4"/>
  <c r="F196" i="4"/>
  <c r="D2427" i="20" s="1"/>
  <c r="F2427" i="20" s="1"/>
  <c r="F151" i="4"/>
  <c r="D8938" i="20" s="1"/>
  <c r="F8938" i="20" s="1"/>
  <c r="F150" i="4"/>
  <c r="D9218" i="20" s="1"/>
  <c r="F9218" i="20" s="1"/>
  <c r="F148" i="4"/>
  <c r="D8940" i="20" s="1"/>
  <c r="F8940" i="20" s="1"/>
  <c r="F209" i="4"/>
  <c r="F199" i="4"/>
  <c r="D4059" i="20" s="1"/>
  <c r="F4059" i="20" s="1"/>
  <c r="F197" i="4"/>
  <c r="D3957" i="20" s="1"/>
  <c r="F3957" i="20" s="1"/>
  <c r="F200" i="4"/>
  <c r="F204" i="4"/>
  <c r="D73" i="20" s="1"/>
  <c r="F73" i="20" s="1"/>
  <c r="F205" i="4"/>
  <c r="D124" i="20" s="1"/>
  <c r="F124" i="20" s="1"/>
  <c r="F208" i="4"/>
  <c r="F203" i="4"/>
  <c r="D21" i="20" s="1"/>
  <c r="F21" i="20" s="1"/>
  <c r="F206" i="4"/>
  <c r="D430" i="20" s="1"/>
  <c r="F430" i="20" s="1"/>
  <c r="F131" i="4"/>
  <c r="F133" i="4"/>
  <c r="F134" i="4"/>
  <c r="F135" i="4"/>
  <c r="F127" i="4"/>
  <c r="F128" i="4"/>
  <c r="F129" i="4"/>
  <c r="F130" i="4"/>
  <c r="F132" i="4"/>
  <c r="F126" i="4"/>
  <c r="F125" i="4"/>
  <c r="F124" i="4"/>
  <c r="F121" i="4"/>
  <c r="D9051" i="20" s="1"/>
  <c r="F9051" i="20" s="1"/>
  <c r="F120" i="4"/>
  <c r="F116" i="4"/>
  <c r="F115" i="4"/>
  <c r="F114" i="4"/>
  <c r="F112" i="4"/>
  <c r="F111" i="4"/>
  <c r="F110" i="4"/>
  <c r="F109" i="4"/>
  <c r="F108" i="4"/>
  <c r="F107" i="4"/>
  <c r="F106" i="4"/>
  <c r="F105" i="4"/>
  <c r="F104" i="4"/>
  <c r="F103" i="4"/>
  <c r="F102" i="4"/>
  <c r="F101" i="4"/>
  <c r="F100" i="4"/>
  <c r="F99" i="4"/>
  <c r="F98" i="4"/>
  <c r="F95" i="4"/>
  <c r="F97" i="4"/>
  <c r="F96" i="4"/>
  <c r="F94" i="4"/>
  <c r="F93" i="4"/>
  <c r="F91" i="4"/>
  <c r="F92" i="4"/>
  <c r="D8615" i="20" s="1"/>
  <c r="F8615" i="20" s="1"/>
  <c r="F90" i="4"/>
  <c r="F89" i="4"/>
  <c r="F87" i="4"/>
  <c r="F86" i="4"/>
  <c r="F85" i="4"/>
  <c r="F84" i="4"/>
  <c r="D126" i="20" s="1"/>
  <c r="F126" i="20" s="1"/>
  <c r="F80" i="4"/>
  <c r="D7519" i="20" s="1"/>
  <c r="F7519" i="20" s="1"/>
  <c r="F81" i="4"/>
  <c r="D8939" i="20" s="1"/>
  <c r="F8939" i="20" s="1"/>
  <c r="F82" i="4"/>
  <c r="D9217" i="20" s="1"/>
  <c r="F9217" i="20" s="1"/>
  <c r="F83" i="4"/>
  <c r="F76" i="4"/>
  <c r="F75" i="4"/>
  <c r="F74" i="4"/>
  <c r="F72" i="4"/>
  <c r="F71" i="4"/>
  <c r="F70" i="4"/>
  <c r="F69" i="4"/>
  <c r="F68" i="4"/>
  <c r="F67" i="4"/>
  <c r="F66" i="4"/>
  <c r="F65" i="4"/>
  <c r="F63" i="4"/>
  <c r="F56" i="4"/>
  <c r="D6112" i="20" s="1"/>
  <c r="F6112" i="20" s="1"/>
  <c r="H6126" i="20" s="1"/>
  <c r="F62" i="4"/>
  <c r="D8838" i="20" s="1"/>
  <c r="F8838" i="20" s="1"/>
  <c r="F61" i="4"/>
  <c r="F59" i="4"/>
  <c r="F57" i="4"/>
  <c r="D6164" i="20" s="1"/>
  <c r="F6164" i="20" s="1"/>
  <c r="H6178" i="20" s="1"/>
  <c r="F54" i="4"/>
  <c r="F53" i="4"/>
  <c r="F49" i="4"/>
  <c r="F46" i="4"/>
  <c r="F42" i="4"/>
  <c r="F40" i="4"/>
  <c r="F33" i="4"/>
  <c r="F32" i="4"/>
  <c r="F31" i="4"/>
  <c r="F30" i="4"/>
  <c r="F29" i="4"/>
  <c r="F28" i="4"/>
  <c r="D8617" i="20" s="1"/>
  <c r="F8617" i="20" s="1"/>
  <c r="F27" i="4"/>
  <c r="D8616" i="20" s="1"/>
  <c r="F8616" i="20" s="1"/>
  <c r="F26" i="4"/>
  <c r="D3912" i="20" s="1"/>
  <c r="F3912" i="20" s="1"/>
  <c r="F25" i="4"/>
  <c r="F24" i="4"/>
  <c r="F23" i="4"/>
  <c r="F19" i="4"/>
  <c r="F18" i="4"/>
  <c r="F17" i="4"/>
  <c r="F16" i="4"/>
  <c r="F15" i="4"/>
  <c r="F14" i="4"/>
  <c r="F13" i="4"/>
  <c r="F12" i="4"/>
  <c r="F11" i="4"/>
  <c r="F6" i="4"/>
  <c r="D8618" i="20" s="1"/>
  <c r="F8618" i="20" s="1"/>
  <c r="F9" i="4"/>
  <c r="F8" i="4"/>
  <c r="F10" i="4"/>
  <c r="F7" i="4"/>
  <c r="K3" i="4"/>
  <c r="F3" i="4" s="1"/>
  <c r="D8199" i="20" s="1"/>
  <c r="F8199" i="20" s="1"/>
  <c r="F5" i="4"/>
  <c r="F4" i="4"/>
  <c r="D5291" i="20" l="1"/>
  <c r="F5291" i="20" s="1"/>
  <c r="D5854" i="20"/>
  <c r="F5854" i="20" s="1"/>
  <c r="D4266" i="20"/>
  <c r="F4266" i="20" s="1"/>
  <c r="D5288" i="20"/>
  <c r="F5288" i="20" s="1"/>
  <c r="D5851" i="20"/>
  <c r="F5851" i="20" s="1"/>
  <c r="D4263" i="20"/>
  <c r="F4263" i="20" s="1"/>
  <c r="D5289" i="20"/>
  <c r="F5289" i="20" s="1"/>
  <c r="D5852" i="20"/>
  <c r="F5852" i="20" s="1"/>
  <c r="D4265" i="20"/>
  <c r="F4265" i="20" s="1"/>
  <c r="D4264" i="20"/>
  <c r="F4264" i="20" s="1"/>
  <c r="D5853" i="20"/>
  <c r="F5853" i="20" s="1"/>
  <c r="E9624" i="20"/>
  <c r="G9624" i="20" s="1"/>
  <c r="E9676" i="20"/>
  <c r="G9676" i="20" s="1"/>
  <c r="E9832" i="20"/>
  <c r="G9832" i="20" s="1"/>
  <c r="E9780" i="20"/>
  <c r="G9780" i="20" s="1"/>
  <c r="E9728" i="20"/>
  <c r="G9728" i="20" s="1"/>
  <c r="E9572" i="20"/>
  <c r="G9572" i="20" s="1"/>
  <c r="E8139" i="20"/>
  <c r="G8139" i="20" s="1"/>
  <c r="E7827" i="20"/>
  <c r="G7827" i="20" s="1"/>
  <c r="E4104" i="20"/>
  <c r="G4104" i="20" s="1"/>
  <c r="E8828" i="20"/>
  <c r="G8828" i="20" s="1"/>
  <c r="H8832" i="20" s="1"/>
  <c r="M8823" i="20" s="1"/>
  <c r="E7879" i="20"/>
  <c r="G7879" i="20" s="1"/>
  <c r="E8035" i="20"/>
  <c r="G8035" i="20" s="1"/>
  <c r="E7931" i="20"/>
  <c r="G7931" i="20" s="1"/>
  <c r="E8883" i="20"/>
  <c r="G8883" i="20" s="1"/>
  <c r="E4155" i="20"/>
  <c r="G4155" i="20" s="1"/>
  <c r="E8191" i="20"/>
  <c r="G8191" i="20" s="1"/>
  <c r="E7983" i="20"/>
  <c r="G7983" i="20" s="1"/>
  <c r="E7722" i="20"/>
  <c r="G7722" i="20" s="1"/>
  <c r="E5741" i="20"/>
  <c r="G5741" i="20" s="1"/>
  <c r="H5744" i="20" s="1"/>
  <c r="M5736" i="20" s="1"/>
  <c r="E9831" i="20"/>
  <c r="G9831" i="20" s="1"/>
  <c r="E8087" i="20"/>
  <c r="G8087" i="20" s="1"/>
  <c r="E7775" i="20"/>
  <c r="G7775" i="20" s="1"/>
  <c r="E4206" i="20"/>
  <c r="G4206" i="20" s="1"/>
  <c r="E3951" i="20"/>
  <c r="G3951" i="20" s="1"/>
  <c r="E4002" i="20"/>
  <c r="G4002" i="20" s="1"/>
  <c r="E4053" i="20"/>
  <c r="G4053" i="20" s="1"/>
  <c r="E9623" i="20"/>
  <c r="G9623" i="20" s="1"/>
  <c r="E9727" i="20"/>
  <c r="G9727" i="20" s="1"/>
  <c r="E9675" i="20"/>
  <c r="G9675" i="20" s="1"/>
  <c r="E9779" i="20"/>
  <c r="G9779" i="20" s="1"/>
  <c r="E3900" i="20"/>
  <c r="G3900" i="20" s="1"/>
  <c r="E7509" i="20"/>
  <c r="G7509" i="20" s="1"/>
  <c r="E5690" i="20"/>
  <c r="G5690" i="20" s="1"/>
  <c r="H5693" i="20" s="1"/>
  <c r="M5685" i="20" s="1"/>
  <c r="E9041" i="20"/>
  <c r="G9041" i="20" s="1"/>
  <c r="H9045" i="20" s="1"/>
  <c r="M9036" i="20" s="1"/>
  <c r="E3696" i="20"/>
  <c r="G3696" i="20" s="1"/>
  <c r="E3594" i="20"/>
  <c r="G3594" i="20" s="1"/>
  <c r="E7564" i="20"/>
  <c r="G7564" i="20" s="1"/>
  <c r="E7093" i="20"/>
  <c r="G7093" i="20" s="1"/>
  <c r="E6989" i="20"/>
  <c r="G6989" i="20" s="1"/>
  <c r="E5588" i="20"/>
  <c r="G5588" i="20" s="1"/>
  <c r="H5591" i="20" s="1"/>
  <c r="M5583" i="20" s="1"/>
  <c r="E7669" i="20"/>
  <c r="G7669" i="20" s="1"/>
  <c r="E8773" i="20"/>
  <c r="G8773" i="20" s="1"/>
  <c r="H8777" i="20" s="1"/>
  <c r="M8768" i="20" s="1"/>
  <c r="E7457" i="20"/>
  <c r="G7457" i="20" s="1"/>
  <c r="E7405" i="20"/>
  <c r="G7405" i="20" s="1"/>
  <c r="E7353" i="20"/>
  <c r="G7353" i="20" s="1"/>
  <c r="E7249" i="20"/>
  <c r="G7249" i="20" s="1"/>
  <c r="E7041" i="20"/>
  <c r="G7041" i="20" s="1"/>
  <c r="E7145" i="20"/>
  <c r="G7145" i="20" s="1"/>
  <c r="E6937" i="20"/>
  <c r="G6937" i="20" s="1"/>
  <c r="E9571" i="20"/>
  <c r="G9571" i="20" s="1"/>
  <c r="E3849" i="20"/>
  <c r="G3849" i="20" s="1"/>
  <c r="E8718" i="20"/>
  <c r="G8718" i="20" s="1"/>
  <c r="H8722" i="20" s="1"/>
  <c r="M8713" i="20" s="1"/>
  <c r="E7301" i="20"/>
  <c r="G7301" i="20" s="1"/>
  <c r="E7197" i="20"/>
  <c r="G7197" i="20" s="1"/>
  <c r="E3645" i="20"/>
  <c r="G3645" i="20" s="1"/>
  <c r="E3798" i="20"/>
  <c r="G3798" i="20" s="1"/>
  <c r="E5639" i="20"/>
  <c r="G5639" i="20" s="1"/>
  <c r="H5642" i="20" s="1"/>
  <c r="M5634" i="20" s="1"/>
  <c r="E7617" i="20"/>
  <c r="G7617" i="20" s="1"/>
  <c r="E3747" i="20"/>
  <c r="G3747" i="20" s="1"/>
  <c r="E5536" i="20"/>
  <c r="G5536" i="20" s="1"/>
  <c r="H5539" i="20" s="1"/>
  <c r="M5531" i="20" s="1"/>
  <c r="E3390" i="20"/>
  <c r="G3390" i="20" s="1"/>
  <c r="E5485" i="20"/>
  <c r="G5485" i="20" s="1"/>
  <c r="H5488" i="20" s="1"/>
  <c r="M5480" i="20" s="1"/>
  <c r="E3441" i="20"/>
  <c r="G3441" i="20" s="1"/>
  <c r="E3492" i="20"/>
  <c r="G3492" i="20" s="1"/>
  <c r="E8663" i="20"/>
  <c r="G8663" i="20" s="1"/>
  <c r="H8667" i="20" s="1"/>
  <c r="M8658" i="20" s="1"/>
  <c r="E3339" i="20"/>
  <c r="G3339" i="20" s="1"/>
  <c r="E3543" i="20"/>
  <c r="G3543" i="20" s="1"/>
  <c r="E6885" i="20"/>
  <c r="G6885" i="20" s="1"/>
  <c r="E5383" i="20"/>
  <c r="G5383" i="20" s="1"/>
  <c r="E5434" i="20"/>
  <c r="G5434" i="20" s="1"/>
  <c r="H5437" i="20" s="1"/>
  <c r="M5429" i="20" s="1"/>
  <c r="E6833" i="20"/>
  <c r="G6833" i="20" s="1"/>
  <c r="H6837" i="20" s="1"/>
  <c r="M6828" i="20" s="1"/>
  <c r="E7984" i="20"/>
  <c r="G7984" i="20" s="1"/>
  <c r="E7723" i="20"/>
  <c r="G7723" i="20" s="1"/>
  <c r="E8140" i="20"/>
  <c r="G8140" i="20" s="1"/>
  <c r="E7880" i="20"/>
  <c r="G7880" i="20" s="1"/>
  <c r="E7776" i="20"/>
  <c r="G7776" i="20" s="1"/>
  <c r="E8088" i="20"/>
  <c r="G8088" i="20" s="1"/>
  <c r="E4207" i="20"/>
  <c r="G4207" i="20" s="1"/>
  <c r="E7828" i="20"/>
  <c r="G7828" i="20" s="1"/>
  <c r="E8036" i="20"/>
  <c r="G8036" i="20" s="1"/>
  <c r="E7932" i="20"/>
  <c r="G7932" i="20" s="1"/>
  <c r="E4105" i="20"/>
  <c r="G4105" i="20" s="1"/>
  <c r="E8884" i="20"/>
  <c r="G8884" i="20" s="1"/>
  <c r="E8192" i="20"/>
  <c r="G8192" i="20" s="1"/>
  <c r="E4156" i="20"/>
  <c r="G4156" i="20" s="1"/>
  <c r="E4003" i="20"/>
  <c r="G4003" i="20" s="1"/>
  <c r="E3952" i="20"/>
  <c r="G3952" i="20" s="1"/>
  <c r="E4054" i="20"/>
  <c r="G4054" i="20" s="1"/>
  <c r="E3901" i="20"/>
  <c r="G3901" i="20" s="1"/>
  <c r="E7510" i="20"/>
  <c r="G7510" i="20" s="1"/>
  <c r="E6938" i="20"/>
  <c r="G6938" i="20" s="1"/>
  <c r="E7670" i="20"/>
  <c r="G7670" i="20" s="1"/>
  <c r="E7406" i="20"/>
  <c r="G7406" i="20" s="1"/>
  <c r="E3850" i="20"/>
  <c r="G3850" i="20" s="1"/>
  <c r="E7354" i="20"/>
  <c r="G7354" i="20" s="1"/>
  <c r="E7146" i="20"/>
  <c r="G7146" i="20" s="1"/>
  <c r="E7458" i="20"/>
  <c r="G7458" i="20" s="1"/>
  <c r="E7198" i="20"/>
  <c r="G7198" i="20" s="1"/>
  <c r="E6990" i="20"/>
  <c r="G6990" i="20" s="1"/>
  <c r="E3799" i="20"/>
  <c r="G3799" i="20" s="1"/>
  <c r="E3748" i="20"/>
  <c r="G3748" i="20" s="1"/>
  <c r="E3646" i="20"/>
  <c r="G3646" i="20" s="1"/>
  <c r="E7618" i="20"/>
  <c r="G7618" i="20" s="1"/>
  <c r="E7042" i="20"/>
  <c r="G7042" i="20" s="1"/>
  <c r="E7302" i="20"/>
  <c r="G7302" i="20" s="1"/>
  <c r="E7094" i="20"/>
  <c r="G7094" i="20" s="1"/>
  <c r="E3697" i="20"/>
  <c r="G3697" i="20" s="1"/>
  <c r="E3595" i="20"/>
  <c r="G3595" i="20" s="1"/>
  <c r="E7565" i="20"/>
  <c r="G7565" i="20" s="1"/>
  <c r="E7250" i="20"/>
  <c r="G7250" i="20" s="1"/>
  <c r="E3442" i="20"/>
  <c r="G3442" i="20" s="1"/>
  <c r="E3340" i="20"/>
  <c r="G3340" i="20" s="1"/>
  <c r="E3493" i="20"/>
  <c r="G3493" i="20" s="1"/>
  <c r="E3544" i="20"/>
  <c r="G3544" i="20" s="1"/>
  <c r="E3391" i="20"/>
  <c r="G3391" i="20" s="1"/>
  <c r="E6886" i="20"/>
  <c r="G6886" i="20" s="1"/>
  <c r="E5384" i="20"/>
  <c r="G5384" i="20" s="1"/>
  <c r="E4208" i="20"/>
  <c r="G4208" i="20" s="1"/>
  <c r="E4106" i="20"/>
  <c r="G4106" i="20" s="1"/>
  <c r="E4157" i="20"/>
  <c r="G4157" i="20" s="1"/>
  <c r="E4004" i="20"/>
  <c r="G4004" i="20" s="1"/>
  <c r="E4055" i="20"/>
  <c r="G4055" i="20" s="1"/>
  <c r="E3953" i="20"/>
  <c r="G3953" i="20" s="1"/>
  <c r="E3902" i="20"/>
  <c r="G3902" i="20" s="1"/>
  <c r="E3800" i="20"/>
  <c r="G3800" i="20" s="1"/>
  <c r="E3749" i="20"/>
  <c r="G3749" i="20" s="1"/>
  <c r="E3647" i="20"/>
  <c r="G3647" i="20" s="1"/>
  <c r="E3698" i="20"/>
  <c r="G3698" i="20" s="1"/>
  <c r="E3596" i="20"/>
  <c r="G3596" i="20" s="1"/>
  <c r="E3851" i="20"/>
  <c r="G3851" i="20" s="1"/>
  <c r="E3545" i="20"/>
  <c r="G3545" i="20" s="1"/>
  <c r="E3494" i="20"/>
  <c r="G3494" i="20" s="1"/>
  <c r="E3392" i="20"/>
  <c r="G3392" i="20" s="1"/>
  <c r="E3443" i="20"/>
  <c r="G3443" i="20" s="1"/>
  <c r="E3341" i="20"/>
  <c r="G3341" i="20" s="1"/>
  <c r="E9834" i="20"/>
  <c r="G9834" i="20" s="1"/>
  <c r="E9782" i="20"/>
  <c r="G9782" i="20" s="1"/>
  <c r="E9730" i="20"/>
  <c r="G9730" i="20" s="1"/>
  <c r="E9574" i="20"/>
  <c r="G9574" i="20" s="1"/>
  <c r="K8878" i="20"/>
  <c r="D8796" i="20"/>
  <c r="F8796" i="20" s="1"/>
  <c r="D8851" i="20"/>
  <c r="F8851" i="20" s="1"/>
  <c r="D8790" i="20"/>
  <c r="F8790" i="20" s="1"/>
  <c r="D8845" i="20"/>
  <c r="F8845" i="20" s="1"/>
  <c r="D8785" i="20"/>
  <c r="F8785" i="20" s="1"/>
  <c r="D8840" i="20"/>
  <c r="F8840" i="20" s="1"/>
  <c r="D8794" i="20"/>
  <c r="F8794" i="20" s="1"/>
  <c r="D8849" i="20"/>
  <c r="F8849" i="20" s="1"/>
  <c r="D8789" i="20"/>
  <c r="F8789" i="20" s="1"/>
  <c r="D8844" i="20"/>
  <c r="F8844" i="20" s="1"/>
  <c r="D8781" i="20"/>
  <c r="F8781" i="20" s="1"/>
  <c r="D8836" i="20"/>
  <c r="F8836" i="20" s="1"/>
  <c r="D8795" i="20"/>
  <c r="F8795" i="20" s="1"/>
  <c r="D8850" i="20"/>
  <c r="F8850" i="20" s="1"/>
  <c r="D8792" i="20"/>
  <c r="F8792" i="20" s="1"/>
  <c r="D8847" i="20"/>
  <c r="F8847" i="20" s="1"/>
  <c r="D9786" i="20"/>
  <c r="F9786" i="20" s="1"/>
  <c r="H9800" i="20" s="1"/>
  <c r="K9774" i="20" s="1"/>
  <c r="D9838" i="20"/>
  <c r="F9838" i="20" s="1"/>
  <c r="H9852" i="20" s="1"/>
  <c r="D6683" i="20"/>
  <c r="F6683" i="20" s="1"/>
  <c r="H6697" i="20" s="1"/>
  <c r="D8198" i="20"/>
  <c r="F8198" i="20" s="1"/>
  <c r="H8212" i="20" s="1"/>
  <c r="D7835" i="20"/>
  <c r="F7835" i="20" s="1"/>
  <c r="D7783" i="20"/>
  <c r="F7783" i="20" s="1"/>
  <c r="D7887" i="20"/>
  <c r="F7887" i="20" s="1"/>
  <c r="D7836" i="20"/>
  <c r="F7836" i="20" s="1"/>
  <c r="D7784" i="20"/>
  <c r="F7784" i="20" s="1"/>
  <c r="D7888" i="20"/>
  <c r="F7888" i="20" s="1"/>
  <c r="D6840" i="20"/>
  <c r="F6840" i="20" s="1"/>
  <c r="H6854" i="20" s="1"/>
  <c r="D8044" i="20"/>
  <c r="F8044" i="20" s="1"/>
  <c r="D7992" i="20"/>
  <c r="F7992" i="20" s="1"/>
  <c r="D8096" i="20"/>
  <c r="F8096" i="20" s="1"/>
  <c r="D7990" i="20"/>
  <c r="F7990" i="20" s="1"/>
  <c r="D7938" i="20"/>
  <c r="F7938" i="20" s="1"/>
  <c r="D8095" i="20"/>
  <c r="F8095" i="20" s="1"/>
  <c r="D7939" i="20"/>
  <c r="F7939" i="20" s="1"/>
  <c r="D7991" i="20"/>
  <c r="F7991" i="20" s="1"/>
  <c r="D8043" i="20"/>
  <c r="F8043" i="20" s="1"/>
  <c r="H8056" i="20" s="1"/>
  <c r="D7624" i="20"/>
  <c r="F7624" i="20" s="1"/>
  <c r="D7729" i="20"/>
  <c r="F7729" i="20" s="1"/>
  <c r="D7517" i="20"/>
  <c r="F7517" i="20" s="1"/>
  <c r="D7730" i="20"/>
  <c r="F7730" i="20" s="1"/>
  <c r="D7518" i="20"/>
  <c r="F7518" i="20" s="1"/>
  <c r="D7731" i="20"/>
  <c r="F7731" i="20" s="1"/>
  <c r="D4214" i="20"/>
  <c r="F4214" i="20" s="1"/>
  <c r="D4163" i="20"/>
  <c r="F4163" i="20" s="1"/>
  <c r="D4117" i="20"/>
  <c r="F4117" i="20" s="1"/>
  <c r="D4219" i="20"/>
  <c r="F4219" i="20" s="1"/>
  <c r="D4168" i="20"/>
  <c r="F4168" i="20" s="1"/>
  <c r="D4218" i="20"/>
  <c r="F4218" i="20" s="1"/>
  <c r="D4167" i="20"/>
  <c r="F4167" i="20" s="1"/>
  <c r="D4113" i="20"/>
  <c r="F4113" i="20" s="1"/>
  <c r="D4215" i="20"/>
  <c r="F4215" i="20" s="1"/>
  <c r="D4164" i="20"/>
  <c r="F4164" i="20" s="1"/>
  <c r="K5736" i="20"/>
  <c r="B264" i="4"/>
  <c r="B265" i="4" s="1"/>
  <c r="B266" i="4" s="1"/>
  <c r="B268" i="4" s="1"/>
  <c r="B269" i="4" s="1"/>
  <c r="B259" i="4"/>
  <c r="D3449" i="20"/>
  <c r="F3449" i="20" s="1"/>
  <c r="D4112" i="20"/>
  <c r="F4112" i="20" s="1"/>
  <c r="D3453" i="20"/>
  <c r="F3453" i="20" s="1"/>
  <c r="D4116" i="20"/>
  <c r="F4116" i="20" s="1"/>
  <c r="D2281" i="20"/>
  <c r="F2281" i="20" s="1"/>
  <c r="D3963" i="20"/>
  <c r="F3963" i="20" s="1"/>
  <c r="D4065" i="20"/>
  <c r="F4065" i="20" s="1"/>
  <c r="D4014" i="20"/>
  <c r="F4014" i="20" s="1"/>
  <c r="D3908" i="20"/>
  <c r="F3908" i="20" s="1"/>
  <c r="D4061" i="20"/>
  <c r="F4061" i="20" s="1"/>
  <c r="D4010" i="20"/>
  <c r="F4010" i="20" s="1"/>
  <c r="D3959" i="20"/>
  <c r="F3959" i="20" s="1"/>
  <c r="D3909" i="20"/>
  <c r="F3909" i="20" s="1"/>
  <c r="D3960" i="20"/>
  <c r="F3960" i="20" s="1"/>
  <c r="D4062" i="20"/>
  <c r="F4062" i="20" s="1"/>
  <c r="D4011" i="20"/>
  <c r="F4011" i="20" s="1"/>
  <c r="B252" i="4"/>
  <c r="B250" i="4"/>
  <c r="B253" i="4" s="1"/>
  <c r="K9670" i="20"/>
  <c r="K9722" i="20"/>
  <c r="B256" i="4"/>
  <c r="B257" i="4"/>
  <c r="D7676" i="20"/>
  <c r="F7676" i="20" s="1"/>
  <c r="D7516" i="20"/>
  <c r="F7516" i="20" s="1"/>
  <c r="D5645" i="20"/>
  <c r="F5645" i="20" s="1"/>
  <c r="H5659" i="20" s="1"/>
  <c r="D5696" i="20"/>
  <c r="F5696" i="20" s="1"/>
  <c r="H5710" i="20" s="1"/>
  <c r="D3857" i="20"/>
  <c r="F3857" i="20" s="1"/>
  <c r="D3806" i="20"/>
  <c r="F3806" i="20" s="1"/>
  <c r="D3807" i="20"/>
  <c r="F3807" i="20" s="1"/>
  <c r="D3858" i="20"/>
  <c r="F3858" i="20" s="1"/>
  <c r="D3861" i="20"/>
  <c r="F3861" i="20" s="1"/>
  <c r="D3810" i="20"/>
  <c r="F3810" i="20" s="1"/>
  <c r="D8783" i="20"/>
  <c r="F8783" i="20" s="1"/>
  <c r="D9049" i="20"/>
  <c r="F9049" i="20" s="1"/>
  <c r="H9065" i="20" s="1"/>
  <c r="D8738" i="20"/>
  <c r="F8738" i="20" s="1"/>
  <c r="D8793" i="20"/>
  <c r="F8793" i="20" s="1"/>
  <c r="D8729" i="20"/>
  <c r="F8729" i="20" s="1"/>
  <c r="D8784" i="20"/>
  <c r="F8784" i="20" s="1"/>
  <c r="D8685" i="20"/>
  <c r="F8685" i="20" s="1"/>
  <c r="D8740" i="20"/>
  <c r="F8740" i="20" s="1"/>
  <c r="D8686" i="20"/>
  <c r="F8686" i="20" s="1"/>
  <c r="D8741" i="20"/>
  <c r="F8741" i="20" s="1"/>
  <c r="D8682" i="20"/>
  <c r="F8682" i="20" s="1"/>
  <c r="D8737" i="20"/>
  <c r="F8737" i="20" s="1"/>
  <c r="D8680" i="20"/>
  <c r="F8680" i="20" s="1"/>
  <c r="D8735" i="20"/>
  <c r="F8735" i="20" s="1"/>
  <c r="D8675" i="20"/>
  <c r="F8675" i="20" s="1"/>
  <c r="D8730" i="20"/>
  <c r="F8730" i="20" s="1"/>
  <c r="D8673" i="20"/>
  <c r="F8673" i="20" s="1"/>
  <c r="D8728" i="20"/>
  <c r="F8728" i="20" s="1"/>
  <c r="D8684" i="20"/>
  <c r="F8684" i="20" s="1"/>
  <c r="D8739" i="20"/>
  <c r="F8739" i="20" s="1"/>
  <c r="D8679" i="20"/>
  <c r="F8679" i="20" s="1"/>
  <c r="D8734" i="20"/>
  <c r="F8734" i="20" s="1"/>
  <c r="D8671" i="20"/>
  <c r="F8671" i="20" s="1"/>
  <c r="D8726" i="20"/>
  <c r="F8726" i="20" s="1"/>
  <c r="D3555" i="20"/>
  <c r="F3555" i="20" s="1"/>
  <c r="D3759" i="20"/>
  <c r="F3759" i="20" s="1"/>
  <c r="D3551" i="20"/>
  <c r="F3551" i="20" s="1"/>
  <c r="D3755" i="20"/>
  <c r="F3755" i="20" s="1"/>
  <c r="D3552" i="20"/>
  <c r="F3552" i="20" s="1"/>
  <c r="D3756" i="20"/>
  <c r="F3756" i="20" s="1"/>
  <c r="D3554" i="20"/>
  <c r="F3554" i="20" s="1"/>
  <c r="D7571" i="20"/>
  <c r="F7571" i="20" s="1"/>
  <c r="H7585" i="20" s="1"/>
  <c r="D7464" i="20"/>
  <c r="F7464" i="20" s="1"/>
  <c r="H7478" i="20" s="1"/>
  <c r="D8674" i="20"/>
  <c r="F8674" i="20" s="1"/>
  <c r="D7256" i="20"/>
  <c r="F7256" i="20" s="1"/>
  <c r="H7270" i="20" s="1"/>
  <c r="D7152" i="20"/>
  <c r="F7152" i="20" s="1"/>
  <c r="H7166" i="20" s="1"/>
  <c r="D7204" i="20"/>
  <c r="F7204" i="20" s="1"/>
  <c r="H7218" i="20" s="1"/>
  <c r="D6892" i="20"/>
  <c r="F6892" i="20" s="1"/>
  <c r="D6944" i="20"/>
  <c r="F6944" i="20" s="1"/>
  <c r="H6958" i="20" s="1"/>
  <c r="D6893" i="20"/>
  <c r="F6893" i="20" s="1"/>
  <c r="D7625" i="20"/>
  <c r="F7625" i="20" s="1"/>
  <c r="D7677" i="20"/>
  <c r="F7677" i="20" s="1"/>
  <c r="D6894" i="20"/>
  <c r="F6894" i="20" s="1"/>
  <c r="D7678" i="20"/>
  <c r="F7678" i="20" s="1"/>
  <c r="D7626" i="20"/>
  <c r="F7626" i="20" s="1"/>
  <c r="D5594" i="20"/>
  <c r="F5594" i="20" s="1"/>
  <c r="H5608" i="20" s="1"/>
  <c r="D5542" i="20"/>
  <c r="F5542" i="20" s="1"/>
  <c r="H5556" i="20" s="1"/>
  <c r="D3450" i="20"/>
  <c r="F3450" i="20" s="1"/>
  <c r="D3501" i="20"/>
  <c r="F3501" i="20" s="1"/>
  <c r="D3351" i="20"/>
  <c r="F3351" i="20" s="1"/>
  <c r="D3504" i="20"/>
  <c r="F3504" i="20" s="1"/>
  <c r="D8568" i="20"/>
  <c r="F8568" i="20" s="1"/>
  <c r="D8678" i="20"/>
  <c r="F8678" i="20" s="1"/>
  <c r="D3452" i="20"/>
  <c r="F3452" i="20" s="1"/>
  <c r="D3503" i="20"/>
  <c r="F3503" i="20" s="1"/>
  <c r="D3347" i="20"/>
  <c r="F3347" i="20" s="1"/>
  <c r="D3500" i="20"/>
  <c r="F3500" i="20" s="1"/>
  <c r="D8573" i="20"/>
  <c r="F8573" i="20" s="1"/>
  <c r="D8683" i="20"/>
  <c r="F8683" i="20" s="1"/>
  <c r="D3403" i="20"/>
  <c r="F3403" i="20" s="1"/>
  <c r="D3454" i="20"/>
  <c r="F3454" i="20" s="1"/>
  <c r="K5429" i="20"/>
  <c r="D3297" i="20"/>
  <c r="F3297" i="20" s="1"/>
  <c r="D3399" i="20"/>
  <c r="F3399" i="20" s="1"/>
  <c r="D3348" i="20"/>
  <c r="F3348" i="20" s="1"/>
  <c r="D3300" i="20"/>
  <c r="F3300" i="20" s="1"/>
  <c r="D3402" i="20"/>
  <c r="F3402" i="20" s="1"/>
  <c r="D3299" i="20"/>
  <c r="F3299" i="20" s="1"/>
  <c r="D3350" i="20"/>
  <c r="F3350" i="20" s="1"/>
  <c r="D3401" i="20"/>
  <c r="F3401" i="20" s="1"/>
  <c r="K6828" i="20"/>
  <c r="D3296" i="20"/>
  <c r="F3296" i="20" s="1"/>
  <c r="D3398" i="20"/>
  <c r="F3398" i="20" s="1"/>
  <c r="E3289" i="20"/>
  <c r="G3289" i="20" s="1"/>
  <c r="E3238" i="20"/>
  <c r="G3238" i="20" s="1"/>
  <c r="E2677" i="20"/>
  <c r="G2677" i="20" s="1"/>
  <c r="E3187" i="20"/>
  <c r="G3187" i="20" s="1"/>
  <c r="E3085" i="20"/>
  <c r="G3085" i="20" s="1"/>
  <c r="E2626" i="20"/>
  <c r="G2626" i="20" s="1"/>
  <c r="E2932" i="20"/>
  <c r="G2932" i="20" s="1"/>
  <c r="E2830" i="20"/>
  <c r="G2830" i="20" s="1"/>
  <c r="E3136" i="20"/>
  <c r="G3136" i="20" s="1"/>
  <c r="E3034" i="20"/>
  <c r="G3034" i="20" s="1"/>
  <c r="E2983" i="20"/>
  <c r="G2983" i="20" s="1"/>
  <c r="E2779" i="20"/>
  <c r="G2779" i="20" s="1"/>
  <c r="E2728" i="20"/>
  <c r="G2728" i="20" s="1"/>
  <c r="E2881" i="20"/>
  <c r="G2881" i="20" s="1"/>
  <c r="E5179" i="20"/>
  <c r="G5179" i="20" s="1"/>
  <c r="E2575" i="20"/>
  <c r="G2575" i="20" s="1"/>
  <c r="E2524" i="20"/>
  <c r="G2524" i="20" s="1"/>
  <c r="E8609" i="20"/>
  <c r="G8609" i="20" s="1"/>
  <c r="E6625" i="20"/>
  <c r="G6625" i="20" s="1"/>
  <c r="E6573" i="20"/>
  <c r="G6573" i="20" s="1"/>
  <c r="E8452" i="20"/>
  <c r="G8452" i="20" s="1"/>
  <c r="E8405" i="20"/>
  <c r="G8405" i="20" s="1"/>
  <c r="E1911" i="20"/>
  <c r="G1911" i="20" s="1"/>
  <c r="E9205" i="20"/>
  <c r="G9205" i="20" s="1"/>
  <c r="E1962" i="20"/>
  <c r="G1962" i="20" s="1"/>
  <c r="E4720" i="20"/>
  <c r="G4720" i="20" s="1"/>
  <c r="E2013" i="20"/>
  <c r="G2013" i="20" s="1"/>
  <c r="E2115" i="20"/>
  <c r="G2115" i="20" s="1"/>
  <c r="E2064" i="20"/>
  <c r="G2064" i="20" s="1"/>
  <c r="E1809" i="20"/>
  <c r="G1809" i="20" s="1"/>
  <c r="E1860" i="20"/>
  <c r="G1860" i="20" s="1"/>
  <c r="E4669" i="20"/>
  <c r="G4669" i="20" s="1"/>
  <c r="E1247" i="20"/>
  <c r="G1247" i="20" s="1"/>
  <c r="E1758" i="20"/>
  <c r="G1758" i="20" s="1"/>
  <c r="E1553" i="20"/>
  <c r="G1553" i="20" s="1"/>
  <c r="E1298" i="20"/>
  <c r="G1298" i="20" s="1"/>
  <c r="E1604" i="20"/>
  <c r="G1604" i="20" s="1"/>
  <c r="E1349" i="20"/>
  <c r="G1349" i="20" s="1"/>
  <c r="E1502" i="20"/>
  <c r="G1502" i="20" s="1"/>
  <c r="E1400" i="20"/>
  <c r="G1400" i="20" s="1"/>
  <c r="E1655" i="20"/>
  <c r="G1655" i="20" s="1"/>
  <c r="E1451" i="20"/>
  <c r="G1451" i="20" s="1"/>
  <c r="E1196" i="20"/>
  <c r="G1196" i="20" s="1"/>
  <c r="E1707" i="20"/>
  <c r="G1707" i="20" s="1"/>
  <c r="E1145" i="20"/>
  <c r="G1145" i="20" s="1"/>
  <c r="E886" i="20"/>
  <c r="G886" i="20" s="1"/>
  <c r="E1094" i="20"/>
  <c r="G1094" i="20" s="1"/>
  <c r="E937" i="20"/>
  <c r="G937" i="20" s="1"/>
  <c r="E1039" i="20"/>
  <c r="G1039" i="20" s="1"/>
  <c r="E988" i="20"/>
  <c r="G988" i="20" s="1"/>
  <c r="E835" i="20"/>
  <c r="G835" i="20" s="1"/>
  <c r="E9100" i="20"/>
  <c r="G9100" i="20" s="1"/>
  <c r="E8932" i="20"/>
  <c r="G8932" i="20" s="1"/>
  <c r="E6158" i="20"/>
  <c r="G6158" i="20" s="1"/>
  <c r="E6106" i="20"/>
  <c r="G6106" i="20" s="1"/>
  <c r="E6054" i="20"/>
  <c r="G6054" i="20" s="1"/>
  <c r="E682" i="20"/>
  <c r="G682" i="20" s="1"/>
  <c r="E733" i="20"/>
  <c r="G733" i="20" s="1"/>
  <c r="E4618" i="20"/>
  <c r="G4618" i="20" s="1"/>
  <c r="E272" i="20"/>
  <c r="G272" i="20" s="1"/>
  <c r="E68" i="20"/>
  <c r="G68" i="20" s="1"/>
  <c r="E323" i="20"/>
  <c r="G323" i="20" s="1"/>
  <c r="E119" i="20"/>
  <c r="G119" i="20" s="1"/>
  <c r="E4413" i="20"/>
  <c r="G4413" i="20" s="1"/>
  <c r="E476" i="20"/>
  <c r="G476" i="20" s="1"/>
  <c r="E374" i="20"/>
  <c r="G374" i="20" s="1"/>
  <c r="E170" i="20"/>
  <c r="G170" i="20" s="1"/>
  <c r="E425" i="20"/>
  <c r="G425" i="20" s="1"/>
  <c r="E4362" i="20"/>
  <c r="G4362" i="20" s="1"/>
  <c r="E221" i="20"/>
  <c r="G221" i="20" s="1"/>
  <c r="E16" i="20"/>
  <c r="G16" i="20" s="1"/>
  <c r="E17" i="20"/>
  <c r="G17" i="20" s="1"/>
  <c r="E3290" i="20"/>
  <c r="G3290" i="20" s="1"/>
  <c r="E3137" i="20"/>
  <c r="G3137" i="20" s="1"/>
  <c r="E3035" i="20"/>
  <c r="G3035" i="20" s="1"/>
  <c r="E2984" i="20"/>
  <c r="G2984" i="20" s="1"/>
  <c r="E2780" i="20"/>
  <c r="G2780" i="20" s="1"/>
  <c r="E2933" i="20"/>
  <c r="G2933" i="20" s="1"/>
  <c r="E2729" i="20"/>
  <c r="G2729" i="20" s="1"/>
  <c r="E3239" i="20"/>
  <c r="G3239" i="20" s="1"/>
  <c r="E2882" i="20"/>
  <c r="G2882" i="20" s="1"/>
  <c r="E3188" i="20"/>
  <c r="G3188" i="20" s="1"/>
  <c r="E3086" i="20"/>
  <c r="G3086" i="20" s="1"/>
  <c r="E2627" i="20"/>
  <c r="G2627" i="20" s="1"/>
  <c r="E2831" i="20"/>
  <c r="G2831" i="20" s="1"/>
  <c r="E2678" i="20"/>
  <c r="G2678" i="20" s="1"/>
  <c r="E2576" i="20"/>
  <c r="G2576" i="20" s="1"/>
  <c r="E2525" i="20"/>
  <c r="G2525" i="20" s="1"/>
  <c r="E2473" i="20"/>
  <c r="G2473" i="20" s="1"/>
  <c r="E2269" i="20"/>
  <c r="G2269" i="20" s="1"/>
  <c r="E2422" i="20"/>
  <c r="G2422" i="20" s="1"/>
  <c r="E2371" i="20"/>
  <c r="G2371" i="20" s="1"/>
  <c r="E2320" i="20"/>
  <c r="G2320" i="20" s="1"/>
  <c r="E2116" i="20"/>
  <c r="G2116" i="20" s="1"/>
  <c r="E2065" i="20"/>
  <c r="G2065" i="20" s="1"/>
  <c r="E1810" i="20"/>
  <c r="G1810" i="20" s="1"/>
  <c r="E2166" i="20"/>
  <c r="G2166" i="20" s="1"/>
  <c r="E1861" i="20"/>
  <c r="G1861" i="20" s="1"/>
  <c r="E1912" i="20"/>
  <c r="G1912" i="20" s="1"/>
  <c r="E2218" i="20"/>
  <c r="G2218" i="20" s="1"/>
  <c r="E1963" i="20"/>
  <c r="G1963" i="20" s="1"/>
  <c r="E2014" i="20"/>
  <c r="G2014" i="20" s="1"/>
  <c r="E1605" i="20"/>
  <c r="G1605" i="20" s="1"/>
  <c r="E1350" i="20"/>
  <c r="G1350" i="20" s="1"/>
  <c r="E1401" i="20"/>
  <c r="G1401" i="20" s="1"/>
  <c r="E1299" i="20"/>
  <c r="G1299" i="20" s="1"/>
  <c r="E1656" i="20"/>
  <c r="G1656" i="20" s="1"/>
  <c r="E1452" i="20"/>
  <c r="G1452" i="20" s="1"/>
  <c r="E1197" i="20"/>
  <c r="G1197" i="20" s="1"/>
  <c r="E1708" i="20"/>
  <c r="G1708" i="20" s="1"/>
  <c r="E1503" i="20"/>
  <c r="G1503" i="20" s="1"/>
  <c r="E1248" i="20"/>
  <c r="G1248" i="20" s="1"/>
  <c r="E1759" i="20"/>
  <c r="G1759" i="20" s="1"/>
  <c r="E1554" i="20"/>
  <c r="G1554" i="20" s="1"/>
  <c r="E938" i="20"/>
  <c r="G938" i="20" s="1"/>
  <c r="E989" i="20"/>
  <c r="G989" i="20" s="1"/>
  <c r="E836" i="20"/>
  <c r="G836" i="20" s="1"/>
  <c r="E1040" i="20"/>
  <c r="G1040" i="20" s="1"/>
  <c r="E1095" i="20"/>
  <c r="G1095" i="20" s="1"/>
  <c r="E1146" i="20"/>
  <c r="G1146" i="20" s="1"/>
  <c r="E887" i="20"/>
  <c r="G887" i="20" s="1"/>
  <c r="E783" i="20"/>
  <c r="G783" i="20" s="1"/>
  <c r="E681" i="20"/>
  <c r="G681" i="20" s="1"/>
  <c r="E732" i="20"/>
  <c r="G732" i="20" s="1"/>
  <c r="E579" i="20"/>
  <c r="G579" i="20" s="1"/>
  <c r="E630" i="20"/>
  <c r="G630" i="20" s="1"/>
  <c r="E528" i="20"/>
  <c r="G528" i="20" s="1"/>
  <c r="E324" i="20"/>
  <c r="G324" i="20" s="1"/>
  <c r="E120" i="20"/>
  <c r="G120" i="20" s="1"/>
  <c r="E477" i="20"/>
  <c r="G477" i="20" s="1"/>
  <c r="E375" i="20"/>
  <c r="G375" i="20" s="1"/>
  <c r="E171" i="20"/>
  <c r="G171" i="20" s="1"/>
  <c r="E426" i="20"/>
  <c r="G426" i="20" s="1"/>
  <c r="E222" i="20"/>
  <c r="G222" i="20" s="1"/>
  <c r="E69" i="20"/>
  <c r="G69" i="20" s="1"/>
  <c r="E273" i="20"/>
  <c r="G273" i="20" s="1"/>
  <c r="E2474" i="20"/>
  <c r="G2474" i="20" s="1"/>
  <c r="E2423" i="20"/>
  <c r="G2423" i="20" s="1"/>
  <c r="E2372" i="20"/>
  <c r="G2372" i="20" s="1"/>
  <c r="E2321" i="20"/>
  <c r="G2321" i="20" s="1"/>
  <c r="E2270" i="20"/>
  <c r="G2270" i="20" s="1"/>
  <c r="E9522" i="20"/>
  <c r="G9522" i="20" s="1"/>
  <c r="E9470" i="20"/>
  <c r="G9470" i="20" s="1"/>
  <c r="E9418" i="20"/>
  <c r="G9418" i="20" s="1"/>
  <c r="E2219" i="20"/>
  <c r="G2219" i="20" s="1"/>
  <c r="E784" i="20"/>
  <c r="G784" i="20" s="1"/>
  <c r="E631" i="20"/>
  <c r="G631" i="20" s="1"/>
  <c r="E8406" i="20"/>
  <c r="G8406" i="20" s="1"/>
  <c r="E8453" i="20"/>
  <c r="G8453" i="20" s="1"/>
  <c r="E9204" i="20"/>
  <c r="G9204" i="20" s="1"/>
  <c r="E9152" i="20"/>
  <c r="G9152" i="20" s="1"/>
  <c r="E3288" i="20"/>
  <c r="G3288" i="20" s="1"/>
  <c r="E2982" i="20"/>
  <c r="G2982" i="20" s="1"/>
  <c r="E2778" i="20"/>
  <c r="G2778" i="20" s="1"/>
  <c r="E2931" i="20"/>
  <c r="G2931" i="20" s="1"/>
  <c r="E3186" i="20"/>
  <c r="G3186" i="20" s="1"/>
  <c r="E2727" i="20"/>
  <c r="G2727" i="20" s="1"/>
  <c r="E3237" i="20"/>
  <c r="G3237" i="20" s="1"/>
  <c r="E2880" i="20"/>
  <c r="G2880" i="20" s="1"/>
  <c r="E2676" i="20"/>
  <c r="G2676" i="20" s="1"/>
  <c r="E2625" i="20"/>
  <c r="G2625" i="20" s="1"/>
  <c r="E3084" i="20"/>
  <c r="G3084" i="20" s="1"/>
  <c r="E2829" i="20"/>
  <c r="G2829" i="20" s="1"/>
  <c r="E3135" i="20"/>
  <c r="G3135" i="20" s="1"/>
  <c r="E3033" i="20"/>
  <c r="G3033" i="20" s="1"/>
  <c r="E5229" i="20"/>
  <c r="G5229" i="20" s="1"/>
  <c r="H5232" i="20" s="1"/>
  <c r="E5280" i="20"/>
  <c r="G5280" i="20" s="1"/>
  <c r="H5283" i="20" s="1"/>
  <c r="M5275" i="20" s="1"/>
  <c r="E5178" i="20"/>
  <c r="G5178" i="20" s="1"/>
  <c r="E5331" i="20"/>
  <c r="G5331" i="20" s="1"/>
  <c r="H5334" i="20" s="1"/>
  <c r="E5076" i="20"/>
  <c r="G5076" i="20" s="1"/>
  <c r="H5079" i="20" s="1"/>
  <c r="M5071" i="20" s="1"/>
  <c r="E5025" i="20"/>
  <c r="G5025" i="20" s="1"/>
  <c r="H5028" i="20" s="1"/>
  <c r="E6728" i="20"/>
  <c r="G6728" i="20" s="1"/>
  <c r="H6732" i="20" s="1"/>
  <c r="M6723" i="20" s="1"/>
  <c r="E5127" i="20"/>
  <c r="G5127" i="20" s="1"/>
  <c r="H5130" i="20" s="1"/>
  <c r="M5122" i="20" s="1"/>
  <c r="E6781" i="20"/>
  <c r="G6781" i="20" s="1"/>
  <c r="H6785" i="20" s="1"/>
  <c r="M6776" i="20" s="1"/>
  <c r="E2574" i="20"/>
  <c r="G2574" i="20" s="1"/>
  <c r="E2523" i="20"/>
  <c r="G2523" i="20" s="1"/>
  <c r="E2472" i="20"/>
  <c r="G2472" i="20" s="1"/>
  <c r="H2475" i="20" s="1"/>
  <c r="M2467" i="20" s="1"/>
  <c r="E4974" i="20"/>
  <c r="G4974" i="20" s="1"/>
  <c r="H4977" i="20" s="1"/>
  <c r="M4969" i="20" s="1"/>
  <c r="E8553" i="20"/>
  <c r="G8553" i="20" s="1"/>
  <c r="H8557" i="20" s="1"/>
  <c r="M8548" i="20" s="1"/>
  <c r="E8608" i="20"/>
  <c r="G8608" i="20" s="1"/>
  <c r="E4872" i="20"/>
  <c r="G4872" i="20" s="1"/>
  <c r="H4875" i="20" s="1"/>
  <c r="E2421" i="20"/>
  <c r="G2421" i="20" s="1"/>
  <c r="E2370" i="20"/>
  <c r="G2370" i="20" s="1"/>
  <c r="E2319" i="20"/>
  <c r="G2319" i="20" s="1"/>
  <c r="E2268" i="20"/>
  <c r="G2268" i="20" s="1"/>
  <c r="E8498" i="20"/>
  <c r="G8498" i="20" s="1"/>
  <c r="H8502" i="20" s="1"/>
  <c r="M8493" i="20" s="1"/>
  <c r="E6676" i="20"/>
  <c r="G6676" i="20" s="1"/>
  <c r="H6680" i="20" s="1"/>
  <c r="M6671" i="20" s="1"/>
  <c r="E4923" i="20"/>
  <c r="G4923" i="20" s="1"/>
  <c r="H4926" i="20" s="1"/>
  <c r="M4918" i="20" s="1"/>
  <c r="E6624" i="20"/>
  <c r="G6624" i="20" s="1"/>
  <c r="E6572" i="20"/>
  <c r="G6572" i="20" s="1"/>
  <c r="E4821" i="20"/>
  <c r="G4821" i="20" s="1"/>
  <c r="H4824" i="20" s="1"/>
  <c r="E8451" i="20"/>
  <c r="G8451" i="20" s="1"/>
  <c r="E8404" i="20"/>
  <c r="G8404" i="20" s="1"/>
  <c r="E6520" i="20"/>
  <c r="G6520" i="20" s="1"/>
  <c r="H6524" i="20" s="1"/>
  <c r="M6515" i="20" s="1"/>
  <c r="E2217" i="20"/>
  <c r="G2217" i="20" s="1"/>
  <c r="E9258" i="20"/>
  <c r="G9258" i="20" s="1"/>
  <c r="E6468" i="20"/>
  <c r="G6468" i="20" s="1"/>
  <c r="H6472" i="20" s="1"/>
  <c r="E9362" i="20"/>
  <c r="G9362" i="20" s="1"/>
  <c r="E9310" i="20"/>
  <c r="G9310" i="20" s="1"/>
  <c r="E6416" i="20"/>
  <c r="G6416" i="20" s="1"/>
  <c r="H6420" i="20" s="1"/>
  <c r="E1859" i="20"/>
  <c r="G1859" i="20" s="1"/>
  <c r="E9519" i="20"/>
  <c r="G9519" i="20" s="1"/>
  <c r="E9467" i="20"/>
  <c r="G9467" i="20" s="1"/>
  <c r="E1910" i="20"/>
  <c r="G1910" i="20" s="1"/>
  <c r="E9415" i="20"/>
  <c r="G9415" i="20" s="1"/>
  <c r="E6364" i="20"/>
  <c r="G6364" i="20" s="1"/>
  <c r="H6368" i="20" s="1"/>
  <c r="E6313" i="20"/>
  <c r="G6313" i="20" s="1"/>
  <c r="H6317" i="20" s="1"/>
  <c r="E4770" i="20"/>
  <c r="G4770" i="20" s="1"/>
  <c r="H4773" i="20" s="1"/>
  <c r="E1961" i="20"/>
  <c r="G1961" i="20" s="1"/>
  <c r="E4719" i="20"/>
  <c r="G4719" i="20" s="1"/>
  <c r="H4722" i="20" s="1"/>
  <c r="E4668" i="20"/>
  <c r="G4668" i="20" s="1"/>
  <c r="E2012" i="20"/>
  <c r="G2012" i="20" s="1"/>
  <c r="E2114" i="20"/>
  <c r="G2114" i="20" s="1"/>
  <c r="E2063" i="20"/>
  <c r="G2063" i="20" s="1"/>
  <c r="E9203" i="20"/>
  <c r="G9203" i="20" s="1"/>
  <c r="E2165" i="20"/>
  <c r="G2165" i="20" s="1"/>
  <c r="E1808" i="20"/>
  <c r="G1808" i="20" s="1"/>
  <c r="E1654" i="20"/>
  <c r="G1654" i="20" s="1"/>
  <c r="E1450" i="20"/>
  <c r="G1450" i="20" s="1"/>
  <c r="E1195" i="20"/>
  <c r="G1195" i="20" s="1"/>
  <c r="E1399" i="20"/>
  <c r="G1399" i="20" s="1"/>
  <c r="E1706" i="20"/>
  <c r="G1706" i="20" s="1"/>
  <c r="E1501" i="20"/>
  <c r="G1501" i="20" s="1"/>
  <c r="H1504" i="20" s="1"/>
  <c r="M1496" i="20" s="1"/>
  <c r="E1246" i="20"/>
  <c r="G1246" i="20" s="1"/>
  <c r="E1757" i="20"/>
  <c r="G1757" i="20" s="1"/>
  <c r="E1552" i="20"/>
  <c r="G1552" i="20" s="1"/>
  <c r="E1297" i="20"/>
  <c r="G1297" i="20" s="1"/>
  <c r="E1603" i="20"/>
  <c r="G1603" i="20" s="1"/>
  <c r="E1348" i="20"/>
  <c r="G1348" i="20" s="1"/>
  <c r="E987" i="20"/>
  <c r="G987" i="20" s="1"/>
  <c r="E834" i="20"/>
  <c r="G834" i="20" s="1"/>
  <c r="E1038" i="20"/>
  <c r="G1038" i="20" s="1"/>
  <c r="E1093" i="20"/>
  <c r="G1093" i="20" s="1"/>
  <c r="E1144" i="20"/>
  <c r="G1144" i="20" s="1"/>
  <c r="E885" i="20"/>
  <c r="G885" i="20" s="1"/>
  <c r="E936" i="20"/>
  <c r="G936" i="20" s="1"/>
  <c r="E9099" i="20"/>
  <c r="G9099" i="20" s="1"/>
  <c r="E8986" i="20"/>
  <c r="G8986" i="20" s="1"/>
  <c r="E9151" i="20"/>
  <c r="G9151" i="20" s="1"/>
  <c r="H9155" i="20" s="1"/>
  <c r="M9146" i="20" s="1"/>
  <c r="E8931" i="20"/>
  <c r="G8931" i="20" s="1"/>
  <c r="E8349" i="20"/>
  <c r="G8349" i="20" s="1"/>
  <c r="H8353" i="20" s="1"/>
  <c r="M8344" i="20" s="1"/>
  <c r="E6261" i="20"/>
  <c r="G6261" i="20" s="1"/>
  <c r="H6265" i="20" s="1"/>
  <c r="E6209" i="20"/>
  <c r="G6209" i="20" s="1"/>
  <c r="H6213" i="20" s="1"/>
  <c r="M6204" i="20" s="1"/>
  <c r="E6157" i="20"/>
  <c r="G6157" i="20" s="1"/>
  <c r="E6105" i="20"/>
  <c r="G6105" i="20" s="1"/>
  <c r="E6053" i="20"/>
  <c r="G6053" i="20" s="1"/>
  <c r="E4565" i="20"/>
  <c r="G4565" i="20" s="1"/>
  <c r="H4568" i="20" s="1"/>
  <c r="E5949" i="20"/>
  <c r="G5949" i="20" s="1"/>
  <c r="E4617" i="20"/>
  <c r="G4617" i="20" s="1"/>
  <c r="E782" i="20"/>
  <c r="G782" i="20" s="1"/>
  <c r="H785" i="20" s="1"/>
  <c r="M777" i="20" s="1"/>
  <c r="E680" i="20"/>
  <c r="G680" i="20" s="1"/>
  <c r="E6001" i="20"/>
  <c r="G6001" i="20" s="1"/>
  <c r="E4514" i="20"/>
  <c r="G4514" i="20" s="1"/>
  <c r="H4517" i="20" s="1"/>
  <c r="E731" i="20"/>
  <c r="G731" i="20" s="1"/>
  <c r="E629" i="20"/>
  <c r="G629" i="20" s="1"/>
  <c r="E5897" i="20"/>
  <c r="G5897" i="20" s="1"/>
  <c r="E578" i="20"/>
  <c r="G578" i="20" s="1"/>
  <c r="E527" i="20"/>
  <c r="G527" i="20" s="1"/>
  <c r="E4412" i="20"/>
  <c r="G4412" i="20" s="1"/>
  <c r="E475" i="20"/>
  <c r="G475" i="20" s="1"/>
  <c r="E373" i="20"/>
  <c r="G373" i="20" s="1"/>
  <c r="E169" i="20"/>
  <c r="G169" i="20" s="1"/>
  <c r="E4361" i="20"/>
  <c r="G4361" i="20" s="1"/>
  <c r="E424" i="20"/>
  <c r="G424" i="20" s="1"/>
  <c r="E220" i="20"/>
  <c r="G220" i="20" s="1"/>
  <c r="E4463" i="20"/>
  <c r="G4463" i="20" s="1"/>
  <c r="H4466" i="20" s="1"/>
  <c r="M4458" i="20" s="1"/>
  <c r="E67" i="20"/>
  <c r="G67" i="20" s="1"/>
  <c r="E271" i="20"/>
  <c r="G271" i="20" s="1"/>
  <c r="E322" i="20"/>
  <c r="G322" i="20" s="1"/>
  <c r="E118" i="20"/>
  <c r="G118" i="20" s="1"/>
  <c r="E9259" i="20"/>
  <c r="G9259" i="20" s="1"/>
  <c r="E9363" i="20"/>
  <c r="G9363" i="20" s="1"/>
  <c r="E9311" i="20"/>
  <c r="G9311" i="20" s="1"/>
  <c r="E8987" i="20"/>
  <c r="G8987" i="20" s="1"/>
  <c r="E5898" i="20"/>
  <c r="G5898" i="20" s="1"/>
  <c r="E9416" i="20"/>
  <c r="G9416" i="20" s="1"/>
  <c r="E9520" i="20"/>
  <c r="G9520" i="20" s="1"/>
  <c r="E9468" i="20"/>
  <c r="G9468" i="20" s="1"/>
  <c r="E5952" i="20"/>
  <c r="G5952" i="20" s="1"/>
  <c r="E6004" i="20"/>
  <c r="G6004" i="20" s="1"/>
  <c r="E6002" i="20"/>
  <c r="G6002" i="20" s="1"/>
  <c r="E5950" i="20"/>
  <c r="G5950" i="20" s="1"/>
  <c r="D533" i="20"/>
  <c r="F533" i="20" s="1"/>
  <c r="D3294" i="20"/>
  <c r="F3294" i="20" s="1"/>
  <c r="D3245" i="20"/>
  <c r="F3245" i="20" s="1"/>
  <c r="D3143" i="20"/>
  <c r="F3143" i="20" s="1"/>
  <c r="D3092" i="20"/>
  <c r="F3092" i="20" s="1"/>
  <c r="D3041" i="20"/>
  <c r="F3041" i="20" s="1"/>
  <c r="D2990" i="20"/>
  <c r="F2990" i="20" s="1"/>
  <c r="D2939" i="20"/>
  <c r="F2939" i="20" s="1"/>
  <c r="D2888" i="20"/>
  <c r="F2888" i="20" s="1"/>
  <c r="D2684" i="20"/>
  <c r="F2684" i="20" s="1"/>
  <c r="D2633" i="20"/>
  <c r="F2633" i="20" s="1"/>
  <c r="D3194" i="20"/>
  <c r="F3194" i="20" s="1"/>
  <c r="D2837" i="20"/>
  <c r="F2837" i="20" s="1"/>
  <c r="D2735" i="20"/>
  <c r="F2735" i="20" s="1"/>
  <c r="D2786" i="20"/>
  <c r="F2786" i="20" s="1"/>
  <c r="D3246" i="20"/>
  <c r="F3246" i="20" s="1"/>
  <c r="D2787" i="20"/>
  <c r="F2787" i="20" s="1"/>
  <c r="D3144" i="20"/>
  <c r="F3144" i="20" s="1"/>
  <c r="D3093" i="20"/>
  <c r="F3093" i="20" s="1"/>
  <c r="D3042" i="20"/>
  <c r="F3042" i="20" s="1"/>
  <c r="D2736" i="20"/>
  <c r="F2736" i="20" s="1"/>
  <c r="D3195" i="20"/>
  <c r="F3195" i="20" s="1"/>
  <c r="D2991" i="20"/>
  <c r="F2991" i="20" s="1"/>
  <c r="D2940" i="20"/>
  <c r="F2940" i="20" s="1"/>
  <c r="D2889" i="20"/>
  <c r="F2889" i="20" s="1"/>
  <c r="D2685" i="20"/>
  <c r="F2685" i="20" s="1"/>
  <c r="D2634" i="20"/>
  <c r="F2634" i="20" s="1"/>
  <c r="D2838" i="20"/>
  <c r="F2838" i="20" s="1"/>
  <c r="D2586" i="20"/>
  <c r="F2586" i="20" s="1"/>
  <c r="D3147" i="20"/>
  <c r="F3147" i="20" s="1"/>
  <c r="D3096" i="20"/>
  <c r="F3096" i="20" s="1"/>
  <c r="D3045" i="20"/>
  <c r="F3045" i="20" s="1"/>
  <c r="D2739" i="20"/>
  <c r="F2739" i="20" s="1"/>
  <c r="D3198" i="20"/>
  <c r="F3198" i="20" s="1"/>
  <c r="D2994" i="20"/>
  <c r="F2994" i="20" s="1"/>
  <c r="D2943" i="20"/>
  <c r="F2943" i="20" s="1"/>
  <c r="D2892" i="20"/>
  <c r="F2892" i="20" s="1"/>
  <c r="D2688" i="20"/>
  <c r="F2688" i="20" s="1"/>
  <c r="D2637" i="20"/>
  <c r="F2637" i="20" s="1"/>
  <c r="D3249" i="20"/>
  <c r="F3249" i="20" s="1"/>
  <c r="D2841" i="20"/>
  <c r="F2841" i="20" s="1"/>
  <c r="D2790" i="20"/>
  <c r="F2790" i="20" s="1"/>
  <c r="D2585" i="20"/>
  <c r="F2585" i="20" s="1"/>
  <c r="D3197" i="20"/>
  <c r="F3197" i="20" s="1"/>
  <c r="D2993" i="20"/>
  <c r="F2993" i="20" s="1"/>
  <c r="D2942" i="20"/>
  <c r="F2942" i="20" s="1"/>
  <c r="D2891" i="20"/>
  <c r="F2891" i="20" s="1"/>
  <c r="D2840" i="20"/>
  <c r="F2840" i="20" s="1"/>
  <c r="D2687" i="20"/>
  <c r="F2687" i="20" s="1"/>
  <c r="D3248" i="20"/>
  <c r="F3248" i="20" s="1"/>
  <c r="D2789" i="20"/>
  <c r="F2789" i="20" s="1"/>
  <c r="D2636" i="20"/>
  <c r="F2636" i="20" s="1"/>
  <c r="D3146" i="20"/>
  <c r="F3146" i="20" s="1"/>
  <c r="D3095" i="20"/>
  <c r="F3095" i="20" s="1"/>
  <c r="D3044" i="20"/>
  <c r="F3044" i="20" s="1"/>
  <c r="D2738" i="20"/>
  <c r="F2738" i="20" s="1"/>
  <c r="D6216" i="20"/>
  <c r="F6216" i="20" s="1"/>
  <c r="H6230" i="20" s="1"/>
  <c r="K6204" i="20" s="1"/>
  <c r="D6735" i="20"/>
  <c r="F6735" i="20" s="1"/>
  <c r="H6749" i="20" s="1"/>
  <c r="D6060" i="20"/>
  <c r="F6060" i="20" s="1"/>
  <c r="H6074" i="20" s="1"/>
  <c r="K6048" i="20" s="1"/>
  <c r="D6788" i="20"/>
  <c r="F6788" i="20" s="1"/>
  <c r="H6802" i="20" s="1"/>
  <c r="D2532" i="20"/>
  <c r="F2532" i="20" s="1"/>
  <c r="D2583" i="20"/>
  <c r="F2583" i="20" s="1"/>
  <c r="D2531" i="20"/>
  <c r="F2531" i="20" s="1"/>
  <c r="D2582" i="20"/>
  <c r="F2582" i="20" s="1"/>
  <c r="D5082" i="20"/>
  <c r="F5082" i="20" s="1"/>
  <c r="H5096" i="20" s="1"/>
  <c r="K5071" i="20" s="1"/>
  <c r="D5133" i="20"/>
  <c r="F5133" i="20" s="1"/>
  <c r="H5147" i="20" s="1"/>
  <c r="H9279" i="20"/>
  <c r="K9253" i="20" s="1"/>
  <c r="D2535" i="20"/>
  <c r="F2535" i="20" s="1"/>
  <c r="D2482" i="20"/>
  <c r="F2482" i="20" s="1"/>
  <c r="D2481" i="20"/>
  <c r="F2481" i="20" s="1"/>
  <c r="D2534" i="20"/>
  <c r="F2534" i="20" s="1"/>
  <c r="D4929" i="20"/>
  <c r="F4929" i="20" s="1"/>
  <c r="H4943" i="20" s="1"/>
  <c r="K4918" i="20" s="1"/>
  <c r="D4980" i="20"/>
  <c r="F4980" i="20" s="1"/>
  <c r="H4994" i="20" s="1"/>
  <c r="K6671" i="20"/>
  <c r="D8368" i="20"/>
  <c r="F8368" i="20" s="1"/>
  <c r="D8572" i="20"/>
  <c r="F8572" i="20" s="1"/>
  <c r="D8517" i="20"/>
  <c r="F8517" i="20" s="1"/>
  <c r="D8564" i="20"/>
  <c r="F8564" i="20" s="1"/>
  <c r="D8509" i="20"/>
  <c r="F8509" i="20" s="1"/>
  <c r="D8359" i="20"/>
  <c r="F8359" i="20" s="1"/>
  <c r="D8563" i="20"/>
  <c r="F8563" i="20" s="1"/>
  <c r="D8508" i="20"/>
  <c r="F8508" i="20" s="1"/>
  <c r="D8365" i="20"/>
  <c r="F8365" i="20" s="1"/>
  <c r="D8569" i="20"/>
  <c r="F8569" i="20" s="1"/>
  <c r="D8514" i="20"/>
  <c r="F8514" i="20" s="1"/>
  <c r="D8372" i="20"/>
  <c r="F8372" i="20" s="1"/>
  <c r="D8576" i="20"/>
  <c r="F8576" i="20" s="1"/>
  <c r="D8521" i="20"/>
  <c r="F8521" i="20" s="1"/>
  <c r="D8357" i="20"/>
  <c r="F8357" i="20" s="1"/>
  <c r="D8561" i="20"/>
  <c r="F8561" i="20" s="1"/>
  <c r="D8506" i="20"/>
  <c r="F8506" i="20" s="1"/>
  <c r="D8570" i="20"/>
  <c r="F8570" i="20" s="1"/>
  <c r="D8515" i="20"/>
  <c r="F8515" i="20" s="1"/>
  <c r="D8371" i="20"/>
  <c r="F8371" i="20" s="1"/>
  <c r="D8575" i="20"/>
  <c r="F8575" i="20" s="1"/>
  <c r="D8520" i="20"/>
  <c r="F8520" i="20" s="1"/>
  <c r="D8361" i="20"/>
  <c r="F8361" i="20" s="1"/>
  <c r="D8565" i="20"/>
  <c r="F8565" i="20" s="1"/>
  <c r="D8510" i="20"/>
  <c r="F8510" i="20" s="1"/>
  <c r="H8632" i="20"/>
  <c r="D8370" i="20"/>
  <c r="F8370" i="20" s="1"/>
  <c r="D8574" i="20"/>
  <c r="F8574" i="20" s="1"/>
  <c r="D8519" i="20"/>
  <c r="F8519" i="20" s="1"/>
  <c r="D8364" i="20"/>
  <c r="F8364" i="20" s="1"/>
  <c r="D8513" i="20"/>
  <c r="F8513" i="20" s="1"/>
  <c r="D2432" i="20"/>
  <c r="F2432" i="20" s="1"/>
  <c r="D2381" i="20"/>
  <c r="F2381" i="20" s="1"/>
  <c r="D2330" i="20"/>
  <c r="F2330" i="20" s="1"/>
  <c r="D2279" i="20"/>
  <c r="F2279" i="20" s="1"/>
  <c r="D2430" i="20"/>
  <c r="F2430" i="20" s="1"/>
  <c r="D2379" i="20"/>
  <c r="F2379" i="20" s="1"/>
  <c r="D2328" i="20"/>
  <c r="F2328" i="20" s="1"/>
  <c r="D2277" i="20"/>
  <c r="F2277" i="20" s="1"/>
  <c r="D8366" i="20"/>
  <c r="F8366" i="20" s="1"/>
  <c r="D2434" i="20"/>
  <c r="F2434" i="20" s="1"/>
  <c r="D2383" i="20"/>
  <c r="F2383" i="20" s="1"/>
  <c r="D2332" i="20"/>
  <c r="F2332" i="20" s="1"/>
  <c r="D2429" i="20"/>
  <c r="F2429" i="20" s="1"/>
  <c r="D2378" i="20"/>
  <c r="F2378" i="20" s="1"/>
  <c r="D2327" i="20"/>
  <c r="F2327" i="20" s="1"/>
  <c r="D2276" i="20"/>
  <c r="F2276" i="20" s="1"/>
  <c r="D2433" i="20"/>
  <c r="F2433" i="20" s="1"/>
  <c r="D2382" i="20"/>
  <c r="F2382" i="20" s="1"/>
  <c r="D2331" i="20"/>
  <c r="F2331" i="20" s="1"/>
  <c r="D2280" i="20"/>
  <c r="F2280" i="20" s="1"/>
  <c r="H9224" i="20"/>
  <c r="D2071" i="20"/>
  <c r="F2071" i="20" s="1"/>
  <c r="D2122" i="20"/>
  <c r="F2122" i="20" s="1"/>
  <c r="D2075" i="20"/>
  <c r="F2075" i="20" s="1"/>
  <c r="D2175" i="20"/>
  <c r="F2175" i="20" s="1"/>
  <c r="D2126" i="20"/>
  <c r="F2126" i="20" s="1"/>
  <c r="D2227" i="20"/>
  <c r="F2227" i="20" s="1"/>
  <c r="D9369" i="20"/>
  <c r="F9369" i="20" s="1"/>
  <c r="H9383" i="20" s="1"/>
  <c r="K9357" i="20" s="1"/>
  <c r="D2173" i="20"/>
  <c r="F2173" i="20" s="1"/>
  <c r="D2072" i="20"/>
  <c r="F2072" i="20" s="1"/>
  <c r="D2123" i="20"/>
  <c r="F2123" i="20" s="1"/>
  <c r="D2229" i="20"/>
  <c r="F2229" i="20" s="1"/>
  <c r="D2178" i="20"/>
  <c r="F2178" i="20" s="1"/>
  <c r="D2076" i="20"/>
  <c r="F2076" i="20" s="1"/>
  <c r="D2127" i="20"/>
  <c r="F2127" i="20" s="1"/>
  <c r="D2074" i="20"/>
  <c r="F2074" i="20" s="1"/>
  <c r="D2226" i="20"/>
  <c r="F2226" i="20" s="1"/>
  <c r="D2174" i="20"/>
  <c r="F2174" i="20" s="1"/>
  <c r="D2125" i="20"/>
  <c r="F2125" i="20" s="1"/>
  <c r="D1820" i="20"/>
  <c r="F1820" i="20" s="1"/>
  <c r="D2024" i="20"/>
  <c r="F2024" i="20" s="1"/>
  <c r="D1973" i="20"/>
  <c r="F1973" i="20" s="1"/>
  <c r="D1922" i="20"/>
  <c r="F1922" i="20" s="1"/>
  <c r="D1871" i="20"/>
  <c r="F1871" i="20" s="1"/>
  <c r="D1821" i="20"/>
  <c r="F1821" i="20" s="1"/>
  <c r="D2025" i="20"/>
  <c r="F2025" i="20" s="1"/>
  <c r="D1819" i="20"/>
  <c r="F1819" i="20" s="1"/>
  <c r="D1921" i="20"/>
  <c r="F1921" i="20" s="1"/>
  <c r="D1870" i="20"/>
  <c r="F1870" i="20" s="1"/>
  <c r="D1972" i="20"/>
  <c r="F1972" i="20" s="1"/>
  <c r="D2023" i="20"/>
  <c r="F2023" i="20" s="1"/>
  <c r="D1817" i="20"/>
  <c r="F1817" i="20" s="1"/>
  <c r="D2021" i="20"/>
  <c r="F2021" i="20" s="1"/>
  <c r="D1970" i="20"/>
  <c r="F1970" i="20" s="1"/>
  <c r="D1919" i="20"/>
  <c r="F1919" i="20" s="1"/>
  <c r="D1868" i="20"/>
  <c r="F1868" i="20" s="1"/>
  <c r="D1816" i="20"/>
  <c r="F1816" i="20" s="1"/>
  <c r="D1969" i="20"/>
  <c r="F1969" i="20" s="1"/>
  <c r="D2020" i="20"/>
  <c r="F2020" i="20" s="1"/>
  <c r="D1918" i="20"/>
  <c r="F1918" i="20" s="1"/>
  <c r="D1867" i="20"/>
  <c r="F1867" i="20" s="1"/>
  <c r="K9305" i="20"/>
  <c r="D8360" i="20"/>
  <c r="F8360" i="20" s="1"/>
  <c r="D6527" i="20"/>
  <c r="F6527" i="20" s="1"/>
  <c r="H6541" i="20" s="1"/>
  <c r="D1000" i="20"/>
  <c r="F1000" i="20" s="1"/>
  <c r="D1051" i="20"/>
  <c r="F1051" i="20" s="1"/>
  <c r="D898" i="20"/>
  <c r="F898" i="20" s="1"/>
  <c r="D949" i="20"/>
  <c r="F949" i="20" s="1"/>
  <c r="D847" i="20"/>
  <c r="F847" i="20" s="1"/>
  <c r="D1770" i="20"/>
  <c r="F1770" i="20" s="1"/>
  <c r="D1259" i="20"/>
  <c r="F1259" i="20" s="1"/>
  <c r="D1719" i="20"/>
  <c r="F1719" i="20" s="1"/>
  <c r="D1667" i="20"/>
  <c r="F1667" i="20" s="1"/>
  <c r="D1616" i="20"/>
  <c r="F1616" i="20" s="1"/>
  <c r="D1565" i="20"/>
  <c r="F1565" i="20" s="1"/>
  <c r="D1514" i="20"/>
  <c r="F1514" i="20" s="1"/>
  <c r="D1463" i="20"/>
  <c r="F1463" i="20" s="1"/>
  <c r="D1208" i="20"/>
  <c r="F1208" i="20" s="1"/>
  <c r="D1157" i="20"/>
  <c r="F1157" i="20" s="1"/>
  <c r="D1106" i="20"/>
  <c r="F1106" i="20" s="1"/>
  <c r="D1410" i="20"/>
  <c r="F1410" i="20" s="1"/>
  <c r="D1717" i="20"/>
  <c r="F1717" i="20" s="1"/>
  <c r="D1665" i="20"/>
  <c r="F1665" i="20" s="1"/>
  <c r="D1614" i="20"/>
  <c r="F1614" i="20" s="1"/>
  <c r="D1563" i="20"/>
  <c r="F1563" i="20" s="1"/>
  <c r="D1512" i="20"/>
  <c r="F1512" i="20" s="1"/>
  <c r="D1461" i="20"/>
  <c r="F1461" i="20" s="1"/>
  <c r="D1308" i="20"/>
  <c r="F1308" i="20" s="1"/>
  <c r="D1206" i="20"/>
  <c r="F1206" i="20" s="1"/>
  <c r="D1768" i="20"/>
  <c r="F1768" i="20" s="1"/>
  <c r="D1359" i="20"/>
  <c r="F1359" i="20" s="1"/>
  <c r="D1257" i="20"/>
  <c r="F1257" i="20" s="1"/>
  <c r="D1049" i="20"/>
  <c r="F1049" i="20" s="1"/>
  <c r="D896" i="20"/>
  <c r="F896" i="20" s="1"/>
  <c r="D947" i="20"/>
  <c r="F947" i="20" s="1"/>
  <c r="D845" i="20"/>
  <c r="F845" i="20" s="1"/>
  <c r="D1155" i="20"/>
  <c r="F1155" i="20" s="1"/>
  <c r="D998" i="20"/>
  <c r="F998" i="20" s="1"/>
  <c r="D1104" i="20"/>
  <c r="F1104" i="20" s="1"/>
  <c r="D1766" i="20"/>
  <c r="F1766" i="20" s="1"/>
  <c r="D1255" i="20"/>
  <c r="F1255" i="20" s="1"/>
  <c r="D1715" i="20"/>
  <c r="F1715" i="20" s="1"/>
  <c r="D1663" i="20"/>
  <c r="F1663" i="20" s="1"/>
  <c r="D1612" i="20"/>
  <c r="F1612" i="20" s="1"/>
  <c r="D1561" i="20"/>
  <c r="F1561" i="20" s="1"/>
  <c r="D1510" i="20"/>
  <c r="F1510" i="20" s="1"/>
  <c r="D1459" i="20"/>
  <c r="F1459" i="20" s="1"/>
  <c r="D1204" i="20"/>
  <c r="F1204" i="20" s="1"/>
  <c r="D1153" i="20"/>
  <c r="F1153" i="20" s="1"/>
  <c r="D996" i="20"/>
  <c r="F996" i="20" s="1"/>
  <c r="D1102" i="20"/>
  <c r="F1102" i="20" s="1"/>
  <c r="D1047" i="20"/>
  <c r="F1047" i="20" s="1"/>
  <c r="D894" i="20"/>
  <c r="F894" i="20" s="1"/>
  <c r="D945" i="20"/>
  <c r="F945" i="20" s="1"/>
  <c r="D843" i="20"/>
  <c r="F843" i="20" s="1"/>
  <c r="D535" i="20"/>
  <c r="F535" i="20" s="1"/>
  <c r="D1356" i="20"/>
  <c r="F1356" i="20" s="1"/>
  <c r="D1407" i="20"/>
  <c r="F1407" i="20" s="1"/>
  <c r="D1305" i="20"/>
  <c r="F1305" i="20" s="1"/>
  <c r="D1254" i="20"/>
  <c r="F1254" i="20" s="1"/>
  <c r="D1765" i="20"/>
  <c r="F1765" i="20" s="1"/>
  <c r="D1714" i="20"/>
  <c r="F1714" i="20" s="1"/>
  <c r="D1662" i="20"/>
  <c r="F1662" i="20" s="1"/>
  <c r="D1611" i="20"/>
  <c r="F1611" i="20" s="1"/>
  <c r="D1560" i="20"/>
  <c r="F1560" i="20" s="1"/>
  <c r="D1509" i="20"/>
  <c r="F1509" i="20" s="1"/>
  <c r="D1458" i="20"/>
  <c r="F1458" i="20" s="1"/>
  <c r="D1203" i="20"/>
  <c r="F1203" i="20" s="1"/>
  <c r="D1101" i="20"/>
  <c r="F1101" i="20" s="1"/>
  <c r="D1046" i="20"/>
  <c r="F1046" i="20" s="1"/>
  <c r="D893" i="20"/>
  <c r="F893" i="20" s="1"/>
  <c r="D944" i="20"/>
  <c r="F944" i="20" s="1"/>
  <c r="D842" i="20"/>
  <c r="F842" i="20" s="1"/>
  <c r="D1152" i="20"/>
  <c r="F1152" i="20" s="1"/>
  <c r="D995" i="20"/>
  <c r="F995" i="20" s="1"/>
  <c r="D1357" i="20"/>
  <c r="F1357" i="20" s="1"/>
  <c r="D1408" i="20"/>
  <c r="F1408" i="20" s="1"/>
  <c r="D1306" i="20"/>
  <c r="F1306" i="20" s="1"/>
  <c r="D1769" i="20"/>
  <c r="F1769" i="20" s="1"/>
  <c r="D1360" i="20"/>
  <c r="F1360" i="20" s="1"/>
  <c r="D1258" i="20"/>
  <c r="F1258" i="20" s="1"/>
  <c r="D1411" i="20"/>
  <c r="F1411" i="20" s="1"/>
  <c r="D1718" i="20"/>
  <c r="F1718" i="20" s="1"/>
  <c r="D1666" i="20"/>
  <c r="F1666" i="20" s="1"/>
  <c r="D1615" i="20"/>
  <c r="F1615" i="20" s="1"/>
  <c r="D1564" i="20"/>
  <c r="F1564" i="20" s="1"/>
  <c r="D1513" i="20"/>
  <c r="F1513" i="20" s="1"/>
  <c r="D1462" i="20"/>
  <c r="F1462" i="20" s="1"/>
  <c r="D1309" i="20"/>
  <c r="F1309" i="20" s="1"/>
  <c r="D1207" i="20"/>
  <c r="F1207" i="20" s="1"/>
  <c r="D1105" i="20"/>
  <c r="F1105" i="20" s="1"/>
  <c r="D1050" i="20"/>
  <c r="F1050" i="20" s="1"/>
  <c r="D897" i="20"/>
  <c r="F897" i="20" s="1"/>
  <c r="D948" i="20"/>
  <c r="F948" i="20" s="1"/>
  <c r="D846" i="20"/>
  <c r="F846" i="20" s="1"/>
  <c r="D1156" i="20"/>
  <c r="F1156" i="20" s="1"/>
  <c r="D999" i="20"/>
  <c r="F999" i="20" s="1"/>
  <c r="K6100" i="20"/>
  <c r="H8955" i="20"/>
  <c r="K6152" i="20"/>
  <c r="K9146" i="20"/>
  <c r="D5957" i="20"/>
  <c r="F5957" i="20" s="1"/>
  <c r="D6009" i="20"/>
  <c r="F6009" i="20" s="1"/>
  <c r="H6022" i="20" s="1"/>
  <c r="D5905" i="20"/>
  <c r="F5905" i="20" s="1"/>
  <c r="D5956" i="20"/>
  <c r="F5956" i="20" s="1"/>
  <c r="D5904" i="20"/>
  <c r="F5904" i="20" s="1"/>
  <c r="D791" i="20"/>
  <c r="F791" i="20" s="1"/>
  <c r="D740" i="20"/>
  <c r="F740" i="20" s="1"/>
  <c r="D689" i="20"/>
  <c r="F689" i="20" s="1"/>
  <c r="D794" i="20"/>
  <c r="F794" i="20" s="1"/>
  <c r="D743" i="20"/>
  <c r="F743" i="20" s="1"/>
  <c r="D692" i="20"/>
  <c r="F692" i="20" s="1"/>
  <c r="D690" i="20"/>
  <c r="F690" i="20" s="1"/>
  <c r="D792" i="20"/>
  <c r="F792" i="20" s="1"/>
  <c r="D741" i="20"/>
  <c r="F741" i="20" s="1"/>
  <c r="D642" i="20"/>
  <c r="F642" i="20" s="1"/>
  <c r="D591" i="20"/>
  <c r="F591" i="20" s="1"/>
  <c r="D638" i="20"/>
  <c r="F638" i="20" s="1"/>
  <c r="D587" i="20"/>
  <c r="F587" i="20" s="1"/>
  <c r="D584" i="20"/>
  <c r="F584" i="20" s="1"/>
  <c r="D635" i="20"/>
  <c r="F635" i="20" s="1"/>
  <c r="D540" i="20"/>
  <c r="F540" i="20" s="1"/>
  <c r="D590" i="20"/>
  <c r="F590" i="20" s="1"/>
  <c r="D641" i="20"/>
  <c r="F641" i="20" s="1"/>
  <c r="D588" i="20"/>
  <c r="F588" i="20" s="1"/>
  <c r="D639" i="20"/>
  <c r="F639" i="20" s="1"/>
  <c r="D538" i="20"/>
  <c r="F538" i="20" s="1"/>
  <c r="D536" i="20"/>
  <c r="F536" i="20" s="1"/>
  <c r="D537" i="20"/>
  <c r="F537" i="20" s="1"/>
  <c r="D539" i="20"/>
  <c r="F539" i="20" s="1"/>
  <c r="K4458" i="20"/>
  <c r="D80" i="20"/>
  <c r="F80" i="20" s="1"/>
  <c r="D28" i="20"/>
  <c r="F28" i="20" s="1"/>
  <c r="D381" i="20"/>
  <c r="F381" i="20" s="1"/>
  <c r="D330" i="20"/>
  <c r="F330" i="20" s="1"/>
  <c r="D279" i="20"/>
  <c r="F279" i="20" s="1"/>
  <c r="D228" i="20"/>
  <c r="F228" i="20" s="1"/>
  <c r="D177" i="20"/>
  <c r="F177" i="20" s="1"/>
  <c r="D4370" i="20"/>
  <c r="F4370" i="20" s="1"/>
  <c r="D484" i="20"/>
  <c r="F484" i="20" s="1"/>
  <c r="D433" i="20"/>
  <c r="F433" i="20" s="1"/>
  <c r="D4373" i="20"/>
  <c r="F4373" i="20" s="1"/>
  <c r="D487" i="20"/>
  <c r="F487" i="20" s="1"/>
  <c r="D436" i="20"/>
  <c r="F436" i="20" s="1"/>
  <c r="D79" i="20"/>
  <c r="F79" i="20" s="1"/>
  <c r="D385" i="20"/>
  <c r="F385" i="20" s="1"/>
  <c r="D334" i="20"/>
  <c r="F334" i="20" s="1"/>
  <c r="D283" i="20"/>
  <c r="F283" i="20" s="1"/>
  <c r="D232" i="20"/>
  <c r="F232" i="20" s="1"/>
  <c r="D181" i="20"/>
  <c r="F181" i="20" s="1"/>
  <c r="D130" i="20"/>
  <c r="F130" i="20" s="1"/>
  <c r="D27" i="20"/>
  <c r="F27" i="20" s="1"/>
  <c r="D175" i="20"/>
  <c r="F175" i="20" s="1"/>
  <c r="D226" i="20"/>
  <c r="F226" i="20" s="1"/>
  <c r="D4369" i="20"/>
  <c r="F4369" i="20" s="1"/>
  <c r="D483" i="20"/>
  <c r="F483" i="20" s="1"/>
  <c r="D432" i="20"/>
  <c r="F432" i="20" s="1"/>
  <c r="D284" i="20"/>
  <c r="F284" i="20" s="1"/>
  <c r="D386" i="20"/>
  <c r="F386" i="20" s="1"/>
  <c r="D335" i="20"/>
  <c r="F335" i="20" s="1"/>
  <c r="D4367" i="20"/>
  <c r="F4367" i="20" s="1"/>
  <c r="D481" i="20"/>
  <c r="F481" i="20" s="1"/>
  <c r="D233" i="20"/>
  <c r="F233" i="20" s="1"/>
  <c r="D182" i="20"/>
  <c r="F182" i="20" s="1"/>
  <c r="D131" i="20"/>
  <c r="F131" i="20" s="1"/>
  <c r="D435" i="20"/>
  <c r="F435" i="20" s="1"/>
  <c r="D384" i="20"/>
  <c r="F384" i="20" s="1"/>
  <c r="D333" i="20"/>
  <c r="F333" i="20" s="1"/>
  <c r="D282" i="20"/>
  <c r="F282" i="20" s="1"/>
  <c r="D231" i="20"/>
  <c r="F231" i="20" s="1"/>
  <c r="D180" i="20"/>
  <c r="F180" i="20" s="1"/>
  <c r="D129" i="20"/>
  <c r="F129" i="20" s="1"/>
  <c r="D4372" i="20"/>
  <c r="F4372" i="20" s="1"/>
  <c r="D78" i="20"/>
  <c r="F78" i="20" s="1"/>
  <c r="D486" i="20"/>
  <c r="F486" i="20" s="1"/>
  <c r="D26" i="20"/>
  <c r="F26" i="20" s="1"/>
  <c r="D75" i="20"/>
  <c r="F75" i="20" s="1"/>
  <c r="D23" i="20"/>
  <c r="F23" i="20" s="1"/>
  <c r="D280" i="20"/>
  <c r="F280" i="20" s="1"/>
  <c r="D229" i="20"/>
  <c r="F229" i="20" s="1"/>
  <c r="D127" i="20"/>
  <c r="F127" i="20" s="1"/>
  <c r="D76" i="20"/>
  <c r="F76" i="20" s="1"/>
  <c r="D382" i="20"/>
  <c r="F382" i="20" s="1"/>
  <c r="D331" i="20"/>
  <c r="F331" i="20" s="1"/>
  <c r="D178" i="20"/>
  <c r="F178" i="20" s="1"/>
  <c r="D24" i="20"/>
  <c r="F24" i="20" s="1"/>
  <c r="E44" i="20"/>
  <c r="E43" i="20"/>
  <c r="E42" i="20"/>
  <c r="E15" i="20"/>
  <c r="I16" i="5"/>
  <c r="N16" i="5"/>
  <c r="L16" i="5"/>
  <c r="H16" i="5"/>
  <c r="J16" i="5"/>
  <c r="K16" i="5"/>
  <c r="I12" i="5"/>
  <c r="J12" i="5"/>
  <c r="K12" i="5"/>
  <c r="L12" i="5"/>
  <c r="H12" i="5"/>
  <c r="K13" i="5"/>
  <c r="L13" i="5"/>
  <c r="H13" i="5"/>
  <c r="R13" i="5"/>
  <c r="I13" i="5"/>
  <c r="J13" i="5"/>
  <c r="L15" i="5"/>
  <c r="H15" i="5"/>
  <c r="J15" i="5"/>
  <c r="K15" i="5"/>
  <c r="I15" i="5"/>
  <c r="Q15" i="5"/>
  <c r="R17" i="5"/>
  <c r="Q11" i="5"/>
  <c r="R9" i="5"/>
  <c r="Q5" i="5"/>
  <c r="N6" i="5"/>
  <c r="N5" i="5"/>
  <c r="N7" i="5"/>
  <c r="Q8" i="5"/>
  <c r="N9" i="5"/>
  <c r="N11" i="5"/>
  <c r="Q12" i="5"/>
  <c r="N15" i="5"/>
  <c r="Q16" i="5"/>
  <c r="N17" i="5"/>
  <c r="N19" i="5"/>
  <c r="Q20" i="5"/>
  <c r="N21" i="5"/>
  <c r="N8" i="5"/>
  <c r="R8" i="5"/>
  <c r="Q9" i="5"/>
  <c r="Q13" i="5"/>
  <c r="Q17" i="5"/>
  <c r="Q21" i="5"/>
  <c r="Q10" i="5"/>
  <c r="Q14" i="5"/>
  <c r="Q18" i="5"/>
  <c r="R21" i="5"/>
  <c r="N10" i="5"/>
  <c r="R14" i="5"/>
  <c r="R18" i="5"/>
  <c r="H5300" i="20" l="1"/>
  <c r="K5275" i="20" s="1"/>
  <c r="H9627" i="20"/>
  <c r="H5863" i="20"/>
  <c r="K5838" i="20" s="1"/>
  <c r="H4277" i="20"/>
  <c r="H7461" i="20"/>
  <c r="M7452" i="20" s="1"/>
  <c r="H9679" i="20"/>
  <c r="M9670" i="20" s="1"/>
  <c r="H3495" i="20"/>
  <c r="M3487" i="20" s="1"/>
  <c r="H3801" i="20"/>
  <c r="M3793" i="20" s="1"/>
  <c r="H7149" i="20"/>
  <c r="M7140" i="20" s="1"/>
  <c r="H7513" i="20"/>
  <c r="M7504" i="20" s="1"/>
  <c r="H3954" i="20"/>
  <c r="M3946" i="20" s="1"/>
  <c r="H8195" i="20"/>
  <c r="M8186" i="20" s="1"/>
  <c r="H7831" i="20"/>
  <c r="M7822" i="20" s="1"/>
  <c r="H3444" i="20"/>
  <c r="M3436" i="20" s="1"/>
  <c r="H3648" i="20"/>
  <c r="M3640" i="20" s="1"/>
  <c r="H7045" i="20"/>
  <c r="M7036" i="20" s="1"/>
  <c r="H6993" i="20"/>
  <c r="M6984" i="20" s="1"/>
  <c r="H3903" i="20"/>
  <c r="M3895" i="20" s="1"/>
  <c r="H4209" i="20"/>
  <c r="M4201" i="20" s="1"/>
  <c r="H4158" i="20"/>
  <c r="M4150" i="20" s="1"/>
  <c r="H8143" i="20"/>
  <c r="H7201" i="20"/>
  <c r="M7192" i="20" s="1"/>
  <c r="H7253" i="20"/>
  <c r="M7244" i="20" s="1"/>
  <c r="H7097" i="20"/>
  <c r="M7088" i="20" s="1"/>
  <c r="H9783" i="20"/>
  <c r="M9774" i="20" s="1"/>
  <c r="H7779" i="20"/>
  <c r="M7770" i="20" s="1"/>
  <c r="H8887" i="20"/>
  <c r="H5386" i="20"/>
  <c r="M5378" i="20" s="1"/>
  <c r="H3393" i="20"/>
  <c r="M3385" i="20" s="1"/>
  <c r="H7305" i="20"/>
  <c r="M7296" i="20" s="1"/>
  <c r="H7357" i="20"/>
  <c r="M7348" i="20" s="1"/>
  <c r="H7568" i="20"/>
  <c r="M7559" i="20" s="1"/>
  <c r="H8091" i="20"/>
  <c r="M8082" i="20" s="1"/>
  <c r="H7935" i="20"/>
  <c r="M7926" i="20" s="1"/>
  <c r="H6889" i="20"/>
  <c r="M6880" i="20" s="1"/>
  <c r="H7409" i="20"/>
  <c r="M7400" i="20" s="1"/>
  <c r="H3597" i="20"/>
  <c r="M3589" i="20" s="1"/>
  <c r="H9731" i="20"/>
  <c r="H9835" i="20"/>
  <c r="M9826" i="20" s="1"/>
  <c r="H8039" i="20"/>
  <c r="M8030" i="20" s="1"/>
  <c r="H3546" i="20"/>
  <c r="M3538" i="20" s="1"/>
  <c r="H3750" i="20"/>
  <c r="M3742" i="20" s="1"/>
  <c r="H3852" i="20"/>
  <c r="M3844" i="20" s="1"/>
  <c r="H3699" i="20"/>
  <c r="M3691" i="20" s="1"/>
  <c r="M9618" i="20"/>
  <c r="H7883" i="20"/>
  <c r="M7874" i="20" s="1"/>
  <c r="H3342" i="20"/>
  <c r="M3334" i="20" s="1"/>
  <c r="H7621" i="20"/>
  <c r="M7612" i="20" s="1"/>
  <c r="H9575" i="20"/>
  <c r="M9566" i="20" s="1"/>
  <c r="H4056" i="20"/>
  <c r="M4048" i="20" s="1"/>
  <c r="H7726" i="20"/>
  <c r="M7717" i="20" s="1"/>
  <c r="H6941" i="20"/>
  <c r="M6932" i="20" s="1"/>
  <c r="H7673" i="20"/>
  <c r="M7664" i="20" s="1"/>
  <c r="H4005" i="20"/>
  <c r="M3997" i="20" s="1"/>
  <c r="H7987" i="20"/>
  <c r="M7978" i="20" s="1"/>
  <c r="H4107" i="20"/>
  <c r="M4099" i="20" s="1"/>
  <c r="H8852" i="20"/>
  <c r="K8186" i="20"/>
  <c r="B267" i="4"/>
  <c r="K9826" i="20"/>
  <c r="H7900" i="20"/>
  <c r="H7796" i="20"/>
  <c r="H8004" i="20"/>
  <c r="K8030" i="20"/>
  <c r="H8108" i="20"/>
  <c r="H7952" i="20"/>
  <c r="H7848" i="20"/>
  <c r="H7530" i="20"/>
  <c r="K7504" i="20" s="1"/>
  <c r="H7743" i="20"/>
  <c r="H4175" i="20"/>
  <c r="H4226" i="20"/>
  <c r="H3920" i="20"/>
  <c r="K3895" i="20" s="1"/>
  <c r="H4124" i="20"/>
  <c r="H3971" i="20"/>
  <c r="K3946" i="20" s="1"/>
  <c r="H4022" i="20"/>
  <c r="H4073" i="20"/>
  <c r="K5634" i="20"/>
  <c r="B260" i="4"/>
  <c r="B258" i="4"/>
  <c r="B261" i="4" s="1"/>
  <c r="B262" i="4" s="1"/>
  <c r="H6109" i="20"/>
  <c r="M6100" i="20" s="1"/>
  <c r="K5685" i="20"/>
  <c r="H3869" i="20"/>
  <c r="K3844" i="20" s="1"/>
  <c r="H3818" i="20"/>
  <c r="H8797" i="20"/>
  <c r="K8768" i="20" s="1"/>
  <c r="K9036" i="20"/>
  <c r="H8742" i="20"/>
  <c r="K8713" i="20" s="1"/>
  <c r="H3767" i="20"/>
  <c r="K3742" i="20" s="1"/>
  <c r="H3563" i="20"/>
  <c r="K7452" i="20"/>
  <c r="K7559" i="20"/>
  <c r="H6161" i="20"/>
  <c r="M6152" i="20" s="1"/>
  <c r="K7244" i="20"/>
  <c r="H4364" i="20"/>
  <c r="M4356" i="20" s="1"/>
  <c r="K7192" i="20"/>
  <c r="K7140" i="20"/>
  <c r="H7690" i="20"/>
  <c r="H7638" i="20"/>
  <c r="H6906" i="20"/>
  <c r="K6880" i="20" s="1"/>
  <c r="K6932" i="20"/>
  <c r="H1300" i="20"/>
  <c r="M1292" i="20" s="1"/>
  <c r="H9103" i="20"/>
  <c r="M9094" i="20" s="1"/>
  <c r="H2117" i="20"/>
  <c r="M2109" i="20" s="1"/>
  <c r="H1760" i="20"/>
  <c r="M1752" i="20" s="1"/>
  <c r="H8612" i="20"/>
  <c r="M8603" i="20" s="1"/>
  <c r="H1709" i="20"/>
  <c r="M1701" i="20" s="1"/>
  <c r="H6576" i="20"/>
  <c r="M6567" i="20" s="1"/>
  <c r="H70" i="20"/>
  <c r="M62" i="20" s="1"/>
  <c r="H2934" i="20"/>
  <c r="M2926" i="20" s="1"/>
  <c r="H8935" i="20"/>
  <c r="M8926" i="20" s="1"/>
  <c r="H5181" i="20"/>
  <c r="M5173" i="20" s="1"/>
  <c r="K5531" i="20"/>
  <c r="K5583" i="20"/>
  <c r="H1453" i="20"/>
  <c r="M1445" i="20" s="1"/>
  <c r="H1249" i="20"/>
  <c r="M1241" i="20" s="1"/>
  <c r="H2526" i="20"/>
  <c r="M2518" i="20" s="1"/>
  <c r="H2883" i="20"/>
  <c r="M2875" i="20" s="1"/>
  <c r="H478" i="20"/>
  <c r="M470" i="20" s="1"/>
  <c r="H3138" i="20"/>
  <c r="M3130" i="20" s="1"/>
  <c r="H3189" i="20"/>
  <c r="M3181" i="20" s="1"/>
  <c r="H683" i="20"/>
  <c r="M675" i="20" s="1"/>
  <c r="H8687" i="20"/>
  <c r="K8658" i="20" s="1"/>
  <c r="H3461" i="20"/>
  <c r="K3436" i="20" s="1"/>
  <c r="H3512" i="20"/>
  <c r="H6628" i="20"/>
  <c r="M6619" i="20" s="1"/>
  <c r="H2015" i="20"/>
  <c r="M2007" i="20" s="1"/>
  <c r="H1555" i="20"/>
  <c r="M1547" i="20" s="1"/>
  <c r="H4620" i="20"/>
  <c r="M4612" i="20" s="1"/>
  <c r="H837" i="20"/>
  <c r="M829" i="20" s="1"/>
  <c r="H3359" i="20"/>
  <c r="K3334" i="20" s="1"/>
  <c r="H888" i="20"/>
  <c r="M880" i="20" s="1"/>
  <c r="H1606" i="20"/>
  <c r="M1598" i="20" s="1"/>
  <c r="H1913" i="20"/>
  <c r="M1905" i="20" s="1"/>
  <c r="H2730" i="20"/>
  <c r="M2722" i="20" s="1"/>
  <c r="H581" i="20"/>
  <c r="M573" i="20" s="1"/>
  <c r="H1096" i="20"/>
  <c r="M1088" i="20" s="1"/>
  <c r="H1964" i="20"/>
  <c r="M1956" i="20" s="1"/>
  <c r="H172" i="20"/>
  <c r="M164" i="20" s="1"/>
  <c r="H734" i="20"/>
  <c r="M726" i="20" s="1"/>
  <c r="H990" i="20"/>
  <c r="M982" i="20" s="1"/>
  <c r="H2066" i="20"/>
  <c r="M2058" i="20" s="1"/>
  <c r="H2424" i="20"/>
  <c r="M2416" i="20" s="1"/>
  <c r="H530" i="20"/>
  <c r="M522" i="20" s="1"/>
  <c r="H1657" i="20"/>
  <c r="M1649" i="20" s="1"/>
  <c r="H3087" i="20"/>
  <c r="M3079" i="20" s="1"/>
  <c r="H2781" i="20"/>
  <c r="M2773" i="20" s="1"/>
  <c r="H3308" i="20"/>
  <c r="K3283" i="20" s="1"/>
  <c r="H3410" i="20"/>
  <c r="H1041" i="20"/>
  <c r="M1033" i="20" s="1"/>
  <c r="H2679" i="20"/>
  <c r="M2671" i="20" s="1"/>
  <c r="H376" i="20"/>
  <c r="M368" i="20" s="1"/>
  <c r="H3036" i="20"/>
  <c r="M3028" i="20" s="1"/>
  <c r="H223" i="20"/>
  <c r="M215" i="20" s="1"/>
  <c r="H1862" i="20"/>
  <c r="M1854" i="20" s="1"/>
  <c r="H8408" i="20"/>
  <c r="M8399" i="20" s="1"/>
  <c r="H2271" i="20"/>
  <c r="M2263" i="20" s="1"/>
  <c r="H2628" i="20"/>
  <c r="M2620" i="20" s="1"/>
  <c r="H2985" i="20"/>
  <c r="M2977" i="20" s="1"/>
  <c r="H427" i="20"/>
  <c r="M419" i="20" s="1"/>
  <c r="H2168" i="20"/>
  <c r="M2160" i="20" s="1"/>
  <c r="H3291" i="20"/>
  <c r="M3283" i="20" s="1"/>
  <c r="H1198" i="20"/>
  <c r="M1190" i="20" s="1"/>
  <c r="H121" i="20"/>
  <c r="M113" i="20" s="1"/>
  <c r="H632" i="20"/>
  <c r="M624" i="20" s="1"/>
  <c r="H2220" i="20"/>
  <c r="M2212" i="20" s="1"/>
  <c r="H5901" i="20"/>
  <c r="M5892" i="20" s="1"/>
  <c r="H5953" i="20"/>
  <c r="M5944" i="20" s="1"/>
  <c r="H8455" i="20"/>
  <c r="M8446" i="20" s="1"/>
  <c r="H2322" i="20"/>
  <c r="M2314" i="20" s="1"/>
  <c r="M6411" i="20"/>
  <c r="M4560" i="20"/>
  <c r="H9207" i="20"/>
  <c r="M9198" i="20" s="1"/>
  <c r="M6308" i="20"/>
  <c r="H9314" i="20"/>
  <c r="M4816" i="20"/>
  <c r="H2373" i="20"/>
  <c r="M2365" i="20" s="1"/>
  <c r="H2577" i="20"/>
  <c r="M2569" i="20" s="1"/>
  <c r="H6057" i="20"/>
  <c r="M6048" i="20" s="1"/>
  <c r="H8990" i="20"/>
  <c r="M6359" i="20"/>
  <c r="H9366" i="20"/>
  <c r="M9357" i="20" s="1"/>
  <c r="M5224" i="20"/>
  <c r="H3240" i="20"/>
  <c r="M3232" i="20" s="1"/>
  <c r="H325" i="20"/>
  <c r="M317" i="20" s="1"/>
  <c r="M4509" i="20"/>
  <c r="H1351" i="20"/>
  <c r="M1343" i="20" s="1"/>
  <c r="H1402" i="20"/>
  <c r="M1394" i="20" s="1"/>
  <c r="H9419" i="20"/>
  <c r="M6463" i="20"/>
  <c r="M4867" i="20"/>
  <c r="M4765" i="20"/>
  <c r="H274" i="20"/>
  <c r="M266" i="20" s="1"/>
  <c r="H6005" i="20"/>
  <c r="M5996" i="20" s="1"/>
  <c r="H939" i="20"/>
  <c r="M931" i="20" s="1"/>
  <c r="H9262" i="20"/>
  <c r="M9253" i="20" s="1"/>
  <c r="H4415" i="20"/>
  <c r="H4671" i="20"/>
  <c r="H9471" i="20"/>
  <c r="M5020" i="20"/>
  <c r="H2832" i="20"/>
  <c r="M2824" i="20" s="1"/>
  <c r="M6256" i="20"/>
  <c r="H1147" i="20"/>
  <c r="M1139" i="20" s="1"/>
  <c r="M4714" i="20"/>
  <c r="H9523" i="20"/>
  <c r="H1811" i="20"/>
  <c r="M1803" i="20" s="1"/>
  <c r="M5326" i="20"/>
  <c r="H2747" i="20"/>
  <c r="H2696" i="20"/>
  <c r="H3053" i="20"/>
  <c r="H2849" i="20"/>
  <c r="H2900" i="20"/>
  <c r="H3104" i="20"/>
  <c r="H3206" i="20"/>
  <c r="H2951" i="20"/>
  <c r="H3155" i="20"/>
  <c r="H2798" i="20"/>
  <c r="H2645" i="20"/>
  <c r="H3002" i="20"/>
  <c r="H3257" i="20"/>
  <c r="H1981" i="20"/>
  <c r="H2594" i="20"/>
  <c r="K2569" i="20" s="1"/>
  <c r="K5122" i="20"/>
  <c r="K6776" i="20"/>
  <c r="K6723" i="20"/>
  <c r="H2543" i="20"/>
  <c r="K2518" i="20" s="1"/>
  <c r="H2492" i="20"/>
  <c r="K4969" i="20"/>
  <c r="H8522" i="20"/>
  <c r="K8493" i="20" s="1"/>
  <c r="K8603" i="20"/>
  <c r="H8577" i="20"/>
  <c r="H8373" i="20"/>
  <c r="K8344" i="20" s="1"/>
  <c r="H2441" i="20"/>
  <c r="K2416" i="20" s="1"/>
  <c r="H2288" i="20"/>
  <c r="H2339" i="20"/>
  <c r="H2390" i="20"/>
  <c r="H2134" i="20"/>
  <c r="K2109" i="20" s="1"/>
  <c r="K9198" i="20"/>
  <c r="H2185" i="20"/>
  <c r="K2160" i="20" s="1"/>
  <c r="H2237" i="20"/>
  <c r="K2212" i="20" s="1"/>
  <c r="H2083" i="20"/>
  <c r="H1930" i="20"/>
  <c r="H1828" i="20"/>
  <c r="K1803" i="20" s="1"/>
  <c r="H1879" i="20"/>
  <c r="H2032" i="20"/>
  <c r="K6515" i="20"/>
  <c r="H956" i="20"/>
  <c r="H1215" i="20"/>
  <c r="H1623" i="20"/>
  <c r="K1598" i="20" s="1"/>
  <c r="H1266" i="20"/>
  <c r="K1241" i="20" s="1"/>
  <c r="H1007" i="20"/>
  <c r="H905" i="20"/>
  <c r="H1470" i="20"/>
  <c r="H1674" i="20"/>
  <c r="H1317" i="20"/>
  <c r="H1164" i="20"/>
  <c r="H1058" i="20"/>
  <c r="H1521" i="20"/>
  <c r="H1726" i="20"/>
  <c r="H1419" i="20"/>
  <c r="H854" i="20"/>
  <c r="H1113" i="20"/>
  <c r="H1572" i="20"/>
  <c r="H1777" i="20"/>
  <c r="H1368" i="20"/>
  <c r="K8926" i="20"/>
  <c r="H5918" i="20"/>
  <c r="H5970" i="20"/>
  <c r="K5944" i="20" s="1"/>
  <c r="K5996" i="20"/>
  <c r="H700" i="20"/>
  <c r="H751" i="20"/>
  <c r="H802" i="20"/>
  <c r="H598" i="20"/>
  <c r="H649" i="20"/>
  <c r="H547" i="20"/>
  <c r="K522" i="20" s="1"/>
  <c r="H393" i="20"/>
  <c r="K368" i="20" s="1"/>
  <c r="H138" i="20"/>
  <c r="H342" i="20"/>
  <c r="H35" i="20"/>
  <c r="K10" i="20" s="1"/>
  <c r="P17" i="1" s="1"/>
  <c r="H87" i="20"/>
  <c r="K62" i="20" s="1"/>
  <c r="H444" i="20"/>
  <c r="K419" i="20" s="1"/>
  <c r="H240" i="20"/>
  <c r="H495" i="20"/>
  <c r="H291" i="20"/>
  <c r="H189" i="20"/>
  <c r="H4381" i="20"/>
  <c r="G15" i="20"/>
  <c r="H18" i="20" s="1"/>
  <c r="M10" i="20" s="1"/>
  <c r="R17" i="1" s="1"/>
  <c r="N13" i="5"/>
  <c r="S13" i="5" s="1"/>
  <c r="T13" i="5" s="1"/>
  <c r="S17" i="5"/>
  <c r="T17" i="5" s="1"/>
  <c r="R7" i="5"/>
  <c r="S7" i="5" s="1"/>
  <c r="T7" i="5" s="1"/>
  <c r="S9" i="5"/>
  <c r="T9" i="5" s="1"/>
  <c r="S21" i="5"/>
  <c r="T21" i="5" s="1"/>
  <c r="D43" i="20" s="1"/>
  <c r="F43" i="20" s="1"/>
  <c r="J43" i="20" s="1"/>
  <c r="R16" i="5"/>
  <c r="S16" i="5" s="1"/>
  <c r="T16" i="5" s="1"/>
  <c r="R15" i="5"/>
  <c r="S15" i="5" s="1"/>
  <c r="T15" i="5" s="1"/>
  <c r="R6" i="5"/>
  <c r="S6" i="5" s="1"/>
  <c r="T6" i="5" s="1"/>
  <c r="R10" i="5"/>
  <c r="S10" i="5" s="1"/>
  <c r="T10" i="5" s="1"/>
  <c r="R5" i="5"/>
  <c r="S5" i="5" s="1"/>
  <c r="T5" i="5" s="1"/>
  <c r="N18" i="5"/>
  <c r="S18" i="5" s="1"/>
  <c r="T18" i="5" s="1"/>
  <c r="N20" i="5"/>
  <c r="N12" i="5"/>
  <c r="R20" i="5"/>
  <c r="N14" i="5"/>
  <c r="S14" i="5" s="1"/>
  <c r="T14" i="5" s="1"/>
  <c r="R12" i="5"/>
  <c r="S8" i="5"/>
  <c r="T8" i="5" s="1"/>
  <c r="R19" i="5"/>
  <c r="S19" i="5" s="1"/>
  <c r="T19" i="5" s="1"/>
  <c r="R11" i="5"/>
  <c r="S11" i="5" s="1"/>
  <c r="T11" i="5" s="1"/>
  <c r="D5819" i="20" l="1"/>
  <c r="F5819" i="20" s="1"/>
  <c r="D5870" i="20"/>
  <c r="F5870" i="20" s="1"/>
  <c r="D4284" i="20"/>
  <c r="F4284" i="20" s="1"/>
  <c r="D5872" i="20"/>
  <c r="F5872" i="20" s="1"/>
  <c r="J5872" i="20" s="1"/>
  <c r="D4286" i="20"/>
  <c r="F4286" i="20" s="1"/>
  <c r="J4286" i="20" s="1"/>
  <c r="D5821" i="20"/>
  <c r="F5821" i="20" s="1"/>
  <c r="J5821" i="20" s="1"/>
  <c r="D5820" i="20"/>
  <c r="F5820" i="20" s="1"/>
  <c r="J5820" i="20" s="1"/>
  <c r="D5871" i="20"/>
  <c r="F5871" i="20" s="1"/>
  <c r="J5871" i="20" s="1"/>
  <c r="D4285" i="20"/>
  <c r="F4285" i="20" s="1"/>
  <c r="J4285" i="20" s="1"/>
  <c r="K4252" i="20"/>
  <c r="M9722" i="20"/>
  <c r="M8134" i="20"/>
  <c r="M8878" i="20"/>
  <c r="D9861" i="20"/>
  <c r="F9861" i="20" s="1"/>
  <c r="J9861" i="20" s="1"/>
  <c r="D8169" i="20"/>
  <c r="F8169" i="20" s="1"/>
  <c r="J8169" i="20" s="1"/>
  <c r="D8117" i="20"/>
  <c r="F8117" i="20" s="1"/>
  <c r="J8117" i="20" s="1"/>
  <c r="D8908" i="20"/>
  <c r="F8908" i="20" s="1"/>
  <c r="J8908" i="20" s="1"/>
  <c r="D7857" i="20"/>
  <c r="F7857" i="20" s="1"/>
  <c r="J7857" i="20" s="1"/>
  <c r="D4235" i="20"/>
  <c r="F4235" i="20" s="1"/>
  <c r="J4235" i="20" s="1"/>
  <c r="D8065" i="20"/>
  <c r="F8065" i="20" s="1"/>
  <c r="J8065" i="20" s="1"/>
  <c r="D4133" i="20"/>
  <c r="F4133" i="20" s="1"/>
  <c r="J4133" i="20" s="1"/>
  <c r="D8861" i="20"/>
  <c r="F8861" i="20" s="1"/>
  <c r="J8861" i="20" s="1"/>
  <c r="D7752" i="20"/>
  <c r="F7752" i="20" s="1"/>
  <c r="J7752" i="20" s="1"/>
  <c r="D7961" i="20"/>
  <c r="F7961" i="20" s="1"/>
  <c r="J7961" i="20" s="1"/>
  <c r="D5770" i="20"/>
  <c r="F5770" i="20" s="1"/>
  <c r="J5770" i="20" s="1"/>
  <c r="D8221" i="20"/>
  <c r="F8221" i="20" s="1"/>
  <c r="J8221" i="20" s="1"/>
  <c r="D8013" i="20"/>
  <c r="F8013" i="20" s="1"/>
  <c r="J8013" i="20" s="1"/>
  <c r="D7909" i="20"/>
  <c r="F7909" i="20" s="1"/>
  <c r="J7909" i="20" s="1"/>
  <c r="D4184" i="20"/>
  <c r="F4184" i="20" s="1"/>
  <c r="J4184" i="20" s="1"/>
  <c r="D7805" i="20"/>
  <c r="F7805" i="20" s="1"/>
  <c r="J7805" i="20" s="1"/>
  <c r="D4031" i="20"/>
  <c r="F4031" i="20" s="1"/>
  <c r="J4031" i="20" s="1"/>
  <c r="D4082" i="20"/>
  <c r="F4082" i="20" s="1"/>
  <c r="J4082" i="20" s="1"/>
  <c r="D3980" i="20"/>
  <c r="F3980" i="20" s="1"/>
  <c r="J3980" i="20" s="1"/>
  <c r="D9653" i="20"/>
  <c r="F9653" i="20" s="1"/>
  <c r="J9653" i="20" s="1"/>
  <c r="D9757" i="20"/>
  <c r="F9757" i="20" s="1"/>
  <c r="J9757" i="20" s="1"/>
  <c r="D9809" i="20"/>
  <c r="F9809" i="20" s="1"/>
  <c r="J9809" i="20" s="1"/>
  <c r="D9705" i="20"/>
  <c r="F9705" i="20" s="1"/>
  <c r="J9705" i="20" s="1"/>
  <c r="D8012" i="20"/>
  <c r="F8012" i="20" s="1"/>
  <c r="J8012" i="20" s="1"/>
  <c r="D7908" i="20"/>
  <c r="F7908" i="20" s="1"/>
  <c r="J7908" i="20" s="1"/>
  <c r="D4183" i="20"/>
  <c r="F4183" i="20" s="1"/>
  <c r="J4183" i="20" s="1"/>
  <c r="D4234" i="20"/>
  <c r="F4234" i="20" s="1"/>
  <c r="J4234" i="20" s="1"/>
  <c r="D7804" i="20"/>
  <c r="F7804" i="20" s="1"/>
  <c r="J7804" i="20" s="1"/>
  <c r="D8907" i="20"/>
  <c r="F8907" i="20" s="1"/>
  <c r="J8907" i="20" s="1"/>
  <c r="D7856" i="20"/>
  <c r="F7856" i="20" s="1"/>
  <c r="J7856" i="20" s="1"/>
  <c r="D9860" i="20"/>
  <c r="F9860" i="20" s="1"/>
  <c r="J9860" i="20" s="1"/>
  <c r="D8168" i="20"/>
  <c r="F8168" i="20" s="1"/>
  <c r="J8168" i="20" s="1"/>
  <c r="D8116" i="20"/>
  <c r="F8116" i="20" s="1"/>
  <c r="J8116" i="20" s="1"/>
  <c r="D7960" i="20"/>
  <c r="F7960" i="20" s="1"/>
  <c r="J7960" i="20" s="1"/>
  <c r="D8220" i="20"/>
  <c r="F8220" i="20" s="1"/>
  <c r="J8220" i="20" s="1"/>
  <c r="D8064" i="20"/>
  <c r="F8064" i="20" s="1"/>
  <c r="J8064" i="20" s="1"/>
  <c r="D4132" i="20"/>
  <c r="F4132" i="20" s="1"/>
  <c r="J4132" i="20" s="1"/>
  <c r="D8860" i="20"/>
  <c r="F8860" i="20" s="1"/>
  <c r="J8860" i="20" s="1"/>
  <c r="D7751" i="20"/>
  <c r="F7751" i="20" s="1"/>
  <c r="J7751" i="20" s="1"/>
  <c r="D5769" i="20"/>
  <c r="F5769" i="20" s="1"/>
  <c r="J5769" i="20" s="1"/>
  <c r="D4081" i="20"/>
  <c r="F4081" i="20" s="1"/>
  <c r="J4081" i="20" s="1"/>
  <c r="D3979" i="20"/>
  <c r="F3979" i="20" s="1"/>
  <c r="J3979" i="20" s="1"/>
  <c r="D4030" i="20"/>
  <c r="F4030" i="20" s="1"/>
  <c r="J4030" i="20" s="1"/>
  <c r="D9808" i="20"/>
  <c r="F9808" i="20" s="1"/>
  <c r="J9808" i="20" s="1"/>
  <c r="D9704" i="20"/>
  <c r="F9704" i="20" s="1"/>
  <c r="J9704" i="20" s="1"/>
  <c r="D9652" i="20"/>
  <c r="F9652" i="20" s="1"/>
  <c r="J9652" i="20" s="1"/>
  <c r="D9756" i="20"/>
  <c r="F9756" i="20" s="1"/>
  <c r="J9756" i="20" s="1"/>
  <c r="D8219" i="20"/>
  <c r="F8219" i="20" s="1"/>
  <c r="D8063" i="20"/>
  <c r="F8063" i="20" s="1"/>
  <c r="D4131" i="20"/>
  <c r="F4131" i="20" s="1"/>
  <c r="D4182" i="20"/>
  <c r="F4182" i="20" s="1"/>
  <c r="D8859" i="20"/>
  <c r="F8859" i="20" s="1"/>
  <c r="D7750" i="20"/>
  <c r="F7750" i="20" s="1"/>
  <c r="D8011" i="20"/>
  <c r="F8011" i="20" s="1"/>
  <c r="D7907" i="20"/>
  <c r="F7907" i="20" s="1"/>
  <c r="D9859" i="20"/>
  <c r="F9859" i="20" s="1"/>
  <c r="D8167" i="20"/>
  <c r="F8167" i="20" s="1"/>
  <c r="D7803" i="20"/>
  <c r="F7803" i="20" s="1"/>
  <c r="D8906" i="20"/>
  <c r="F8906" i="20" s="1"/>
  <c r="D7855" i="20"/>
  <c r="F7855" i="20" s="1"/>
  <c r="D4233" i="20"/>
  <c r="F4233" i="20" s="1"/>
  <c r="D7959" i="20"/>
  <c r="F7959" i="20" s="1"/>
  <c r="D5768" i="20"/>
  <c r="F5768" i="20" s="1"/>
  <c r="D8115" i="20"/>
  <c r="F8115" i="20" s="1"/>
  <c r="D3978" i="20"/>
  <c r="F3978" i="20" s="1"/>
  <c r="D4080" i="20"/>
  <c r="F4080" i="20" s="1"/>
  <c r="D4029" i="20"/>
  <c r="F4029" i="20" s="1"/>
  <c r="D9703" i="20"/>
  <c r="F9703" i="20" s="1"/>
  <c r="D9755" i="20"/>
  <c r="F9755" i="20" s="1"/>
  <c r="D9807" i="20"/>
  <c r="F9807" i="20" s="1"/>
  <c r="D9651" i="20"/>
  <c r="F9651" i="20" s="1"/>
  <c r="D7537" i="20"/>
  <c r="F7537" i="20" s="1"/>
  <c r="J7537" i="20" s="1"/>
  <c r="D3927" i="20"/>
  <c r="F3927" i="20" s="1"/>
  <c r="J3927" i="20" s="1"/>
  <c r="D5717" i="20"/>
  <c r="F5717" i="20" s="1"/>
  <c r="J5717" i="20" s="1"/>
  <c r="D9072" i="20"/>
  <c r="F9072" i="20" s="1"/>
  <c r="J9072" i="20" s="1"/>
  <c r="D5666" i="20"/>
  <c r="F5666" i="20" s="1"/>
  <c r="J5666" i="20" s="1"/>
  <c r="D7329" i="20"/>
  <c r="F7329" i="20" s="1"/>
  <c r="J7329" i="20" s="1"/>
  <c r="D7381" i="20"/>
  <c r="F7381" i="20" s="1"/>
  <c r="J7381" i="20" s="1"/>
  <c r="D7069" i="20"/>
  <c r="F7069" i="20" s="1"/>
  <c r="J7069" i="20" s="1"/>
  <c r="D3825" i="20"/>
  <c r="F3825" i="20" s="1"/>
  <c r="J3825" i="20" s="1"/>
  <c r="D7017" i="20"/>
  <c r="F7017" i="20" s="1"/>
  <c r="J7017" i="20" s="1"/>
  <c r="D3876" i="20"/>
  <c r="F3876" i="20" s="1"/>
  <c r="J3876" i="20" s="1"/>
  <c r="D7697" i="20"/>
  <c r="F7697" i="20" s="1"/>
  <c r="J7697" i="20" s="1"/>
  <c r="D7225" i="20"/>
  <c r="F7225" i="20" s="1"/>
  <c r="J7225" i="20" s="1"/>
  <c r="D7173" i="20"/>
  <c r="F7173" i="20" s="1"/>
  <c r="J7173" i="20" s="1"/>
  <c r="D7645" i="20"/>
  <c r="F7645" i="20" s="1"/>
  <c r="J7645" i="20" s="1"/>
  <c r="D3672" i="20"/>
  <c r="F3672" i="20" s="1"/>
  <c r="J3672" i="20" s="1"/>
  <c r="D3723" i="20"/>
  <c r="F3723" i="20" s="1"/>
  <c r="J3723" i="20" s="1"/>
  <c r="D3621" i="20"/>
  <c r="F3621" i="20" s="1"/>
  <c r="J3621" i="20" s="1"/>
  <c r="D7592" i="20"/>
  <c r="F7592" i="20" s="1"/>
  <c r="J7592" i="20" s="1"/>
  <c r="D5615" i="20"/>
  <c r="F5615" i="20" s="1"/>
  <c r="J5615" i="20" s="1"/>
  <c r="D7485" i="20"/>
  <c r="F7485" i="20" s="1"/>
  <c r="J7485" i="20" s="1"/>
  <c r="D7433" i="20"/>
  <c r="F7433" i="20" s="1"/>
  <c r="J7433" i="20" s="1"/>
  <c r="D9599" i="20"/>
  <c r="F9599" i="20" s="1"/>
  <c r="J9599" i="20" s="1"/>
  <c r="D8749" i="20"/>
  <c r="F8749" i="20" s="1"/>
  <c r="J8749" i="20" s="1"/>
  <c r="D6965" i="20"/>
  <c r="F6965" i="20" s="1"/>
  <c r="J6965" i="20" s="1"/>
  <c r="D7277" i="20"/>
  <c r="F7277" i="20" s="1"/>
  <c r="J7277" i="20" s="1"/>
  <c r="D8804" i="20"/>
  <c r="F8804" i="20" s="1"/>
  <c r="J8804" i="20" s="1"/>
  <c r="D7121" i="20"/>
  <c r="F7121" i="20" s="1"/>
  <c r="J7121" i="20" s="1"/>
  <c r="D3774" i="20"/>
  <c r="F3774" i="20" s="1"/>
  <c r="J3774" i="20" s="1"/>
  <c r="D3417" i="20"/>
  <c r="F3417" i="20" s="1"/>
  <c r="J3417" i="20" s="1"/>
  <c r="D5563" i="20"/>
  <c r="F5563" i="20" s="1"/>
  <c r="J5563" i="20" s="1"/>
  <c r="D8694" i="20"/>
  <c r="F8694" i="20" s="1"/>
  <c r="J8694" i="20" s="1"/>
  <c r="D3468" i="20"/>
  <c r="F3468" i="20" s="1"/>
  <c r="J3468" i="20" s="1"/>
  <c r="D5512" i="20"/>
  <c r="F5512" i="20" s="1"/>
  <c r="J5512" i="20" s="1"/>
  <c r="D3366" i="20"/>
  <c r="F3366" i="20" s="1"/>
  <c r="J3366" i="20" s="1"/>
  <c r="D3519" i="20"/>
  <c r="F3519" i="20" s="1"/>
  <c r="J3519" i="20" s="1"/>
  <c r="D3570" i="20"/>
  <c r="F3570" i="20" s="1"/>
  <c r="J3570" i="20" s="1"/>
  <c r="D6913" i="20"/>
  <c r="F6913" i="20" s="1"/>
  <c r="J6913" i="20" s="1"/>
  <c r="D5461" i="20"/>
  <c r="F5461" i="20" s="1"/>
  <c r="J5461" i="20" s="1"/>
  <c r="D5410" i="20"/>
  <c r="F5410" i="20" s="1"/>
  <c r="J5410" i="20" s="1"/>
  <c r="D6861" i="20"/>
  <c r="F6861" i="20" s="1"/>
  <c r="J6861" i="20" s="1"/>
  <c r="K8823" i="20"/>
  <c r="K7770" i="20"/>
  <c r="K7874" i="20"/>
  <c r="K7926" i="20"/>
  <c r="K8082" i="20"/>
  <c r="K7822" i="20"/>
  <c r="K7978" i="20"/>
  <c r="K7717" i="20"/>
  <c r="K4201" i="20"/>
  <c r="K4150" i="20"/>
  <c r="K4099" i="20"/>
  <c r="K4048" i="20"/>
  <c r="K3997" i="20"/>
  <c r="D7538" i="20"/>
  <c r="F7538" i="20" s="1"/>
  <c r="J7538" i="20" s="1"/>
  <c r="D3928" i="20"/>
  <c r="F3928" i="20" s="1"/>
  <c r="J3928" i="20" s="1"/>
  <c r="D5718" i="20"/>
  <c r="F5718" i="20" s="1"/>
  <c r="J5718" i="20" s="1"/>
  <c r="D7486" i="20"/>
  <c r="F7486" i="20" s="1"/>
  <c r="J7486" i="20" s="1"/>
  <c r="D7122" i="20"/>
  <c r="F7122" i="20" s="1"/>
  <c r="J7122" i="20" s="1"/>
  <c r="D7070" i="20"/>
  <c r="F7070" i="20" s="1"/>
  <c r="J7070" i="20" s="1"/>
  <c r="D3877" i="20"/>
  <c r="F3877" i="20" s="1"/>
  <c r="J3877" i="20" s="1"/>
  <c r="D8805" i="20"/>
  <c r="F8805" i="20" s="1"/>
  <c r="J8805" i="20" s="1"/>
  <c r="D9073" i="20"/>
  <c r="F9073" i="20" s="1"/>
  <c r="J9073" i="20" s="1"/>
  <c r="D3724" i="20"/>
  <c r="F3724" i="20" s="1"/>
  <c r="J3724" i="20" s="1"/>
  <c r="D3673" i="20"/>
  <c r="F3673" i="20" s="1"/>
  <c r="J3673" i="20" s="1"/>
  <c r="D7382" i="20"/>
  <c r="F7382" i="20" s="1"/>
  <c r="J7382" i="20" s="1"/>
  <c r="D7018" i="20"/>
  <c r="F7018" i="20" s="1"/>
  <c r="J7018" i="20" s="1"/>
  <c r="D7698" i="20"/>
  <c r="F7698" i="20" s="1"/>
  <c r="J7698" i="20" s="1"/>
  <c r="D5616" i="20"/>
  <c r="F5616" i="20" s="1"/>
  <c r="J5616" i="20" s="1"/>
  <c r="D8750" i="20"/>
  <c r="F8750" i="20" s="1"/>
  <c r="J8750" i="20" s="1"/>
  <c r="D3775" i="20"/>
  <c r="F3775" i="20" s="1"/>
  <c r="J3775" i="20" s="1"/>
  <c r="D3622" i="20"/>
  <c r="F3622" i="20" s="1"/>
  <c r="J3622" i="20" s="1"/>
  <c r="D7330" i="20"/>
  <c r="F7330" i="20" s="1"/>
  <c r="J7330" i="20" s="1"/>
  <c r="D7278" i="20"/>
  <c r="F7278" i="20" s="1"/>
  <c r="J7278" i="20" s="1"/>
  <c r="D6966" i="20"/>
  <c r="F6966" i="20" s="1"/>
  <c r="J6966" i="20" s="1"/>
  <c r="D3826" i="20"/>
  <c r="F3826" i="20" s="1"/>
  <c r="J3826" i="20" s="1"/>
  <c r="D7593" i="20"/>
  <c r="F7593" i="20" s="1"/>
  <c r="J7593" i="20" s="1"/>
  <c r="D7226" i="20"/>
  <c r="F7226" i="20" s="1"/>
  <c r="J7226" i="20" s="1"/>
  <c r="D7434" i="20"/>
  <c r="F7434" i="20" s="1"/>
  <c r="J7434" i="20" s="1"/>
  <c r="D5667" i="20"/>
  <c r="F5667" i="20" s="1"/>
  <c r="J5667" i="20" s="1"/>
  <c r="D9600" i="20"/>
  <c r="F9600" i="20" s="1"/>
  <c r="J9600" i="20" s="1"/>
  <c r="D7174" i="20"/>
  <c r="F7174" i="20" s="1"/>
  <c r="J7174" i="20" s="1"/>
  <c r="D7646" i="20"/>
  <c r="F7646" i="20" s="1"/>
  <c r="J7646" i="20" s="1"/>
  <c r="D3571" i="20"/>
  <c r="F3571" i="20" s="1"/>
  <c r="J3571" i="20" s="1"/>
  <c r="D3520" i="20"/>
  <c r="F3520" i="20" s="1"/>
  <c r="J3520" i="20" s="1"/>
  <c r="D3469" i="20"/>
  <c r="F3469" i="20" s="1"/>
  <c r="J3469" i="20" s="1"/>
  <c r="D5564" i="20"/>
  <c r="F5564" i="20" s="1"/>
  <c r="J5564" i="20" s="1"/>
  <c r="D5513" i="20"/>
  <c r="F5513" i="20" s="1"/>
  <c r="J5513" i="20" s="1"/>
  <c r="D3367" i="20"/>
  <c r="F3367" i="20" s="1"/>
  <c r="J3367" i="20" s="1"/>
  <c r="D8695" i="20"/>
  <c r="F8695" i="20" s="1"/>
  <c r="J8695" i="20" s="1"/>
  <c r="D3418" i="20"/>
  <c r="F3418" i="20" s="1"/>
  <c r="J3418" i="20" s="1"/>
  <c r="D5462" i="20"/>
  <c r="F5462" i="20" s="1"/>
  <c r="J5462" i="20" s="1"/>
  <c r="D5411" i="20"/>
  <c r="F5411" i="20" s="1"/>
  <c r="J5411" i="20" s="1"/>
  <c r="D6862" i="20"/>
  <c r="F6862" i="20" s="1"/>
  <c r="J6862" i="20" s="1"/>
  <c r="D6914" i="20"/>
  <c r="F6914" i="20" s="1"/>
  <c r="J6914" i="20" s="1"/>
  <c r="D3929" i="20"/>
  <c r="F3929" i="20" s="1"/>
  <c r="D7539" i="20"/>
  <c r="F7539" i="20" s="1"/>
  <c r="D5719" i="20"/>
  <c r="F5719" i="20" s="1"/>
  <c r="D3878" i="20"/>
  <c r="F3878" i="20" s="1"/>
  <c r="D5668" i="20"/>
  <c r="F5668" i="20" s="1"/>
  <c r="D3725" i="20"/>
  <c r="F3725" i="20" s="1"/>
  <c r="D9601" i="20"/>
  <c r="F9601" i="20" s="1"/>
  <c r="D7594" i="20"/>
  <c r="F7594" i="20" s="1"/>
  <c r="D7175" i="20"/>
  <c r="F7175" i="20" s="1"/>
  <c r="D3776" i="20"/>
  <c r="F3776" i="20" s="1"/>
  <c r="D3674" i="20"/>
  <c r="F3674" i="20" s="1"/>
  <c r="D7331" i="20"/>
  <c r="F7331" i="20" s="1"/>
  <c r="D7123" i="20"/>
  <c r="F7123" i="20" s="1"/>
  <c r="D7487" i="20"/>
  <c r="F7487" i="20" s="1"/>
  <c r="D7279" i="20"/>
  <c r="F7279" i="20" s="1"/>
  <c r="D7071" i="20"/>
  <c r="F7071" i="20" s="1"/>
  <c r="D3623" i="20"/>
  <c r="F3623" i="20" s="1"/>
  <c r="D5617" i="20"/>
  <c r="F5617" i="20" s="1"/>
  <c r="D9074" i="20"/>
  <c r="F9074" i="20" s="1"/>
  <c r="D8806" i="20"/>
  <c r="F8806" i="20" s="1"/>
  <c r="D7647" i="20"/>
  <c r="F7647" i="20" s="1"/>
  <c r="D7435" i="20"/>
  <c r="F7435" i="20" s="1"/>
  <c r="D3827" i="20"/>
  <c r="F3827" i="20" s="1"/>
  <c r="D7227" i="20"/>
  <c r="F7227" i="20" s="1"/>
  <c r="D7019" i="20"/>
  <c r="F7019" i="20" s="1"/>
  <c r="D8751" i="20"/>
  <c r="F8751" i="20" s="1"/>
  <c r="D7383" i="20"/>
  <c r="F7383" i="20" s="1"/>
  <c r="D7699" i="20"/>
  <c r="F7699" i="20" s="1"/>
  <c r="D6967" i="20"/>
  <c r="F6967" i="20" s="1"/>
  <c r="D5565" i="20"/>
  <c r="F5565" i="20" s="1"/>
  <c r="D3572" i="20"/>
  <c r="F3572" i="20" s="1"/>
  <c r="D8696" i="20"/>
  <c r="F8696" i="20" s="1"/>
  <c r="D3368" i="20"/>
  <c r="F3368" i="20" s="1"/>
  <c r="D5514" i="20"/>
  <c r="F5514" i="20" s="1"/>
  <c r="D3470" i="20"/>
  <c r="F3470" i="20" s="1"/>
  <c r="D3419" i="20"/>
  <c r="F3419" i="20" s="1"/>
  <c r="D3521" i="20"/>
  <c r="F3521" i="20" s="1"/>
  <c r="D5463" i="20"/>
  <c r="F5463" i="20" s="1"/>
  <c r="D6863" i="20"/>
  <c r="F6863" i="20" s="1"/>
  <c r="D6915" i="20"/>
  <c r="F6915" i="20" s="1"/>
  <c r="D5412" i="20"/>
  <c r="F5412" i="20" s="1"/>
  <c r="B263" i="4"/>
  <c r="B271" i="4" s="1"/>
  <c r="B270" i="4"/>
  <c r="B273" i="4" s="1"/>
  <c r="K3793" i="20"/>
  <c r="K3538" i="20"/>
  <c r="K7612" i="20"/>
  <c r="K7664" i="20"/>
  <c r="K3487" i="20"/>
  <c r="K3385" i="20"/>
  <c r="D42" i="20"/>
  <c r="F42" i="20" s="1"/>
  <c r="J42" i="20" s="1"/>
  <c r="D3315" i="20"/>
  <c r="F3315" i="20" s="1"/>
  <c r="D2907" i="20"/>
  <c r="F2907" i="20" s="1"/>
  <c r="D3264" i="20"/>
  <c r="F3264" i="20" s="1"/>
  <c r="D2703" i="20"/>
  <c r="F2703" i="20" s="1"/>
  <c r="D3213" i="20"/>
  <c r="F3213" i="20" s="1"/>
  <c r="D3111" i="20"/>
  <c r="F3111" i="20" s="1"/>
  <c r="D2856" i="20"/>
  <c r="F2856" i="20" s="1"/>
  <c r="D2652" i="20"/>
  <c r="F2652" i="20" s="1"/>
  <c r="D2805" i="20"/>
  <c r="F2805" i="20" s="1"/>
  <c r="D3162" i="20"/>
  <c r="F3162" i="20" s="1"/>
  <c r="D3060" i="20"/>
  <c r="F3060" i="20" s="1"/>
  <c r="D3009" i="20"/>
  <c r="F3009" i="20" s="1"/>
  <c r="D2958" i="20"/>
  <c r="F2958" i="20" s="1"/>
  <c r="D2754" i="20"/>
  <c r="F2754" i="20" s="1"/>
  <c r="D5256" i="20"/>
  <c r="F5256" i="20" s="1"/>
  <c r="D5205" i="20"/>
  <c r="F5205" i="20" s="1"/>
  <c r="D5307" i="20"/>
  <c r="F5307" i="20" s="1"/>
  <c r="D5358" i="20"/>
  <c r="F5358" i="20" s="1"/>
  <c r="D6756" i="20"/>
  <c r="F6756" i="20" s="1"/>
  <c r="D6809" i="20"/>
  <c r="F6809" i="20" s="1"/>
  <c r="D5052" i="20"/>
  <c r="F5052" i="20" s="1"/>
  <c r="D2601" i="20"/>
  <c r="F2601" i="20" s="1"/>
  <c r="D5103" i="20"/>
  <c r="F5103" i="20" s="1"/>
  <c r="D5154" i="20"/>
  <c r="F5154" i="20" s="1"/>
  <c r="D5001" i="20"/>
  <c r="F5001" i="20" s="1"/>
  <c r="D2550" i="20"/>
  <c r="F2550" i="20" s="1"/>
  <c r="D2499" i="20"/>
  <c r="F2499" i="20" s="1"/>
  <c r="D8639" i="20"/>
  <c r="F8639" i="20" s="1"/>
  <c r="D8584" i="20"/>
  <c r="F8584" i="20" s="1"/>
  <c r="D4848" i="20"/>
  <c r="F4848" i="20" s="1"/>
  <c r="D2448" i="20"/>
  <c r="F2448" i="20" s="1"/>
  <c r="D2397" i="20"/>
  <c r="F2397" i="20" s="1"/>
  <c r="D2346" i="20"/>
  <c r="F2346" i="20" s="1"/>
  <c r="D6704" i="20"/>
  <c r="F6704" i="20" s="1"/>
  <c r="D6652" i="20"/>
  <c r="F6652" i="20" s="1"/>
  <c r="D6600" i="20"/>
  <c r="F6600" i="20" s="1"/>
  <c r="D4899" i="20"/>
  <c r="F4899" i="20" s="1"/>
  <c r="D2295" i="20"/>
  <c r="F2295" i="20" s="1"/>
  <c r="D4950" i="20"/>
  <c r="F4950" i="20" s="1"/>
  <c r="D8529" i="20"/>
  <c r="F8529" i="20" s="1"/>
  <c r="D8427" i="20"/>
  <c r="F8427" i="20" s="1"/>
  <c r="D8474" i="20"/>
  <c r="F8474" i="20" s="1"/>
  <c r="D1886" i="20"/>
  <c r="F1886" i="20" s="1"/>
  <c r="D9390" i="20"/>
  <c r="F9390" i="20" s="1"/>
  <c r="D9338" i="20"/>
  <c r="F9338" i="20" s="1"/>
  <c r="D9286" i="20"/>
  <c r="F9286" i="20" s="1"/>
  <c r="D6392" i="20"/>
  <c r="F6392" i="20" s="1"/>
  <c r="D6341" i="20"/>
  <c r="F6341" i="20" s="1"/>
  <c r="D4797" i="20"/>
  <c r="F4797" i="20" s="1"/>
  <c r="D1937" i="20"/>
  <c r="F1937" i="20" s="1"/>
  <c r="D9495" i="20"/>
  <c r="F9495" i="20" s="1"/>
  <c r="D1988" i="20"/>
  <c r="F1988" i="20" s="1"/>
  <c r="D9443" i="20"/>
  <c r="F9443" i="20" s="1"/>
  <c r="D4695" i="20"/>
  <c r="F4695" i="20" s="1"/>
  <c r="D2141" i="20"/>
  <c r="F2141" i="20" s="1"/>
  <c r="D2039" i="20"/>
  <c r="F2039" i="20" s="1"/>
  <c r="D6496" i="20"/>
  <c r="F6496" i="20" s="1"/>
  <c r="D6444" i="20"/>
  <c r="F6444" i="20" s="1"/>
  <c r="D2090" i="20"/>
  <c r="F2090" i="20" s="1"/>
  <c r="D1835" i="20"/>
  <c r="F1835" i="20" s="1"/>
  <c r="D9547" i="20"/>
  <c r="F9547" i="20" s="1"/>
  <c r="D6548" i="20"/>
  <c r="F6548" i="20" s="1"/>
  <c r="D4746" i="20"/>
  <c r="F4746" i="20" s="1"/>
  <c r="D9231" i="20"/>
  <c r="F9231" i="20" s="1"/>
  <c r="D2244" i="20"/>
  <c r="F2244" i="20" s="1"/>
  <c r="D2192" i="20"/>
  <c r="F2192" i="20" s="1"/>
  <c r="D1681" i="20"/>
  <c r="F1681" i="20" s="1"/>
  <c r="D1477" i="20"/>
  <c r="F1477" i="20" s="1"/>
  <c r="D1222" i="20"/>
  <c r="F1222" i="20" s="1"/>
  <c r="D1733" i="20"/>
  <c r="F1733" i="20" s="1"/>
  <c r="D1528" i="20"/>
  <c r="F1528" i="20" s="1"/>
  <c r="D1273" i="20"/>
  <c r="F1273" i="20" s="1"/>
  <c r="D1784" i="20"/>
  <c r="F1784" i="20" s="1"/>
  <c r="D1579" i="20"/>
  <c r="F1579" i="20" s="1"/>
  <c r="D1324" i="20"/>
  <c r="F1324" i="20" s="1"/>
  <c r="D1375" i="20"/>
  <c r="F1375" i="20" s="1"/>
  <c r="D1630" i="20"/>
  <c r="F1630" i="20" s="1"/>
  <c r="D1426" i="20"/>
  <c r="F1426" i="20" s="1"/>
  <c r="D1014" i="20"/>
  <c r="F1014" i="20" s="1"/>
  <c r="D861" i="20"/>
  <c r="F861" i="20" s="1"/>
  <c r="D1065" i="20"/>
  <c r="F1065" i="20" s="1"/>
  <c r="D1120" i="20"/>
  <c r="F1120" i="20" s="1"/>
  <c r="D1171" i="20"/>
  <c r="F1171" i="20" s="1"/>
  <c r="D912" i="20"/>
  <c r="F912" i="20" s="1"/>
  <c r="D963" i="20"/>
  <c r="F963" i="20" s="1"/>
  <c r="D9127" i="20"/>
  <c r="F9127" i="20" s="1"/>
  <c r="D8962" i="20"/>
  <c r="F8962" i="20" s="1"/>
  <c r="D9179" i="20"/>
  <c r="F9179" i="20" s="1"/>
  <c r="D9017" i="20"/>
  <c r="F9017" i="20" s="1"/>
  <c r="D6081" i="20"/>
  <c r="F6081" i="20" s="1"/>
  <c r="D8380" i="20"/>
  <c r="F8380" i="20" s="1"/>
  <c r="D6133" i="20"/>
  <c r="F6133" i="20" s="1"/>
  <c r="D6289" i="20"/>
  <c r="F6289" i="20" s="1"/>
  <c r="D6237" i="20"/>
  <c r="F6237" i="20" s="1"/>
  <c r="D6185" i="20"/>
  <c r="F6185" i="20" s="1"/>
  <c r="D4592" i="20"/>
  <c r="F4592" i="20" s="1"/>
  <c r="D809" i="20"/>
  <c r="F809" i="20" s="1"/>
  <c r="D758" i="20"/>
  <c r="F758" i="20" s="1"/>
  <c r="D707" i="20"/>
  <c r="F707" i="20" s="1"/>
  <c r="D5925" i="20"/>
  <c r="F5925" i="20" s="1"/>
  <c r="D5977" i="20"/>
  <c r="F5977" i="20" s="1"/>
  <c r="D4644" i="20"/>
  <c r="F4644" i="20" s="1"/>
  <c r="D656" i="20"/>
  <c r="F656" i="20" s="1"/>
  <c r="D6029" i="20"/>
  <c r="F6029" i="20" s="1"/>
  <c r="D4541" i="20"/>
  <c r="F4541" i="20" s="1"/>
  <c r="D605" i="20"/>
  <c r="F605" i="20" s="1"/>
  <c r="D554" i="20"/>
  <c r="F554" i="20" s="1"/>
  <c r="D400" i="20"/>
  <c r="F400" i="20" s="1"/>
  <c r="D196" i="20"/>
  <c r="F196" i="20" s="1"/>
  <c r="D4388" i="20"/>
  <c r="F4388" i="20" s="1"/>
  <c r="D4439" i="20"/>
  <c r="F4439" i="20" s="1"/>
  <c r="D247" i="20"/>
  <c r="F247" i="20" s="1"/>
  <c r="D298" i="20"/>
  <c r="F298" i="20" s="1"/>
  <c r="D94" i="20"/>
  <c r="F94" i="20" s="1"/>
  <c r="D4490" i="20"/>
  <c r="F4490" i="20" s="1"/>
  <c r="D349" i="20"/>
  <c r="F349" i="20" s="1"/>
  <c r="D145" i="20"/>
  <c r="F145" i="20" s="1"/>
  <c r="D502" i="20"/>
  <c r="F502" i="20" s="1"/>
  <c r="D451" i="20"/>
  <c r="F451" i="20" s="1"/>
  <c r="K1956" i="20"/>
  <c r="M4663" i="20"/>
  <c r="M9410" i="20"/>
  <c r="M8981" i="20"/>
  <c r="M4407" i="20"/>
  <c r="D3317" i="20"/>
  <c r="F3317" i="20" s="1"/>
  <c r="J3317" i="20" s="1"/>
  <c r="D3164" i="20"/>
  <c r="F3164" i="20" s="1"/>
  <c r="J3164" i="20" s="1"/>
  <c r="D3062" i="20"/>
  <c r="F3062" i="20" s="1"/>
  <c r="J3062" i="20" s="1"/>
  <c r="D2807" i="20"/>
  <c r="F2807" i="20" s="1"/>
  <c r="J2807" i="20" s="1"/>
  <c r="D3011" i="20"/>
  <c r="F3011" i="20" s="1"/>
  <c r="J3011" i="20" s="1"/>
  <c r="D2960" i="20"/>
  <c r="F2960" i="20" s="1"/>
  <c r="J2960" i="20" s="1"/>
  <c r="D2756" i="20"/>
  <c r="F2756" i="20" s="1"/>
  <c r="J2756" i="20" s="1"/>
  <c r="D2705" i="20"/>
  <c r="F2705" i="20" s="1"/>
  <c r="J2705" i="20" s="1"/>
  <c r="D2909" i="20"/>
  <c r="F2909" i="20" s="1"/>
  <c r="J2909" i="20" s="1"/>
  <c r="D3266" i="20"/>
  <c r="F3266" i="20" s="1"/>
  <c r="J3266" i="20" s="1"/>
  <c r="D3215" i="20"/>
  <c r="F3215" i="20" s="1"/>
  <c r="J3215" i="20" s="1"/>
  <c r="D3113" i="20"/>
  <c r="F3113" i="20" s="1"/>
  <c r="J3113" i="20" s="1"/>
  <c r="D2858" i="20"/>
  <c r="F2858" i="20" s="1"/>
  <c r="J2858" i="20" s="1"/>
  <c r="D2654" i="20"/>
  <c r="F2654" i="20" s="1"/>
  <c r="J2654" i="20" s="1"/>
  <c r="D5309" i="20"/>
  <c r="F5309" i="20" s="1"/>
  <c r="J5309" i="20" s="1"/>
  <c r="D5207" i="20"/>
  <c r="F5207" i="20" s="1"/>
  <c r="J5207" i="20" s="1"/>
  <c r="D5360" i="20"/>
  <c r="F5360" i="20" s="1"/>
  <c r="J5360" i="20" s="1"/>
  <c r="D5258" i="20"/>
  <c r="F5258" i="20" s="1"/>
  <c r="J5258" i="20" s="1"/>
  <c r="D2603" i="20"/>
  <c r="F2603" i="20" s="1"/>
  <c r="J2603" i="20" s="1"/>
  <c r="D5105" i="20"/>
  <c r="F5105" i="20" s="1"/>
  <c r="J5105" i="20" s="1"/>
  <c r="D5156" i="20"/>
  <c r="F5156" i="20" s="1"/>
  <c r="J5156" i="20" s="1"/>
  <c r="D6758" i="20"/>
  <c r="F6758" i="20" s="1"/>
  <c r="J6758" i="20" s="1"/>
  <c r="D6811" i="20"/>
  <c r="F6811" i="20" s="1"/>
  <c r="J6811" i="20" s="1"/>
  <c r="D5054" i="20"/>
  <c r="F5054" i="20" s="1"/>
  <c r="J5054" i="20" s="1"/>
  <c r="D2552" i="20"/>
  <c r="F2552" i="20" s="1"/>
  <c r="J2552" i="20" s="1"/>
  <c r="D2501" i="20"/>
  <c r="F2501" i="20" s="1"/>
  <c r="J2501" i="20" s="1"/>
  <c r="D5003" i="20"/>
  <c r="F5003" i="20" s="1"/>
  <c r="J5003" i="20" s="1"/>
  <c r="D8586" i="20"/>
  <c r="F8586" i="20" s="1"/>
  <c r="J8586" i="20" s="1"/>
  <c r="D8641" i="20"/>
  <c r="F8641" i="20" s="1"/>
  <c r="J8641" i="20" s="1"/>
  <c r="D4952" i="20"/>
  <c r="F4952" i="20" s="1"/>
  <c r="J4952" i="20" s="1"/>
  <c r="D8531" i="20"/>
  <c r="F8531" i="20" s="1"/>
  <c r="J8531" i="20" s="1"/>
  <c r="D2297" i="20"/>
  <c r="F2297" i="20" s="1"/>
  <c r="J2297" i="20" s="1"/>
  <c r="D4850" i="20"/>
  <c r="F4850" i="20" s="1"/>
  <c r="J4850" i="20" s="1"/>
  <c r="D2450" i="20"/>
  <c r="F2450" i="20" s="1"/>
  <c r="J2450" i="20" s="1"/>
  <c r="D2399" i="20"/>
  <c r="F2399" i="20" s="1"/>
  <c r="J2399" i="20" s="1"/>
  <c r="D2348" i="20"/>
  <c r="F2348" i="20" s="1"/>
  <c r="J2348" i="20" s="1"/>
  <c r="D6706" i="20"/>
  <c r="F6706" i="20" s="1"/>
  <c r="J6706" i="20" s="1"/>
  <c r="D6654" i="20"/>
  <c r="F6654" i="20" s="1"/>
  <c r="J6654" i="20" s="1"/>
  <c r="D6602" i="20"/>
  <c r="F6602" i="20" s="1"/>
  <c r="J6602" i="20" s="1"/>
  <c r="D4901" i="20"/>
  <c r="F4901" i="20" s="1"/>
  <c r="J4901" i="20" s="1"/>
  <c r="D8476" i="20"/>
  <c r="F8476" i="20" s="1"/>
  <c r="J8476" i="20" s="1"/>
  <c r="D8429" i="20"/>
  <c r="F8429" i="20" s="1"/>
  <c r="J8429" i="20" s="1"/>
  <c r="D9445" i="20"/>
  <c r="F9445" i="20" s="1"/>
  <c r="J9445" i="20" s="1"/>
  <c r="D2143" i="20"/>
  <c r="F2143" i="20" s="1"/>
  <c r="J2143" i="20" s="1"/>
  <c r="D2041" i="20"/>
  <c r="F2041" i="20" s="1"/>
  <c r="J2041" i="20" s="1"/>
  <c r="D6550" i="20"/>
  <c r="F6550" i="20" s="1"/>
  <c r="J6550" i="20" s="1"/>
  <c r="D2092" i="20"/>
  <c r="F2092" i="20" s="1"/>
  <c r="J2092" i="20" s="1"/>
  <c r="D1837" i="20"/>
  <c r="F1837" i="20" s="1"/>
  <c r="J1837" i="20" s="1"/>
  <c r="D9549" i="20"/>
  <c r="F9549" i="20" s="1"/>
  <c r="J9549" i="20" s="1"/>
  <c r="D9233" i="20"/>
  <c r="F9233" i="20" s="1"/>
  <c r="J9233" i="20" s="1"/>
  <c r="D2246" i="20"/>
  <c r="F2246" i="20" s="1"/>
  <c r="J2246" i="20" s="1"/>
  <c r="D2194" i="20"/>
  <c r="F2194" i="20" s="1"/>
  <c r="J2194" i="20" s="1"/>
  <c r="D6498" i="20"/>
  <c r="F6498" i="20" s="1"/>
  <c r="J6498" i="20" s="1"/>
  <c r="D4748" i="20"/>
  <c r="F4748" i="20" s="1"/>
  <c r="J4748" i="20" s="1"/>
  <c r="D6446" i="20"/>
  <c r="F6446" i="20" s="1"/>
  <c r="J6446" i="20" s="1"/>
  <c r="D4799" i="20"/>
  <c r="F4799" i="20" s="1"/>
  <c r="J4799" i="20" s="1"/>
  <c r="D4697" i="20"/>
  <c r="F4697" i="20" s="1"/>
  <c r="J4697" i="20" s="1"/>
  <c r="D1888" i="20"/>
  <c r="F1888" i="20" s="1"/>
  <c r="J1888" i="20" s="1"/>
  <c r="D9392" i="20"/>
  <c r="F9392" i="20" s="1"/>
  <c r="J9392" i="20" s="1"/>
  <c r="D9340" i="20"/>
  <c r="F9340" i="20" s="1"/>
  <c r="J9340" i="20" s="1"/>
  <c r="D9288" i="20"/>
  <c r="F9288" i="20" s="1"/>
  <c r="J9288" i="20" s="1"/>
  <c r="D6394" i="20"/>
  <c r="F6394" i="20" s="1"/>
  <c r="J6394" i="20" s="1"/>
  <c r="D1939" i="20"/>
  <c r="F1939" i="20" s="1"/>
  <c r="J1939" i="20" s="1"/>
  <c r="D9497" i="20"/>
  <c r="F9497" i="20" s="1"/>
  <c r="J9497" i="20" s="1"/>
  <c r="D6343" i="20"/>
  <c r="F6343" i="20" s="1"/>
  <c r="J6343" i="20" s="1"/>
  <c r="D1990" i="20"/>
  <c r="F1990" i="20" s="1"/>
  <c r="J1990" i="20" s="1"/>
  <c r="D1786" i="20"/>
  <c r="F1786" i="20" s="1"/>
  <c r="J1786" i="20" s="1"/>
  <c r="D1581" i="20"/>
  <c r="F1581" i="20" s="1"/>
  <c r="J1581" i="20" s="1"/>
  <c r="D1326" i="20"/>
  <c r="F1326" i="20" s="1"/>
  <c r="J1326" i="20" s="1"/>
  <c r="D1377" i="20"/>
  <c r="F1377" i="20" s="1"/>
  <c r="J1377" i="20" s="1"/>
  <c r="D1632" i="20"/>
  <c r="F1632" i="20" s="1"/>
  <c r="J1632" i="20" s="1"/>
  <c r="D1428" i="20"/>
  <c r="F1428" i="20" s="1"/>
  <c r="J1428" i="20" s="1"/>
  <c r="D1683" i="20"/>
  <c r="F1683" i="20" s="1"/>
  <c r="J1683" i="20" s="1"/>
  <c r="D1479" i="20"/>
  <c r="F1479" i="20" s="1"/>
  <c r="J1479" i="20" s="1"/>
  <c r="D1224" i="20"/>
  <c r="F1224" i="20" s="1"/>
  <c r="J1224" i="20" s="1"/>
  <c r="D1275" i="20"/>
  <c r="F1275" i="20" s="1"/>
  <c r="J1275" i="20" s="1"/>
  <c r="D1735" i="20"/>
  <c r="F1735" i="20" s="1"/>
  <c r="J1735" i="20" s="1"/>
  <c r="D1530" i="20"/>
  <c r="F1530" i="20" s="1"/>
  <c r="J1530" i="20" s="1"/>
  <c r="D1173" i="20"/>
  <c r="F1173" i="20" s="1"/>
  <c r="J1173" i="20" s="1"/>
  <c r="D914" i="20"/>
  <c r="F914" i="20" s="1"/>
  <c r="J914" i="20" s="1"/>
  <c r="D965" i="20"/>
  <c r="F965" i="20" s="1"/>
  <c r="J965" i="20" s="1"/>
  <c r="D1016" i="20"/>
  <c r="F1016" i="20" s="1"/>
  <c r="J1016" i="20" s="1"/>
  <c r="D863" i="20"/>
  <c r="F863" i="20" s="1"/>
  <c r="J863" i="20" s="1"/>
  <c r="D1067" i="20"/>
  <c r="F1067" i="20" s="1"/>
  <c r="J1067" i="20" s="1"/>
  <c r="D1122" i="20"/>
  <c r="F1122" i="20" s="1"/>
  <c r="J1122" i="20" s="1"/>
  <c r="D8964" i="20"/>
  <c r="F8964" i="20" s="1"/>
  <c r="J8964" i="20" s="1"/>
  <c r="D9019" i="20"/>
  <c r="F9019" i="20" s="1"/>
  <c r="J9019" i="20" s="1"/>
  <c r="D9129" i="20"/>
  <c r="F9129" i="20" s="1"/>
  <c r="J9129" i="20" s="1"/>
  <c r="D9181" i="20"/>
  <c r="F9181" i="20" s="1"/>
  <c r="J9181" i="20" s="1"/>
  <c r="D6291" i="20"/>
  <c r="F6291" i="20" s="1"/>
  <c r="J6291" i="20" s="1"/>
  <c r="D6083" i="20"/>
  <c r="F6083" i="20" s="1"/>
  <c r="J6083" i="20" s="1"/>
  <c r="D6239" i="20"/>
  <c r="F6239" i="20" s="1"/>
  <c r="J6239" i="20" s="1"/>
  <c r="D6187" i="20"/>
  <c r="F6187" i="20" s="1"/>
  <c r="J6187" i="20" s="1"/>
  <c r="D6135" i="20"/>
  <c r="F6135" i="20" s="1"/>
  <c r="J6135" i="20" s="1"/>
  <c r="D8382" i="20"/>
  <c r="F8382" i="20" s="1"/>
  <c r="J8382" i="20" s="1"/>
  <c r="D5979" i="20"/>
  <c r="F5979" i="20" s="1"/>
  <c r="J5979" i="20" s="1"/>
  <c r="D4646" i="20"/>
  <c r="F4646" i="20" s="1"/>
  <c r="J4646" i="20" s="1"/>
  <c r="D658" i="20"/>
  <c r="F658" i="20" s="1"/>
  <c r="J658" i="20" s="1"/>
  <c r="D6031" i="20"/>
  <c r="F6031" i="20" s="1"/>
  <c r="J6031" i="20" s="1"/>
  <c r="D4543" i="20"/>
  <c r="F4543" i="20" s="1"/>
  <c r="J4543" i="20" s="1"/>
  <c r="D607" i="20"/>
  <c r="F607" i="20" s="1"/>
  <c r="J607" i="20" s="1"/>
  <c r="D4594" i="20"/>
  <c r="F4594" i="20" s="1"/>
  <c r="J4594" i="20" s="1"/>
  <c r="D811" i="20"/>
  <c r="F811" i="20" s="1"/>
  <c r="J811" i="20" s="1"/>
  <c r="D760" i="20"/>
  <c r="F760" i="20" s="1"/>
  <c r="J760" i="20" s="1"/>
  <c r="D709" i="20"/>
  <c r="F709" i="20" s="1"/>
  <c r="J709" i="20" s="1"/>
  <c r="D5927" i="20"/>
  <c r="F5927" i="20" s="1"/>
  <c r="J5927" i="20" s="1"/>
  <c r="D556" i="20"/>
  <c r="F556" i="20" s="1"/>
  <c r="J556" i="20" s="1"/>
  <c r="D300" i="20"/>
  <c r="F300" i="20" s="1"/>
  <c r="J300" i="20" s="1"/>
  <c r="D4492" i="20"/>
  <c r="F4492" i="20" s="1"/>
  <c r="J4492" i="20" s="1"/>
  <c r="D351" i="20"/>
  <c r="F351" i="20" s="1"/>
  <c r="J351" i="20" s="1"/>
  <c r="D147" i="20"/>
  <c r="F147" i="20" s="1"/>
  <c r="J147" i="20" s="1"/>
  <c r="D504" i="20"/>
  <c r="F504" i="20" s="1"/>
  <c r="J504" i="20" s="1"/>
  <c r="D453" i="20"/>
  <c r="F453" i="20" s="1"/>
  <c r="J453" i="20" s="1"/>
  <c r="D402" i="20"/>
  <c r="F402" i="20" s="1"/>
  <c r="J402" i="20" s="1"/>
  <c r="D198" i="20"/>
  <c r="F198" i="20" s="1"/>
  <c r="J198" i="20" s="1"/>
  <c r="D4390" i="20"/>
  <c r="F4390" i="20" s="1"/>
  <c r="J4390" i="20" s="1"/>
  <c r="D96" i="20"/>
  <c r="F96" i="20" s="1"/>
  <c r="J96" i="20" s="1"/>
  <c r="D4441" i="20"/>
  <c r="F4441" i="20" s="1"/>
  <c r="J4441" i="20" s="1"/>
  <c r="D249" i="20"/>
  <c r="F249" i="20" s="1"/>
  <c r="J249" i="20" s="1"/>
  <c r="D44" i="20"/>
  <c r="F44" i="20" s="1"/>
  <c r="J44" i="20" s="1"/>
  <c r="D3316" i="20"/>
  <c r="F3316" i="20" s="1"/>
  <c r="J3316" i="20" s="1"/>
  <c r="D3214" i="20"/>
  <c r="F3214" i="20" s="1"/>
  <c r="J3214" i="20" s="1"/>
  <c r="D3112" i="20"/>
  <c r="F3112" i="20" s="1"/>
  <c r="J3112" i="20" s="1"/>
  <c r="D2857" i="20"/>
  <c r="F2857" i="20" s="1"/>
  <c r="J2857" i="20" s="1"/>
  <c r="D2653" i="20"/>
  <c r="F2653" i="20" s="1"/>
  <c r="J2653" i="20" s="1"/>
  <c r="D3163" i="20"/>
  <c r="F3163" i="20" s="1"/>
  <c r="J3163" i="20" s="1"/>
  <c r="D3061" i="20"/>
  <c r="F3061" i="20" s="1"/>
  <c r="J3061" i="20" s="1"/>
  <c r="D2959" i="20"/>
  <c r="F2959" i="20" s="1"/>
  <c r="J2959" i="20" s="1"/>
  <c r="D2806" i="20"/>
  <c r="F2806" i="20" s="1"/>
  <c r="J2806" i="20" s="1"/>
  <c r="D3010" i="20"/>
  <c r="F3010" i="20" s="1"/>
  <c r="J3010" i="20" s="1"/>
  <c r="D2755" i="20"/>
  <c r="F2755" i="20" s="1"/>
  <c r="J2755" i="20" s="1"/>
  <c r="D2908" i="20"/>
  <c r="F2908" i="20" s="1"/>
  <c r="J2908" i="20" s="1"/>
  <c r="D3265" i="20"/>
  <c r="F3265" i="20" s="1"/>
  <c r="J3265" i="20" s="1"/>
  <c r="D2704" i="20"/>
  <c r="F2704" i="20" s="1"/>
  <c r="J2704" i="20" s="1"/>
  <c r="D5206" i="20"/>
  <c r="F5206" i="20" s="1"/>
  <c r="J5206" i="20" s="1"/>
  <c r="D5308" i="20"/>
  <c r="F5308" i="20" s="1"/>
  <c r="J5308" i="20" s="1"/>
  <c r="D5359" i="20"/>
  <c r="F5359" i="20" s="1"/>
  <c r="J5359" i="20" s="1"/>
  <c r="D5257" i="20"/>
  <c r="F5257" i="20" s="1"/>
  <c r="J5257" i="20" s="1"/>
  <c r="D2602" i="20"/>
  <c r="F2602" i="20" s="1"/>
  <c r="J2602" i="20" s="1"/>
  <c r="D5104" i="20"/>
  <c r="F5104" i="20" s="1"/>
  <c r="J5104" i="20" s="1"/>
  <c r="D5053" i="20"/>
  <c r="F5053" i="20" s="1"/>
  <c r="J5053" i="20" s="1"/>
  <c r="D5155" i="20"/>
  <c r="F5155" i="20" s="1"/>
  <c r="J5155" i="20" s="1"/>
  <c r="D6757" i="20"/>
  <c r="F6757" i="20" s="1"/>
  <c r="J6757" i="20" s="1"/>
  <c r="D6810" i="20"/>
  <c r="F6810" i="20" s="1"/>
  <c r="J6810" i="20" s="1"/>
  <c r="D2500" i="20"/>
  <c r="F2500" i="20" s="1"/>
  <c r="J2500" i="20" s="1"/>
  <c r="D2551" i="20"/>
  <c r="F2551" i="20" s="1"/>
  <c r="J2551" i="20" s="1"/>
  <c r="D5002" i="20"/>
  <c r="F5002" i="20" s="1"/>
  <c r="J5002" i="20" s="1"/>
  <c r="D8585" i="20"/>
  <c r="F8585" i="20" s="1"/>
  <c r="J8585" i="20" s="1"/>
  <c r="D8640" i="20"/>
  <c r="F8640" i="20" s="1"/>
  <c r="J8640" i="20" s="1"/>
  <c r="D6653" i="20"/>
  <c r="F6653" i="20" s="1"/>
  <c r="J6653" i="20" s="1"/>
  <c r="D6601" i="20"/>
  <c r="F6601" i="20" s="1"/>
  <c r="J6601" i="20" s="1"/>
  <c r="D4900" i="20"/>
  <c r="F4900" i="20" s="1"/>
  <c r="J4900" i="20" s="1"/>
  <c r="D4951" i="20"/>
  <c r="F4951" i="20" s="1"/>
  <c r="J4951" i="20" s="1"/>
  <c r="D8530" i="20"/>
  <c r="F8530" i="20" s="1"/>
  <c r="J8530" i="20" s="1"/>
  <c r="D2296" i="20"/>
  <c r="F2296" i="20" s="1"/>
  <c r="J2296" i="20" s="1"/>
  <c r="D4849" i="20"/>
  <c r="F4849" i="20" s="1"/>
  <c r="J4849" i="20" s="1"/>
  <c r="D2449" i="20"/>
  <c r="F2449" i="20" s="1"/>
  <c r="J2449" i="20" s="1"/>
  <c r="D2398" i="20"/>
  <c r="F2398" i="20" s="1"/>
  <c r="J2398" i="20" s="1"/>
  <c r="D2347" i="20"/>
  <c r="F2347" i="20" s="1"/>
  <c r="J2347" i="20" s="1"/>
  <c r="D6705" i="20"/>
  <c r="F6705" i="20" s="1"/>
  <c r="J6705" i="20" s="1"/>
  <c r="D8428" i="20"/>
  <c r="F8428" i="20" s="1"/>
  <c r="J8428" i="20" s="1"/>
  <c r="D8475" i="20"/>
  <c r="F8475" i="20" s="1"/>
  <c r="J8475" i="20" s="1"/>
  <c r="D1938" i="20"/>
  <c r="F1938" i="20" s="1"/>
  <c r="J1938" i="20" s="1"/>
  <c r="D9496" i="20"/>
  <c r="F9496" i="20" s="1"/>
  <c r="J9496" i="20" s="1"/>
  <c r="D6393" i="20"/>
  <c r="F6393" i="20" s="1"/>
  <c r="J6393" i="20" s="1"/>
  <c r="D1989" i="20"/>
  <c r="F1989" i="20" s="1"/>
  <c r="J1989" i="20" s="1"/>
  <c r="D9444" i="20"/>
  <c r="F9444" i="20" s="1"/>
  <c r="J9444" i="20" s="1"/>
  <c r="D2142" i="20"/>
  <c r="F2142" i="20" s="1"/>
  <c r="J2142" i="20" s="1"/>
  <c r="D2040" i="20"/>
  <c r="F2040" i="20" s="1"/>
  <c r="J2040" i="20" s="1"/>
  <c r="D9287" i="20"/>
  <c r="F9287" i="20" s="1"/>
  <c r="J9287" i="20" s="1"/>
  <c r="D4696" i="20"/>
  <c r="F4696" i="20" s="1"/>
  <c r="J4696" i="20" s="1"/>
  <c r="D2091" i="20"/>
  <c r="F2091" i="20" s="1"/>
  <c r="J2091" i="20" s="1"/>
  <c r="D1836" i="20"/>
  <c r="F1836" i="20" s="1"/>
  <c r="J1836" i="20" s="1"/>
  <c r="D9548" i="20"/>
  <c r="F9548" i="20" s="1"/>
  <c r="J9548" i="20" s="1"/>
  <c r="D6549" i="20"/>
  <c r="F6549" i="20" s="1"/>
  <c r="J6549" i="20" s="1"/>
  <c r="D6497" i="20"/>
  <c r="F6497" i="20" s="1"/>
  <c r="J6497" i="20" s="1"/>
  <c r="D4747" i="20"/>
  <c r="F4747" i="20" s="1"/>
  <c r="J4747" i="20" s="1"/>
  <c r="D9391" i="20"/>
  <c r="F9391" i="20" s="1"/>
  <c r="J9391" i="20" s="1"/>
  <c r="D9232" i="20"/>
  <c r="F9232" i="20" s="1"/>
  <c r="J9232" i="20" s="1"/>
  <c r="D2245" i="20"/>
  <c r="F2245" i="20" s="1"/>
  <c r="J2245" i="20" s="1"/>
  <c r="D2193" i="20"/>
  <c r="F2193" i="20" s="1"/>
  <c r="J2193" i="20" s="1"/>
  <c r="D6342" i="20"/>
  <c r="F6342" i="20" s="1"/>
  <c r="J6342" i="20" s="1"/>
  <c r="D6445" i="20"/>
  <c r="F6445" i="20" s="1"/>
  <c r="J6445" i="20" s="1"/>
  <c r="D4798" i="20"/>
  <c r="F4798" i="20" s="1"/>
  <c r="J4798" i="20" s="1"/>
  <c r="D1887" i="20"/>
  <c r="F1887" i="20" s="1"/>
  <c r="J1887" i="20" s="1"/>
  <c r="D9339" i="20"/>
  <c r="F9339" i="20" s="1"/>
  <c r="J9339" i="20" s="1"/>
  <c r="D1734" i="20"/>
  <c r="F1734" i="20" s="1"/>
  <c r="J1734" i="20" s="1"/>
  <c r="D1529" i="20"/>
  <c r="F1529" i="20" s="1"/>
  <c r="J1529" i="20" s="1"/>
  <c r="D1223" i="20"/>
  <c r="F1223" i="20" s="1"/>
  <c r="J1223" i="20" s="1"/>
  <c r="D1274" i="20"/>
  <c r="F1274" i="20" s="1"/>
  <c r="J1274" i="20" s="1"/>
  <c r="D1785" i="20"/>
  <c r="F1785" i="20" s="1"/>
  <c r="J1785" i="20" s="1"/>
  <c r="D1580" i="20"/>
  <c r="F1580" i="20" s="1"/>
  <c r="J1580" i="20" s="1"/>
  <c r="D1325" i="20"/>
  <c r="F1325" i="20" s="1"/>
  <c r="J1325" i="20" s="1"/>
  <c r="D1376" i="20"/>
  <c r="F1376" i="20" s="1"/>
  <c r="J1376" i="20" s="1"/>
  <c r="D1631" i="20"/>
  <c r="F1631" i="20" s="1"/>
  <c r="J1631" i="20" s="1"/>
  <c r="D1427" i="20"/>
  <c r="F1427" i="20" s="1"/>
  <c r="J1427" i="20" s="1"/>
  <c r="D1682" i="20"/>
  <c r="F1682" i="20" s="1"/>
  <c r="J1682" i="20" s="1"/>
  <c r="D1478" i="20"/>
  <c r="F1478" i="20" s="1"/>
  <c r="J1478" i="20" s="1"/>
  <c r="D1066" i="20"/>
  <c r="F1066" i="20" s="1"/>
  <c r="J1066" i="20" s="1"/>
  <c r="D1121" i="20"/>
  <c r="F1121" i="20" s="1"/>
  <c r="J1121" i="20" s="1"/>
  <c r="D1172" i="20"/>
  <c r="F1172" i="20" s="1"/>
  <c r="J1172" i="20" s="1"/>
  <c r="D913" i="20"/>
  <c r="F913" i="20" s="1"/>
  <c r="J913" i="20" s="1"/>
  <c r="D964" i="20"/>
  <c r="F964" i="20" s="1"/>
  <c r="J964" i="20" s="1"/>
  <c r="D1015" i="20"/>
  <c r="F1015" i="20" s="1"/>
  <c r="J1015" i="20" s="1"/>
  <c r="D862" i="20"/>
  <c r="F862" i="20" s="1"/>
  <c r="J862" i="20" s="1"/>
  <c r="D9180" i="20"/>
  <c r="F9180" i="20" s="1"/>
  <c r="J9180" i="20" s="1"/>
  <c r="D9018" i="20"/>
  <c r="F9018" i="20" s="1"/>
  <c r="J9018" i="20" s="1"/>
  <c r="D8963" i="20"/>
  <c r="F8963" i="20" s="1"/>
  <c r="J8963" i="20" s="1"/>
  <c r="D9128" i="20"/>
  <c r="F9128" i="20" s="1"/>
  <c r="J9128" i="20" s="1"/>
  <c r="D8381" i="20"/>
  <c r="F8381" i="20" s="1"/>
  <c r="J8381" i="20" s="1"/>
  <c r="D6082" i="20"/>
  <c r="F6082" i="20" s="1"/>
  <c r="J6082" i="20" s="1"/>
  <c r="D6290" i="20"/>
  <c r="F6290" i="20" s="1"/>
  <c r="J6290" i="20" s="1"/>
  <c r="D6238" i="20"/>
  <c r="F6238" i="20" s="1"/>
  <c r="J6238" i="20" s="1"/>
  <c r="D6186" i="20"/>
  <c r="F6186" i="20" s="1"/>
  <c r="J6186" i="20" s="1"/>
  <c r="D6134" i="20"/>
  <c r="F6134" i="20" s="1"/>
  <c r="J6134" i="20" s="1"/>
  <c r="D4593" i="20"/>
  <c r="F4593" i="20" s="1"/>
  <c r="J4593" i="20" s="1"/>
  <c r="D810" i="20"/>
  <c r="F810" i="20" s="1"/>
  <c r="J810" i="20" s="1"/>
  <c r="D759" i="20"/>
  <c r="F759" i="20" s="1"/>
  <c r="J759" i="20" s="1"/>
  <c r="D708" i="20"/>
  <c r="F708" i="20" s="1"/>
  <c r="J708" i="20" s="1"/>
  <c r="D5926" i="20"/>
  <c r="F5926" i="20" s="1"/>
  <c r="J5926" i="20" s="1"/>
  <c r="D5978" i="20"/>
  <c r="F5978" i="20" s="1"/>
  <c r="J5978" i="20" s="1"/>
  <c r="D4645" i="20"/>
  <c r="F4645" i="20" s="1"/>
  <c r="J4645" i="20" s="1"/>
  <c r="D657" i="20"/>
  <c r="F657" i="20" s="1"/>
  <c r="J657" i="20" s="1"/>
  <c r="D6030" i="20"/>
  <c r="F6030" i="20" s="1"/>
  <c r="J6030" i="20" s="1"/>
  <c r="D4542" i="20"/>
  <c r="F4542" i="20" s="1"/>
  <c r="J4542" i="20" s="1"/>
  <c r="D606" i="20"/>
  <c r="F606" i="20" s="1"/>
  <c r="J606" i="20" s="1"/>
  <c r="D555" i="20"/>
  <c r="F555" i="20" s="1"/>
  <c r="J555" i="20" s="1"/>
  <c r="D4440" i="20"/>
  <c r="F4440" i="20" s="1"/>
  <c r="J4440" i="20" s="1"/>
  <c r="D248" i="20"/>
  <c r="F248" i="20" s="1"/>
  <c r="J248" i="20" s="1"/>
  <c r="D299" i="20"/>
  <c r="F299" i="20" s="1"/>
  <c r="J299" i="20" s="1"/>
  <c r="D95" i="20"/>
  <c r="F95" i="20" s="1"/>
  <c r="J95" i="20" s="1"/>
  <c r="D4491" i="20"/>
  <c r="F4491" i="20" s="1"/>
  <c r="J4491" i="20" s="1"/>
  <c r="D350" i="20"/>
  <c r="F350" i="20" s="1"/>
  <c r="J350" i="20" s="1"/>
  <c r="D146" i="20"/>
  <c r="F146" i="20" s="1"/>
  <c r="J146" i="20" s="1"/>
  <c r="D503" i="20"/>
  <c r="F503" i="20" s="1"/>
  <c r="J503" i="20" s="1"/>
  <c r="D452" i="20"/>
  <c r="F452" i="20" s="1"/>
  <c r="J452" i="20" s="1"/>
  <c r="D401" i="20"/>
  <c r="F401" i="20" s="1"/>
  <c r="J401" i="20" s="1"/>
  <c r="D197" i="20"/>
  <c r="F197" i="20" s="1"/>
  <c r="J197" i="20" s="1"/>
  <c r="D4389" i="20"/>
  <c r="F4389" i="20" s="1"/>
  <c r="J4389" i="20" s="1"/>
  <c r="M9514" i="20"/>
  <c r="M9305" i="20"/>
  <c r="M9462" i="20"/>
  <c r="K2977" i="20"/>
  <c r="K2926" i="20"/>
  <c r="K2824" i="20"/>
  <c r="K2620" i="20"/>
  <c r="K3181" i="20"/>
  <c r="K3028" i="20"/>
  <c r="K2773" i="20"/>
  <c r="K3079" i="20"/>
  <c r="K2671" i="20"/>
  <c r="K3232" i="20"/>
  <c r="K3130" i="20"/>
  <c r="K2875" i="20"/>
  <c r="K2722" i="20"/>
  <c r="K2467" i="20"/>
  <c r="K8548" i="20"/>
  <c r="K2314" i="20"/>
  <c r="K2263" i="20"/>
  <c r="K2365" i="20"/>
  <c r="K2058" i="20"/>
  <c r="K1905" i="20"/>
  <c r="K1854" i="20"/>
  <c r="K2007" i="20"/>
  <c r="K931" i="20"/>
  <c r="K1190" i="20"/>
  <c r="K1088" i="20"/>
  <c r="K1496" i="20"/>
  <c r="K1649" i="20"/>
  <c r="K1343" i="20"/>
  <c r="K829" i="20"/>
  <c r="K1033" i="20"/>
  <c r="K1445" i="20"/>
  <c r="K1752" i="20"/>
  <c r="K1394" i="20"/>
  <c r="K1139" i="20"/>
  <c r="K880" i="20"/>
  <c r="K1547" i="20"/>
  <c r="K1701" i="20"/>
  <c r="K1292" i="20"/>
  <c r="K982" i="20"/>
  <c r="K5892" i="20"/>
  <c r="K777" i="20"/>
  <c r="K726" i="20"/>
  <c r="K675" i="20"/>
  <c r="K624" i="20"/>
  <c r="K573" i="20"/>
  <c r="K113" i="20"/>
  <c r="K317" i="20"/>
  <c r="K470" i="20"/>
  <c r="K164" i="20"/>
  <c r="K266" i="20"/>
  <c r="K4356" i="20"/>
  <c r="K215" i="20"/>
  <c r="S20" i="5"/>
  <c r="T20" i="5" s="1"/>
  <c r="S12" i="5"/>
  <c r="T12" i="5" s="1"/>
  <c r="H4287" i="20" l="1"/>
  <c r="J4284" i="20"/>
  <c r="J5870" i="20"/>
  <c r="H5873" i="20"/>
  <c r="J5819" i="20"/>
  <c r="H5822" i="20"/>
  <c r="H9758" i="20"/>
  <c r="J9755" i="20"/>
  <c r="H4236" i="20"/>
  <c r="J4233" i="20"/>
  <c r="H7753" i="20"/>
  <c r="J7750" i="20"/>
  <c r="H7962" i="20"/>
  <c r="J7959" i="20"/>
  <c r="H9706" i="20"/>
  <c r="J9703" i="20"/>
  <c r="H7858" i="20"/>
  <c r="J7855" i="20"/>
  <c r="H8862" i="20"/>
  <c r="J8859" i="20"/>
  <c r="H8014" i="20"/>
  <c r="J8011" i="20"/>
  <c r="H4032" i="20"/>
  <c r="J4029" i="20"/>
  <c r="H8909" i="20"/>
  <c r="J8906" i="20"/>
  <c r="H4185" i="20"/>
  <c r="J4182" i="20"/>
  <c r="H9810" i="20"/>
  <c r="J9807" i="20"/>
  <c r="H4083" i="20"/>
  <c r="J4080" i="20"/>
  <c r="H7806" i="20"/>
  <c r="J7803" i="20"/>
  <c r="H4134" i="20"/>
  <c r="J4131" i="20"/>
  <c r="H3981" i="20"/>
  <c r="J3978" i="20"/>
  <c r="H8170" i="20"/>
  <c r="J8167" i="20"/>
  <c r="H8066" i="20"/>
  <c r="J8063" i="20"/>
  <c r="H8118" i="20"/>
  <c r="J8115" i="20"/>
  <c r="H9862" i="20"/>
  <c r="J9859" i="20"/>
  <c r="H8222" i="20"/>
  <c r="J8219" i="20"/>
  <c r="H9654" i="20"/>
  <c r="J9651" i="20"/>
  <c r="H5771" i="20"/>
  <c r="J5768" i="20"/>
  <c r="H7910" i="20"/>
  <c r="J7907" i="20"/>
  <c r="B272" i="4"/>
  <c r="B280" i="4" s="1"/>
  <c r="B274" i="4"/>
  <c r="J7435" i="20"/>
  <c r="H7436" i="20"/>
  <c r="J3521" i="20"/>
  <c r="H3522" i="20"/>
  <c r="J6967" i="20"/>
  <c r="H6968" i="20"/>
  <c r="J7647" i="20"/>
  <c r="H7648" i="20"/>
  <c r="J7123" i="20"/>
  <c r="H7124" i="20"/>
  <c r="J5668" i="20"/>
  <c r="H5669" i="20"/>
  <c r="J7487" i="20"/>
  <c r="H7488" i="20"/>
  <c r="J3419" i="20"/>
  <c r="H3420" i="20"/>
  <c r="J7699" i="20"/>
  <c r="H7700" i="20"/>
  <c r="J8806" i="20"/>
  <c r="H8807" i="20"/>
  <c r="J7331" i="20"/>
  <c r="H7332" i="20"/>
  <c r="H3879" i="20"/>
  <c r="J3878" i="20"/>
  <c r="J3725" i="20"/>
  <c r="H3726" i="20"/>
  <c r="J3470" i="20"/>
  <c r="H3471" i="20"/>
  <c r="J7383" i="20"/>
  <c r="H7384" i="20"/>
  <c r="J9074" i="20"/>
  <c r="H9075" i="20"/>
  <c r="J3674" i="20"/>
  <c r="H3675" i="20"/>
  <c r="J5719" i="20"/>
  <c r="H5720" i="20"/>
  <c r="J5514" i="20"/>
  <c r="H5515" i="20"/>
  <c r="J8751" i="20"/>
  <c r="H8752" i="20"/>
  <c r="J5617" i="20"/>
  <c r="H5618" i="20"/>
  <c r="J3776" i="20"/>
  <c r="H3777" i="20"/>
  <c r="J7539" i="20"/>
  <c r="H7540" i="20"/>
  <c r="J5565" i="20"/>
  <c r="H5566" i="20"/>
  <c r="J5412" i="20"/>
  <c r="H5413" i="20"/>
  <c r="J3368" i="20"/>
  <c r="H3369" i="20"/>
  <c r="J7019" i="20"/>
  <c r="H7020" i="20"/>
  <c r="J3623" i="20"/>
  <c r="H3624" i="20"/>
  <c r="J7175" i="20"/>
  <c r="H7176" i="20"/>
  <c r="J3929" i="20"/>
  <c r="H3930" i="20"/>
  <c r="J6915" i="20"/>
  <c r="H6916" i="20"/>
  <c r="J8696" i="20"/>
  <c r="H8697" i="20"/>
  <c r="J7227" i="20"/>
  <c r="H7228" i="20"/>
  <c r="J7071" i="20"/>
  <c r="H7072" i="20"/>
  <c r="J7594" i="20"/>
  <c r="H7595" i="20"/>
  <c r="J5463" i="20"/>
  <c r="H5464" i="20"/>
  <c r="J6863" i="20"/>
  <c r="H6864" i="20"/>
  <c r="J3572" i="20"/>
  <c r="H3573" i="20"/>
  <c r="J3827" i="20"/>
  <c r="H3828" i="20"/>
  <c r="J7279" i="20"/>
  <c r="H7280" i="20"/>
  <c r="J9601" i="20"/>
  <c r="H9602" i="20"/>
  <c r="H45" i="20"/>
  <c r="L10" i="20" s="1"/>
  <c r="Q17" i="1" s="1"/>
  <c r="H4647" i="20"/>
  <c r="J4644" i="20"/>
  <c r="H1429" i="20"/>
  <c r="J1426" i="20"/>
  <c r="H2298" i="20"/>
  <c r="J2295" i="20"/>
  <c r="H4851" i="20"/>
  <c r="J4848" i="20"/>
  <c r="H148" i="20"/>
  <c r="J145" i="20"/>
  <c r="H199" i="20"/>
  <c r="J196" i="20"/>
  <c r="H5980" i="20"/>
  <c r="J5977" i="20"/>
  <c r="H6292" i="20"/>
  <c r="J6289" i="20"/>
  <c r="H966" i="20"/>
  <c r="J963" i="20"/>
  <c r="H1633" i="20"/>
  <c r="J1630" i="20"/>
  <c r="H1225" i="20"/>
  <c r="J1222" i="20"/>
  <c r="J9547" i="20"/>
  <c r="H9550" i="20"/>
  <c r="H9446" i="20"/>
  <c r="J9443" i="20"/>
  <c r="H9341" i="20"/>
  <c r="J9338" i="20"/>
  <c r="H4902" i="20"/>
  <c r="J4899" i="20"/>
  <c r="H8587" i="20"/>
  <c r="J8584" i="20"/>
  <c r="H5055" i="20"/>
  <c r="J5052" i="20"/>
  <c r="H2961" i="20"/>
  <c r="J2958" i="20"/>
  <c r="H3216" i="20"/>
  <c r="J3213" i="20"/>
  <c r="H505" i="20"/>
  <c r="J502" i="20"/>
  <c r="H9130" i="20"/>
  <c r="J9127" i="20"/>
  <c r="H4698" i="20"/>
  <c r="J4695" i="20"/>
  <c r="H2757" i="20"/>
  <c r="J2754" i="20"/>
  <c r="H352" i="20"/>
  <c r="J349" i="20"/>
  <c r="H403" i="20"/>
  <c r="J400" i="20"/>
  <c r="H5928" i="20"/>
  <c r="J5925" i="20"/>
  <c r="H6136" i="20"/>
  <c r="J6133" i="20"/>
  <c r="H915" i="20"/>
  <c r="J912" i="20"/>
  <c r="H1378" i="20"/>
  <c r="J1375" i="20"/>
  <c r="H1480" i="20"/>
  <c r="J1477" i="20"/>
  <c r="H1838" i="20"/>
  <c r="J1835" i="20"/>
  <c r="H1991" i="20"/>
  <c r="J1988" i="20"/>
  <c r="H9393" i="20"/>
  <c r="J9390" i="20"/>
  <c r="H6603" i="20"/>
  <c r="J6600" i="20"/>
  <c r="H8642" i="20"/>
  <c r="J8639" i="20"/>
  <c r="H6812" i="20"/>
  <c r="J6809" i="20"/>
  <c r="H3012" i="20"/>
  <c r="J3009" i="20"/>
  <c r="H2706" i="20"/>
  <c r="J2703" i="20"/>
  <c r="H6240" i="20"/>
  <c r="J6237" i="20"/>
  <c r="H6551" i="20"/>
  <c r="J6548" i="20"/>
  <c r="H3114" i="20"/>
  <c r="J3111" i="20"/>
  <c r="H4493" i="20"/>
  <c r="J4490" i="20"/>
  <c r="H557" i="20"/>
  <c r="J554" i="20"/>
  <c r="H710" i="20"/>
  <c r="J707" i="20"/>
  <c r="H8383" i="20"/>
  <c r="J8380" i="20"/>
  <c r="H1174" i="20"/>
  <c r="J1171" i="20"/>
  <c r="H1327" i="20"/>
  <c r="J1324" i="20"/>
  <c r="H1684" i="20"/>
  <c r="J1681" i="20"/>
  <c r="H2093" i="20"/>
  <c r="J2090" i="20"/>
  <c r="H9498" i="20"/>
  <c r="J9495" i="20"/>
  <c r="H1889" i="20"/>
  <c r="J1886" i="20"/>
  <c r="H6655" i="20"/>
  <c r="J6652" i="20"/>
  <c r="H2502" i="20"/>
  <c r="J2499" i="20"/>
  <c r="H6759" i="20"/>
  <c r="J6756" i="20"/>
  <c r="H3063" i="20"/>
  <c r="J3060" i="20"/>
  <c r="H3267" i="20"/>
  <c r="J3264" i="20"/>
  <c r="H4391" i="20"/>
  <c r="J4388" i="20"/>
  <c r="H1736" i="20"/>
  <c r="J1733" i="20"/>
  <c r="H9289" i="20"/>
  <c r="J9286" i="20"/>
  <c r="H2604" i="20"/>
  <c r="J2601" i="20"/>
  <c r="H97" i="20"/>
  <c r="J94" i="20"/>
  <c r="H608" i="20"/>
  <c r="J605" i="20"/>
  <c r="H761" i="20"/>
  <c r="J758" i="20"/>
  <c r="H6084" i="20"/>
  <c r="J6081" i="20"/>
  <c r="H1123" i="20"/>
  <c r="J1120" i="20"/>
  <c r="H1582" i="20"/>
  <c r="J1579" i="20"/>
  <c r="J2192" i="20"/>
  <c r="H2195" i="20"/>
  <c r="H6447" i="20"/>
  <c r="J6444" i="20"/>
  <c r="H1940" i="20"/>
  <c r="J1937" i="20"/>
  <c r="H8477" i="20"/>
  <c r="J8474" i="20"/>
  <c r="H6707" i="20"/>
  <c r="J6704" i="20"/>
  <c r="H2553" i="20"/>
  <c r="J2550" i="20"/>
  <c r="H5361" i="20"/>
  <c r="J5358" i="20"/>
  <c r="H3165" i="20"/>
  <c r="J3162" i="20"/>
  <c r="H2910" i="20"/>
  <c r="J2907" i="20"/>
  <c r="H301" i="20"/>
  <c r="J298" i="20"/>
  <c r="H4544" i="20"/>
  <c r="J4541" i="20"/>
  <c r="H812" i="20"/>
  <c r="J809" i="20"/>
  <c r="H9020" i="20"/>
  <c r="J9017" i="20"/>
  <c r="H1068" i="20"/>
  <c r="J1065" i="20"/>
  <c r="H1787" i="20"/>
  <c r="J1784" i="20"/>
  <c r="H2247" i="20"/>
  <c r="J2244" i="20"/>
  <c r="H6499" i="20"/>
  <c r="J6496" i="20"/>
  <c r="H4800" i="20"/>
  <c r="J4797" i="20"/>
  <c r="H8430" i="20"/>
  <c r="J8427" i="20"/>
  <c r="H2349" i="20"/>
  <c r="J2346" i="20"/>
  <c r="H5004" i="20"/>
  <c r="J5001" i="20"/>
  <c r="H5310" i="20"/>
  <c r="J5307" i="20"/>
  <c r="H2808" i="20"/>
  <c r="J2805" i="20"/>
  <c r="H3318" i="20"/>
  <c r="J3315" i="20"/>
  <c r="H250" i="20"/>
  <c r="J247" i="20"/>
  <c r="H6032" i="20"/>
  <c r="J6029" i="20"/>
  <c r="H4595" i="20"/>
  <c r="J4592" i="20"/>
  <c r="H9182" i="20"/>
  <c r="J9179" i="20"/>
  <c r="H864" i="20"/>
  <c r="J861" i="20"/>
  <c r="H1276" i="20"/>
  <c r="J1273" i="20"/>
  <c r="H9234" i="20"/>
  <c r="J9231" i="20"/>
  <c r="H2042" i="20"/>
  <c r="J2039" i="20"/>
  <c r="H6344" i="20"/>
  <c r="J6341" i="20"/>
  <c r="H8532" i="20"/>
  <c r="J8529" i="20"/>
  <c r="H2400" i="20"/>
  <c r="J2397" i="20"/>
  <c r="H5157" i="20"/>
  <c r="J5154" i="20"/>
  <c r="H5208" i="20"/>
  <c r="J5205" i="20"/>
  <c r="H2655" i="20"/>
  <c r="J2652" i="20"/>
  <c r="H454" i="20"/>
  <c r="J451" i="20"/>
  <c r="H4442" i="20"/>
  <c r="J4439" i="20"/>
  <c r="H659" i="20"/>
  <c r="J656" i="20"/>
  <c r="H6188" i="20"/>
  <c r="J6185" i="20"/>
  <c r="H8965" i="20"/>
  <c r="J8962" i="20"/>
  <c r="H1017" i="20"/>
  <c r="J1014" i="20"/>
  <c r="H1531" i="20"/>
  <c r="J1528" i="20"/>
  <c r="H4749" i="20"/>
  <c r="J4746" i="20"/>
  <c r="H2144" i="20"/>
  <c r="J2141" i="20"/>
  <c r="H6395" i="20"/>
  <c r="J6392" i="20"/>
  <c r="H4953" i="20"/>
  <c r="J4950" i="20"/>
  <c r="H2451" i="20"/>
  <c r="J2448" i="20"/>
  <c r="H5106" i="20"/>
  <c r="J5103" i="20"/>
  <c r="H5259" i="20"/>
  <c r="J5256" i="20"/>
  <c r="H2859" i="20"/>
  <c r="J2856" i="20"/>
  <c r="L5787" i="20" l="1"/>
  <c r="H5790" i="20"/>
  <c r="L5838" i="20"/>
  <c r="H5841" i="20"/>
  <c r="L4252" i="20"/>
  <c r="H4255" i="20"/>
  <c r="L7874" i="20"/>
  <c r="H7877" i="20"/>
  <c r="L9826" i="20"/>
  <c r="H9829" i="20"/>
  <c r="L3946" i="20"/>
  <c r="H3949" i="20"/>
  <c r="L9774" i="20"/>
  <c r="H9777" i="20"/>
  <c r="L7978" i="20"/>
  <c r="H7981" i="20"/>
  <c r="L7926" i="20"/>
  <c r="H7929" i="20"/>
  <c r="L5736" i="20"/>
  <c r="H5739" i="20"/>
  <c r="L8082" i="20"/>
  <c r="H8085" i="20"/>
  <c r="L4099" i="20"/>
  <c r="H4102" i="20"/>
  <c r="L4150" i="20"/>
  <c r="H4153" i="20"/>
  <c r="L8823" i="20"/>
  <c r="H8826" i="20"/>
  <c r="L7717" i="20"/>
  <c r="H7720" i="20"/>
  <c r="L9618" i="20"/>
  <c r="H9621" i="20"/>
  <c r="L8030" i="20"/>
  <c r="H8033" i="20"/>
  <c r="L7770" i="20"/>
  <c r="H7773" i="20"/>
  <c r="L8878" i="20"/>
  <c r="H8881" i="20"/>
  <c r="L7822" i="20"/>
  <c r="H7825" i="20"/>
  <c r="L4201" i="20"/>
  <c r="H4204" i="20"/>
  <c r="L8186" i="20"/>
  <c r="H8189" i="20"/>
  <c r="L8134" i="20"/>
  <c r="H8137" i="20"/>
  <c r="L4048" i="20"/>
  <c r="H4051" i="20"/>
  <c r="L3997" i="20"/>
  <c r="H4000" i="20"/>
  <c r="L9670" i="20"/>
  <c r="H9673" i="20"/>
  <c r="L9722" i="20"/>
  <c r="H9725" i="20"/>
  <c r="B279" i="4"/>
  <c r="B275" i="4"/>
  <c r="B277" i="4" s="1"/>
  <c r="W17" i="1"/>
  <c r="X17" i="1"/>
  <c r="U17" i="1"/>
  <c r="V17" i="1"/>
  <c r="G9" i="28" s="1"/>
  <c r="L5429" i="20"/>
  <c r="H5432" i="20"/>
  <c r="L3385" i="20"/>
  <c r="H3388" i="20"/>
  <c r="L3844" i="20"/>
  <c r="H3847" i="20"/>
  <c r="L7244" i="20"/>
  <c r="H7247" i="20"/>
  <c r="L8658" i="20"/>
  <c r="H8661" i="20"/>
  <c r="L7612" i="20"/>
  <c r="H7615" i="20"/>
  <c r="L3793" i="20"/>
  <c r="H3796" i="20"/>
  <c r="L7559" i="20"/>
  <c r="H7562" i="20"/>
  <c r="L6880" i="20"/>
  <c r="H6883" i="20"/>
  <c r="L6984" i="20"/>
  <c r="H6987" i="20"/>
  <c r="L7504" i="20"/>
  <c r="H7507" i="20"/>
  <c r="L5480" i="20"/>
  <c r="H5483" i="20"/>
  <c r="L7348" i="20"/>
  <c r="H7351" i="20"/>
  <c r="L7296" i="20"/>
  <c r="H7299" i="20"/>
  <c r="L7452" i="20"/>
  <c r="H7455" i="20"/>
  <c r="L6932" i="20"/>
  <c r="H6935" i="20"/>
  <c r="L5531" i="20"/>
  <c r="H5534" i="20"/>
  <c r="L3589" i="20"/>
  <c r="H3592" i="20"/>
  <c r="L3538" i="20"/>
  <c r="H3541" i="20"/>
  <c r="L7036" i="20"/>
  <c r="H7039" i="20"/>
  <c r="L3895" i="20"/>
  <c r="H3898" i="20"/>
  <c r="L3334" i="20"/>
  <c r="H3337" i="20"/>
  <c r="L3742" i="20"/>
  <c r="H3745" i="20"/>
  <c r="L5685" i="20"/>
  <c r="H5688" i="20"/>
  <c r="L3436" i="20"/>
  <c r="H3439" i="20"/>
  <c r="L8768" i="20"/>
  <c r="H8771" i="20"/>
  <c r="L5634" i="20"/>
  <c r="H5637" i="20"/>
  <c r="L3487" i="20"/>
  <c r="H3490" i="20"/>
  <c r="L8713" i="20"/>
  <c r="H8716" i="20"/>
  <c r="L9566" i="20"/>
  <c r="H9569" i="20"/>
  <c r="L6828" i="20"/>
  <c r="H6831" i="20"/>
  <c r="L7192" i="20"/>
  <c r="H7195" i="20"/>
  <c r="L7140" i="20"/>
  <c r="H7143" i="20"/>
  <c r="L5378" i="20"/>
  <c r="H5381" i="20"/>
  <c r="L5583" i="20"/>
  <c r="H5586" i="20"/>
  <c r="L3640" i="20"/>
  <c r="H3643" i="20"/>
  <c r="L3691" i="20"/>
  <c r="H3694" i="20"/>
  <c r="L7664" i="20"/>
  <c r="H7667" i="20"/>
  <c r="L7088" i="20"/>
  <c r="H7091" i="20"/>
  <c r="L7400" i="20"/>
  <c r="H7403" i="20"/>
  <c r="L9036" i="20"/>
  <c r="H9039" i="20"/>
  <c r="H13" i="20"/>
  <c r="L2416" i="20"/>
  <c r="H2419" i="20"/>
  <c r="L4714" i="20"/>
  <c r="H4717" i="20"/>
  <c r="L6152" i="20"/>
  <c r="H6155" i="20"/>
  <c r="L2620" i="20"/>
  <c r="H2623" i="20"/>
  <c r="L8493" i="20"/>
  <c r="H8496" i="20"/>
  <c r="L1241" i="20"/>
  <c r="H1244" i="20"/>
  <c r="L5996" i="20"/>
  <c r="H5999" i="20"/>
  <c r="L5275" i="20"/>
  <c r="H5278" i="20"/>
  <c r="L4765" i="20"/>
  <c r="H4768" i="20"/>
  <c r="L1033" i="20"/>
  <c r="H1036" i="20"/>
  <c r="L266" i="20"/>
  <c r="H269" i="20"/>
  <c r="L2518" i="20"/>
  <c r="H2521" i="20"/>
  <c r="L6411" i="20"/>
  <c r="H6414" i="20"/>
  <c r="L6048" i="20"/>
  <c r="H6051" i="20"/>
  <c r="L2569" i="20"/>
  <c r="H2572" i="20"/>
  <c r="L3232" i="20"/>
  <c r="H3235" i="20"/>
  <c r="L6619" i="20"/>
  <c r="H6622" i="20"/>
  <c r="L1649" i="20"/>
  <c r="H1652" i="20"/>
  <c r="L675" i="20"/>
  <c r="H678" i="20"/>
  <c r="L6515" i="20"/>
  <c r="H6518" i="20"/>
  <c r="L6776" i="20"/>
  <c r="H6779" i="20"/>
  <c r="L1956" i="20"/>
  <c r="H1959" i="20"/>
  <c r="L880" i="20"/>
  <c r="H883" i="20"/>
  <c r="L317" i="20"/>
  <c r="H320" i="20"/>
  <c r="L470" i="20"/>
  <c r="H473" i="20"/>
  <c r="L8548" i="20"/>
  <c r="H8551" i="20"/>
  <c r="L6256" i="20"/>
  <c r="H6259" i="20"/>
  <c r="L4816" i="20"/>
  <c r="H4819" i="20"/>
  <c r="L2160" i="20"/>
  <c r="H2163" i="20"/>
  <c r="L9514" i="20"/>
  <c r="H9517" i="20"/>
  <c r="L2824" i="20"/>
  <c r="H2827" i="20"/>
  <c r="L4918" i="20"/>
  <c r="H4921" i="20"/>
  <c r="L1496" i="20"/>
  <c r="H1499" i="20"/>
  <c r="L624" i="20"/>
  <c r="H627" i="20"/>
  <c r="L5173" i="20"/>
  <c r="H5176" i="20"/>
  <c r="L6308" i="20"/>
  <c r="H6311" i="20"/>
  <c r="L829" i="20"/>
  <c r="H832" i="20"/>
  <c r="L215" i="20"/>
  <c r="H218" i="20"/>
  <c r="L4969" i="20"/>
  <c r="H4972" i="20"/>
  <c r="L6463" i="20"/>
  <c r="H6466" i="20"/>
  <c r="L8981" i="20"/>
  <c r="H8984" i="20"/>
  <c r="L2875" i="20"/>
  <c r="H2878" i="20"/>
  <c r="L6671" i="20"/>
  <c r="H6674" i="20"/>
  <c r="L726" i="20"/>
  <c r="H729" i="20"/>
  <c r="L9253" i="20"/>
  <c r="H9256" i="20"/>
  <c r="L3028" i="20"/>
  <c r="H3031" i="20"/>
  <c r="L1854" i="20"/>
  <c r="H1857" i="20"/>
  <c r="L1292" i="20"/>
  <c r="H1295" i="20"/>
  <c r="L522" i="20"/>
  <c r="H525" i="20"/>
  <c r="L6204" i="20"/>
  <c r="H6207" i="20"/>
  <c r="L8603" i="20"/>
  <c r="H8606" i="20"/>
  <c r="L1803" i="20"/>
  <c r="H1806" i="20"/>
  <c r="L6100" i="20"/>
  <c r="H6103" i="20"/>
  <c r="L2722" i="20"/>
  <c r="H2725" i="20"/>
  <c r="L3181" i="20"/>
  <c r="H3184" i="20"/>
  <c r="L4867" i="20"/>
  <c r="H4870" i="20"/>
  <c r="L1190" i="20"/>
  <c r="H1193" i="20"/>
  <c r="L5944" i="20"/>
  <c r="H5947" i="20"/>
  <c r="L2263" i="20"/>
  <c r="H2266" i="20"/>
  <c r="L5224" i="20"/>
  <c r="H5227" i="20"/>
  <c r="L6359" i="20"/>
  <c r="H6362" i="20"/>
  <c r="L982" i="20"/>
  <c r="H985" i="20"/>
  <c r="L4407" i="20"/>
  <c r="H4410" i="20"/>
  <c r="L5122" i="20"/>
  <c r="H5125" i="20"/>
  <c r="L2007" i="20"/>
  <c r="H2010" i="20"/>
  <c r="L9146" i="20"/>
  <c r="H9149" i="20"/>
  <c r="L3283" i="20"/>
  <c r="H3286" i="20"/>
  <c r="L2314" i="20"/>
  <c r="H2317" i="20"/>
  <c r="L2212" i="20"/>
  <c r="H2215" i="20"/>
  <c r="L777" i="20"/>
  <c r="H780" i="20"/>
  <c r="L3130" i="20"/>
  <c r="H3133" i="20"/>
  <c r="L8446" i="20"/>
  <c r="H8449" i="20"/>
  <c r="L1547" i="20"/>
  <c r="H1550" i="20"/>
  <c r="L573" i="20"/>
  <c r="H576" i="20"/>
  <c r="L1701" i="20"/>
  <c r="H1704" i="20"/>
  <c r="L6723" i="20"/>
  <c r="H6726" i="20"/>
  <c r="L9462" i="20"/>
  <c r="H9465" i="20"/>
  <c r="L1139" i="20"/>
  <c r="H1142" i="20"/>
  <c r="L4458" i="20"/>
  <c r="H4461" i="20"/>
  <c r="L2671" i="20"/>
  <c r="H2674" i="20"/>
  <c r="L6567" i="20"/>
  <c r="H6570" i="20"/>
  <c r="L1445" i="20"/>
  <c r="H1448" i="20"/>
  <c r="L5892" i="20"/>
  <c r="H5895" i="20"/>
  <c r="L4663" i="20"/>
  <c r="H4666" i="20"/>
  <c r="L2926" i="20"/>
  <c r="H2929" i="20"/>
  <c r="L9305" i="20"/>
  <c r="H9308" i="20"/>
  <c r="L1598" i="20"/>
  <c r="H1601" i="20"/>
  <c r="L164" i="20"/>
  <c r="H167" i="20"/>
  <c r="L1394" i="20"/>
  <c r="H1397" i="20"/>
  <c r="L5071" i="20"/>
  <c r="H5074" i="20"/>
  <c r="L2109" i="20"/>
  <c r="H2112" i="20"/>
  <c r="L8926" i="20"/>
  <c r="H8929" i="20"/>
  <c r="L419" i="20"/>
  <c r="H422" i="20"/>
  <c r="L2365" i="20"/>
  <c r="H2368" i="20"/>
  <c r="L9198" i="20"/>
  <c r="H9201" i="20"/>
  <c r="L4560" i="20"/>
  <c r="H4563" i="20"/>
  <c r="L2773" i="20"/>
  <c r="H2776" i="20"/>
  <c r="L8399" i="20"/>
  <c r="H8402" i="20"/>
  <c r="L1752" i="20"/>
  <c r="H1755" i="20"/>
  <c r="L4509" i="20"/>
  <c r="H4512" i="20"/>
  <c r="L5326" i="20"/>
  <c r="H5329" i="20"/>
  <c r="L1905" i="20"/>
  <c r="H1908" i="20"/>
  <c r="L1088" i="20"/>
  <c r="H1091" i="20"/>
  <c r="L62" i="20"/>
  <c r="H65" i="20"/>
  <c r="L4356" i="20"/>
  <c r="H4359" i="20"/>
  <c r="L2467" i="20"/>
  <c r="H2470" i="20"/>
  <c r="L2058" i="20"/>
  <c r="H2061" i="20"/>
  <c r="L8344" i="20"/>
  <c r="H8347" i="20"/>
  <c r="L3079" i="20"/>
  <c r="H3082" i="20"/>
  <c r="L2977" i="20"/>
  <c r="H2980" i="20"/>
  <c r="L9357" i="20"/>
  <c r="H9360" i="20"/>
  <c r="L1343" i="20"/>
  <c r="H1346" i="20"/>
  <c r="L368" i="20"/>
  <c r="H371" i="20"/>
  <c r="L9094" i="20"/>
  <c r="H9097" i="20"/>
  <c r="L5020" i="20"/>
  <c r="H5023" i="20"/>
  <c r="L9410" i="20"/>
  <c r="H9413" i="20"/>
  <c r="L931" i="20"/>
  <c r="H934" i="20"/>
  <c r="L113" i="20"/>
  <c r="H116" i="20"/>
  <c r="L4612" i="20"/>
  <c r="H4615" i="20"/>
  <c r="Y17" i="1" l="1"/>
  <c r="G5827" i="20"/>
  <c r="G5825" i="20"/>
  <c r="G5826" i="20"/>
  <c r="G4292" i="20"/>
  <c r="G4291" i="20"/>
  <c r="G4290" i="20"/>
  <c r="G5878" i="20"/>
  <c r="G5877" i="20"/>
  <c r="G5876" i="20"/>
  <c r="G8123" i="20"/>
  <c r="G8122" i="20"/>
  <c r="G8121" i="20"/>
  <c r="G9761" i="20"/>
  <c r="G9763" i="20"/>
  <c r="G9762" i="20"/>
  <c r="G8914" i="20"/>
  <c r="G8913" i="20"/>
  <c r="G8912" i="20"/>
  <c r="G9711" i="20"/>
  <c r="G9709" i="20"/>
  <c r="G9710" i="20"/>
  <c r="G8227" i="20"/>
  <c r="G8226" i="20"/>
  <c r="G8225" i="20"/>
  <c r="G7810" i="20"/>
  <c r="G7811" i="20"/>
  <c r="G7809" i="20"/>
  <c r="G8866" i="20"/>
  <c r="G8865" i="20"/>
  <c r="G8867" i="20"/>
  <c r="G5775" i="20"/>
  <c r="G5774" i="20"/>
  <c r="G5776" i="20"/>
  <c r="G3986" i="20"/>
  <c r="G3984" i="20"/>
  <c r="G3985" i="20"/>
  <c r="G8174" i="20"/>
  <c r="G8175" i="20"/>
  <c r="G8173" i="20"/>
  <c r="G9815" i="20"/>
  <c r="G9814" i="20"/>
  <c r="G9813" i="20"/>
  <c r="G4035" i="20"/>
  <c r="G4037" i="20"/>
  <c r="G4036" i="20"/>
  <c r="G4241" i="20"/>
  <c r="G4240" i="20"/>
  <c r="G4239" i="20"/>
  <c r="G8069" i="20"/>
  <c r="G8070" i="20"/>
  <c r="G8071" i="20"/>
  <c r="G4189" i="20"/>
  <c r="G4190" i="20"/>
  <c r="G4188" i="20"/>
  <c r="G7967" i="20"/>
  <c r="G7965" i="20"/>
  <c r="G7966" i="20"/>
  <c r="G9867" i="20"/>
  <c r="G9865" i="20"/>
  <c r="G9866" i="20"/>
  <c r="G7757" i="20"/>
  <c r="G7758" i="20"/>
  <c r="G7756" i="20"/>
  <c r="G4088" i="20"/>
  <c r="G4087" i="20"/>
  <c r="G4086" i="20"/>
  <c r="G7862" i="20"/>
  <c r="G7863" i="20"/>
  <c r="G7861" i="20"/>
  <c r="G9659" i="20"/>
  <c r="G9657" i="20"/>
  <c r="G9658" i="20"/>
  <c r="G4137" i="20"/>
  <c r="G4138" i="20"/>
  <c r="G4139" i="20"/>
  <c r="G8019" i="20"/>
  <c r="G8018" i="20"/>
  <c r="G8017" i="20"/>
  <c r="G7915" i="20"/>
  <c r="G7914" i="20"/>
  <c r="G7913" i="20"/>
  <c r="B276" i="4"/>
  <c r="B278" i="4" s="1"/>
  <c r="B283" i="4" s="1"/>
  <c r="B285" i="4" s="1"/>
  <c r="B286" i="4" s="1"/>
  <c r="B287" i="4" s="1"/>
  <c r="B288" i="4" s="1"/>
  <c r="B289" i="4" s="1"/>
  <c r="B290" i="4" s="1"/>
  <c r="B281" i="4"/>
  <c r="AB17" i="1"/>
  <c r="AD17" i="1" s="1"/>
  <c r="H9" i="28"/>
  <c r="I9" i="28" s="1"/>
  <c r="I19" i="28" s="1"/>
  <c r="F21" i="28" s="1"/>
  <c r="F20" i="28" s="1"/>
  <c r="Z17" i="1"/>
  <c r="G3679" i="20"/>
  <c r="G3678" i="20"/>
  <c r="G3680" i="20"/>
  <c r="G5724" i="20"/>
  <c r="G5725" i="20"/>
  <c r="G5723" i="20"/>
  <c r="G6973" i="20"/>
  <c r="G6972" i="20"/>
  <c r="G6971" i="20"/>
  <c r="G7127" i="20"/>
  <c r="G7129" i="20"/>
  <c r="G7128" i="20"/>
  <c r="G5622" i="20"/>
  <c r="G5621" i="20"/>
  <c r="G5623" i="20"/>
  <c r="G6868" i="20"/>
  <c r="G6869" i="20"/>
  <c r="G6867" i="20"/>
  <c r="G5673" i="20"/>
  <c r="G5674" i="20"/>
  <c r="G5672" i="20"/>
  <c r="G3782" i="20"/>
  <c r="G3781" i="20"/>
  <c r="G3780" i="20"/>
  <c r="G3578" i="20"/>
  <c r="G3576" i="20"/>
  <c r="G3577" i="20"/>
  <c r="G7491" i="20"/>
  <c r="G7492" i="20"/>
  <c r="G7493" i="20"/>
  <c r="G7544" i="20"/>
  <c r="G7543" i="20"/>
  <c r="G7545" i="20"/>
  <c r="G3833" i="20"/>
  <c r="G3832" i="20"/>
  <c r="G3831" i="20"/>
  <c r="G3883" i="20"/>
  <c r="G3884" i="20"/>
  <c r="G3882" i="20"/>
  <c r="G7441" i="20"/>
  <c r="G7439" i="20"/>
  <c r="G7440" i="20"/>
  <c r="G7232" i="20"/>
  <c r="G7233" i="20"/>
  <c r="G7231" i="20"/>
  <c r="G3525" i="20"/>
  <c r="G3527" i="20"/>
  <c r="G3526" i="20"/>
  <c r="G7077" i="20"/>
  <c r="G7076" i="20"/>
  <c r="G7075" i="20"/>
  <c r="G7705" i="20"/>
  <c r="G7703" i="20"/>
  <c r="G7704" i="20"/>
  <c r="G5416" i="20"/>
  <c r="G5417" i="20"/>
  <c r="G5418" i="20"/>
  <c r="G9607" i="20"/>
  <c r="G9606" i="20"/>
  <c r="G9605" i="20"/>
  <c r="G8811" i="20"/>
  <c r="G8812" i="20"/>
  <c r="G8810" i="20"/>
  <c r="G3374" i="20"/>
  <c r="G3373" i="20"/>
  <c r="G3372" i="20"/>
  <c r="G3627" i="20"/>
  <c r="G3629" i="20"/>
  <c r="G3628" i="20"/>
  <c r="G7337" i="20"/>
  <c r="G7336" i="20"/>
  <c r="G7335" i="20"/>
  <c r="G7025" i="20"/>
  <c r="G7023" i="20"/>
  <c r="G7024" i="20"/>
  <c r="G7652" i="20"/>
  <c r="G7651" i="20"/>
  <c r="G7653" i="20"/>
  <c r="G3425" i="20"/>
  <c r="G3424" i="20"/>
  <c r="G3423" i="20"/>
  <c r="G7284" i="20"/>
  <c r="G7285" i="20"/>
  <c r="G7283" i="20"/>
  <c r="G7600" i="20"/>
  <c r="G7599" i="20"/>
  <c r="G7598" i="20"/>
  <c r="G9080" i="20"/>
  <c r="G9078" i="20"/>
  <c r="G9079" i="20"/>
  <c r="G3729" i="20"/>
  <c r="G3730" i="20"/>
  <c r="G3731" i="20"/>
  <c r="G7179" i="20"/>
  <c r="G7181" i="20"/>
  <c r="G7180" i="20"/>
  <c r="G8757" i="20"/>
  <c r="G8755" i="20"/>
  <c r="G8756" i="20"/>
  <c r="G3476" i="20"/>
  <c r="G3474" i="20"/>
  <c r="G3475" i="20"/>
  <c r="G3933" i="20"/>
  <c r="G3935" i="20"/>
  <c r="G3934" i="20"/>
  <c r="G5571" i="20"/>
  <c r="G5570" i="20"/>
  <c r="G5569" i="20"/>
  <c r="G7389" i="20"/>
  <c r="G7387" i="20"/>
  <c r="G7388" i="20"/>
  <c r="G6921" i="20"/>
  <c r="G6919" i="20"/>
  <c r="G6920" i="20"/>
  <c r="G8702" i="20"/>
  <c r="G8701" i="20"/>
  <c r="G8700" i="20"/>
  <c r="G5469" i="20"/>
  <c r="G5468" i="20"/>
  <c r="G5467" i="20"/>
  <c r="G5519" i="20"/>
  <c r="G5520" i="20"/>
  <c r="G5518" i="20"/>
  <c r="B282" i="4"/>
  <c r="B284" i="4" s="1"/>
  <c r="G48" i="20"/>
  <c r="G50" i="20"/>
  <c r="G49" i="20"/>
  <c r="G969" i="20"/>
  <c r="G970" i="20"/>
  <c r="G971" i="20"/>
  <c r="G4395" i="20"/>
  <c r="G4394" i="20"/>
  <c r="G4396" i="20"/>
  <c r="G1433" i="20"/>
  <c r="G1432" i="20"/>
  <c r="G1434" i="20"/>
  <c r="G1586" i="20"/>
  <c r="G1587" i="20"/>
  <c r="G1585" i="20"/>
  <c r="G6399" i="20"/>
  <c r="G6398" i="20"/>
  <c r="G6400" i="20"/>
  <c r="G562" i="20"/>
  <c r="G560" i="20"/>
  <c r="G561" i="20"/>
  <c r="G9449" i="20"/>
  <c r="G9451" i="20"/>
  <c r="G9450" i="20"/>
  <c r="G1381" i="20"/>
  <c r="G1383" i="20"/>
  <c r="G1382" i="20"/>
  <c r="G8387" i="20"/>
  <c r="G8388" i="20"/>
  <c r="G8386" i="20"/>
  <c r="G102" i="20"/>
  <c r="G100" i="20"/>
  <c r="G101" i="20"/>
  <c r="G4549" i="20"/>
  <c r="G4548" i="20"/>
  <c r="G4547" i="20"/>
  <c r="G4599" i="20"/>
  <c r="G4598" i="20"/>
  <c r="G4600" i="20"/>
  <c r="G8968" i="20"/>
  <c r="G8970" i="20"/>
  <c r="G8969" i="20"/>
  <c r="G204" i="20"/>
  <c r="G203" i="20"/>
  <c r="G202" i="20"/>
  <c r="G4702" i="20"/>
  <c r="G4701" i="20"/>
  <c r="G4703" i="20"/>
  <c r="G2710" i="20"/>
  <c r="G2709" i="20"/>
  <c r="G2711" i="20"/>
  <c r="G6762" i="20"/>
  <c r="G6763" i="20"/>
  <c r="G6764" i="20"/>
  <c r="G8481" i="20"/>
  <c r="G8482" i="20"/>
  <c r="G8480" i="20"/>
  <c r="G2353" i="20"/>
  <c r="G2352" i="20"/>
  <c r="G2354" i="20"/>
  <c r="G5161" i="20"/>
  <c r="G5162" i="20"/>
  <c r="G5160" i="20"/>
  <c r="G5264" i="20"/>
  <c r="G5262" i="20"/>
  <c r="G5263" i="20"/>
  <c r="G4906" i="20"/>
  <c r="G4905" i="20"/>
  <c r="G4907" i="20"/>
  <c r="G1843" i="20"/>
  <c r="G1842" i="20"/>
  <c r="G1841" i="20"/>
  <c r="G1330" i="20"/>
  <c r="G1332" i="20"/>
  <c r="G1331" i="20"/>
  <c r="G765" i="20"/>
  <c r="G764" i="20"/>
  <c r="G766" i="20"/>
  <c r="G6504" i="20"/>
  <c r="G6502" i="20"/>
  <c r="G6503" i="20"/>
  <c r="G6348" i="20"/>
  <c r="G6347" i="20"/>
  <c r="G6349" i="20"/>
  <c r="G4956" i="20"/>
  <c r="G4958" i="20"/>
  <c r="G4957" i="20"/>
  <c r="G4856" i="20"/>
  <c r="G4855" i="20"/>
  <c r="G4854" i="20"/>
  <c r="G356" i="20"/>
  <c r="G357" i="20"/>
  <c r="G355" i="20"/>
  <c r="G6554" i="20"/>
  <c r="G6556" i="20"/>
  <c r="G6555" i="20"/>
  <c r="G3272" i="20"/>
  <c r="G3271" i="20"/>
  <c r="G3270" i="20"/>
  <c r="G2557" i="20"/>
  <c r="G2556" i="20"/>
  <c r="G2558" i="20"/>
  <c r="G5313" i="20"/>
  <c r="G5314" i="20"/>
  <c r="G5315" i="20"/>
  <c r="G2660" i="20"/>
  <c r="G2659" i="20"/>
  <c r="G2658" i="20"/>
  <c r="G6608" i="20"/>
  <c r="G6607" i="20"/>
  <c r="G6606" i="20"/>
  <c r="G408" i="20"/>
  <c r="G406" i="20"/>
  <c r="G407" i="20"/>
  <c r="G5366" i="20"/>
  <c r="G5365" i="20"/>
  <c r="G5364" i="20"/>
  <c r="G2966" i="20"/>
  <c r="G2965" i="20"/>
  <c r="G2964" i="20"/>
  <c r="G2250" i="20"/>
  <c r="G2251" i="20"/>
  <c r="G2252" i="20"/>
  <c r="G1229" i="20"/>
  <c r="G1228" i="20"/>
  <c r="G1230" i="20"/>
  <c r="G5060" i="20"/>
  <c r="G5059" i="20"/>
  <c r="G5058" i="20"/>
  <c r="G2098" i="20"/>
  <c r="G2097" i="20"/>
  <c r="G2096" i="20"/>
  <c r="G1790" i="20"/>
  <c r="G1792" i="20"/>
  <c r="G1791" i="20"/>
  <c r="G2149" i="20"/>
  <c r="G2148" i="20"/>
  <c r="G2147" i="20"/>
  <c r="G5932" i="20"/>
  <c r="G5933" i="20"/>
  <c r="G5931" i="20"/>
  <c r="G1741" i="20"/>
  <c r="G1740" i="20"/>
  <c r="G1739" i="20"/>
  <c r="G3321" i="20"/>
  <c r="G3323" i="20"/>
  <c r="G3322" i="20"/>
  <c r="G3220" i="20"/>
  <c r="G3219" i="20"/>
  <c r="G3221" i="20"/>
  <c r="G6037" i="20"/>
  <c r="G6035" i="20"/>
  <c r="G6036" i="20"/>
  <c r="G3119" i="20"/>
  <c r="G3117" i="20"/>
  <c r="G3118" i="20"/>
  <c r="G2811" i="20"/>
  <c r="G2812" i="20"/>
  <c r="G2813" i="20"/>
  <c r="G9502" i="20"/>
  <c r="G9503" i="20"/>
  <c r="G9501" i="20"/>
  <c r="G2047" i="20"/>
  <c r="G2046" i="20"/>
  <c r="G2045" i="20"/>
  <c r="G6141" i="20"/>
  <c r="G6140" i="20"/>
  <c r="G6139" i="20"/>
  <c r="G4652" i="20"/>
  <c r="G4650" i="20"/>
  <c r="G4651" i="20"/>
  <c r="G9398" i="20"/>
  <c r="G9397" i="20"/>
  <c r="G9396" i="20"/>
  <c r="G1127" i="20"/>
  <c r="G1128" i="20"/>
  <c r="G1126" i="20"/>
  <c r="G9237" i="20"/>
  <c r="G9238" i="20"/>
  <c r="G9239" i="20"/>
  <c r="G1637" i="20"/>
  <c r="G1638" i="20"/>
  <c r="G1636" i="20"/>
  <c r="G4496" i="20"/>
  <c r="G4497" i="20"/>
  <c r="G4498" i="20"/>
  <c r="G3168" i="20"/>
  <c r="G3170" i="20"/>
  <c r="G3169" i="20"/>
  <c r="G4447" i="20"/>
  <c r="G4446" i="20"/>
  <c r="G4445" i="20"/>
  <c r="G2303" i="20"/>
  <c r="G2302" i="20"/>
  <c r="G2301" i="20"/>
  <c r="G8647" i="20"/>
  <c r="G8646" i="20"/>
  <c r="G8645" i="20"/>
  <c r="G1894" i="20"/>
  <c r="G1893" i="20"/>
  <c r="G1892" i="20"/>
  <c r="G6712" i="20"/>
  <c r="G6711" i="20"/>
  <c r="G6710" i="20"/>
  <c r="G5008" i="20"/>
  <c r="G5009" i="20"/>
  <c r="G5007" i="20"/>
  <c r="G5213" i="20"/>
  <c r="G5212" i="20"/>
  <c r="G5211" i="20"/>
  <c r="G2864" i="20"/>
  <c r="G2863" i="20"/>
  <c r="G2862" i="20"/>
  <c r="G6297" i="20"/>
  <c r="G6296" i="20"/>
  <c r="G6295" i="20"/>
  <c r="G919" i="20"/>
  <c r="G920" i="20"/>
  <c r="G918" i="20"/>
  <c r="G713" i="20"/>
  <c r="G714" i="20"/>
  <c r="G715" i="20"/>
  <c r="G2608" i="20"/>
  <c r="G2607" i="20"/>
  <c r="G2609" i="20"/>
  <c r="G305" i="20"/>
  <c r="G304" i="20"/>
  <c r="G306" i="20"/>
  <c r="G6191" i="20"/>
  <c r="G6193" i="20"/>
  <c r="G6192" i="20"/>
  <c r="G152" i="20"/>
  <c r="G153" i="20"/>
  <c r="G151" i="20"/>
  <c r="G9135" i="20"/>
  <c r="G9133" i="20"/>
  <c r="G9134" i="20"/>
  <c r="G3015" i="20"/>
  <c r="G3017" i="20"/>
  <c r="G3016" i="20"/>
  <c r="G2505" i="20"/>
  <c r="G2507" i="20"/>
  <c r="G2506" i="20"/>
  <c r="G1944" i="20"/>
  <c r="G1945" i="20"/>
  <c r="G1943" i="20"/>
  <c r="G8435" i="20"/>
  <c r="G8433" i="20"/>
  <c r="G8434" i="20"/>
  <c r="G2405" i="20"/>
  <c r="G2403" i="20"/>
  <c r="G2404" i="20"/>
  <c r="G5109" i="20"/>
  <c r="G5110" i="20"/>
  <c r="G5111" i="20"/>
  <c r="G9346" i="20"/>
  <c r="G9345" i="20"/>
  <c r="G9344" i="20"/>
  <c r="G1485" i="20"/>
  <c r="G1484" i="20"/>
  <c r="G1483" i="20"/>
  <c r="G1178" i="20"/>
  <c r="G1177" i="20"/>
  <c r="G1179" i="20"/>
  <c r="G612" i="20"/>
  <c r="G613" i="20"/>
  <c r="G611" i="20"/>
  <c r="G815" i="20"/>
  <c r="G817" i="20"/>
  <c r="G816" i="20"/>
  <c r="G9187" i="20"/>
  <c r="G9186" i="20"/>
  <c r="G9185" i="20"/>
  <c r="G1022" i="20"/>
  <c r="G1020" i="20"/>
  <c r="G1021" i="20"/>
  <c r="G5985" i="20"/>
  <c r="G5984" i="20"/>
  <c r="G5983" i="20"/>
  <c r="G2762" i="20"/>
  <c r="G2761" i="20"/>
  <c r="G2760" i="20"/>
  <c r="G6243" i="20"/>
  <c r="G6245" i="20"/>
  <c r="G6244" i="20"/>
  <c r="G3066" i="20"/>
  <c r="G3067" i="20"/>
  <c r="G3068" i="20"/>
  <c r="G2914" i="20"/>
  <c r="G2915" i="20"/>
  <c r="G2913" i="20"/>
  <c r="G255" i="20"/>
  <c r="G254" i="20"/>
  <c r="G253" i="20"/>
  <c r="G664" i="20"/>
  <c r="G662" i="20"/>
  <c r="G663" i="20"/>
  <c r="G9555" i="20"/>
  <c r="G9554" i="20"/>
  <c r="G9553" i="20"/>
  <c r="G8590" i="20"/>
  <c r="G8592" i="20"/>
  <c r="G8591" i="20"/>
  <c r="G1996" i="20"/>
  <c r="G1994" i="20"/>
  <c r="G1995" i="20"/>
  <c r="G1689" i="20"/>
  <c r="G1688" i="20"/>
  <c r="G1687" i="20"/>
  <c r="G6087" i="20"/>
  <c r="G6088" i="20"/>
  <c r="G6089" i="20"/>
  <c r="G1072" i="20"/>
  <c r="G1071" i="20"/>
  <c r="G1073" i="20"/>
  <c r="G1280" i="20"/>
  <c r="G1281" i="20"/>
  <c r="G1279" i="20"/>
  <c r="G4752" i="20"/>
  <c r="G4753" i="20"/>
  <c r="G4754" i="20"/>
  <c r="G9293" i="20"/>
  <c r="G9294" i="20"/>
  <c r="G9292" i="20"/>
  <c r="G9024" i="20"/>
  <c r="G9023" i="20"/>
  <c r="G9025" i="20"/>
  <c r="G867" i="20"/>
  <c r="G869" i="20"/>
  <c r="G868" i="20"/>
  <c r="G1534" i="20"/>
  <c r="G1536" i="20"/>
  <c r="G1535" i="20"/>
  <c r="G2200" i="20"/>
  <c r="G2199" i="20"/>
  <c r="G2198" i="20"/>
  <c r="G509" i="20"/>
  <c r="G508" i="20"/>
  <c r="G510" i="20"/>
  <c r="G6815" i="20"/>
  <c r="G6817" i="20"/>
  <c r="G6816" i="20"/>
  <c r="G6660" i="20"/>
  <c r="G6658" i="20"/>
  <c r="G6659" i="20"/>
  <c r="G6450" i="20"/>
  <c r="G6452" i="20"/>
  <c r="G6451" i="20"/>
  <c r="G4803" i="20"/>
  <c r="G4805" i="20"/>
  <c r="G4804" i="20"/>
  <c r="G8535" i="20"/>
  <c r="G8537" i="20"/>
  <c r="G8536" i="20"/>
  <c r="G2456" i="20"/>
  <c r="G2455" i="20"/>
  <c r="G2454" i="20"/>
  <c r="G457" i="20"/>
  <c r="G459" i="20"/>
  <c r="G458" i="20"/>
  <c r="AA17" i="1" l="1"/>
  <c r="L17" i="1" s="1"/>
  <c r="M17" i="1" s="1"/>
  <c r="H4294" i="20"/>
  <c r="H5880" i="20"/>
  <c r="H5829" i="20"/>
  <c r="H8916" i="20"/>
  <c r="H8177" i="20"/>
  <c r="H9869" i="20"/>
  <c r="H9713" i="20"/>
  <c r="H8125" i="20"/>
  <c r="H7917" i="20"/>
  <c r="H5778" i="20"/>
  <c r="H8229" i="20"/>
  <c r="H9661" i="20"/>
  <c r="H7760" i="20"/>
  <c r="H4039" i="20"/>
  <c r="H9817" i="20"/>
  <c r="H7813" i="20"/>
  <c r="H8073" i="20"/>
  <c r="H7865" i="20"/>
  <c r="H9765" i="20"/>
  <c r="H4141" i="20"/>
  <c r="H4090" i="20"/>
  <c r="H8869" i="20"/>
  <c r="H8021" i="20"/>
  <c r="H7969" i="20"/>
  <c r="H3988" i="20"/>
  <c r="H4243" i="20"/>
  <c r="H4192" i="20"/>
  <c r="B291" i="4"/>
  <c r="B300" i="4" s="1"/>
  <c r="B299" i="4"/>
  <c r="H6871" i="20"/>
  <c r="H7131" i="20"/>
  <c r="H3937" i="20"/>
  <c r="H7655" i="20"/>
  <c r="H5676" i="20"/>
  <c r="H7287" i="20"/>
  <c r="H3733" i="20"/>
  <c r="H3580" i="20"/>
  <c r="H7339" i="20"/>
  <c r="H5625" i="20"/>
  <c r="H7495" i="20"/>
  <c r="H3631" i="20"/>
  <c r="H3478" i="20"/>
  <c r="H3682" i="20"/>
  <c r="H5573" i="20"/>
  <c r="H3784" i="20"/>
  <c r="H3529" i="20"/>
  <c r="H5471" i="20"/>
  <c r="H9082" i="20"/>
  <c r="H9609" i="20"/>
  <c r="H3835" i="20"/>
  <c r="H3376" i="20"/>
  <c r="H6975" i="20"/>
  <c r="H7391" i="20"/>
  <c r="H7183" i="20"/>
  <c r="H7602" i="20"/>
  <c r="H5727" i="20"/>
  <c r="H7707" i="20"/>
  <c r="F9" i="28"/>
  <c r="F19" i="28" s="1"/>
  <c r="F22" i="28" s="1"/>
  <c r="H7443" i="20"/>
  <c r="H7027" i="20"/>
  <c r="H5522" i="20"/>
  <c r="H7547" i="20"/>
  <c r="H3886" i="20"/>
  <c r="H7079" i="20"/>
  <c r="H7235" i="20"/>
  <c r="H5420" i="20"/>
  <c r="H3427" i="20"/>
  <c r="H6923" i="20"/>
  <c r="H8759" i="20"/>
  <c r="H8704" i="20"/>
  <c r="H8814" i="20"/>
  <c r="H52" i="20"/>
  <c r="H1589" i="20"/>
  <c r="H6143" i="20"/>
  <c r="H1743" i="20"/>
  <c r="H8649" i="20"/>
  <c r="H9400" i="20"/>
  <c r="H4551" i="20"/>
  <c r="H9241" i="20"/>
  <c r="H9189" i="20"/>
  <c r="H8972" i="20"/>
  <c r="H9505" i="20"/>
  <c r="H4858" i="20"/>
  <c r="H564" i="20"/>
  <c r="H5011" i="20"/>
  <c r="H4449" i="20"/>
  <c r="H5062" i="20"/>
  <c r="H8484" i="20"/>
  <c r="H206" i="20"/>
  <c r="H8594" i="20"/>
  <c r="H6819" i="20"/>
  <c r="H1538" i="20"/>
  <c r="H9296" i="20"/>
  <c r="H819" i="20"/>
  <c r="H2866" i="20"/>
  <c r="H2968" i="20"/>
  <c r="H1845" i="20"/>
  <c r="H4807" i="20"/>
  <c r="H410" i="20"/>
  <c r="H6714" i="20"/>
  <c r="H9027" i="20"/>
  <c r="H9348" i="20"/>
  <c r="H155" i="20"/>
  <c r="H922" i="20"/>
  <c r="H4705" i="20"/>
  <c r="H1232" i="20"/>
  <c r="H2662" i="20"/>
  <c r="H359" i="20"/>
  <c r="H768" i="20"/>
  <c r="H8390" i="20"/>
  <c r="H2202" i="20"/>
  <c r="H4500" i="20"/>
  <c r="H1130" i="20"/>
  <c r="H3325" i="20"/>
  <c r="H717" i="20"/>
  <c r="H6039" i="20"/>
  <c r="H5266" i="20"/>
  <c r="H973" i="20"/>
  <c r="H6662" i="20"/>
  <c r="H871" i="20"/>
  <c r="H6506" i="20"/>
  <c r="H4756" i="20"/>
  <c r="H5987" i="20"/>
  <c r="H8437" i="20"/>
  <c r="H5215" i="20"/>
  <c r="H2049" i="20"/>
  <c r="H6610" i="20"/>
  <c r="H5317" i="20"/>
  <c r="H5164" i="20"/>
  <c r="H1436" i="20"/>
  <c r="H6247" i="20"/>
  <c r="H6454" i="20"/>
  <c r="H2254" i="20"/>
  <c r="H1998" i="20"/>
  <c r="H8539" i="20"/>
  <c r="H3172" i="20"/>
  <c r="H461" i="20"/>
  <c r="H6091" i="20"/>
  <c r="H257" i="20"/>
  <c r="H3070" i="20"/>
  <c r="H5113" i="20"/>
  <c r="H1947" i="20"/>
  <c r="H1896" i="20"/>
  <c r="H4654" i="20"/>
  <c r="H3223" i="20"/>
  <c r="H5935" i="20"/>
  <c r="H1794" i="20"/>
  <c r="H5368" i="20"/>
  <c r="H6558" i="20"/>
  <c r="H4960" i="20"/>
  <c r="H6402" i="20"/>
  <c r="H9137" i="20"/>
  <c r="H2611" i="20"/>
  <c r="H3121" i="20"/>
  <c r="H4909" i="20"/>
  <c r="H6766" i="20"/>
  <c r="H2100" i="20"/>
  <c r="H6351" i="20"/>
  <c r="H2356" i="20"/>
  <c r="H4602" i="20"/>
  <c r="H9453" i="20"/>
  <c r="H1024" i="20"/>
  <c r="H6299" i="20"/>
  <c r="H9557" i="20"/>
  <c r="H6195" i="20"/>
  <c r="H1181" i="20"/>
  <c r="H308" i="20"/>
  <c r="H2560" i="20"/>
  <c r="H4398" i="20"/>
  <c r="H1075" i="20"/>
  <c r="H2917" i="20"/>
  <c r="H1487" i="20"/>
  <c r="H2509" i="20"/>
  <c r="H2151" i="20"/>
  <c r="H3274" i="20"/>
  <c r="H1334" i="20"/>
  <c r="H1283" i="20"/>
  <c r="H2764" i="20"/>
  <c r="H615" i="20"/>
  <c r="H1640" i="20"/>
  <c r="H2815" i="20"/>
  <c r="H104" i="20"/>
  <c r="H1385" i="20"/>
  <c r="H512" i="20"/>
  <c r="H666" i="20"/>
  <c r="H3019" i="20"/>
  <c r="H2458" i="20"/>
  <c r="H1691" i="20"/>
  <c r="H2407" i="20"/>
  <c r="H2305" i="20"/>
  <c r="H2713" i="20"/>
  <c r="AC17" i="1" l="1"/>
  <c r="S99" i="1"/>
  <c r="S204" i="1"/>
  <c r="S206" i="1"/>
  <c r="R210" i="1"/>
  <c r="S205" i="1"/>
  <c r="P205" i="1"/>
  <c r="R206" i="1"/>
  <c r="P210" i="1"/>
  <c r="Q203" i="1"/>
  <c r="Q205" i="1"/>
  <c r="S210" i="1"/>
  <c r="P208" i="1"/>
  <c r="Q211" i="1"/>
  <c r="P207" i="1"/>
  <c r="Q204" i="1"/>
  <c r="R209" i="1"/>
  <c r="R211" i="1"/>
  <c r="Q201" i="1"/>
  <c r="R208" i="1"/>
  <c r="S207" i="1"/>
  <c r="R203" i="1"/>
  <c r="R212" i="1"/>
  <c r="S201" i="1"/>
  <c r="P201" i="1"/>
  <c r="P202" i="1"/>
  <c r="R205" i="1"/>
  <c r="Q202" i="1"/>
  <c r="S209" i="1"/>
  <c r="P211" i="1"/>
  <c r="Q207" i="1"/>
  <c r="Q210" i="1"/>
  <c r="S202" i="1"/>
  <c r="S211" i="1"/>
  <c r="P209" i="1"/>
  <c r="R99" i="1"/>
  <c r="P99" i="1"/>
  <c r="S203" i="1"/>
  <c r="Q212" i="1"/>
  <c r="P204" i="1"/>
  <c r="R207" i="1"/>
  <c r="P212" i="1"/>
  <c r="R204" i="1"/>
  <c r="R201" i="1"/>
  <c r="P203" i="1"/>
  <c r="S208" i="1"/>
  <c r="P206" i="1"/>
  <c r="Q206" i="1"/>
  <c r="Q208" i="1"/>
  <c r="Q99" i="1"/>
  <c r="Q209" i="1"/>
  <c r="R202" i="1"/>
  <c r="S212" i="1"/>
  <c r="Q178" i="1"/>
  <c r="P178" i="1"/>
  <c r="S178" i="1"/>
  <c r="S177" i="1"/>
  <c r="R177" i="1"/>
  <c r="R178" i="1"/>
  <c r="Q177" i="1"/>
  <c r="P177" i="1"/>
  <c r="P131" i="1"/>
  <c r="S131" i="1"/>
  <c r="Q131" i="1"/>
  <c r="R131" i="1"/>
  <c r="P98" i="1"/>
  <c r="S98" i="1"/>
  <c r="R98" i="1"/>
  <c r="Q98" i="1"/>
  <c r="Q190" i="1"/>
  <c r="R189" i="1"/>
  <c r="S189" i="1"/>
  <c r="P189" i="1"/>
  <c r="R190" i="1"/>
  <c r="Q189" i="1"/>
  <c r="S190" i="1"/>
  <c r="P190" i="1"/>
  <c r="Q176" i="1"/>
  <c r="P176" i="1"/>
  <c r="S175" i="1"/>
  <c r="Q175" i="1"/>
  <c r="R175" i="1"/>
  <c r="P175" i="1"/>
  <c r="S176" i="1"/>
  <c r="R176" i="1"/>
  <c r="S171" i="1"/>
  <c r="Q171" i="1"/>
  <c r="R173" i="1"/>
  <c r="Q172" i="1"/>
  <c r="P171" i="1"/>
  <c r="S174" i="1"/>
  <c r="P173" i="1"/>
  <c r="Q173" i="1"/>
  <c r="S172" i="1"/>
  <c r="R172" i="1"/>
  <c r="Q174" i="1"/>
  <c r="R174" i="1"/>
  <c r="S173" i="1"/>
  <c r="P174" i="1"/>
  <c r="P172" i="1"/>
  <c r="R171" i="1"/>
  <c r="S170" i="1"/>
  <c r="R169" i="1"/>
  <c r="S168" i="1"/>
  <c r="S167" i="1"/>
  <c r="Q170" i="1"/>
  <c r="P169" i="1"/>
  <c r="Q168" i="1"/>
  <c r="Q167" i="1"/>
  <c r="P170" i="1"/>
  <c r="R170" i="1"/>
  <c r="P168" i="1"/>
  <c r="S169" i="1"/>
  <c r="Q169" i="1"/>
  <c r="P167" i="1"/>
  <c r="R167" i="1"/>
  <c r="R168" i="1"/>
  <c r="P97" i="1"/>
  <c r="R96" i="1"/>
  <c r="S96" i="1"/>
  <c r="Q96" i="1"/>
  <c r="R97" i="1"/>
  <c r="P96" i="1"/>
  <c r="Q97" i="1"/>
  <c r="S97" i="1"/>
  <c r="B292" i="4"/>
  <c r="B297" i="4" s="1"/>
  <c r="Q92" i="1"/>
  <c r="P92" i="1"/>
  <c r="S93" i="1"/>
  <c r="R95" i="1"/>
  <c r="P95" i="1"/>
  <c r="Q95" i="1"/>
  <c r="R93" i="1"/>
  <c r="P93" i="1"/>
  <c r="S95" i="1"/>
  <c r="Q93" i="1"/>
  <c r="S92" i="1"/>
  <c r="Q94" i="1"/>
  <c r="R92" i="1"/>
  <c r="S94" i="1"/>
  <c r="R94" i="1"/>
  <c r="P94" i="1"/>
  <c r="B301" i="4"/>
  <c r="B302" i="4"/>
  <c r="B294" i="4"/>
  <c r="B296" i="4"/>
  <c r="B293" i="4"/>
  <c r="B295" i="4"/>
  <c r="P152" i="1"/>
  <c r="R160" i="1"/>
  <c r="S199" i="1"/>
  <c r="S195" i="1"/>
  <c r="R61" i="1"/>
  <c r="Q70" i="1"/>
  <c r="Q68" i="1"/>
  <c r="P105" i="1"/>
  <c r="Q179" i="1"/>
  <c r="P140" i="1"/>
  <c r="S198" i="1"/>
  <c r="S100" i="1"/>
  <c r="R91" i="1"/>
  <c r="Q77" i="1"/>
  <c r="Q20" i="1"/>
  <c r="S179" i="1"/>
  <c r="P146" i="1"/>
  <c r="S40" i="1"/>
  <c r="S108" i="1"/>
  <c r="R107" i="1"/>
  <c r="R21" i="1"/>
  <c r="Q109" i="1"/>
  <c r="Q28" i="1"/>
  <c r="P135" i="1"/>
  <c r="R137" i="1"/>
  <c r="R154" i="1"/>
  <c r="S184" i="1"/>
  <c r="S180" i="1"/>
  <c r="R198" i="1"/>
  <c r="R47" i="1"/>
  <c r="Q19" i="1"/>
  <c r="Q62" i="1"/>
  <c r="P41" i="1"/>
  <c r="R136" i="1"/>
  <c r="Q138" i="1"/>
  <c r="S192" i="1"/>
  <c r="S53" i="1"/>
  <c r="R38" i="1"/>
  <c r="R109" i="1"/>
  <c r="Q63" i="1"/>
  <c r="R138" i="1"/>
  <c r="Q140" i="1"/>
  <c r="S19" i="1"/>
  <c r="S61" i="1"/>
  <c r="R62" i="1"/>
  <c r="R117" i="1"/>
  <c r="R142" i="1"/>
  <c r="Q144" i="1"/>
  <c r="S35" i="1"/>
  <c r="S101" i="1"/>
  <c r="R86" i="1"/>
  <c r="R186" i="1"/>
  <c r="Q198" i="1"/>
  <c r="Q185" i="1"/>
  <c r="P39" i="1"/>
  <c r="P160" i="1"/>
  <c r="S154" i="1"/>
  <c r="S57" i="1"/>
  <c r="S21" i="1"/>
  <c r="R200" i="1"/>
  <c r="R77" i="1"/>
  <c r="Q126" i="1"/>
  <c r="P162" i="1"/>
  <c r="S164" i="1"/>
  <c r="S81" i="1"/>
  <c r="S29" i="1"/>
  <c r="R67" i="1"/>
  <c r="R85" i="1"/>
  <c r="Q100" i="1"/>
  <c r="P70" i="1"/>
  <c r="P151" i="1"/>
  <c r="R153" i="1"/>
  <c r="S18" i="1"/>
  <c r="S38" i="1"/>
  <c r="S49" i="1"/>
  <c r="R120" i="1"/>
  <c r="R56" i="1"/>
  <c r="Q83" i="1"/>
  <c r="Q119" i="1"/>
  <c r="P35" i="1"/>
  <c r="R158" i="1"/>
  <c r="Q154" i="1"/>
  <c r="S75" i="1"/>
  <c r="S86" i="1"/>
  <c r="R39" i="1"/>
  <c r="R54" i="1"/>
  <c r="Q181" i="1"/>
  <c r="R162" i="1"/>
  <c r="Q156" i="1"/>
  <c r="S83" i="1"/>
  <c r="S118" i="1"/>
  <c r="R55" i="1"/>
  <c r="S146" i="1"/>
  <c r="Q160" i="1"/>
  <c r="S107" i="1"/>
  <c r="S39" i="1"/>
  <c r="R79" i="1"/>
  <c r="R118" i="1"/>
  <c r="Q57" i="1"/>
  <c r="Q85" i="1"/>
  <c r="P104" i="1"/>
  <c r="R146" i="1"/>
  <c r="Q148" i="1"/>
  <c r="S51" i="1"/>
  <c r="S196" i="1"/>
  <c r="R126" i="1"/>
  <c r="Q64" i="1"/>
  <c r="R148" i="1"/>
  <c r="Q150" i="1"/>
  <c r="S59" i="1"/>
  <c r="S30" i="1"/>
  <c r="R197" i="1"/>
  <c r="R22" i="1"/>
  <c r="Q88" i="1"/>
  <c r="Q21" i="1"/>
  <c r="P111" i="1"/>
  <c r="P179" i="1"/>
  <c r="R156" i="1"/>
  <c r="S82" i="1"/>
  <c r="S103" i="1"/>
  <c r="R42" i="1"/>
  <c r="R81" i="1"/>
  <c r="R105" i="1"/>
  <c r="Q101" i="1"/>
  <c r="Q191" i="1"/>
  <c r="P107" i="1"/>
  <c r="P137" i="1"/>
  <c r="R139" i="1"/>
  <c r="S138" i="1"/>
  <c r="S194" i="1"/>
  <c r="R24" i="1"/>
  <c r="R63" i="1"/>
  <c r="Q27" i="1"/>
  <c r="P139" i="1"/>
  <c r="R141" i="1"/>
  <c r="S150" i="1"/>
  <c r="S32" i="1"/>
  <c r="R40" i="1"/>
  <c r="P143" i="1"/>
  <c r="R145" i="1"/>
  <c r="R134" i="1"/>
  <c r="S69" i="1"/>
  <c r="S72" i="1"/>
  <c r="R64" i="1"/>
  <c r="R127" i="1"/>
  <c r="Q51" i="1"/>
  <c r="Q23" i="1"/>
  <c r="P182" i="1"/>
  <c r="S166" i="1"/>
  <c r="Q164" i="1"/>
  <c r="S123" i="1"/>
  <c r="S87" i="1"/>
  <c r="R119" i="1"/>
  <c r="Q113" i="1"/>
  <c r="R135" i="1"/>
  <c r="Q166" i="1"/>
  <c r="S132" i="1"/>
  <c r="S119" i="1"/>
  <c r="R180" i="1"/>
  <c r="R31" i="1"/>
  <c r="Q192" i="1"/>
  <c r="Q38" i="1"/>
  <c r="Q139" i="1"/>
  <c r="S141" i="1"/>
  <c r="S41" i="1"/>
  <c r="R114" i="1"/>
  <c r="R36" i="1"/>
  <c r="Q66" i="1"/>
  <c r="Q55" i="1"/>
  <c r="P26" i="1"/>
  <c r="P109" i="1"/>
  <c r="P153" i="1"/>
  <c r="R155" i="1"/>
  <c r="S26" i="1"/>
  <c r="S54" i="1"/>
  <c r="S73" i="1"/>
  <c r="R181" i="1"/>
  <c r="R80" i="1"/>
  <c r="Q91" i="1"/>
  <c r="P155" i="1"/>
  <c r="R157" i="1"/>
  <c r="S34" i="1"/>
  <c r="S78" i="1"/>
  <c r="S105" i="1"/>
  <c r="P159" i="1"/>
  <c r="R161" i="1"/>
  <c r="S50" i="1"/>
  <c r="S197" i="1"/>
  <c r="S200" i="1"/>
  <c r="R25" i="1"/>
  <c r="R199" i="1"/>
  <c r="Q123" i="1"/>
  <c r="Q56" i="1"/>
  <c r="P67" i="1"/>
  <c r="P147" i="1"/>
  <c r="R149" i="1"/>
  <c r="P134" i="1"/>
  <c r="S109" i="1"/>
  <c r="S128" i="1"/>
  <c r="R88" i="1"/>
  <c r="Q67" i="1"/>
  <c r="P149" i="1"/>
  <c r="R151" i="1"/>
  <c r="Q134" i="1"/>
  <c r="S25" i="1"/>
  <c r="R104" i="1"/>
  <c r="R32" i="1"/>
  <c r="Q75" i="1"/>
  <c r="Q87" i="1"/>
  <c r="P27" i="1"/>
  <c r="Q155" i="1"/>
  <c r="S157" i="1"/>
  <c r="S187" i="1"/>
  <c r="S44" i="1"/>
  <c r="R35" i="1"/>
  <c r="R108" i="1"/>
  <c r="Q183" i="1"/>
  <c r="Q199" i="1"/>
  <c r="P90" i="1"/>
  <c r="P55" i="1"/>
  <c r="R152" i="1"/>
  <c r="R164" i="1"/>
  <c r="S90" i="1"/>
  <c r="S188" i="1"/>
  <c r="R50" i="1"/>
  <c r="R89" i="1"/>
  <c r="R129" i="1"/>
  <c r="Q196" i="1"/>
  <c r="R166" i="1"/>
  <c r="S140" i="1"/>
  <c r="S106" i="1"/>
  <c r="S24" i="1"/>
  <c r="R58" i="1"/>
  <c r="R113" i="1"/>
  <c r="Q18" i="1"/>
  <c r="Q30" i="1"/>
  <c r="Q49" i="1"/>
  <c r="P123" i="1"/>
  <c r="P40" i="1"/>
  <c r="S23" i="1"/>
  <c r="P66" i="1"/>
  <c r="S144" i="1"/>
  <c r="R66" i="1"/>
  <c r="Q104" i="1"/>
  <c r="S130" i="1"/>
  <c r="Q42" i="1"/>
  <c r="P115" i="1"/>
  <c r="S121" i="1"/>
  <c r="Q188" i="1"/>
  <c r="P23" i="1"/>
  <c r="Q48" i="1"/>
  <c r="P61" i="1"/>
  <c r="Q182" i="1"/>
  <c r="P68" i="1"/>
  <c r="S151" i="1"/>
  <c r="R76" i="1"/>
  <c r="Q184" i="1"/>
  <c r="P78" i="1"/>
  <c r="R133" i="1"/>
  <c r="P38" i="1"/>
  <c r="R147" i="1"/>
  <c r="R72" i="1"/>
  <c r="P34" i="1"/>
  <c r="P196" i="1"/>
  <c r="S181" i="1"/>
  <c r="Q46" i="1"/>
  <c r="P59" i="1"/>
  <c r="S152" i="1"/>
  <c r="S156" i="1"/>
  <c r="S122" i="1"/>
  <c r="S80" i="1"/>
  <c r="R74" i="1"/>
  <c r="R182" i="1"/>
  <c r="Q34" i="1"/>
  <c r="Q86" i="1"/>
  <c r="Q105" i="1"/>
  <c r="P184" i="1"/>
  <c r="P163" i="1"/>
  <c r="R165" i="1"/>
  <c r="S66" i="1"/>
  <c r="S47" i="1"/>
  <c r="R26" i="1"/>
  <c r="R49" i="1"/>
  <c r="R57" i="1"/>
  <c r="Q194" i="1"/>
  <c r="P165" i="1"/>
  <c r="R179" i="1"/>
  <c r="S74" i="1"/>
  <c r="S71" i="1"/>
  <c r="R34" i="1"/>
  <c r="R65" i="1"/>
  <c r="R73" i="1"/>
  <c r="Q61" i="1"/>
  <c r="Q128" i="1"/>
  <c r="P91" i="1"/>
  <c r="P138" i="1"/>
  <c r="P150" i="1"/>
  <c r="S64" i="1"/>
  <c r="S116" i="1"/>
  <c r="R115" i="1"/>
  <c r="R29" i="1"/>
  <c r="Q125" i="1"/>
  <c r="Q36" i="1"/>
  <c r="P45" i="1"/>
  <c r="P191" i="1"/>
  <c r="Q141" i="1"/>
  <c r="S143" i="1"/>
  <c r="S125" i="1"/>
  <c r="S65" i="1"/>
  <c r="R122" i="1"/>
  <c r="R44" i="1"/>
  <c r="Q74" i="1"/>
  <c r="Q103" i="1"/>
  <c r="Q143" i="1"/>
  <c r="S145" i="1"/>
  <c r="S186" i="1"/>
  <c r="S89" i="1"/>
  <c r="R130" i="1"/>
  <c r="R52" i="1"/>
  <c r="Q82" i="1"/>
  <c r="Q127" i="1"/>
  <c r="P42" i="1"/>
  <c r="P186" i="1"/>
  <c r="P22" i="1"/>
  <c r="R140" i="1"/>
  <c r="R78" i="1"/>
  <c r="P25" i="1"/>
  <c r="S43" i="1"/>
  <c r="Q40" i="1"/>
  <c r="Q133" i="1"/>
  <c r="P129" i="1"/>
  <c r="Q47" i="1"/>
  <c r="P47" i="1"/>
  <c r="P79" i="1"/>
  <c r="Q162" i="1"/>
  <c r="Q114" i="1"/>
  <c r="P73" i="1"/>
  <c r="Q43" i="1"/>
  <c r="P112" i="1"/>
  <c r="P136" i="1"/>
  <c r="R195" i="1"/>
  <c r="P77" i="1"/>
  <c r="P103" i="1"/>
  <c r="S110" i="1"/>
  <c r="Q115" i="1"/>
  <c r="P125" i="1"/>
  <c r="P181" i="1"/>
  <c r="Q147" i="1"/>
  <c r="S149" i="1"/>
  <c r="S46" i="1"/>
  <c r="S182" i="1"/>
  <c r="R193" i="1"/>
  <c r="R68" i="1"/>
  <c r="Q106" i="1"/>
  <c r="Q24" i="1"/>
  <c r="P58" i="1"/>
  <c r="P46" i="1"/>
  <c r="Q135" i="1"/>
  <c r="S137" i="1"/>
  <c r="S183" i="1"/>
  <c r="S191" i="1"/>
  <c r="R90" i="1"/>
  <c r="R20" i="1"/>
  <c r="Q50" i="1"/>
  <c r="Q197" i="1"/>
  <c r="Q137" i="1"/>
  <c r="S139" i="1"/>
  <c r="S193" i="1"/>
  <c r="R106" i="1"/>
  <c r="R28" i="1"/>
  <c r="Q58" i="1"/>
  <c r="Q31" i="1"/>
  <c r="P18" i="1"/>
  <c r="P166" i="1"/>
  <c r="Q136" i="1"/>
  <c r="S113" i="1"/>
  <c r="S37" i="1"/>
  <c r="R194" i="1"/>
  <c r="R101" i="1"/>
  <c r="Q39" i="1"/>
  <c r="Q108" i="1"/>
  <c r="P102" i="1"/>
  <c r="P36" i="1"/>
  <c r="Q157" i="1"/>
  <c r="S159" i="1"/>
  <c r="S31" i="1"/>
  <c r="S52" i="1"/>
  <c r="R43" i="1"/>
  <c r="R116" i="1"/>
  <c r="Q193" i="1"/>
  <c r="Q33" i="1"/>
  <c r="Q163" i="1"/>
  <c r="P130" i="1"/>
  <c r="Q122" i="1"/>
  <c r="Q130" i="1"/>
  <c r="R23" i="1"/>
  <c r="S88" i="1"/>
  <c r="S161" i="1"/>
  <c r="R191" i="1"/>
  <c r="Q79" i="1"/>
  <c r="Q110" i="1"/>
  <c r="P127" i="1"/>
  <c r="R163" i="1"/>
  <c r="R33" i="1"/>
  <c r="S148" i="1"/>
  <c r="Q26" i="1"/>
  <c r="S135" i="1"/>
  <c r="Q118" i="1"/>
  <c r="S147" i="1"/>
  <c r="Q90" i="1"/>
  <c r="P100" i="1"/>
  <c r="P200" i="1"/>
  <c r="R111" i="1"/>
  <c r="P86" i="1"/>
  <c r="S20" i="1"/>
  <c r="S68" i="1"/>
  <c r="P64" i="1"/>
  <c r="P133" i="1"/>
  <c r="P145" i="1"/>
  <c r="R188" i="1"/>
  <c r="P69" i="1"/>
  <c r="P164" i="1"/>
  <c r="Q60" i="1"/>
  <c r="P30" i="1"/>
  <c r="P141" i="1"/>
  <c r="S42" i="1"/>
  <c r="Q102" i="1"/>
  <c r="S165" i="1"/>
  <c r="P24" i="1"/>
  <c r="Q72" i="1"/>
  <c r="Q112" i="1"/>
  <c r="R46" i="1"/>
  <c r="S124" i="1"/>
  <c r="P158" i="1"/>
  <c r="R124" i="1"/>
  <c r="P49" i="1"/>
  <c r="S142" i="1"/>
  <c r="Q132" i="1"/>
  <c r="Q142" i="1"/>
  <c r="Q111" i="1"/>
  <c r="Q146" i="1"/>
  <c r="Q116" i="1"/>
  <c r="Q158" i="1"/>
  <c r="Q41" i="1"/>
  <c r="P37" i="1"/>
  <c r="P194" i="1"/>
  <c r="Q89" i="1"/>
  <c r="P113" i="1"/>
  <c r="S63" i="1"/>
  <c r="R48" i="1"/>
  <c r="P199" i="1"/>
  <c r="Q165" i="1"/>
  <c r="Q53" i="1"/>
  <c r="P56" i="1"/>
  <c r="Q69" i="1"/>
  <c r="S111" i="1"/>
  <c r="Q151" i="1"/>
  <c r="Q153" i="1"/>
  <c r="P82" i="1"/>
  <c r="Q120" i="1"/>
  <c r="R123" i="1"/>
  <c r="S55" i="1"/>
  <c r="R45" i="1"/>
  <c r="Q35" i="1"/>
  <c r="P114" i="1"/>
  <c r="P52" i="1"/>
  <c r="S58" i="1"/>
  <c r="S114" i="1"/>
  <c r="Q54" i="1"/>
  <c r="S112" i="1"/>
  <c r="Q78" i="1"/>
  <c r="S22" i="1"/>
  <c r="Q187" i="1"/>
  <c r="P31" i="1"/>
  <c r="P87" i="1"/>
  <c r="P188" i="1"/>
  <c r="P110" i="1"/>
  <c r="P193" i="1"/>
  <c r="Q161" i="1"/>
  <c r="P119" i="1"/>
  <c r="S134" i="1"/>
  <c r="Q59" i="1"/>
  <c r="P44" i="1"/>
  <c r="S185" i="1"/>
  <c r="Q32" i="1"/>
  <c r="Q80" i="1"/>
  <c r="S76" i="1"/>
  <c r="S153" i="1"/>
  <c r="S155" i="1"/>
  <c r="Q29" i="1"/>
  <c r="R37" i="1"/>
  <c r="S120" i="1"/>
  <c r="R70" i="1"/>
  <c r="Q107" i="1"/>
  <c r="P101" i="1"/>
  <c r="P124" i="1"/>
  <c r="S33" i="1"/>
  <c r="P54" i="1"/>
  <c r="S27" i="1"/>
  <c r="Q84" i="1"/>
  <c r="S117" i="1"/>
  <c r="Q25" i="1"/>
  <c r="S91" i="1"/>
  <c r="Q73" i="1"/>
  <c r="P88" i="1"/>
  <c r="P116" i="1"/>
  <c r="P85" i="1"/>
  <c r="R103" i="1"/>
  <c r="S162" i="1"/>
  <c r="Q76" i="1"/>
  <c r="S127" i="1"/>
  <c r="Q200" i="1"/>
  <c r="P185" i="1"/>
  <c r="S129" i="1"/>
  <c r="P50" i="1"/>
  <c r="P75" i="1"/>
  <c r="R100" i="1"/>
  <c r="P144" i="1"/>
  <c r="P51" i="1"/>
  <c r="P63" i="1"/>
  <c r="R143" i="1"/>
  <c r="R83" i="1"/>
  <c r="P60" i="1"/>
  <c r="R75" i="1"/>
  <c r="S102" i="1"/>
  <c r="S126" i="1"/>
  <c r="R150" i="1"/>
  <c r="P198" i="1"/>
  <c r="Q186" i="1"/>
  <c r="S60" i="1"/>
  <c r="R87" i="1"/>
  <c r="Q65" i="1"/>
  <c r="P197" i="1"/>
  <c r="P53" i="1"/>
  <c r="R18" i="1"/>
  <c r="P76" i="1"/>
  <c r="S56" i="1"/>
  <c r="P29" i="1"/>
  <c r="R82" i="1"/>
  <c r="P106" i="1"/>
  <c r="R183" i="1"/>
  <c r="P122" i="1"/>
  <c r="R187" i="1"/>
  <c r="P120" i="1"/>
  <c r="P195" i="1"/>
  <c r="Q149" i="1"/>
  <c r="Q195" i="1"/>
  <c r="P28" i="1"/>
  <c r="S79" i="1"/>
  <c r="P81" i="1"/>
  <c r="S85" i="1"/>
  <c r="Q37" i="1"/>
  <c r="P33" i="1"/>
  <c r="R184" i="1"/>
  <c r="P117" i="1"/>
  <c r="P180" i="1"/>
  <c r="R84" i="1"/>
  <c r="Q22" i="1"/>
  <c r="R69" i="1"/>
  <c r="R196" i="1"/>
  <c r="P132" i="1"/>
  <c r="S115" i="1"/>
  <c r="P84" i="1"/>
  <c r="R128" i="1"/>
  <c r="R185" i="1"/>
  <c r="S28" i="1"/>
  <c r="S36" i="1"/>
  <c r="Q152" i="1"/>
  <c r="P108" i="1"/>
  <c r="Q44" i="1"/>
  <c r="S133" i="1"/>
  <c r="R112" i="1"/>
  <c r="Q52" i="1"/>
  <c r="P48" i="1"/>
  <c r="P187" i="1"/>
  <c r="R30" i="1"/>
  <c r="P118" i="1"/>
  <c r="S77" i="1"/>
  <c r="R110" i="1"/>
  <c r="P126" i="1"/>
  <c r="R71" i="1"/>
  <c r="Q81" i="1"/>
  <c r="S163" i="1"/>
  <c r="P57" i="1"/>
  <c r="S158" i="1"/>
  <c r="P183" i="1"/>
  <c r="P71" i="1"/>
  <c r="S48" i="1"/>
  <c r="P83" i="1"/>
  <c r="S84" i="1"/>
  <c r="Q180" i="1"/>
  <c r="P157" i="1"/>
  <c r="P72" i="1"/>
  <c r="P21" i="1"/>
  <c r="S62" i="1"/>
  <c r="P154" i="1"/>
  <c r="Q45" i="1"/>
  <c r="R144" i="1"/>
  <c r="S136" i="1"/>
  <c r="R59" i="1"/>
  <c r="P74" i="1"/>
  <c r="P43" i="1"/>
  <c r="R19" i="1"/>
  <c r="R27" i="1"/>
  <c r="S67" i="1"/>
  <c r="P142" i="1"/>
  <c r="Q159" i="1"/>
  <c r="R51" i="1"/>
  <c r="Q124" i="1"/>
  <c r="P89" i="1"/>
  <c r="P161" i="1"/>
  <c r="R41" i="1"/>
  <c r="P192" i="1"/>
  <c r="R121" i="1"/>
  <c r="S160" i="1"/>
  <c r="R192" i="1"/>
  <c r="Q145" i="1"/>
  <c r="R60" i="1"/>
  <c r="P121" i="1"/>
  <c r="Q121" i="1"/>
  <c r="S45" i="1"/>
  <c r="Q117" i="1"/>
  <c r="S70" i="1"/>
  <c r="P20" i="1"/>
  <c r="P62" i="1"/>
  <c r="Q71" i="1"/>
  <c r="S104" i="1"/>
  <c r="P32" i="1"/>
  <c r="P148" i="1"/>
  <c r="R53" i="1"/>
  <c r="P80" i="1"/>
  <c r="P65" i="1"/>
  <c r="Q129" i="1"/>
  <c r="R132" i="1"/>
  <c r="P156" i="1"/>
  <c r="R125" i="1"/>
  <c r="R102" i="1"/>
  <c r="P128" i="1"/>
  <c r="P19" i="1"/>
  <c r="R159" i="1"/>
  <c r="B298" i="4"/>
  <c r="B304" i="4" s="1"/>
  <c r="B306" i="4" s="1"/>
  <c r="B307" i="4" s="1"/>
  <c r="B310" i="4" s="1"/>
  <c r="B303" i="4"/>
  <c r="B305" i="4" s="1"/>
  <c r="W99" i="1" l="1"/>
  <c r="U99" i="1"/>
  <c r="Y99" i="1" s="1"/>
  <c r="V99" i="1"/>
  <c r="AB99" i="1" s="1"/>
  <c r="AD99" i="1" s="1"/>
  <c r="X99" i="1"/>
  <c r="W193" i="1"/>
  <c r="W177" i="1"/>
  <c r="W178" i="1"/>
  <c r="U177" i="1"/>
  <c r="Y177" i="1" s="1"/>
  <c r="V177" i="1"/>
  <c r="AB177" i="1" s="1"/>
  <c r="AD177" i="1" s="1"/>
  <c r="X177" i="1"/>
  <c r="V178" i="1"/>
  <c r="AB178" i="1" s="1"/>
  <c r="AD178" i="1" s="1"/>
  <c r="U178" i="1"/>
  <c r="Y178" i="1" s="1"/>
  <c r="X178" i="1"/>
  <c r="W131" i="1"/>
  <c r="X131" i="1"/>
  <c r="V131" i="1"/>
  <c r="AB131" i="1" s="1"/>
  <c r="AD131" i="1" s="1"/>
  <c r="U131" i="1"/>
  <c r="Y131" i="1" s="1"/>
  <c r="W74" i="1"/>
  <c r="W98" i="1"/>
  <c r="X98" i="1"/>
  <c r="V98" i="1"/>
  <c r="AB98" i="1" s="1"/>
  <c r="AD98" i="1" s="1"/>
  <c r="U98" i="1"/>
  <c r="Y98" i="1" s="1"/>
  <c r="X190" i="1"/>
  <c r="V190" i="1"/>
  <c r="AB190" i="1" s="1"/>
  <c r="AD190" i="1" s="1"/>
  <c r="U190" i="1"/>
  <c r="Y190" i="1" s="1"/>
  <c r="W189" i="1"/>
  <c r="U189" i="1"/>
  <c r="Y189" i="1" s="1"/>
  <c r="X189" i="1"/>
  <c r="V189" i="1"/>
  <c r="AB189" i="1" s="1"/>
  <c r="AD189" i="1" s="1"/>
  <c r="W190" i="1"/>
  <c r="W176" i="1"/>
  <c r="U175" i="1"/>
  <c r="Y175" i="1" s="1"/>
  <c r="V175" i="1"/>
  <c r="AB175" i="1" s="1"/>
  <c r="AD175" i="1" s="1"/>
  <c r="X175" i="1"/>
  <c r="W175" i="1"/>
  <c r="V176" i="1"/>
  <c r="AB176" i="1" s="1"/>
  <c r="AD176" i="1" s="1"/>
  <c r="X176" i="1"/>
  <c r="U176" i="1"/>
  <c r="Y176" i="1" s="1"/>
  <c r="W174" i="1"/>
  <c r="W173" i="1"/>
  <c r="V172" i="1"/>
  <c r="AB172" i="1" s="1"/>
  <c r="AD172" i="1" s="1"/>
  <c r="U172" i="1"/>
  <c r="Y172" i="1" s="1"/>
  <c r="X172" i="1"/>
  <c r="U173" i="1"/>
  <c r="Y173" i="1" s="1"/>
  <c r="V173" i="1"/>
  <c r="AB173" i="1" s="1"/>
  <c r="AD173" i="1" s="1"/>
  <c r="X173" i="1"/>
  <c r="U174" i="1"/>
  <c r="Y174" i="1" s="1"/>
  <c r="X174" i="1"/>
  <c r="V174" i="1"/>
  <c r="AB174" i="1" s="1"/>
  <c r="AD174" i="1" s="1"/>
  <c r="U171" i="1"/>
  <c r="Y171" i="1" s="1"/>
  <c r="V171" i="1"/>
  <c r="AB171" i="1" s="1"/>
  <c r="AD171" i="1" s="1"/>
  <c r="X171" i="1"/>
  <c r="W172" i="1"/>
  <c r="W171" i="1"/>
  <c r="W167" i="1"/>
  <c r="W168" i="1"/>
  <c r="U167" i="1"/>
  <c r="Y167" i="1" s="1"/>
  <c r="X167" i="1"/>
  <c r="V167" i="1"/>
  <c r="AB167" i="1" s="1"/>
  <c r="AD167" i="1" s="1"/>
  <c r="V169" i="1"/>
  <c r="AB169" i="1" s="1"/>
  <c r="AD169" i="1" s="1"/>
  <c r="U169" i="1"/>
  <c r="Y169" i="1" s="1"/>
  <c r="X169" i="1"/>
  <c r="W169" i="1"/>
  <c r="W170" i="1"/>
  <c r="U168" i="1"/>
  <c r="Y168" i="1" s="1"/>
  <c r="X168" i="1"/>
  <c r="V168" i="1"/>
  <c r="AB168" i="1" s="1"/>
  <c r="AD168" i="1" s="1"/>
  <c r="U170" i="1"/>
  <c r="Y170" i="1" s="1"/>
  <c r="X170" i="1"/>
  <c r="V170" i="1"/>
  <c r="AB170" i="1" s="1"/>
  <c r="AD170" i="1" s="1"/>
  <c r="W97" i="1"/>
  <c r="U96" i="1"/>
  <c r="Y96" i="1" s="1"/>
  <c r="V96" i="1"/>
  <c r="AB96" i="1" s="1"/>
  <c r="AD96" i="1" s="1"/>
  <c r="X96" i="1"/>
  <c r="W96" i="1"/>
  <c r="X97" i="1"/>
  <c r="V97" i="1"/>
  <c r="AB97" i="1" s="1"/>
  <c r="AD97" i="1" s="1"/>
  <c r="U97" i="1"/>
  <c r="Y97" i="1" s="1"/>
  <c r="W21" i="1"/>
  <c r="W93" i="1"/>
  <c r="X94" i="1"/>
  <c r="V94" i="1"/>
  <c r="AB94" i="1" s="1"/>
  <c r="AD94" i="1" s="1"/>
  <c r="U94" i="1"/>
  <c r="Y94" i="1" s="1"/>
  <c r="U93" i="1"/>
  <c r="Y93" i="1" s="1"/>
  <c r="X93" i="1"/>
  <c r="V93" i="1"/>
  <c r="AB93" i="1" s="1"/>
  <c r="AD93" i="1" s="1"/>
  <c r="W95" i="1"/>
  <c r="X95" i="1"/>
  <c r="V95" i="1"/>
  <c r="AB95" i="1" s="1"/>
  <c r="AD95" i="1" s="1"/>
  <c r="U95" i="1"/>
  <c r="Y95" i="1" s="1"/>
  <c r="W94" i="1"/>
  <c r="X92" i="1"/>
  <c r="V92" i="1"/>
  <c r="AB92" i="1" s="1"/>
  <c r="AD92" i="1" s="1"/>
  <c r="U92" i="1"/>
  <c r="Y92" i="1" s="1"/>
  <c r="W92" i="1"/>
  <c r="W26" i="1"/>
  <c r="W195" i="1"/>
  <c r="W47" i="1"/>
  <c r="W202" i="1"/>
  <c r="W201" i="1"/>
  <c r="W61" i="1"/>
  <c r="W194" i="1"/>
  <c r="W146" i="1"/>
  <c r="W50" i="1"/>
  <c r="W81" i="1"/>
  <c r="W37" i="1"/>
  <c r="W107" i="1"/>
  <c r="W207" i="1"/>
  <c r="W31" i="1"/>
  <c r="W40" i="1"/>
  <c r="W198" i="1"/>
  <c r="W158" i="1"/>
  <c r="W152" i="1"/>
  <c r="W54" i="1"/>
  <c r="W118" i="1"/>
  <c r="W157" i="1"/>
  <c r="W43" i="1"/>
  <c r="W82" i="1"/>
  <c r="W119" i="1"/>
  <c r="W45" i="1"/>
  <c r="W163" i="1"/>
  <c r="W67" i="1"/>
  <c r="W129" i="1"/>
  <c r="W136" i="1"/>
  <c r="W117" i="1"/>
  <c r="W71" i="1"/>
  <c r="W164" i="1"/>
  <c r="W56" i="1"/>
  <c r="W115" i="1"/>
  <c r="W79" i="1"/>
  <c r="W73" i="1"/>
  <c r="W105" i="1"/>
  <c r="W166" i="1"/>
  <c r="W53" i="1"/>
  <c r="W112" i="1"/>
  <c r="W124" i="1"/>
  <c r="W41" i="1"/>
  <c r="W206" i="1"/>
  <c r="W52" i="1"/>
  <c r="W86" i="1"/>
  <c r="W210" i="1"/>
  <c r="W29" i="1"/>
  <c r="W145" i="1"/>
  <c r="W22" i="1"/>
  <c r="W59" i="1"/>
  <c r="W120" i="1"/>
  <c r="W165" i="1"/>
  <c r="W72" i="1"/>
  <c r="W125" i="1"/>
  <c r="W65" i="1"/>
  <c r="W39" i="1"/>
  <c r="W25" i="1"/>
  <c r="W151" i="1"/>
  <c r="W76" i="1"/>
  <c r="W130" i="1"/>
  <c r="W197" i="1"/>
  <c r="W204" i="1"/>
  <c r="W200" i="1"/>
  <c r="W83" i="1"/>
  <c r="U161" i="1"/>
  <c r="Y161" i="1" s="1"/>
  <c r="V161" i="1"/>
  <c r="AB161" i="1" s="1"/>
  <c r="AD161" i="1" s="1"/>
  <c r="X161" i="1"/>
  <c r="U85" i="1"/>
  <c r="Y85" i="1" s="1"/>
  <c r="X85" i="1"/>
  <c r="V85" i="1"/>
  <c r="AB85" i="1" s="1"/>
  <c r="AD85" i="1" s="1"/>
  <c r="U56" i="1"/>
  <c r="Y56" i="1" s="1"/>
  <c r="X56" i="1"/>
  <c r="V56" i="1"/>
  <c r="AB56" i="1" s="1"/>
  <c r="AD56" i="1" s="1"/>
  <c r="U187" i="1"/>
  <c r="Y187" i="1" s="1"/>
  <c r="V187" i="1"/>
  <c r="AB187" i="1" s="1"/>
  <c r="AD187" i="1" s="1"/>
  <c r="X187" i="1"/>
  <c r="X122" i="1"/>
  <c r="V122" i="1"/>
  <c r="AB122" i="1" s="1"/>
  <c r="AD122" i="1" s="1"/>
  <c r="U122" i="1"/>
  <c r="Y122" i="1" s="1"/>
  <c r="U53" i="1"/>
  <c r="Y53" i="1" s="1"/>
  <c r="V53" i="1"/>
  <c r="AB53" i="1" s="1"/>
  <c r="AD53" i="1" s="1"/>
  <c r="X53" i="1"/>
  <c r="X51" i="1"/>
  <c r="U51" i="1"/>
  <c r="Y51" i="1" s="1"/>
  <c r="V51" i="1"/>
  <c r="AB51" i="1" s="1"/>
  <c r="AD51" i="1" s="1"/>
  <c r="X88" i="1"/>
  <c r="U88" i="1"/>
  <c r="Y88" i="1" s="1"/>
  <c r="V88" i="1"/>
  <c r="AB88" i="1" s="1"/>
  <c r="AD88" i="1" s="1"/>
  <c r="U87" i="1"/>
  <c r="Y87" i="1" s="1"/>
  <c r="X87" i="1"/>
  <c r="V87" i="1"/>
  <c r="AB87" i="1" s="1"/>
  <c r="AD87" i="1" s="1"/>
  <c r="U203" i="1"/>
  <c r="Y203" i="1" s="1"/>
  <c r="V203" i="1"/>
  <c r="AB203" i="1" s="1"/>
  <c r="AD203" i="1" s="1"/>
  <c r="X203" i="1"/>
  <c r="U49" i="1"/>
  <c r="Y49" i="1" s="1"/>
  <c r="X49" i="1"/>
  <c r="V49" i="1"/>
  <c r="AB49" i="1" s="1"/>
  <c r="AD49" i="1" s="1"/>
  <c r="U164" i="1"/>
  <c r="Y164" i="1" s="1"/>
  <c r="V164" i="1"/>
  <c r="AB164" i="1" s="1"/>
  <c r="AD164" i="1" s="1"/>
  <c r="X164" i="1"/>
  <c r="V86" i="1"/>
  <c r="AB86" i="1" s="1"/>
  <c r="AD86" i="1" s="1"/>
  <c r="X86" i="1"/>
  <c r="U86" i="1"/>
  <c r="Y86" i="1" s="1"/>
  <c r="X102" i="1"/>
  <c r="U102" i="1"/>
  <c r="Y102" i="1" s="1"/>
  <c r="V102" i="1"/>
  <c r="AB102" i="1" s="1"/>
  <c r="AD102" i="1" s="1"/>
  <c r="U166" i="1"/>
  <c r="Y166" i="1" s="1"/>
  <c r="V166" i="1"/>
  <c r="AB166" i="1" s="1"/>
  <c r="AD166" i="1" s="1"/>
  <c r="X166" i="1"/>
  <c r="W203" i="1"/>
  <c r="W133" i="1"/>
  <c r="X22" i="1"/>
  <c r="V22" i="1"/>
  <c r="AB22" i="1" s="1"/>
  <c r="AD22" i="1" s="1"/>
  <c r="U22" i="1"/>
  <c r="Y22" i="1" s="1"/>
  <c r="W128" i="1"/>
  <c r="X165" i="1"/>
  <c r="U165" i="1"/>
  <c r="Y165" i="1" s="1"/>
  <c r="V165" i="1"/>
  <c r="AB165" i="1" s="1"/>
  <c r="AD165" i="1" s="1"/>
  <c r="U163" i="1"/>
  <c r="Y163" i="1" s="1"/>
  <c r="V163" i="1"/>
  <c r="AB163" i="1" s="1"/>
  <c r="AD163" i="1" s="1"/>
  <c r="X163" i="1"/>
  <c r="X68" i="1"/>
  <c r="U68" i="1"/>
  <c r="Y68" i="1" s="1"/>
  <c r="V68" i="1"/>
  <c r="AB68" i="1" s="1"/>
  <c r="AD68" i="1" s="1"/>
  <c r="W42" i="1"/>
  <c r="U123" i="1"/>
  <c r="Y123" i="1" s="1"/>
  <c r="X123" i="1"/>
  <c r="V123" i="1"/>
  <c r="AB123" i="1" s="1"/>
  <c r="AD123" i="1" s="1"/>
  <c r="W123" i="1"/>
  <c r="W66" i="1"/>
  <c r="W38" i="1"/>
  <c r="U209" i="1"/>
  <c r="Y209" i="1" s="1"/>
  <c r="X209" i="1"/>
  <c r="V209" i="1"/>
  <c r="AB209" i="1" s="1"/>
  <c r="AD209" i="1" s="1"/>
  <c r="W209" i="1"/>
  <c r="U139" i="1"/>
  <c r="Y139" i="1" s="1"/>
  <c r="V139" i="1"/>
  <c r="AB139" i="1" s="1"/>
  <c r="AD139" i="1" s="1"/>
  <c r="X139" i="1"/>
  <c r="X137" i="1"/>
  <c r="V137" i="1"/>
  <c r="AB137" i="1" s="1"/>
  <c r="AD137" i="1" s="1"/>
  <c r="U137" i="1"/>
  <c r="Y137" i="1" s="1"/>
  <c r="W100" i="1"/>
  <c r="X205" i="1"/>
  <c r="V205" i="1"/>
  <c r="AB205" i="1" s="1"/>
  <c r="AD205" i="1" s="1"/>
  <c r="U205" i="1"/>
  <c r="Y205" i="1" s="1"/>
  <c r="V65" i="1"/>
  <c r="AB65" i="1" s="1"/>
  <c r="AD65" i="1" s="1"/>
  <c r="U65" i="1"/>
  <c r="Y65" i="1" s="1"/>
  <c r="X65" i="1"/>
  <c r="X20" i="1"/>
  <c r="U20" i="1"/>
  <c r="Y20" i="1" s="1"/>
  <c r="V20" i="1"/>
  <c r="AB20" i="1" s="1"/>
  <c r="AD20" i="1" s="1"/>
  <c r="X71" i="1"/>
  <c r="U71" i="1"/>
  <c r="Y71" i="1" s="1"/>
  <c r="V71" i="1"/>
  <c r="AB71" i="1" s="1"/>
  <c r="AD71" i="1" s="1"/>
  <c r="U31" i="1"/>
  <c r="Y31" i="1" s="1"/>
  <c r="X31" i="1"/>
  <c r="V31" i="1"/>
  <c r="AB31" i="1" s="1"/>
  <c r="AD31" i="1" s="1"/>
  <c r="V82" i="1"/>
  <c r="AB82" i="1" s="1"/>
  <c r="AD82" i="1" s="1"/>
  <c r="X82" i="1"/>
  <c r="U82" i="1"/>
  <c r="Y82" i="1" s="1"/>
  <c r="X199" i="1"/>
  <c r="U199" i="1"/>
  <c r="Y199" i="1" s="1"/>
  <c r="V199" i="1"/>
  <c r="AB199" i="1" s="1"/>
  <c r="AD199" i="1" s="1"/>
  <c r="X24" i="1"/>
  <c r="U24" i="1"/>
  <c r="Y24" i="1" s="1"/>
  <c r="V24" i="1"/>
  <c r="AB24" i="1" s="1"/>
  <c r="AD24" i="1" s="1"/>
  <c r="X69" i="1"/>
  <c r="U69" i="1"/>
  <c r="Y69" i="1" s="1"/>
  <c r="V69" i="1"/>
  <c r="AB69" i="1" s="1"/>
  <c r="AD69" i="1" s="1"/>
  <c r="W108" i="1"/>
  <c r="U103" i="1"/>
  <c r="Y103" i="1" s="1"/>
  <c r="V103" i="1"/>
  <c r="AB103" i="1" s="1"/>
  <c r="AD103" i="1" s="1"/>
  <c r="X103" i="1"/>
  <c r="W114" i="1"/>
  <c r="X184" i="1"/>
  <c r="V184" i="1"/>
  <c r="AB184" i="1" s="1"/>
  <c r="AD184" i="1" s="1"/>
  <c r="U184" i="1"/>
  <c r="Y184" i="1" s="1"/>
  <c r="W182" i="1"/>
  <c r="W49" i="1"/>
  <c r="W192" i="1"/>
  <c r="W113" i="1"/>
  <c r="X182" i="1"/>
  <c r="U182" i="1"/>
  <c r="Y182" i="1" s="1"/>
  <c r="V182" i="1"/>
  <c r="AB182" i="1" s="1"/>
  <c r="AD182" i="1" s="1"/>
  <c r="W27" i="1"/>
  <c r="X107" i="1"/>
  <c r="U107" i="1"/>
  <c r="Y107" i="1" s="1"/>
  <c r="V107" i="1"/>
  <c r="AB107" i="1" s="1"/>
  <c r="AD107" i="1" s="1"/>
  <c r="W205" i="1"/>
  <c r="W126" i="1"/>
  <c r="U76" i="1"/>
  <c r="Y76" i="1" s="1"/>
  <c r="X76" i="1"/>
  <c r="V76" i="1"/>
  <c r="AB76" i="1" s="1"/>
  <c r="AD76" i="1" s="1"/>
  <c r="X110" i="1"/>
  <c r="U110" i="1"/>
  <c r="Y110" i="1" s="1"/>
  <c r="V110" i="1"/>
  <c r="AB110" i="1" s="1"/>
  <c r="AD110" i="1" s="1"/>
  <c r="V116" i="1"/>
  <c r="AB116" i="1" s="1"/>
  <c r="AD116" i="1" s="1"/>
  <c r="U116" i="1"/>
  <c r="Y116" i="1" s="1"/>
  <c r="X116" i="1"/>
  <c r="U19" i="1"/>
  <c r="Y19" i="1" s="1"/>
  <c r="V19" i="1"/>
  <c r="AB19" i="1" s="1"/>
  <c r="AD19" i="1" s="1"/>
  <c r="X19" i="1"/>
  <c r="U43" i="1"/>
  <c r="Y43" i="1" s="1"/>
  <c r="X43" i="1"/>
  <c r="V43" i="1"/>
  <c r="AB43" i="1" s="1"/>
  <c r="AD43" i="1" s="1"/>
  <c r="U183" i="1"/>
  <c r="Y183" i="1" s="1"/>
  <c r="V183" i="1"/>
  <c r="AB183" i="1" s="1"/>
  <c r="AD183" i="1" s="1"/>
  <c r="X183" i="1"/>
  <c r="V180" i="1"/>
  <c r="AB180" i="1" s="1"/>
  <c r="AD180" i="1" s="1"/>
  <c r="U180" i="1"/>
  <c r="Y180" i="1" s="1"/>
  <c r="X180" i="1"/>
  <c r="X101" i="1"/>
  <c r="U101" i="1"/>
  <c r="Y101" i="1" s="1"/>
  <c r="V101" i="1"/>
  <c r="AB101" i="1" s="1"/>
  <c r="AD101" i="1" s="1"/>
  <c r="U119" i="1"/>
  <c r="Y119" i="1" s="1"/>
  <c r="V119" i="1"/>
  <c r="AB119" i="1" s="1"/>
  <c r="AD119" i="1" s="1"/>
  <c r="X119" i="1"/>
  <c r="W187" i="1"/>
  <c r="X52" i="1"/>
  <c r="V52" i="1"/>
  <c r="AB52" i="1" s="1"/>
  <c r="AD52" i="1" s="1"/>
  <c r="U52" i="1"/>
  <c r="Y52" i="1" s="1"/>
  <c r="W153" i="1"/>
  <c r="W116" i="1"/>
  <c r="W212" i="1"/>
  <c r="X200" i="1"/>
  <c r="V200" i="1"/>
  <c r="AB200" i="1" s="1"/>
  <c r="AD200" i="1" s="1"/>
  <c r="U200" i="1"/>
  <c r="Y200" i="1" s="1"/>
  <c r="X18" i="1"/>
  <c r="U18" i="1"/>
  <c r="Y18" i="1" s="1"/>
  <c r="V18" i="1"/>
  <c r="AB18" i="1" s="1"/>
  <c r="AD18" i="1" s="1"/>
  <c r="W137" i="1"/>
  <c r="W135" i="1"/>
  <c r="X77" i="1"/>
  <c r="U77" i="1"/>
  <c r="Y77" i="1" s="1"/>
  <c r="V77" i="1"/>
  <c r="AB77" i="1" s="1"/>
  <c r="AD77" i="1" s="1"/>
  <c r="W162" i="1"/>
  <c r="U208" i="1"/>
  <c r="Y208" i="1" s="1"/>
  <c r="X208" i="1"/>
  <c r="V208" i="1"/>
  <c r="AB208" i="1" s="1"/>
  <c r="AD208" i="1" s="1"/>
  <c r="X38" i="1"/>
  <c r="U38" i="1"/>
  <c r="Y38" i="1" s="1"/>
  <c r="V38" i="1"/>
  <c r="AB38" i="1" s="1"/>
  <c r="AD38" i="1" s="1"/>
  <c r="U61" i="1"/>
  <c r="Y61" i="1" s="1"/>
  <c r="V61" i="1"/>
  <c r="AB61" i="1" s="1"/>
  <c r="AD61" i="1" s="1"/>
  <c r="X61" i="1"/>
  <c r="W104" i="1"/>
  <c r="W30" i="1"/>
  <c r="W196" i="1"/>
  <c r="X185" i="1"/>
  <c r="U185" i="1"/>
  <c r="Y185" i="1" s="1"/>
  <c r="V185" i="1"/>
  <c r="AB185" i="1" s="1"/>
  <c r="AD185" i="1" s="1"/>
  <c r="X89" i="1"/>
  <c r="U89" i="1"/>
  <c r="Y89" i="1" s="1"/>
  <c r="V89" i="1"/>
  <c r="AB89" i="1" s="1"/>
  <c r="AD89" i="1" s="1"/>
  <c r="V48" i="1"/>
  <c r="AB48" i="1" s="1"/>
  <c r="AD48" i="1" s="1"/>
  <c r="X48" i="1"/>
  <c r="U48" i="1"/>
  <c r="Y48" i="1" s="1"/>
  <c r="X80" i="1"/>
  <c r="U80" i="1"/>
  <c r="Y80" i="1" s="1"/>
  <c r="V80" i="1"/>
  <c r="AB80" i="1" s="1"/>
  <c r="AD80" i="1" s="1"/>
  <c r="U21" i="1"/>
  <c r="Y21" i="1" s="1"/>
  <c r="X21" i="1"/>
  <c r="V21" i="1"/>
  <c r="AB21" i="1" s="1"/>
  <c r="AD21" i="1" s="1"/>
  <c r="X144" i="1"/>
  <c r="U144" i="1"/>
  <c r="Y144" i="1" s="1"/>
  <c r="V144" i="1"/>
  <c r="AB144" i="1" s="1"/>
  <c r="AD144" i="1" s="1"/>
  <c r="X74" i="1"/>
  <c r="V74" i="1"/>
  <c r="AB74" i="1" s="1"/>
  <c r="AD74" i="1" s="1"/>
  <c r="U74" i="1"/>
  <c r="Y74" i="1" s="1"/>
  <c r="U28" i="1"/>
  <c r="Y28" i="1" s="1"/>
  <c r="V28" i="1"/>
  <c r="AB28" i="1" s="1"/>
  <c r="AD28" i="1" s="1"/>
  <c r="X28" i="1"/>
  <c r="U60" i="1"/>
  <c r="V60" i="1"/>
  <c r="AB60" i="1" s="1"/>
  <c r="AD60" i="1" s="1"/>
  <c r="X60" i="1"/>
  <c r="W161" i="1"/>
  <c r="U186" i="1"/>
  <c r="Y186" i="1" s="1"/>
  <c r="V186" i="1"/>
  <c r="AB186" i="1" s="1"/>
  <c r="AD186" i="1" s="1"/>
  <c r="X186" i="1"/>
  <c r="U59" i="1"/>
  <c r="Y59" i="1" s="1"/>
  <c r="V59" i="1"/>
  <c r="AB59" i="1" s="1"/>
  <c r="AD59" i="1" s="1"/>
  <c r="X59" i="1"/>
  <c r="W155" i="1"/>
  <c r="W51" i="1"/>
  <c r="V206" i="1"/>
  <c r="AB206" i="1" s="1"/>
  <c r="AD206" i="1" s="1"/>
  <c r="U206" i="1"/>
  <c r="Y206" i="1" s="1"/>
  <c r="X206" i="1"/>
  <c r="X63" i="1"/>
  <c r="U63" i="1"/>
  <c r="Y63" i="1" s="1"/>
  <c r="V63" i="1"/>
  <c r="AB63" i="1" s="1"/>
  <c r="AD63" i="1" s="1"/>
  <c r="V30" i="1"/>
  <c r="AB30" i="1" s="1"/>
  <c r="AD30" i="1" s="1"/>
  <c r="X30" i="1"/>
  <c r="U30" i="1"/>
  <c r="Y30" i="1" s="1"/>
  <c r="U154" i="1"/>
  <c r="V154" i="1"/>
  <c r="AB154" i="1" s="1"/>
  <c r="AD154" i="1" s="1"/>
  <c r="X154" i="1"/>
  <c r="U54" i="1"/>
  <c r="Y54" i="1" s="1"/>
  <c r="V54" i="1"/>
  <c r="AB54" i="1" s="1"/>
  <c r="AD54" i="1" s="1"/>
  <c r="X54" i="1"/>
  <c r="X62" i="1"/>
  <c r="V62" i="1"/>
  <c r="AB62" i="1" s="1"/>
  <c r="AD62" i="1" s="1"/>
  <c r="U62" i="1"/>
  <c r="Y62" i="1" s="1"/>
  <c r="X126" i="1"/>
  <c r="V126" i="1"/>
  <c r="AB126" i="1" s="1"/>
  <c r="AD126" i="1" s="1"/>
  <c r="U126" i="1"/>
  <c r="Y126" i="1" s="1"/>
  <c r="X124" i="1"/>
  <c r="V124" i="1"/>
  <c r="AB124" i="1" s="1"/>
  <c r="AD124" i="1" s="1"/>
  <c r="U124" i="1"/>
  <c r="Y124" i="1" s="1"/>
  <c r="U72" i="1"/>
  <c r="Y72" i="1" s="1"/>
  <c r="V72" i="1"/>
  <c r="AB72" i="1" s="1"/>
  <c r="AD72" i="1" s="1"/>
  <c r="X72" i="1"/>
  <c r="X106" i="1"/>
  <c r="V106" i="1"/>
  <c r="AB106" i="1" s="1"/>
  <c r="AD106" i="1" s="1"/>
  <c r="U106" i="1"/>
  <c r="Y106" i="1" s="1"/>
  <c r="X148" i="1"/>
  <c r="V148" i="1"/>
  <c r="AB148" i="1" s="1"/>
  <c r="AD148" i="1" s="1"/>
  <c r="U148" i="1"/>
  <c r="Y148" i="1" s="1"/>
  <c r="X84" i="1"/>
  <c r="U84" i="1"/>
  <c r="Y84" i="1" s="1"/>
  <c r="V84" i="1"/>
  <c r="AB84" i="1" s="1"/>
  <c r="AD84" i="1" s="1"/>
  <c r="X75" i="1"/>
  <c r="V75" i="1"/>
  <c r="AB75" i="1" s="1"/>
  <c r="AD75" i="1" s="1"/>
  <c r="U75" i="1"/>
  <c r="Y75" i="1" s="1"/>
  <c r="V114" i="1"/>
  <c r="AB114" i="1" s="1"/>
  <c r="AD114" i="1" s="1"/>
  <c r="U114" i="1"/>
  <c r="Y114" i="1" s="1"/>
  <c r="X114" i="1"/>
  <c r="U145" i="1"/>
  <c r="Y145" i="1" s="1"/>
  <c r="V145" i="1"/>
  <c r="AB145" i="1" s="1"/>
  <c r="AD145" i="1" s="1"/>
  <c r="X145" i="1"/>
  <c r="X46" i="1"/>
  <c r="U46" i="1"/>
  <c r="Y46" i="1" s="1"/>
  <c r="V46" i="1"/>
  <c r="AB46" i="1" s="1"/>
  <c r="AD46" i="1" s="1"/>
  <c r="W18" i="1"/>
  <c r="U90" i="1"/>
  <c r="Y90" i="1" s="1"/>
  <c r="V90" i="1"/>
  <c r="AB90" i="1" s="1"/>
  <c r="AD90" i="1" s="1"/>
  <c r="X90" i="1"/>
  <c r="X134" i="1"/>
  <c r="V134" i="1"/>
  <c r="AB134" i="1" s="1"/>
  <c r="AD134" i="1" s="1"/>
  <c r="U134" i="1"/>
  <c r="Y134" i="1" s="1"/>
  <c r="X111" i="1"/>
  <c r="U111" i="1"/>
  <c r="Y111" i="1" s="1"/>
  <c r="V111" i="1"/>
  <c r="AB111" i="1" s="1"/>
  <c r="AD111" i="1" s="1"/>
  <c r="W208" i="1"/>
  <c r="X121" i="1"/>
  <c r="V121" i="1"/>
  <c r="AB121" i="1" s="1"/>
  <c r="AD121" i="1" s="1"/>
  <c r="U121" i="1"/>
  <c r="Y121" i="1" s="1"/>
  <c r="V120" i="1"/>
  <c r="AB120" i="1" s="1"/>
  <c r="AD120" i="1" s="1"/>
  <c r="X120" i="1"/>
  <c r="U120" i="1"/>
  <c r="Y120" i="1" s="1"/>
  <c r="U44" i="1"/>
  <c r="Y44" i="1" s="1"/>
  <c r="V44" i="1"/>
  <c r="AB44" i="1" s="1"/>
  <c r="AD44" i="1" s="1"/>
  <c r="X44" i="1"/>
  <c r="V81" i="1"/>
  <c r="AB81" i="1" s="1"/>
  <c r="AD81" i="1" s="1"/>
  <c r="X81" i="1"/>
  <c r="U81" i="1"/>
  <c r="Y81" i="1" s="1"/>
  <c r="X197" i="1"/>
  <c r="U197" i="1"/>
  <c r="Y197" i="1" s="1"/>
  <c r="V197" i="1"/>
  <c r="AB197" i="1" s="1"/>
  <c r="AD197" i="1" s="1"/>
  <c r="V128" i="1"/>
  <c r="AB128" i="1" s="1"/>
  <c r="AD128" i="1" s="1"/>
  <c r="X128" i="1"/>
  <c r="U128" i="1"/>
  <c r="Y128" i="1" s="1"/>
  <c r="W159" i="1"/>
  <c r="X117" i="1"/>
  <c r="U117" i="1"/>
  <c r="Y117" i="1" s="1"/>
  <c r="V117" i="1"/>
  <c r="AB117" i="1" s="1"/>
  <c r="AD117" i="1" s="1"/>
  <c r="X202" i="1"/>
  <c r="U202" i="1"/>
  <c r="Y202" i="1" s="1"/>
  <c r="V202" i="1"/>
  <c r="AB202" i="1" s="1"/>
  <c r="AD202" i="1" s="1"/>
  <c r="W102" i="1"/>
  <c r="X100" i="1"/>
  <c r="U100" i="1"/>
  <c r="Y100" i="1" s="1"/>
  <c r="V100" i="1"/>
  <c r="AB100" i="1" s="1"/>
  <c r="AD100" i="1" s="1"/>
  <c r="W48" i="1"/>
  <c r="W134" i="1"/>
  <c r="W101" i="1"/>
  <c r="U198" i="1"/>
  <c r="Y198" i="1" s="1"/>
  <c r="X198" i="1"/>
  <c r="V198" i="1"/>
  <c r="AB198" i="1" s="1"/>
  <c r="AD198" i="1" s="1"/>
  <c r="U194" i="1"/>
  <c r="Y194" i="1" s="1"/>
  <c r="X194" i="1"/>
  <c r="V194" i="1"/>
  <c r="AB194" i="1" s="1"/>
  <c r="AD194" i="1" s="1"/>
  <c r="W106" i="1"/>
  <c r="V125" i="1"/>
  <c r="AB125" i="1" s="1"/>
  <c r="AD125" i="1" s="1"/>
  <c r="X125" i="1"/>
  <c r="U125" i="1"/>
  <c r="Y125" i="1" s="1"/>
  <c r="X45" i="1"/>
  <c r="U45" i="1"/>
  <c r="Y45" i="1" s="1"/>
  <c r="V45" i="1"/>
  <c r="AB45" i="1" s="1"/>
  <c r="AD45" i="1" s="1"/>
  <c r="U138" i="1"/>
  <c r="Y138" i="1" s="1"/>
  <c r="V138" i="1"/>
  <c r="AB138" i="1" s="1"/>
  <c r="AD138" i="1" s="1"/>
  <c r="X138" i="1"/>
  <c r="V196" i="1"/>
  <c r="AB196" i="1" s="1"/>
  <c r="AD196" i="1" s="1"/>
  <c r="U196" i="1"/>
  <c r="Y196" i="1" s="1"/>
  <c r="X196" i="1"/>
  <c r="W75" i="1"/>
  <c r="X67" i="1"/>
  <c r="U67" i="1"/>
  <c r="Y67" i="1" s="1"/>
  <c r="V67" i="1"/>
  <c r="AB67" i="1" s="1"/>
  <c r="AD67" i="1" s="1"/>
  <c r="V26" i="1"/>
  <c r="AB26" i="1" s="1"/>
  <c r="AD26" i="1" s="1"/>
  <c r="U26" i="1"/>
  <c r="Y26" i="1" s="1"/>
  <c r="X26" i="1"/>
  <c r="W139" i="1"/>
  <c r="W85" i="1"/>
  <c r="U151" i="1"/>
  <c r="Y151" i="1" s="1"/>
  <c r="X151" i="1"/>
  <c r="V151" i="1"/>
  <c r="AB151" i="1" s="1"/>
  <c r="AD151" i="1" s="1"/>
  <c r="W132" i="1"/>
  <c r="X83" i="1"/>
  <c r="U83" i="1"/>
  <c r="Y83" i="1" s="1"/>
  <c r="V83" i="1"/>
  <c r="AB83" i="1" s="1"/>
  <c r="AD83" i="1" s="1"/>
  <c r="V188" i="1"/>
  <c r="AB188" i="1" s="1"/>
  <c r="AD188" i="1" s="1"/>
  <c r="X188" i="1"/>
  <c r="U188" i="1"/>
  <c r="Y188" i="1" s="1"/>
  <c r="U37" i="1"/>
  <c r="Y37" i="1" s="1"/>
  <c r="X37" i="1"/>
  <c r="V37" i="1"/>
  <c r="AB37" i="1" s="1"/>
  <c r="AD37" i="1" s="1"/>
  <c r="W60" i="1"/>
  <c r="W33" i="1"/>
  <c r="U36" i="1"/>
  <c r="Y36" i="1" s="1"/>
  <c r="V36" i="1"/>
  <c r="AB36" i="1" s="1"/>
  <c r="AD36" i="1" s="1"/>
  <c r="X36" i="1"/>
  <c r="V73" i="1"/>
  <c r="AB73" i="1" s="1"/>
  <c r="AD73" i="1" s="1"/>
  <c r="X73" i="1"/>
  <c r="U73" i="1"/>
  <c r="Y73" i="1" s="1"/>
  <c r="X129" i="1"/>
  <c r="U129" i="1"/>
  <c r="Y129" i="1" s="1"/>
  <c r="V129" i="1"/>
  <c r="AB129" i="1" s="1"/>
  <c r="AD129" i="1" s="1"/>
  <c r="W36" i="1"/>
  <c r="X91" i="1"/>
  <c r="V91" i="1"/>
  <c r="AB91" i="1" s="1"/>
  <c r="AD91" i="1" s="1"/>
  <c r="U91" i="1"/>
  <c r="Y91" i="1" s="1"/>
  <c r="U34" i="1"/>
  <c r="Y34" i="1" s="1"/>
  <c r="X34" i="1"/>
  <c r="V34" i="1"/>
  <c r="AB34" i="1" s="1"/>
  <c r="AD34" i="1" s="1"/>
  <c r="U115" i="1"/>
  <c r="Y115" i="1" s="1"/>
  <c r="X115" i="1"/>
  <c r="V115" i="1"/>
  <c r="AB115" i="1" s="1"/>
  <c r="AD115" i="1" s="1"/>
  <c r="X40" i="1"/>
  <c r="V40" i="1"/>
  <c r="AB40" i="1" s="1"/>
  <c r="AD40" i="1" s="1"/>
  <c r="U40" i="1"/>
  <c r="Y40" i="1" s="1"/>
  <c r="V159" i="1"/>
  <c r="AB159" i="1" s="1"/>
  <c r="AD159" i="1" s="1"/>
  <c r="U159" i="1"/>
  <c r="Y159" i="1" s="1"/>
  <c r="X159" i="1"/>
  <c r="W55" i="1"/>
  <c r="V212" i="1"/>
  <c r="AB212" i="1" s="1"/>
  <c r="AD212" i="1" s="1"/>
  <c r="U212" i="1"/>
  <c r="Y212" i="1" s="1"/>
  <c r="X212" i="1"/>
  <c r="W57" i="1"/>
  <c r="X70" i="1"/>
  <c r="V70" i="1"/>
  <c r="AB70" i="1" s="1"/>
  <c r="AD70" i="1" s="1"/>
  <c r="U70" i="1"/>
  <c r="Y70" i="1" s="1"/>
  <c r="U162" i="1"/>
  <c r="Y162" i="1" s="1"/>
  <c r="X162" i="1"/>
  <c r="V162" i="1"/>
  <c r="AB162" i="1" s="1"/>
  <c r="AD162" i="1" s="1"/>
  <c r="U211" i="1"/>
  <c r="Y211" i="1" s="1"/>
  <c r="X211" i="1"/>
  <c r="V211" i="1"/>
  <c r="AB211" i="1" s="1"/>
  <c r="AD211" i="1" s="1"/>
  <c r="W211" i="1"/>
  <c r="W144" i="1"/>
  <c r="W70" i="1"/>
  <c r="U39" i="1"/>
  <c r="Y39" i="1" s="1"/>
  <c r="V39" i="1"/>
  <c r="AB39" i="1" s="1"/>
  <c r="AD39" i="1" s="1"/>
  <c r="X39" i="1"/>
  <c r="U210" i="1"/>
  <c r="Y210" i="1" s="1"/>
  <c r="X210" i="1"/>
  <c r="V210" i="1"/>
  <c r="AB210" i="1" s="1"/>
  <c r="AD210" i="1" s="1"/>
  <c r="V55" i="1"/>
  <c r="AB55" i="1" s="1"/>
  <c r="AD55" i="1" s="1"/>
  <c r="U55" i="1"/>
  <c r="Y55" i="1" s="1"/>
  <c r="X55" i="1"/>
  <c r="W23" i="1"/>
  <c r="X143" i="1"/>
  <c r="U143" i="1"/>
  <c r="Y143" i="1" s="1"/>
  <c r="V143" i="1"/>
  <c r="AB143" i="1" s="1"/>
  <c r="AD143" i="1" s="1"/>
  <c r="W191" i="1"/>
  <c r="V179" i="1"/>
  <c r="AB179" i="1" s="1"/>
  <c r="AD179" i="1" s="1"/>
  <c r="U179" i="1"/>
  <c r="Y179" i="1" s="1"/>
  <c r="X179" i="1"/>
  <c r="W150" i="1"/>
  <c r="W148" i="1"/>
  <c r="W156" i="1"/>
  <c r="W154" i="1"/>
  <c r="W185" i="1"/>
  <c r="W63" i="1"/>
  <c r="X41" i="1"/>
  <c r="V41" i="1"/>
  <c r="AB41" i="1" s="1"/>
  <c r="AD41" i="1" s="1"/>
  <c r="U41" i="1"/>
  <c r="Y41" i="1" s="1"/>
  <c r="W62" i="1"/>
  <c r="X135" i="1"/>
  <c r="V135" i="1"/>
  <c r="AB135" i="1" s="1"/>
  <c r="AD135" i="1" s="1"/>
  <c r="U135" i="1"/>
  <c r="Y135" i="1" s="1"/>
  <c r="U146" i="1"/>
  <c r="Y146" i="1" s="1"/>
  <c r="V146" i="1"/>
  <c r="AB146" i="1" s="1"/>
  <c r="AD146" i="1" s="1"/>
  <c r="X146" i="1"/>
  <c r="X140" i="1"/>
  <c r="U140" i="1"/>
  <c r="Y140" i="1" s="1"/>
  <c r="V140" i="1"/>
  <c r="AB140" i="1" s="1"/>
  <c r="AD140" i="1" s="1"/>
  <c r="W19" i="1"/>
  <c r="U201" i="1"/>
  <c r="Y201" i="1" s="1"/>
  <c r="V201" i="1"/>
  <c r="AB201" i="1" s="1"/>
  <c r="AD201" i="1" s="1"/>
  <c r="X201" i="1"/>
  <c r="W179" i="1"/>
  <c r="X32" i="1"/>
  <c r="V32" i="1"/>
  <c r="AB32" i="1" s="1"/>
  <c r="AD32" i="1" s="1"/>
  <c r="U32" i="1"/>
  <c r="Y32" i="1" s="1"/>
  <c r="X192" i="1"/>
  <c r="U192" i="1"/>
  <c r="Y192" i="1" s="1"/>
  <c r="V192" i="1"/>
  <c r="AB192" i="1" s="1"/>
  <c r="AD192" i="1" s="1"/>
  <c r="V142" i="1"/>
  <c r="AB142" i="1" s="1"/>
  <c r="AD142" i="1" s="1"/>
  <c r="X142" i="1"/>
  <c r="U142" i="1"/>
  <c r="Y142" i="1" s="1"/>
  <c r="X157" i="1"/>
  <c r="U157" i="1"/>
  <c r="Y157" i="1" s="1"/>
  <c r="V157" i="1"/>
  <c r="AB157" i="1" s="1"/>
  <c r="AD157" i="1" s="1"/>
  <c r="X57" i="1"/>
  <c r="V57" i="1"/>
  <c r="AB57" i="1" s="1"/>
  <c r="AD57" i="1" s="1"/>
  <c r="U57" i="1"/>
  <c r="Y57" i="1" s="1"/>
  <c r="W44" i="1"/>
  <c r="W149" i="1"/>
  <c r="X29" i="1"/>
  <c r="V29" i="1"/>
  <c r="AB29" i="1" s="1"/>
  <c r="AD29" i="1" s="1"/>
  <c r="U29" i="1"/>
  <c r="Y29" i="1" s="1"/>
  <c r="X50" i="1"/>
  <c r="V50" i="1"/>
  <c r="AB50" i="1" s="1"/>
  <c r="AD50" i="1" s="1"/>
  <c r="U50" i="1"/>
  <c r="Y50" i="1" s="1"/>
  <c r="W80" i="1"/>
  <c r="V193" i="1"/>
  <c r="AB193" i="1" s="1"/>
  <c r="AD193" i="1" s="1"/>
  <c r="U193" i="1"/>
  <c r="Y193" i="1" s="1"/>
  <c r="X193" i="1"/>
  <c r="W78" i="1"/>
  <c r="W35" i="1"/>
  <c r="X113" i="1"/>
  <c r="U113" i="1"/>
  <c r="Y113" i="1" s="1"/>
  <c r="V113" i="1"/>
  <c r="AB113" i="1" s="1"/>
  <c r="AD113" i="1" s="1"/>
  <c r="W111" i="1"/>
  <c r="U158" i="1"/>
  <c r="Y158" i="1" s="1"/>
  <c r="V158" i="1"/>
  <c r="AB158" i="1" s="1"/>
  <c r="AD158" i="1" s="1"/>
  <c r="X158" i="1"/>
  <c r="X133" i="1"/>
  <c r="U133" i="1"/>
  <c r="Y133" i="1" s="1"/>
  <c r="V133" i="1"/>
  <c r="AB133" i="1" s="1"/>
  <c r="AD133" i="1" s="1"/>
  <c r="W90" i="1"/>
  <c r="U127" i="1"/>
  <c r="Y127" i="1" s="1"/>
  <c r="X127" i="1"/>
  <c r="V127" i="1"/>
  <c r="AB127" i="1" s="1"/>
  <c r="AD127" i="1" s="1"/>
  <c r="W122" i="1"/>
  <c r="W58" i="1"/>
  <c r="U58" i="1"/>
  <c r="Y58" i="1" s="1"/>
  <c r="X58" i="1"/>
  <c r="V58" i="1"/>
  <c r="AB58" i="1" s="1"/>
  <c r="AD58" i="1" s="1"/>
  <c r="W147" i="1"/>
  <c r="U136" i="1"/>
  <c r="Y136" i="1" s="1"/>
  <c r="V136" i="1"/>
  <c r="AB136" i="1" s="1"/>
  <c r="AD136" i="1" s="1"/>
  <c r="X136" i="1"/>
  <c r="X79" i="1"/>
  <c r="U79" i="1"/>
  <c r="Y79" i="1" s="1"/>
  <c r="V79" i="1"/>
  <c r="AB79" i="1" s="1"/>
  <c r="AD79" i="1" s="1"/>
  <c r="U42" i="1"/>
  <c r="Y42" i="1" s="1"/>
  <c r="X42" i="1"/>
  <c r="V42" i="1"/>
  <c r="AB42" i="1" s="1"/>
  <c r="AD42" i="1" s="1"/>
  <c r="W143" i="1"/>
  <c r="W141" i="1"/>
  <c r="W34" i="1"/>
  <c r="W46" i="1"/>
  <c r="U78" i="1"/>
  <c r="Y78" i="1" s="1"/>
  <c r="V78" i="1"/>
  <c r="AB78" i="1" s="1"/>
  <c r="AD78" i="1" s="1"/>
  <c r="X78" i="1"/>
  <c r="U23" i="1"/>
  <c r="Y23" i="1" s="1"/>
  <c r="V23" i="1"/>
  <c r="AB23" i="1" s="1"/>
  <c r="AD23" i="1" s="1"/>
  <c r="X23" i="1"/>
  <c r="W199" i="1"/>
  <c r="X27" i="1"/>
  <c r="V27" i="1"/>
  <c r="AB27" i="1" s="1"/>
  <c r="AD27" i="1" s="1"/>
  <c r="U27" i="1"/>
  <c r="Y27" i="1" s="1"/>
  <c r="U155" i="1"/>
  <c r="Y155" i="1" s="1"/>
  <c r="V155" i="1"/>
  <c r="AB155" i="1" s="1"/>
  <c r="AD155" i="1" s="1"/>
  <c r="X155" i="1"/>
  <c r="X153" i="1"/>
  <c r="V153" i="1"/>
  <c r="AB153" i="1" s="1"/>
  <c r="AD153" i="1" s="1"/>
  <c r="U153" i="1"/>
  <c r="Y153" i="1" s="1"/>
  <c r="V207" i="1"/>
  <c r="AB207" i="1" s="1"/>
  <c r="AD207" i="1" s="1"/>
  <c r="U207" i="1"/>
  <c r="Y207" i="1" s="1"/>
  <c r="X207" i="1"/>
  <c r="W160" i="1"/>
  <c r="X156" i="1"/>
  <c r="U156" i="1"/>
  <c r="Y156" i="1" s="1"/>
  <c r="V156" i="1"/>
  <c r="AB156" i="1" s="1"/>
  <c r="AD156" i="1" s="1"/>
  <c r="W121" i="1"/>
  <c r="W180" i="1"/>
  <c r="V118" i="1"/>
  <c r="AB118" i="1" s="1"/>
  <c r="AD118" i="1" s="1"/>
  <c r="X118" i="1"/>
  <c r="U118" i="1"/>
  <c r="X108" i="1"/>
  <c r="U108" i="1"/>
  <c r="Y108" i="1" s="1"/>
  <c r="V108" i="1"/>
  <c r="AB108" i="1" s="1"/>
  <c r="AD108" i="1" s="1"/>
  <c r="U132" i="1"/>
  <c r="Y132" i="1" s="1"/>
  <c r="V132" i="1"/>
  <c r="AB132" i="1" s="1"/>
  <c r="AD132" i="1" s="1"/>
  <c r="X132" i="1"/>
  <c r="X33" i="1"/>
  <c r="U33" i="1"/>
  <c r="Y33" i="1" s="1"/>
  <c r="V33" i="1"/>
  <c r="AB33" i="1" s="1"/>
  <c r="AD33" i="1" s="1"/>
  <c r="V195" i="1"/>
  <c r="AB195" i="1" s="1"/>
  <c r="AD195" i="1" s="1"/>
  <c r="U195" i="1"/>
  <c r="Y195" i="1" s="1"/>
  <c r="X195" i="1"/>
  <c r="W186" i="1"/>
  <c r="W84" i="1"/>
  <c r="W32" i="1"/>
  <c r="W69" i="1"/>
  <c r="W89" i="1"/>
  <c r="W142" i="1"/>
  <c r="U141" i="1"/>
  <c r="Y141" i="1" s="1"/>
  <c r="X141" i="1"/>
  <c r="V141" i="1"/>
  <c r="AB141" i="1" s="1"/>
  <c r="AD141" i="1" s="1"/>
  <c r="U64" i="1"/>
  <c r="Y64" i="1" s="1"/>
  <c r="X64" i="1"/>
  <c r="V64" i="1"/>
  <c r="AB64" i="1" s="1"/>
  <c r="AD64" i="1" s="1"/>
  <c r="W110" i="1"/>
  <c r="U130" i="1"/>
  <c r="Y130" i="1" s="1"/>
  <c r="X130" i="1"/>
  <c r="V130" i="1"/>
  <c r="AB130" i="1" s="1"/>
  <c r="AD130" i="1" s="1"/>
  <c r="W24" i="1"/>
  <c r="X181" i="1"/>
  <c r="U181" i="1"/>
  <c r="Y181" i="1" s="1"/>
  <c r="V181" i="1"/>
  <c r="AB181" i="1" s="1"/>
  <c r="AD181" i="1" s="1"/>
  <c r="X112" i="1"/>
  <c r="V112" i="1"/>
  <c r="AB112" i="1" s="1"/>
  <c r="AD112" i="1" s="1"/>
  <c r="U112" i="1"/>
  <c r="Y112" i="1" s="1"/>
  <c r="V47" i="1"/>
  <c r="AB47" i="1" s="1"/>
  <c r="AD47" i="1" s="1"/>
  <c r="U47" i="1"/>
  <c r="Y47" i="1" s="1"/>
  <c r="X47" i="1"/>
  <c r="U25" i="1"/>
  <c r="Y25" i="1" s="1"/>
  <c r="V25" i="1"/>
  <c r="AB25" i="1" s="1"/>
  <c r="AD25" i="1" s="1"/>
  <c r="X25" i="1"/>
  <c r="W127" i="1"/>
  <c r="W103" i="1"/>
  <c r="X191" i="1"/>
  <c r="U191" i="1"/>
  <c r="Y191" i="1" s="1"/>
  <c r="V191" i="1"/>
  <c r="AB191" i="1" s="1"/>
  <c r="AD191" i="1" s="1"/>
  <c r="U150" i="1"/>
  <c r="V150" i="1"/>
  <c r="AB150" i="1" s="1"/>
  <c r="AD150" i="1" s="1"/>
  <c r="X150" i="1"/>
  <c r="W184" i="1"/>
  <c r="W188" i="1"/>
  <c r="U66" i="1"/>
  <c r="Y66" i="1" s="1"/>
  <c r="X66" i="1"/>
  <c r="V66" i="1"/>
  <c r="AB66" i="1" s="1"/>
  <c r="AD66" i="1" s="1"/>
  <c r="W183" i="1"/>
  <c r="W87" i="1"/>
  <c r="X149" i="1"/>
  <c r="U149" i="1"/>
  <c r="Y149" i="1" s="1"/>
  <c r="V149" i="1"/>
  <c r="AB149" i="1" s="1"/>
  <c r="AD149" i="1" s="1"/>
  <c r="X147" i="1"/>
  <c r="U147" i="1"/>
  <c r="Y147" i="1" s="1"/>
  <c r="V147" i="1"/>
  <c r="AB147" i="1" s="1"/>
  <c r="AD147" i="1" s="1"/>
  <c r="W91" i="1"/>
  <c r="X109" i="1"/>
  <c r="U109" i="1"/>
  <c r="Y109" i="1" s="1"/>
  <c r="V109" i="1"/>
  <c r="AB109" i="1" s="1"/>
  <c r="AD109" i="1" s="1"/>
  <c r="W88" i="1"/>
  <c r="W64" i="1"/>
  <c r="X104" i="1"/>
  <c r="U104" i="1"/>
  <c r="Y104" i="1" s="1"/>
  <c r="V104" i="1"/>
  <c r="AB104" i="1" s="1"/>
  <c r="AD104" i="1" s="1"/>
  <c r="W181" i="1"/>
  <c r="X35" i="1"/>
  <c r="U35" i="1"/>
  <c r="Y35" i="1" s="1"/>
  <c r="V35" i="1"/>
  <c r="AB35" i="1" s="1"/>
  <c r="AD35" i="1" s="1"/>
  <c r="W28" i="1"/>
  <c r="W20" i="1"/>
  <c r="X105" i="1"/>
  <c r="U105" i="1"/>
  <c r="Y105" i="1" s="1"/>
  <c r="V105" i="1"/>
  <c r="AB105" i="1" s="1"/>
  <c r="AD105" i="1" s="1"/>
  <c r="W109" i="1"/>
  <c r="W77" i="1"/>
  <c r="V204" i="1"/>
  <c r="AB204" i="1" s="1"/>
  <c r="AD204" i="1" s="1"/>
  <c r="X204" i="1"/>
  <c r="U204" i="1"/>
  <c r="Y204" i="1" s="1"/>
  <c r="V152" i="1"/>
  <c r="AB152" i="1" s="1"/>
  <c r="AD152" i="1" s="1"/>
  <c r="X152" i="1"/>
  <c r="U152" i="1"/>
  <c r="Y152" i="1" s="1"/>
  <c r="X160" i="1"/>
  <c r="V160" i="1"/>
  <c r="AB160" i="1" s="1"/>
  <c r="AD160" i="1" s="1"/>
  <c r="U160" i="1"/>
  <c r="Y160" i="1" s="1"/>
  <c r="W140" i="1"/>
  <c r="W138" i="1"/>
  <c r="W68" i="1"/>
  <c r="B308" i="4"/>
  <c r="B311" i="4" s="1"/>
  <c r="B312" i="4" s="1"/>
  <c r="B309" i="4"/>
  <c r="Y60" i="1" l="1"/>
  <c r="Y150" i="1"/>
  <c r="Y154" i="1"/>
  <c r="Y118" i="1"/>
  <c r="Z99" i="1"/>
  <c r="AA99" i="1" s="1"/>
  <c r="Z178" i="1"/>
  <c r="Z177" i="1"/>
  <c r="AA177" i="1" s="1"/>
  <c r="Z131" i="1"/>
  <c r="AA131" i="1" s="1"/>
  <c r="Z98" i="1"/>
  <c r="Z189" i="1"/>
  <c r="AA189" i="1" s="1"/>
  <c r="Z190" i="1"/>
  <c r="AA190" i="1" s="1"/>
  <c r="Z176" i="1"/>
  <c r="Z175" i="1"/>
  <c r="Z172" i="1"/>
  <c r="AA172" i="1" s="1"/>
  <c r="Z171" i="1"/>
  <c r="AA171" i="1" s="1"/>
  <c r="Z173" i="1"/>
  <c r="AA173" i="1" s="1"/>
  <c r="Z174" i="1"/>
  <c r="Z170" i="1"/>
  <c r="AA170" i="1" s="1"/>
  <c r="Z168" i="1"/>
  <c r="AA168" i="1" s="1"/>
  <c r="Z167" i="1"/>
  <c r="Z169" i="1"/>
  <c r="AA169" i="1" s="1"/>
  <c r="Z97" i="1"/>
  <c r="AA97" i="1" s="1"/>
  <c r="Z96" i="1"/>
  <c r="AA96" i="1" s="1"/>
  <c r="Z95" i="1"/>
  <c r="AA95" i="1" s="1"/>
  <c r="Z92" i="1"/>
  <c r="Z93" i="1"/>
  <c r="AA93" i="1" s="1"/>
  <c r="Z94" i="1"/>
  <c r="AA94" i="1" s="1"/>
  <c r="Z68" i="1"/>
  <c r="AA68" i="1" s="1"/>
  <c r="Z165" i="1"/>
  <c r="AA165" i="1" s="1"/>
  <c r="Z129" i="1"/>
  <c r="Z30" i="1"/>
  <c r="AA30" i="1" s="1"/>
  <c r="Z74" i="1"/>
  <c r="AA74" i="1" s="1"/>
  <c r="Z63" i="1"/>
  <c r="Z55" i="1"/>
  <c r="Z39" i="1"/>
  <c r="Z67" i="1"/>
  <c r="Z109" i="1"/>
  <c r="Z210" i="1"/>
  <c r="Z196" i="1"/>
  <c r="AA196" i="1" s="1"/>
  <c r="Z54" i="1"/>
  <c r="AA54" i="1" s="1"/>
  <c r="Z147" i="1"/>
  <c r="AA147" i="1" s="1"/>
  <c r="Z41" i="1"/>
  <c r="AA41" i="1" s="1"/>
  <c r="Z62" i="1"/>
  <c r="Z154" i="1"/>
  <c r="Z86" i="1"/>
  <c r="Z188" i="1"/>
  <c r="Z66" i="1"/>
  <c r="AA66" i="1" s="1"/>
  <c r="Z132" i="1"/>
  <c r="Z79" i="1"/>
  <c r="AA79" i="1" s="1"/>
  <c r="Z58" i="1"/>
  <c r="AA58" i="1" s="1"/>
  <c r="Z45" i="1"/>
  <c r="AA45" i="1" s="1"/>
  <c r="Z200" i="1"/>
  <c r="Z191" i="1"/>
  <c r="AA191" i="1" s="1"/>
  <c r="Z125" i="1"/>
  <c r="Z24" i="1"/>
  <c r="AA24" i="1" s="1"/>
  <c r="Z78" i="1"/>
  <c r="AA78" i="1" s="1"/>
  <c r="L78" i="1" s="1"/>
  <c r="M78" i="1" s="1"/>
  <c r="Z113" i="1"/>
  <c r="Z50" i="1"/>
  <c r="AA50" i="1" s="1"/>
  <c r="Z212" i="1"/>
  <c r="AA212" i="1" s="1"/>
  <c r="Z126" i="1"/>
  <c r="AA126" i="1" s="1"/>
  <c r="Z166" i="1"/>
  <c r="Z112" i="1"/>
  <c r="Z135" i="1"/>
  <c r="AA135" i="1" s="1"/>
  <c r="Z106" i="1"/>
  <c r="AA106" i="1" s="1"/>
  <c r="Z115" i="1"/>
  <c r="Z36" i="1"/>
  <c r="AA36" i="1" s="1"/>
  <c r="Z114" i="1"/>
  <c r="AA114" i="1" s="1"/>
  <c r="Z72" i="1"/>
  <c r="Z163" i="1"/>
  <c r="Z164" i="1"/>
  <c r="AA164" i="1" s="1"/>
  <c r="Z187" i="1"/>
  <c r="AA187" i="1" s="1"/>
  <c r="Z110" i="1"/>
  <c r="AA110" i="1" s="1"/>
  <c r="Z124" i="1"/>
  <c r="Z69" i="1"/>
  <c r="AA69" i="1" s="1"/>
  <c r="Z139" i="1"/>
  <c r="Z105" i="1"/>
  <c r="AA105" i="1" s="1"/>
  <c r="Z118" i="1"/>
  <c r="Z83" i="1"/>
  <c r="Z100" i="1"/>
  <c r="AA100" i="1" s="1"/>
  <c r="Z117" i="1"/>
  <c r="AA117" i="1" s="1"/>
  <c r="Z46" i="1"/>
  <c r="AA46" i="1" s="1"/>
  <c r="Z75" i="1"/>
  <c r="AA75" i="1" s="1"/>
  <c r="Z206" i="1"/>
  <c r="Z28" i="1"/>
  <c r="Z52" i="1"/>
  <c r="Z137" i="1"/>
  <c r="AA137" i="1" s="1"/>
  <c r="Z49" i="1"/>
  <c r="AA49" i="1" s="1"/>
  <c r="Z122" i="1"/>
  <c r="AA122" i="1" s="1"/>
  <c r="Z104" i="1"/>
  <c r="Z183" i="1"/>
  <c r="Z25" i="1"/>
  <c r="AA25" i="1" s="1"/>
  <c r="Z33" i="1"/>
  <c r="Z23" i="1"/>
  <c r="AA23" i="1" s="1"/>
  <c r="Z136" i="1"/>
  <c r="Z19" i="1"/>
  <c r="AA19" i="1" s="1"/>
  <c r="Z40" i="1"/>
  <c r="AA40" i="1" s="1"/>
  <c r="Z202" i="1"/>
  <c r="AA202" i="1" s="1"/>
  <c r="Z44" i="1"/>
  <c r="Z90" i="1"/>
  <c r="AA90" i="1" s="1"/>
  <c r="Z185" i="1"/>
  <c r="AA185" i="1" s="1"/>
  <c r="Z77" i="1"/>
  <c r="Z32" i="1"/>
  <c r="AA32" i="1" s="1"/>
  <c r="Z155" i="1"/>
  <c r="AA155" i="1" s="1"/>
  <c r="Z158" i="1"/>
  <c r="AA158" i="1" s="1"/>
  <c r="Z162" i="1"/>
  <c r="AA162" i="1" s="1"/>
  <c r="Z26" i="1"/>
  <c r="Z197" i="1"/>
  <c r="AA197" i="1" s="1"/>
  <c r="Z111" i="1"/>
  <c r="Z60" i="1"/>
  <c r="Z144" i="1"/>
  <c r="AA144" i="1" s="1"/>
  <c r="Z48" i="1"/>
  <c r="Z38" i="1"/>
  <c r="AA38" i="1" s="1"/>
  <c r="Z43" i="1"/>
  <c r="Z107" i="1"/>
  <c r="AA107" i="1" s="1"/>
  <c r="Z103" i="1"/>
  <c r="AA103" i="1" s="1"/>
  <c r="Z31" i="1"/>
  <c r="Z65" i="1"/>
  <c r="AA65" i="1" s="1"/>
  <c r="Z57" i="1"/>
  <c r="Z61" i="1"/>
  <c r="AA61" i="1" s="1"/>
  <c r="Z123" i="1"/>
  <c r="AA123" i="1" s="1"/>
  <c r="Z88" i="1"/>
  <c r="AA88" i="1" s="1"/>
  <c r="Z56" i="1"/>
  <c r="Z91" i="1"/>
  <c r="AA91" i="1" s="1"/>
  <c r="Z150" i="1"/>
  <c r="Z181" i="1"/>
  <c r="Z29" i="1"/>
  <c r="Z192" i="1"/>
  <c r="AA192" i="1" s="1"/>
  <c r="Z47" i="1"/>
  <c r="AA47" i="1" s="1"/>
  <c r="Z64" i="1"/>
  <c r="AA64" i="1" s="1"/>
  <c r="Z84" i="1"/>
  <c r="AA84" i="1" s="1"/>
  <c r="Z207" i="1"/>
  <c r="Z42" i="1"/>
  <c r="AA42" i="1" s="1"/>
  <c r="Z127" i="1"/>
  <c r="AA127" i="1" s="1"/>
  <c r="Z193" i="1"/>
  <c r="AA193" i="1" s="1"/>
  <c r="Z157" i="1"/>
  <c r="AA157" i="1" s="1"/>
  <c r="Z140" i="1"/>
  <c r="Z143" i="1"/>
  <c r="Z70" i="1"/>
  <c r="Z194" i="1"/>
  <c r="Z59" i="1"/>
  <c r="Z199" i="1"/>
  <c r="Z203" i="1"/>
  <c r="Z51" i="1"/>
  <c r="AA51" i="1" s="1"/>
  <c r="Z85" i="1"/>
  <c r="AA85" i="1" s="1"/>
  <c r="Z160" i="1"/>
  <c r="AA160" i="1" s="1"/>
  <c r="Z141" i="1"/>
  <c r="Z198" i="1"/>
  <c r="Z80" i="1"/>
  <c r="Z130" i="1"/>
  <c r="AA130" i="1" s="1"/>
  <c r="Z148" i="1"/>
  <c r="Z138" i="1"/>
  <c r="AA138" i="1" s="1"/>
  <c r="Z134" i="1"/>
  <c r="AA134" i="1" s="1"/>
  <c r="Z184" i="1"/>
  <c r="Z71" i="1"/>
  <c r="AA71" i="1" s="1"/>
  <c r="Z151" i="1"/>
  <c r="AA151" i="1" s="1"/>
  <c r="Z186" i="1"/>
  <c r="Z21" i="1"/>
  <c r="Z119" i="1"/>
  <c r="AA119" i="1" s="1"/>
  <c r="Z89" i="1"/>
  <c r="Z208" i="1"/>
  <c r="AA208" i="1" s="1"/>
  <c r="Z76" i="1"/>
  <c r="AA76" i="1" s="1"/>
  <c r="Z102" i="1"/>
  <c r="AA102" i="1" s="1"/>
  <c r="Z87" i="1"/>
  <c r="Z161" i="1"/>
  <c r="AA161" i="1" s="1"/>
  <c r="Z149" i="1"/>
  <c r="Z108" i="1"/>
  <c r="AA108" i="1" s="1"/>
  <c r="Z146" i="1"/>
  <c r="AA146" i="1" s="1"/>
  <c r="Z179" i="1"/>
  <c r="Z211" i="1"/>
  <c r="AA211" i="1" s="1"/>
  <c r="Z34" i="1"/>
  <c r="AA34" i="1" s="1"/>
  <c r="Z37" i="1"/>
  <c r="Z101" i="1"/>
  <c r="AA101" i="1" s="1"/>
  <c r="Z145" i="1"/>
  <c r="Z18" i="1"/>
  <c r="Z20" i="1"/>
  <c r="Z209" i="1"/>
  <c r="AA209" i="1" s="1"/>
  <c r="Z22" i="1"/>
  <c r="AA22" i="1" s="1"/>
  <c r="Z53" i="1"/>
  <c r="AA53" i="1" s="1"/>
  <c r="Z195" i="1"/>
  <c r="Z35" i="1"/>
  <c r="Z133" i="1"/>
  <c r="Z156" i="1"/>
  <c r="AA156" i="1" s="1"/>
  <c r="Z201" i="1"/>
  <c r="AA201" i="1" s="1"/>
  <c r="Z159" i="1"/>
  <c r="AA159" i="1" s="1"/>
  <c r="Z73" i="1"/>
  <c r="AA73" i="1" s="1"/>
  <c r="Z128" i="1"/>
  <c r="AA128" i="1" s="1"/>
  <c r="Z81" i="1"/>
  <c r="AA81" i="1" s="1"/>
  <c r="Z205" i="1"/>
  <c r="AA205" i="1" s="1"/>
  <c r="Z180" i="1"/>
  <c r="Z116" i="1"/>
  <c r="AA116" i="1" s="1"/>
  <c r="Z204" i="1"/>
  <c r="AA204" i="1" s="1"/>
  <c r="Z142" i="1"/>
  <c r="AA142" i="1" s="1"/>
  <c r="Z27" i="1"/>
  <c r="AA27" i="1" s="1"/>
  <c r="Z121" i="1"/>
  <c r="AA121" i="1" s="1"/>
  <c r="Z153" i="1"/>
  <c r="AA153" i="1" s="1"/>
  <c r="M215" i="1"/>
  <c r="Z82" i="1"/>
  <c r="AA82" i="1" s="1"/>
  <c r="Z182" i="1"/>
  <c r="AA182" i="1" s="1"/>
  <c r="Z152" i="1"/>
  <c r="AA152" i="1" s="1"/>
  <c r="Z120" i="1"/>
  <c r="AA120" i="1" s="1"/>
  <c r="B313" i="4"/>
  <c r="B315" i="4" s="1"/>
  <c r="B314" i="4"/>
  <c r="B317" i="4" s="1"/>
  <c r="AA60" i="1" l="1"/>
  <c r="L60" i="1" s="1"/>
  <c r="M60" i="1" s="1"/>
  <c r="AC130" i="1"/>
  <c r="L127" i="1"/>
  <c r="M127" i="1" s="1"/>
  <c r="AC65" i="1"/>
  <c r="AC23" i="1"/>
  <c r="AC191" i="1"/>
  <c r="L165" i="1"/>
  <c r="M165" i="1" s="1"/>
  <c r="AA199" i="1"/>
  <c r="L199" i="1" s="1"/>
  <c r="M199" i="1" s="1"/>
  <c r="AA203" i="1"/>
  <c r="AC203" i="1" s="1"/>
  <c r="AC101" i="1"/>
  <c r="AC161" i="1"/>
  <c r="L42" i="1"/>
  <c r="M42" i="1" s="1"/>
  <c r="AC185" i="1"/>
  <c r="L105" i="1"/>
  <c r="M105" i="1" s="1"/>
  <c r="L126" i="1"/>
  <c r="M126" i="1" s="1"/>
  <c r="AC68" i="1"/>
  <c r="AA67" i="1"/>
  <c r="AC67" i="1" s="1"/>
  <c r="AA72" i="1"/>
  <c r="L72" i="1" s="1"/>
  <c r="M72" i="1" s="1"/>
  <c r="AA133" i="1"/>
  <c r="AC133" i="1" s="1"/>
  <c r="AA181" i="1"/>
  <c r="AC181" i="1" s="1"/>
  <c r="AA31" i="1"/>
  <c r="L31" i="1" s="1"/>
  <c r="M31" i="1" s="1"/>
  <c r="AA77" i="1"/>
  <c r="AC77" i="1" s="1"/>
  <c r="AC32" i="1"/>
  <c r="AC164" i="1"/>
  <c r="AC172" i="1"/>
  <c r="AC151" i="1"/>
  <c r="AC91" i="1"/>
  <c r="AC103" i="1"/>
  <c r="L197" i="1"/>
  <c r="M197" i="1" s="1"/>
  <c r="AC90" i="1"/>
  <c r="AC25" i="1"/>
  <c r="AC114" i="1"/>
  <c r="AC212" i="1"/>
  <c r="AC45" i="1"/>
  <c r="L168" i="1"/>
  <c r="M168" i="1" s="1"/>
  <c r="AA21" i="1"/>
  <c r="L21" i="1" s="1"/>
  <c r="M21" i="1" s="1"/>
  <c r="AA136" i="1"/>
  <c r="AC136" i="1" s="1"/>
  <c r="AA86" i="1"/>
  <c r="AC86" i="1" s="1"/>
  <c r="AA59" i="1"/>
  <c r="L59" i="1" s="1"/>
  <c r="M59" i="1" s="1"/>
  <c r="AA207" i="1"/>
  <c r="AC207" i="1" s="1"/>
  <c r="AA62" i="1"/>
  <c r="L62" i="1" s="1"/>
  <c r="M62" i="1" s="1"/>
  <c r="AA176" i="1"/>
  <c r="AC176" i="1" s="1"/>
  <c r="AA139" i="1"/>
  <c r="AC139" i="1" s="1"/>
  <c r="AA175" i="1"/>
  <c r="L175" i="1" s="1"/>
  <c r="M175" i="1" s="1"/>
  <c r="L119" i="1"/>
  <c r="M119" i="1" s="1"/>
  <c r="AC34" i="1"/>
  <c r="AC56" i="1"/>
  <c r="L50" i="1"/>
  <c r="M50" i="1" s="1"/>
  <c r="L189" i="1"/>
  <c r="M189" i="1" s="1"/>
  <c r="AA183" i="1"/>
  <c r="AC183" i="1" s="1"/>
  <c r="AA56" i="1"/>
  <c r="AA180" i="1"/>
  <c r="AC180" i="1" s="1"/>
  <c r="AA198" i="1"/>
  <c r="AC198" i="1" s="1"/>
  <c r="AA210" i="1"/>
  <c r="AC210" i="1" s="1"/>
  <c r="L22" i="1"/>
  <c r="M22" i="1" s="1"/>
  <c r="L211" i="1"/>
  <c r="M211" i="1" s="1"/>
  <c r="L76" i="1"/>
  <c r="M76" i="1" s="1"/>
  <c r="L160" i="1"/>
  <c r="M160" i="1" s="1"/>
  <c r="L64" i="1"/>
  <c r="M64" i="1" s="1"/>
  <c r="L88" i="1"/>
  <c r="M88" i="1" s="1"/>
  <c r="AC162" i="1"/>
  <c r="AC202" i="1"/>
  <c r="AC46" i="1"/>
  <c r="AC79" i="1"/>
  <c r="L147" i="1"/>
  <c r="M147" i="1" s="1"/>
  <c r="AA109" i="1"/>
  <c r="L109" i="1" s="1"/>
  <c r="M109" i="1" s="1"/>
  <c r="AA111" i="1"/>
  <c r="AC111" i="1" s="1"/>
  <c r="AA115" i="1"/>
  <c r="AC115" i="1" s="1"/>
  <c r="AA167" i="1"/>
  <c r="AC167" i="1" s="1"/>
  <c r="AA39" i="1"/>
  <c r="L39" i="1" s="1"/>
  <c r="M39" i="1" s="1"/>
  <c r="AA195" i="1"/>
  <c r="AC195" i="1" s="1"/>
  <c r="AA98" i="1"/>
  <c r="AC98" i="1" s="1"/>
  <c r="AA29" i="1"/>
  <c r="AC29" i="1" s="1"/>
  <c r="AA52" i="1"/>
  <c r="L52" i="1" s="1"/>
  <c r="M52" i="1" s="1"/>
  <c r="AA33" i="1"/>
  <c r="L33" i="1" s="1"/>
  <c r="M33" i="1" s="1"/>
  <c r="AA184" i="1"/>
  <c r="AC184" i="1" s="1"/>
  <c r="AA200" i="1"/>
  <c r="AC200" i="1" s="1"/>
  <c r="AA141" i="1"/>
  <c r="AC141" i="1" s="1"/>
  <c r="AA154" i="1"/>
  <c r="AC154" i="1" s="1"/>
  <c r="AC156" i="1"/>
  <c r="AC193" i="1"/>
  <c r="AC102" i="1"/>
  <c r="L107" i="1"/>
  <c r="M107" i="1" s="1"/>
  <c r="L75" i="1"/>
  <c r="M75" i="1" s="1"/>
  <c r="L36" i="1"/>
  <c r="M36" i="1" s="1"/>
  <c r="L41" i="1"/>
  <c r="M41" i="1" s="1"/>
  <c r="L170" i="1"/>
  <c r="M170" i="1" s="1"/>
  <c r="AC209" i="1"/>
  <c r="L208" i="1"/>
  <c r="M208" i="1" s="1"/>
  <c r="AC134" i="1"/>
  <c r="AC85" i="1"/>
  <c r="AC47" i="1"/>
  <c r="AC123" i="1"/>
  <c r="AC38" i="1"/>
  <c r="AC158" i="1"/>
  <c r="AC40" i="1"/>
  <c r="L122" i="1"/>
  <c r="M122" i="1" s="1"/>
  <c r="AC117" i="1"/>
  <c r="L110" i="1"/>
  <c r="M110" i="1" s="1"/>
  <c r="AC106" i="1"/>
  <c r="AC78" i="1"/>
  <c r="AC54" i="1"/>
  <c r="AC74" i="1"/>
  <c r="AC95" i="1"/>
  <c r="AC173" i="1"/>
  <c r="AC131" i="1"/>
  <c r="AA145" i="1"/>
  <c r="AC145" i="1" s="1"/>
  <c r="AA194" i="1"/>
  <c r="AC194" i="1" s="1"/>
  <c r="AA140" i="1"/>
  <c r="AC140" i="1" s="1"/>
  <c r="AA87" i="1"/>
  <c r="AC87" i="1" s="1"/>
  <c r="AA92" i="1"/>
  <c r="AC92" i="1" s="1"/>
  <c r="AA166" i="1"/>
  <c r="AC166" i="1" s="1"/>
  <c r="AA57" i="1"/>
  <c r="AC57" i="1" s="1"/>
  <c r="AA174" i="1"/>
  <c r="AC174" i="1" s="1"/>
  <c r="AA63" i="1"/>
  <c r="AC63" i="1" s="1"/>
  <c r="AA43" i="1"/>
  <c r="AC43" i="1" s="1"/>
  <c r="AA55" i="1"/>
  <c r="AC55" i="1" s="1"/>
  <c r="AA124" i="1"/>
  <c r="AC124" i="1" s="1"/>
  <c r="AA113" i="1"/>
  <c r="AC113" i="1" s="1"/>
  <c r="AA44" i="1"/>
  <c r="L44" i="1" s="1"/>
  <c r="M44" i="1" s="1"/>
  <c r="AA83" i="1"/>
  <c r="AC83" i="1" s="1"/>
  <c r="AA206" i="1"/>
  <c r="L206" i="1" s="1"/>
  <c r="M206" i="1" s="1"/>
  <c r="AA186" i="1"/>
  <c r="AC186" i="1" s="1"/>
  <c r="AA150" i="1"/>
  <c r="L150" i="1" s="1"/>
  <c r="M150" i="1" s="1"/>
  <c r="L144" i="1"/>
  <c r="M144" i="1" s="1"/>
  <c r="AC53" i="1"/>
  <c r="AC71" i="1"/>
  <c r="AC84" i="1"/>
  <c r="AC69" i="1"/>
  <c r="AC58" i="1"/>
  <c r="AA70" i="1"/>
  <c r="AC70" i="1" s="1"/>
  <c r="L201" i="1"/>
  <c r="M201" i="1" s="1"/>
  <c r="AC146" i="1"/>
  <c r="AC138" i="1"/>
  <c r="AC51" i="1"/>
  <c r="AC157" i="1"/>
  <c r="AC192" i="1"/>
  <c r="AC61" i="1"/>
  <c r="L155" i="1"/>
  <c r="M155" i="1" s="1"/>
  <c r="L19" i="1"/>
  <c r="M19" i="1" s="1"/>
  <c r="AC49" i="1"/>
  <c r="AC100" i="1"/>
  <c r="AC187" i="1"/>
  <c r="AC135" i="1"/>
  <c r="L24" i="1"/>
  <c r="M24" i="1" s="1"/>
  <c r="L66" i="1"/>
  <c r="M66" i="1" s="1"/>
  <c r="AC196" i="1"/>
  <c r="AC30" i="1"/>
  <c r="L96" i="1"/>
  <c r="M96" i="1" s="1"/>
  <c r="AC171" i="1"/>
  <c r="AA20" i="1"/>
  <c r="AC20" i="1" s="1"/>
  <c r="AA80" i="1"/>
  <c r="AC80" i="1" s="1"/>
  <c r="AA35" i="1"/>
  <c r="L35" i="1" s="1"/>
  <c r="M35" i="1" s="1"/>
  <c r="AA148" i="1"/>
  <c r="L148" i="1" s="1"/>
  <c r="M148" i="1" s="1"/>
  <c r="AA28" i="1"/>
  <c r="AC28" i="1" s="1"/>
  <c r="AA18" i="1"/>
  <c r="L18" i="1" s="1"/>
  <c r="M18" i="1" s="1"/>
  <c r="AA112" i="1"/>
  <c r="AC112" i="1" s="1"/>
  <c r="AA37" i="1"/>
  <c r="AC37" i="1" s="1"/>
  <c r="AA178" i="1"/>
  <c r="AC178" i="1" s="1"/>
  <c r="AA125" i="1"/>
  <c r="AC125" i="1" s="1"/>
  <c r="AA132" i="1"/>
  <c r="AC132" i="1" s="1"/>
  <c r="AA188" i="1"/>
  <c r="AC188" i="1" s="1"/>
  <c r="AA26" i="1"/>
  <c r="AC26" i="1" s="1"/>
  <c r="AA104" i="1"/>
  <c r="AC104" i="1" s="1"/>
  <c r="AA129" i="1"/>
  <c r="L129" i="1" s="1"/>
  <c r="M129" i="1" s="1"/>
  <c r="AA143" i="1"/>
  <c r="L143" i="1" s="1"/>
  <c r="M143" i="1" s="1"/>
  <c r="AA163" i="1"/>
  <c r="L163" i="1" s="1"/>
  <c r="M163" i="1" s="1"/>
  <c r="AA89" i="1"/>
  <c r="AC89" i="1" s="1"/>
  <c r="AA179" i="1"/>
  <c r="AC179" i="1" s="1"/>
  <c r="AA149" i="1"/>
  <c r="AC149" i="1" s="1"/>
  <c r="AA48" i="1"/>
  <c r="L48" i="1" s="1"/>
  <c r="M48" i="1" s="1"/>
  <c r="AA118" i="1"/>
  <c r="AC118" i="1" s="1"/>
  <c r="L108" i="1"/>
  <c r="M108" i="1" s="1"/>
  <c r="L137" i="1"/>
  <c r="M137" i="1" s="1"/>
  <c r="AC97" i="1"/>
  <c r="AC99" i="1"/>
  <c r="L99" i="1"/>
  <c r="M99" i="1" s="1"/>
  <c r="L177" i="1"/>
  <c r="M177" i="1" s="1"/>
  <c r="AC177" i="1"/>
  <c r="L131" i="1"/>
  <c r="M131" i="1" s="1"/>
  <c r="AC189" i="1"/>
  <c r="AC190" i="1"/>
  <c r="L190" i="1"/>
  <c r="M190" i="1" s="1"/>
  <c r="L172" i="1"/>
  <c r="M172" i="1" s="1"/>
  <c r="L171" i="1"/>
  <c r="M171" i="1" s="1"/>
  <c r="L173" i="1"/>
  <c r="M173" i="1" s="1"/>
  <c r="AC168" i="1"/>
  <c r="AC170" i="1"/>
  <c r="AC169" i="1"/>
  <c r="L169" i="1"/>
  <c r="M169" i="1" s="1"/>
  <c r="L97" i="1"/>
  <c r="M97" i="1" s="1"/>
  <c r="AC96" i="1"/>
  <c r="L95" i="1"/>
  <c r="M95" i="1" s="1"/>
  <c r="AC94" i="1"/>
  <c r="L94" i="1"/>
  <c r="M94" i="1" s="1"/>
  <c r="AC93" i="1"/>
  <c r="L93" i="1"/>
  <c r="M93" i="1" s="1"/>
  <c r="L45" i="1"/>
  <c r="M45" i="1" s="1"/>
  <c r="L54" i="1"/>
  <c r="M54" i="1" s="1"/>
  <c r="L106" i="1"/>
  <c r="M106" i="1" s="1"/>
  <c r="L74" i="1"/>
  <c r="M74" i="1" s="1"/>
  <c r="L28" i="1"/>
  <c r="M28" i="1" s="1"/>
  <c r="AC42" i="1"/>
  <c r="L185" i="1"/>
  <c r="M185" i="1" s="1"/>
  <c r="L30" i="1"/>
  <c r="M30" i="1" s="1"/>
  <c r="AC66" i="1"/>
  <c r="AC24" i="1"/>
  <c r="AC147" i="1"/>
  <c r="AC33" i="1"/>
  <c r="L23" i="1"/>
  <c r="M23" i="1" s="1"/>
  <c r="AC105" i="1"/>
  <c r="AC165" i="1"/>
  <c r="L191" i="1"/>
  <c r="M191" i="1" s="1"/>
  <c r="L111" i="1"/>
  <c r="M111" i="1" s="1"/>
  <c r="L63" i="1"/>
  <c r="M63" i="1" s="1"/>
  <c r="L85" i="1"/>
  <c r="M85" i="1" s="1"/>
  <c r="L79" i="1"/>
  <c r="M79" i="1" s="1"/>
  <c r="L139" i="1"/>
  <c r="M139" i="1" s="1"/>
  <c r="L103" i="1"/>
  <c r="M103" i="1" s="1"/>
  <c r="L114" i="1"/>
  <c r="M114" i="1" s="1"/>
  <c r="AC197" i="1"/>
  <c r="AC64" i="1"/>
  <c r="L26" i="1"/>
  <c r="M26" i="1" s="1"/>
  <c r="L46" i="1"/>
  <c r="M46" i="1" s="1"/>
  <c r="L47" i="1"/>
  <c r="M47" i="1" s="1"/>
  <c r="AC88" i="1"/>
  <c r="AC107" i="1"/>
  <c r="AC127" i="1"/>
  <c r="L38" i="1"/>
  <c r="M38" i="1" s="1"/>
  <c r="L68" i="1"/>
  <c r="M68" i="1" s="1"/>
  <c r="AC59" i="1"/>
  <c r="AC110" i="1"/>
  <c r="AC211" i="1"/>
  <c r="L117" i="1"/>
  <c r="M117" i="1" s="1"/>
  <c r="L58" i="1"/>
  <c r="M58" i="1" s="1"/>
  <c r="AC41" i="1"/>
  <c r="AC160" i="1"/>
  <c r="L145" i="1"/>
  <c r="M145" i="1" s="1"/>
  <c r="AC122" i="1"/>
  <c r="AC50" i="1"/>
  <c r="L134" i="1"/>
  <c r="M134" i="1" s="1"/>
  <c r="L130" i="1"/>
  <c r="M130" i="1" s="1"/>
  <c r="AC36" i="1"/>
  <c r="L102" i="1"/>
  <c r="M102" i="1" s="1"/>
  <c r="AC126" i="1"/>
  <c r="AC76" i="1"/>
  <c r="AC75" i="1"/>
  <c r="L212" i="1"/>
  <c r="M212" i="1" s="1"/>
  <c r="L100" i="1"/>
  <c r="M100" i="1" s="1"/>
  <c r="AC155" i="1"/>
  <c r="L25" i="1"/>
  <c r="M25" i="1" s="1"/>
  <c r="L69" i="1"/>
  <c r="M69" i="1" s="1"/>
  <c r="L56" i="1"/>
  <c r="M56" i="1" s="1"/>
  <c r="L71" i="1"/>
  <c r="M71" i="1" s="1"/>
  <c r="L53" i="1"/>
  <c r="M53" i="1" s="1"/>
  <c r="AC22" i="1"/>
  <c r="AC119" i="1"/>
  <c r="L34" i="1"/>
  <c r="M34" i="1" s="1"/>
  <c r="L156" i="1"/>
  <c r="M156" i="1" s="1"/>
  <c r="AC144" i="1"/>
  <c r="AC108" i="1"/>
  <c r="AC137" i="1"/>
  <c r="L164" i="1"/>
  <c r="M164" i="1" s="1"/>
  <c r="L193" i="1"/>
  <c r="M193" i="1" s="1"/>
  <c r="L32" i="1"/>
  <c r="M32" i="1" s="1"/>
  <c r="L209" i="1"/>
  <c r="M209" i="1" s="1"/>
  <c r="L40" i="1"/>
  <c r="M40" i="1" s="1"/>
  <c r="L135" i="1"/>
  <c r="M135" i="1" s="1"/>
  <c r="L49" i="1"/>
  <c r="M49" i="1" s="1"/>
  <c r="L161" i="1"/>
  <c r="M161" i="1" s="1"/>
  <c r="L151" i="1"/>
  <c r="M151" i="1" s="1"/>
  <c r="L187" i="1"/>
  <c r="M187" i="1" s="1"/>
  <c r="L157" i="1"/>
  <c r="M157" i="1" s="1"/>
  <c r="L84" i="1"/>
  <c r="M84" i="1" s="1"/>
  <c r="AC19" i="1"/>
  <c r="AC201" i="1"/>
  <c r="AC48" i="1"/>
  <c r="L138" i="1"/>
  <c r="M138" i="1" s="1"/>
  <c r="L90" i="1"/>
  <c r="M90" i="1" s="1"/>
  <c r="L91" i="1"/>
  <c r="M91" i="1" s="1"/>
  <c r="L123" i="1"/>
  <c r="M123" i="1" s="1"/>
  <c r="L146" i="1"/>
  <c r="M146" i="1" s="1"/>
  <c r="L195" i="1"/>
  <c r="M195" i="1" s="1"/>
  <c r="L51" i="1"/>
  <c r="M51" i="1" s="1"/>
  <c r="L70" i="1"/>
  <c r="M70" i="1" s="1"/>
  <c r="L158" i="1"/>
  <c r="M158" i="1" s="1"/>
  <c r="L61" i="1"/>
  <c r="M61" i="1" s="1"/>
  <c r="L186" i="1"/>
  <c r="M186" i="1" s="1"/>
  <c r="L65" i="1"/>
  <c r="M65" i="1" s="1"/>
  <c r="L162" i="1"/>
  <c r="M162" i="1" s="1"/>
  <c r="L202" i="1"/>
  <c r="M202" i="1" s="1"/>
  <c r="AC208" i="1"/>
  <c r="AC182" i="1"/>
  <c r="L182" i="1"/>
  <c r="M182" i="1" s="1"/>
  <c r="AC205" i="1"/>
  <c r="L205" i="1"/>
  <c r="M205" i="1" s="1"/>
  <c r="AC116" i="1"/>
  <c r="L116" i="1"/>
  <c r="M116" i="1" s="1"/>
  <c r="AC159" i="1"/>
  <c r="L159" i="1"/>
  <c r="M159" i="1" s="1"/>
  <c r="AC120" i="1"/>
  <c r="L120" i="1"/>
  <c r="M120" i="1" s="1"/>
  <c r="AC121" i="1"/>
  <c r="L121" i="1"/>
  <c r="M121" i="1" s="1"/>
  <c r="AC152" i="1"/>
  <c r="L152" i="1"/>
  <c r="M152" i="1" s="1"/>
  <c r="AC82" i="1"/>
  <c r="L82" i="1"/>
  <c r="M82" i="1" s="1"/>
  <c r="AC27" i="1"/>
  <c r="L27" i="1"/>
  <c r="M27" i="1" s="1"/>
  <c r="AC81" i="1"/>
  <c r="L81" i="1"/>
  <c r="M81" i="1" s="1"/>
  <c r="AC142" i="1"/>
  <c r="L142" i="1"/>
  <c r="M142" i="1" s="1"/>
  <c r="AC128" i="1"/>
  <c r="L128" i="1"/>
  <c r="M128" i="1" s="1"/>
  <c r="AC153" i="1"/>
  <c r="L153" i="1"/>
  <c r="M153" i="1" s="1"/>
  <c r="L204" i="1"/>
  <c r="M204" i="1" s="1"/>
  <c r="AC204" i="1"/>
  <c r="AC73" i="1"/>
  <c r="L73" i="1"/>
  <c r="M73" i="1" s="1"/>
  <c r="M214" i="1"/>
  <c r="B318" i="4"/>
  <c r="B316" i="4"/>
  <c r="B319" i="4" s="1"/>
  <c r="B320" i="4" s="1"/>
  <c r="B321" i="4" s="1"/>
  <c r="B322" i="4" s="1"/>
  <c r="B323" i="4" s="1"/>
  <c r="L86" i="1" l="1"/>
  <c r="M86" i="1" s="1"/>
  <c r="L141" i="1"/>
  <c r="M141" i="1" s="1"/>
  <c r="L183" i="1"/>
  <c r="M183" i="1" s="1"/>
  <c r="AC109" i="1"/>
  <c r="AC72" i="1"/>
  <c r="L181" i="1"/>
  <c r="M181" i="1" s="1"/>
  <c r="AC44" i="1"/>
  <c r="AC199" i="1"/>
  <c r="AC60" i="1"/>
  <c r="L20" i="1"/>
  <c r="M20" i="1" s="1"/>
  <c r="L92" i="1"/>
  <c r="M92" i="1" s="1"/>
  <c r="L113" i="1"/>
  <c r="M113" i="1" s="1"/>
  <c r="L210" i="1"/>
  <c r="M210" i="1" s="1"/>
  <c r="L37" i="1"/>
  <c r="M37" i="1" s="1"/>
  <c r="AC39" i="1"/>
  <c r="AC52" i="1"/>
  <c r="L124" i="1"/>
  <c r="M124" i="1" s="1"/>
  <c r="AC143" i="1"/>
  <c r="L174" i="1"/>
  <c r="M174" i="1" s="1"/>
  <c r="L87" i="1"/>
  <c r="M87" i="1" s="1"/>
  <c r="AC206" i="1"/>
  <c r="L176" i="1"/>
  <c r="M176" i="1" s="1"/>
  <c r="L184" i="1"/>
  <c r="M184" i="1" s="1"/>
  <c r="L203" i="1"/>
  <c r="M203" i="1" s="1"/>
  <c r="L166" i="1"/>
  <c r="M166" i="1" s="1"/>
  <c r="L118" i="1"/>
  <c r="M118" i="1" s="1"/>
  <c r="L83" i="1"/>
  <c r="M83" i="1" s="1"/>
  <c r="AC163" i="1"/>
  <c r="L112" i="1"/>
  <c r="M112" i="1" s="1"/>
  <c r="L29" i="1"/>
  <c r="M29" i="1" s="1"/>
  <c r="L125" i="1"/>
  <c r="M125" i="1" s="1"/>
  <c r="AC129" i="1"/>
  <c r="L77" i="1"/>
  <c r="M77" i="1" s="1"/>
  <c r="L154" i="1"/>
  <c r="M154" i="1" s="1"/>
  <c r="AC31" i="1"/>
  <c r="L98" i="1"/>
  <c r="M98" i="1" s="1"/>
  <c r="L140" i="1"/>
  <c r="M140" i="1" s="1"/>
  <c r="L89" i="1"/>
  <c r="M89" i="1" s="1"/>
  <c r="L179" i="1"/>
  <c r="M179" i="1" s="1"/>
  <c r="L55" i="1"/>
  <c r="M55" i="1" s="1"/>
  <c r="AC62" i="1"/>
  <c r="AC21" i="1"/>
  <c r="L80" i="1"/>
  <c r="M80" i="1" s="1"/>
  <c r="AC35" i="1"/>
  <c r="L136" i="1"/>
  <c r="M136" i="1" s="1"/>
  <c r="L115" i="1"/>
  <c r="M115" i="1" s="1"/>
  <c r="L207" i="1"/>
  <c r="M207" i="1" s="1"/>
  <c r="AC175" i="1"/>
  <c r="L178" i="1"/>
  <c r="M178" i="1" s="1"/>
  <c r="AC150" i="1"/>
  <c r="L194" i="1"/>
  <c r="M194" i="1" s="1"/>
  <c r="AC148" i="1"/>
  <c r="L188" i="1"/>
  <c r="M188" i="1" s="1"/>
  <c r="L43" i="1"/>
  <c r="M43" i="1" s="1"/>
  <c r="L198" i="1"/>
  <c r="M198" i="1" s="1"/>
  <c r="L57" i="1"/>
  <c r="M57" i="1" s="1"/>
  <c r="L149" i="1"/>
  <c r="M149" i="1" s="1"/>
  <c r="L67" i="1"/>
  <c r="M67" i="1" s="1"/>
  <c r="L167" i="1"/>
  <c r="M167" i="1" s="1"/>
  <c r="AC18" i="1"/>
  <c r="L132" i="1"/>
  <c r="M132" i="1" s="1"/>
  <c r="L104" i="1"/>
  <c r="M104" i="1" s="1"/>
  <c r="B324" i="4"/>
  <c r="B326" i="4" s="1"/>
  <c r="B327" i="4" s="1"/>
  <c r="B328" i="4" s="1"/>
  <c r="B329" i="4" s="1"/>
  <c r="B330" i="4" s="1"/>
  <c r="B331" i="4" s="1"/>
  <c r="B332" i="4" s="1"/>
  <c r="B333" i="4" s="1"/>
  <c r="B334" i="4" s="1"/>
  <c r="B335" i="4" s="1"/>
  <c r="B336" i="4" s="1"/>
  <c r="B337" i="4" s="1"/>
  <c r="B338" i="4" s="1"/>
  <c r="B339" i="4" s="1"/>
  <c r="B340" i="4" s="1"/>
  <c r="B341" i="4" s="1"/>
  <c r="B342" i="4" s="1"/>
  <c r="B343" i="4" s="1"/>
  <c r="B344" i="4" s="1"/>
  <c r="B345" i="4" s="1"/>
  <c r="B346" i="4" s="1"/>
  <c r="B347" i="4" s="1"/>
  <c r="B348" i="4" s="1"/>
  <c r="B349" i="4" s="1"/>
  <c r="B350" i="4" s="1"/>
  <c r="B351" i="4" s="1"/>
  <c r="B352" i="4" s="1"/>
  <c r="B353" i="4" s="1"/>
  <c r="B354" i="4" s="1"/>
  <c r="B355" i="4" s="1"/>
  <c r="B356" i="4" s="1"/>
  <c r="B357" i="4" s="1"/>
  <c r="B358" i="4" s="1"/>
  <c r="B359" i="4" s="1"/>
  <c r="B360" i="4" s="1"/>
  <c r="B361" i="4" s="1"/>
  <c r="B362" i="4" s="1"/>
  <c r="B363" i="4" s="1"/>
  <c r="B364" i="4" s="1"/>
  <c r="B365" i="4" s="1"/>
  <c r="B366" i="4" s="1"/>
  <c r="B367" i="4" s="1"/>
  <c r="B368" i="4" s="1"/>
  <c r="B369" i="4" s="1"/>
  <c r="B370" i="4" s="1"/>
  <c r="B371" i="4" s="1"/>
  <c r="B372" i="4" s="1"/>
  <c r="B373" i="4" s="1"/>
  <c r="B374" i="4" s="1"/>
  <c r="B375" i="4" s="1"/>
  <c r="B376" i="4" s="1"/>
  <c r="B377" i="4" s="1"/>
  <c r="B378" i="4" s="1"/>
  <c r="B379" i="4" s="1"/>
  <c r="B380" i="4" s="1"/>
  <c r="B381" i="4" s="1"/>
  <c r="B382" i="4" s="1"/>
  <c r="B383" i="4" s="1"/>
  <c r="B384" i="4" s="1"/>
  <c r="B385" i="4" s="1"/>
  <c r="B386" i="4" s="1"/>
  <c r="B387" i="4" s="1"/>
  <c r="B388" i="4" s="1"/>
  <c r="B389" i="4" s="1"/>
  <c r="B390" i="4" s="1"/>
  <c r="B391" i="4" s="1"/>
  <c r="B392" i="4" s="1"/>
  <c r="B393" i="4" s="1"/>
  <c r="B394" i="4" s="1"/>
  <c r="B395" i="4" s="1"/>
  <c r="B396" i="4" s="1"/>
  <c r="B325" i="4"/>
  <c r="M213" i="1" l="1"/>
  <c r="M216" i="1" s="1"/>
</calcChain>
</file>

<file path=xl/sharedStrings.xml><?xml version="1.0" encoding="utf-8"?>
<sst xmlns="http://schemas.openxmlformats.org/spreadsheetml/2006/main" count="21376" uniqueCount="5034">
  <si>
    <t>UNIDAD</t>
  </si>
  <si>
    <t>CANTIDAD</t>
  </si>
  <si>
    <t>VALOR UNITARIO</t>
  </si>
  <si>
    <t>UN</t>
  </si>
  <si>
    <t>UTILIDAD</t>
  </si>
  <si>
    <t>COSTO TOTAL</t>
  </si>
  <si>
    <t>CODIGO</t>
  </si>
  <si>
    <t>DESCRIPCION</t>
  </si>
  <si>
    <t>-</t>
  </si>
  <si>
    <t>MGDM1</t>
  </si>
  <si>
    <t>Abrazadera de 6-7</t>
  </si>
  <si>
    <t>MSGDM1</t>
  </si>
  <si>
    <t>Un</t>
  </si>
  <si>
    <t>MGDM2</t>
  </si>
  <si>
    <t>Abrazadera de 7-8</t>
  </si>
  <si>
    <t>MSGDM2</t>
  </si>
  <si>
    <t>MGDM3</t>
  </si>
  <si>
    <t>Abrazadera de 8-9</t>
  </si>
  <si>
    <t>MSGDM3</t>
  </si>
  <si>
    <t>MGDM4</t>
  </si>
  <si>
    <t>Abrazadera Doble Ala</t>
  </si>
  <si>
    <t>MSGDM4</t>
  </si>
  <si>
    <t>MGDM5</t>
  </si>
  <si>
    <t>Accesorios De Fijación</t>
  </si>
  <si>
    <t>MSGDM5</t>
  </si>
  <si>
    <t>MGDM6</t>
  </si>
  <si>
    <t>Acero De Refuerzo</t>
  </si>
  <si>
    <t>MSGDM6</t>
  </si>
  <si>
    <t>MGDM7</t>
  </si>
  <si>
    <t>Acople de explosión 1 1/2"</t>
  </si>
  <si>
    <t>MSGDM7</t>
  </si>
  <si>
    <t>MGDM8</t>
  </si>
  <si>
    <t>Acople de explosión 1"</t>
  </si>
  <si>
    <t>MSGDM8</t>
  </si>
  <si>
    <t>MGDM9</t>
  </si>
  <si>
    <t>Acople de explosión 1/2"</t>
  </si>
  <si>
    <t>MSGDM9</t>
  </si>
  <si>
    <t>MGDM10</t>
  </si>
  <si>
    <t>Acople de explosión 2"</t>
  </si>
  <si>
    <t>MSGDM10</t>
  </si>
  <si>
    <t>MGDM11</t>
  </si>
  <si>
    <t>Acople de explosión 3/4"</t>
  </si>
  <si>
    <t>MSGDM11</t>
  </si>
  <si>
    <t>MGDM12</t>
  </si>
  <si>
    <t>Acrílico</t>
  </si>
  <si>
    <t>MSGDM12</t>
  </si>
  <si>
    <t>M2</t>
  </si>
  <si>
    <t>MGDM13</t>
  </si>
  <si>
    <t>Adaptador Hembra PVC 1 1/2"</t>
  </si>
  <si>
    <t>MSGDM13</t>
  </si>
  <si>
    <t>MGDM14</t>
  </si>
  <si>
    <t>Adaptador Hembra PVC 1 1/4"</t>
  </si>
  <si>
    <t>MSGDM14</t>
  </si>
  <si>
    <t>MGDM15</t>
  </si>
  <si>
    <t>Adaptador Hembra PVC 1"</t>
  </si>
  <si>
    <t>MSGDM15</t>
  </si>
  <si>
    <t>MGDM16</t>
  </si>
  <si>
    <t>Adaptador Hembra PVC 2"</t>
  </si>
  <si>
    <t>MSGDM16</t>
  </si>
  <si>
    <t>MGDM17</t>
  </si>
  <si>
    <t>Adaptador Hembra PVC 3"</t>
  </si>
  <si>
    <t>MSGDM17</t>
  </si>
  <si>
    <t>MGDM18</t>
  </si>
  <si>
    <t>Adaptador Hembra PVC 3/4"</t>
  </si>
  <si>
    <t>MSGDM18</t>
  </si>
  <si>
    <t>MGDM19</t>
  </si>
  <si>
    <t>Adaptador Hembra PVC1/2"</t>
  </si>
  <si>
    <t>MSGDM19</t>
  </si>
  <si>
    <t>MGDM20</t>
  </si>
  <si>
    <t>Adaptador Hembra PVC4"</t>
  </si>
  <si>
    <t>MSGDM20</t>
  </si>
  <si>
    <t>MGDM21</t>
  </si>
  <si>
    <t>Adaptador Terminal PVC 1 1/2"</t>
  </si>
  <si>
    <t>MSGDM21</t>
  </si>
  <si>
    <t>MGDM22</t>
  </si>
  <si>
    <t>Adaptador Terminal PVC 1 1/4"</t>
  </si>
  <si>
    <t>MSGDM22</t>
  </si>
  <si>
    <t>MGDM23</t>
  </si>
  <si>
    <t>Adaptador Terminal PVC 1"</t>
  </si>
  <si>
    <t>MSGDM23</t>
  </si>
  <si>
    <t>MGDM24</t>
  </si>
  <si>
    <t>Adaptador Terminal PVC 1/2"</t>
  </si>
  <si>
    <t>MSGDM24</t>
  </si>
  <si>
    <t>MGDM25</t>
  </si>
  <si>
    <t>Adaptador Terminal PVC 2"</t>
  </si>
  <si>
    <t>MSGDM25</t>
  </si>
  <si>
    <t>MGDM26</t>
  </si>
  <si>
    <t>Adaptador Terminal PVC 3"</t>
  </si>
  <si>
    <t>MSGDM26</t>
  </si>
  <si>
    <t>MGDM27</t>
  </si>
  <si>
    <t>Adaptador Terminal PVC 3/4"</t>
  </si>
  <si>
    <t>MSGDM27</t>
  </si>
  <si>
    <t>MGDM28</t>
  </si>
  <si>
    <t>Adaptador Terminal PVC 4"</t>
  </si>
  <si>
    <t>MSGDM28</t>
  </si>
  <si>
    <t>MGDM29</t>
  </si>
  <si>
    <t>Agua</t>
  </si>
  <si>
    <t>MSGDM29</t>
  </si>
  <si>
    <t>Lt</t>
  </si>
  <si>
    <t>MGDM30</t>
  </si>
  <si>
    <t>Aislador Para Barraje</t>
  </si>
  <si>
    <t>MSGDM30</t>
  </si>
  <si>
    <t>MGDM31</t>
  </si>
  <si>
    <t>Aislador Polimérico 13.2 kv</t>
  </si>
  <si>
    <t>MSGDM31</t>
  </si>
  <si>
    <t>MGDM32</t>
  </si>
  <si>
    <t>Aislador Polimérico 7.2 kv</t>
  </si>
  <si>
    <t>MSGDM32</t>
  </si>
  <si>
    <t>MGDM33</t>
  </si>
  <si>
    <t>Aislador Polimérico De Retención para 13.2kv.</t>
  </si>
  <si>
    <t>MSGDM33</t>
  </si>
  <si>
    <t>MGDM34</t>
  </si>
  <si>
    <t>Aislador Polimérico De Retención para 24kv.</t>
  </si>
  <si>
    <t>MSGDM34</t>
  </si>
  <si>
    <t>MGDM35</t>
  </si>
  <si>
    <t>Aislador Polimérico para 4160v</t>
  </si>
  <si>
    <t>MSGDM35</t>
  </si>
  <si>
    <t>MGDM36</t>
  </si>
  <si>
    <t>Aislador Post-Line para 13,2kv</t>
  </si>
  <si>
    <t>MSGDM36</t>
  </si>
  <si>
    <t>MGDM37</t>
  </si>
  <si>
    <t>Aislador Post-Line para 24kv</t>
  </si>
  <si>
    <t>MSGDM37</t>
  </si>
  <si>
    <t>MGDM38</t>
  </si>
  <si>
    <t>Aislador Post-Line para 34kv</t>
  </si>
  <si>
    <t>MSGDM38</t>
  </si>
  <si>
    <t>MGDM39</t>
  </si>
  <si>
    <t>Aislador Post-Line para 4160kv</t>
  </si>
  <si>
    <t>MSGDM39</t>
  </si>
  <si>
    <t>MGDM40</t>
  </si>
  <si>
    <t>Aisladores para barraje 25mm</t>
  </si>
  <si>
    <t>MSGDM40</t>
  </si>
  <si>
    <t>MGDM41</t>
  </si>
  <si>
    <t>Aisladores para barraje 30 mm</t>
  </si>
  <si>
    <t>MSGDM41</t>
  </si>
  <si>
    <t>MGDM42</t>
  </si>
  <si>
    <t>Aisladores para barraje 35 mm</t>
  </si>
  <si>
    <t>MSGDM42</t>
  </si>
  <si>
    <t>MGDM43</t>
  </si>
  <si>
    <t>Aisladores para barraje 51 mm</t>
  </si>
  <si>
    <t>MSGDM43</t>
  </si>
  <si>
    <t>MGDM44</t>
  </si>
  <si>
    <t>Aislador Tensor 3"</t>
  </si>
  <si>
    <t>MSGDM44</t>
  </si>
  <si>
    <t>MGDM45</t>
  </si>
  <si>
    <t>Aislador Tensor 4"</t>
  </si>
  <si>
    <t>MSGDM45</t>
  </si>
  <si>
    <t>MGDM46</t>
  </si>
  <si>
    <t>Aisladores De Disco 10"</t>
  </si>
  <si>
    <t>MSGDM46</t>
  </si>
  <si>
    <t>MGDM47</t>
  </si>
  <si>
    <t>Aisladores Multipart (line post)</t>
  </si>
  <si>
    <t>MSGDM47</t>
  </si>
  <si>
    <t>MGDM48</t>
  </si>
  <si>
    <t>Aisladores Tipo Carrete 3 3/8"</t>
  </si>
  <si>
    <t>MSGDM48</t>
  </si>
  <si>
    <t>MGDM49</t>
  </si>
  <si>
    <t>Ajustador PINTUCO ref. 121.135</t>
  </si>
  <si>
    <t>MSGDM49</t>
  </si>
  <si>
    <t>Kg</t>
  </si>
  <si>
    <t>MGDM50</t>
  </si>
  <si>
    <t>Alambre cobre desnudo # 10</t>
  </si>
  <si>
    <t>MSGDM50</t>
  </si>
  <si>
    <t>MTS</t>
  </si>
  <si>
    <t>MGDM51</t>
  </si>
  <si>
    <t>Alambre cobre desnudo # 12</t>
  </si>
  <si>
    <t>MSGDM51</t>
  </si>
  <si>
    <t>MGDM52</t>
  </si>
  <si>
    <t>Alambre De Cobre Desnudo #10 AWG</t>
  </si>
  <si>
    <t>MSGDM52</t>
  </si>
  <si>
    <t>Ml</t>
  </si>
  <si>
    <t>MGDM53</t>
  </si>
  <si>
    <t>Alambre De Cobre Desnudo #12 AWG</t>
  </si>
  <si>
    <t>MSGDM53</t>
  </si>
  <si>
    <t>MGDM54</t>
  </si>
  <si>
    <t>Alambre forrado THWN # 10</t>
  </si>
  <si>
    <t>MSGDM54</t>
  </si>
  <si>
    <t>MGDM55</t>
  </si>
  <si>
    <t>Alambre forrado THWN # 12</t>
  </si>
  <si>
    <t>MSGDM55</t>
  </si>
  <si>
    <t>MGDM56</t>
  </si>
  <si>
    <t>Alambre forrado THWN # 14</t>
  </si>
  <si>
    <t>MSGDM56</t>
  </si>
  <si>
    <t>MGDM57</t>
  </si>
  <si>
    <t>Alambre Negro No.18</t>
  </si>
  <si>
    <t>MSGDM57</t>
  </si>
  <si>
    <t>MGDM58</t>
  </si>
  <si>
    <t>Alambre No 10 THHN Amarillo</t>
  </si>
  <si>
    <t>MSGDM58</t>
  </si>
  <si>
    <t>MGDM59</t>
  </si>
  <si>
    <t>Alambre No 10 THHN Azul</t>
  </si>
  <si>
    <t>MSGDM59</t>
  </si>
  <si>
    <t>MGDM60</t>
  </si>
  <si>
    <t>Alambre No 10 THHN Blanco</t>
  </si>
  <si>
    <t>MSGDM60</t>
  </si>
  <si>
    <t>MGDM61</t>
  </si>
  <si>
    <t>Alambre No 10 THHN Negro</t>
  </si>
  <si>
    <t>MSGDM61</t>
  </si>
  <si>
    <t>MGDM62</t>
  </si>
  <si>
    <t>Alambre No 10 THHN Rojo</t>
  </si>
  <si>
    <t>MSGDM62</t>
  </si>
  <si>
    <t>MGDM63</t>
  </si>
  <si>
    <t>Alambre No 12 THHN Amarillo</t>
  </si>
  <si>
    <t>MSGDM63</t>
  </si>
  <si>
    <t>MGDM64</t>
  </si>
  <si>
    <t>Alambre No 12 THHN Azul</t>
  </si>
  <si>
    <t>MSGDM64</t>
  </si>
  <si>
    <t>MGDM65</t>
  </si>
  <si>
    <t>Alambre No 12 THHN Blanco</t>
  </si>
  <si>
    <t>MSGDM65</t>
  </si>
  <si>
    <t>MGDM66</t>
  </si>
  <si>
    <t>Alambre No 12 THHN Negro</t>
  </si>
  <si>
    <t>MSGDM66</t>
  </si>
  <si>
    <t>MGDM67</t>
  </si>
  <si>
    <t>Alambre No 12 THHN Rojo</t>
  </si>
  <si>
    <t>MSGDM67</t>
  </si>
  <si>
    <t>MGDM68</t>
  </si>
  <si>
    <t>Alambre No 12 THHN verde</t>
  </si>
  <si>
    <t>MSGDM68</t>
  </si>
  <si>
    <t>MGDM69</t>
  </si>
  <si>
    <t>Alambre No 14 THHN</t>
  </si>
  <si>
    <t>MSGDM69</t>
  </si>
  <si>
    <t>MGDM70</t>
  </si>
  <si>
    <t>Alambre No 8 THHN</t>
  </si>
  <si>
    <t>MSGDM70</t>
  </si>
  <si>
    <t>MGDM71</t>
  </si>
  <si>
    <t>Alambre Verde</t>
  </si>
  <si>
    <t>MSGDM71</t>
  </si>
  <si>
    <t>MGDM72</t>
  </si>
  <si>
    <t>Amarra plastica 10"</t>
  </si>
  <si>
    <t>MSGDM72</t>
  </si>
  <si>
    <t>MGDM73</t>
  </si>
  <si>
    <t>Amarra plastica 4"</t>
  </si>
  <si>
    <t>MSGDM73</t>
  </si>
  <si>
    <t>MGDM74</t>
  </si>
  <si>
    <t>Amarra plastica 8"</t>
  </si>
  <si>
    <t>MSGDM74</t>
  </si>
  <si>
    <t>MGDM75</t>
  </si>
  <si>
    <t>Amarras Plásticas</t>
  </si>
  <si>
    <t>MSGDM75</t>
  </si>
  <si>
    <t>MGDM76</t>
  </si>
  <si>
    <t>Amortiguador Para Cable De Guarda</t>
  </si>
  <si>
    <t>MSGDM76</t>
  </si>
  <si>
    <t>MGDM77</t>
  </si>
  <si>
    <t>Amortiguador Para Línea De 69kv Para Cable AAAC de 556.5mcm</t>
  </si>
  <si>
    <t>MSGDM77</t>
  </si>
  <si>
    <t>MGDM78</t>
  </si>
  <si>
    <t>Anclaje de 3/8 x 3"</t>
  </si>
  <si>
    <t>MSGDM78</t>
  </si>
  <si>
    <t>MGDM79</t>
  </si>
  <si>
    <t>Anclaje hilti HD4</t>
  </si>
  <si>
    <t>MSGDM79</t>
  </si>
  <si>
    <t>MGDM80</t>
  </si>
  <si>
    <t>Anclaje plastico 1/4"</t>
  </si>
  <si>
    <t>MSGDM80</t>
  </si>
  <si>
    <t>MGDM81</t>
  </si>
  <si>
    <t xml:space="preserve">Angulo acero inoxidable 3/16 x 1 1/2" </t>
  </si>
  <si>
    <t>MSGDM81</t>
  </si>
  <si>
    <t>MGDM82</t>
  </si>
  <si>
    <t xml:space="preserve">Angulo acero inoxidable 3/16 x 2" </t>
  </si>
  <si>
    <t>MSGDM82</t>
  </si>
  <si>
    <t>MGDM83</t>
  </si>
  <si>
    <t>Angulo de 1/4"x2"x2" x 1250</t>
  </si>
  <si>
    <t>MSGDM83</t>
  </si>
  <si>
    <t>MGDM84</t>
  </si>
  <si>
    <t>Angulo de 1/4"x2"x2" x 950</t>
  </si>
  <si>
    <t>MSGDM84</t>
  </si>
  <si>
    <t>MGDM85</t>
  </si>
  <si>
    <t>Angulo de 3/16x1x6mts</t>
  </si>
  <si>
    <t>MSGDM85</t>
  </si>
  <si>
    <t>MGDM86</t>
  </si>
  <si>
    <t>Angulo perforado para techo</t>
  </si>
  <si>
    <t>MSGDM86</t>
  </si>
  <si>
    <t>MGDM87</t>
  </si>
  <si>
    <t>Arandela 1/2; 5/8; 11/16; 3/4</t>
  </si>
  <si>
    <t>MSGDM87</t>
  </si>
  <si>
    <t>MGDM88</t>
  </si>
  <si>
    <t>Arandela Cuadrada 11/16"</t>
  </si>
  <si>
    <t>MSGDM88</t>
  </si>
  <si>
    <t>MGDM89</t>
  </si>
  <si>
    <t>Arandela Cuadrada 9/16"</t>
  </si>
  <si>
    <t>MSGDM89</t>
  </si>
  <si>
    <t>MGDM90</t>
  </si>
  <si>
    <t>Arandela De 2x2  de 5/8</t>
  </si>
  <si>
    <t>MSGDM90</t>
  </si>
  <si>
    <t>MGDM91</t>
  </si>
  <si>
    <t>Arandela De presion</t>
  </si>
  <si>
    <t>MSGDM91</t>
  </si>
  <si>
    <t>MGDM92</t>
  </si>
  <si>
    <t>Arandela plana redonda 5/8</t>
  </si>
  <si>
    <t>MSGDM92</t>
  </si>
  <si>
    <t>MGDM93</t>
  </si>
  <si>
    <t>Arena</t>
  </si>
  <si>
    <t>MSGDM93</t>
  </si>
  <si>
    <t>MGDM94</t>
  </si>
  <si>
    <t>Arnés de seguridad (1)</t>
  </si>
  <si>
    <t>MSGDM94</t>
  </si>
  <si>
    <t>MGDM95</t>
  </si>
  <si>
    <t>Arrancador GV2DM103</t>
  </si>
  <si>
    <t>MSGDM95</t>
  </si>
  <si>
    <t>MGDM96</t>
  </si>
  <si>
    <t>Arrancador GV2DM104</t>
  </si>
  <si>
    <t>MSGDM96</t>
  </si>
  <si>
    <t>MGDM97</t>
  </si>
  <si>
    <t>Arrancador GV2DM105</t>
  </si>
  <si>
    <t>MSGDM97</t>
  </si>
  <si>
    <t>MGDM98</t>
  </si>
  <si>
    <t>Arrancador GV2DM106</t>
  </si>
  <si>
    <t>MSGDM98</t>
  </si>
  <si>
    <t>MGDM99</t>
  </si>
  <si>
    <t>Arrancador GV2DM107</t>
  </si>
  <si>
    <t>MSGDM99</t>
  </si>
  <si>
    <t>MGDM100</t>
  </si>
  <si>
    <t>Arrancador GV2DM108</t>
  </si>
  <si>
    <t>MSGDM100</t>
  </si>
  <si>
    <t>MGDM101</t>
  </si>
  <si>
    <t>Arrancador GV2DM110</t>
  </si>
  <si>
    <t>MSGDM101</t>
  </si>
  <si>
    <t>MGDM102</t>
  </si>
  <si>
    <t>Arrancador GV2DM114</t>
  </si>
  <si>
    <t>MSGDM102</t>
  </si>
  <si>
    <t>MGDM103</t>
  </si>
  <si>
    <t>Arrancador GV2DM116</t>
  </si>
  <si>
    <t>MSGDM103</t>
  </si>
  <si>
    <t>MGDM104</t>
  </si>
  <si>
    <t>Arrancador GV2DM120</t>
  </si>
  <si>
    <t>MSGDM104</t>
  </si>
  <si>
    <t>MGDM105</t>
  </si>
  <si>
    <t>Arrancador GV2DM121</t>
  </si>
  <si>
    <t>MSGDM105</t>
  </si>
  <si>
    <t>MGDM106</t>
  </si>
  <si>
    <t>Arrancador GV2DM122</t>
  </si>
  <si>
    <t>MSGDM106</t>
  </si>
  <si>
    <t>MGDM107</t>
  </si>
  <si>
    <t>Arrancador GV2DM132</t>
  </si>
  <si>
    <t>MSGDM107</t>
  </si>
  <si>
    <t>MGDM108</t>
  </si>
  <si>
    <t>Arrancador luminaria MH 250W</t>
  </si>
  <si>
    <t>MSGDM108</t>
  </si>
  <si>
    <t>MGDM109</t>
  </si>
  <si>
    <t>Avisos En Acrílico y Vinilo Reflectivo  0.3 x 0.4 m</t>
  </si>
  <si>
    <t>MSGDM109</t>
  </si>
  <si>
    <t>MGDM110</t>
  </si>
  <si>
    <t xml:space="preserve">Balasto de 175 a 400 W MH  CWA  </t>
  </si>
  <si>
    <t>MSGDM110</t>
  </si>
  <si>
    <t>MGDM111</t>
  </si>
  <si>
    <t xml:space="preserve">Balasto de 250 a 400 W sodio  CWA </t>
  </si>
  <si>
    <t>MSGDM111</t>
  </si>
  <si>
    <t>MGDM112</t>
  </si>
  <si>
    <t>Balasto de 250 W MH  220 V</t>
  </si>
  <si>
    <t>MSGDM112</t>
  </si>
  <si>
    <t>MGDM113</t>
  </si>
  <si>
    <t>Balasto de 4x32 electronico 120V T8</t>
  </si>
  <si>
    <t>MSGDM113</t>
  </si>
  <si>
    <t>MGDM114</t>
  </si>
  <si>
    <t xml:space="preserve">Balasto de 70 a 150 W sodio  CWA </t>
  </si>
  <si>
    <t>MSGDM114</t>
  </si>
  <si>
    <t>MGDM115</t>
  </si>
  <si>
    <t>Balasto Electronico 4 x 17w</t>
  </si>
  <si>
    <t>MSGDM115</t>
  </si>
  <si>
    <t>MGDM116</t>
  </si>
  <si>
    <t>BALASTO ELECTRONICO DE 2 x 32 W. T-8 PHILLLIPS</t>
  </si>
  <si>
    <t>MSGDM116</t>
  </si>
  <si>
    <t>MGDM117</t>
  </si>
  <si>
    <t>BALASTO SLIN LINE DE 2 X 48" 39W.</t>
  </si>
  <si>
    <t>MSGDM117</t>
  </si>
  <si>
    <t>MGDM118</t>
  </si>
  <si>
    <t>Balasto reactor de 250 W MH  220 V</t>
  </si>
  <si>
    <t>MSGDM118</t>
  </si>
  <si>
    <t>MGDM119</t>
  </si>
  <si>
    <t>Baldosa Granito</t>
  </si>
  <si>
    <t>MSGDM119</t>
  </si>
  <si>
    <t>MGDM120</t>
  </si>
  <si>
    <t>Banda galvanizada de 6-7</t>
  </si>
  <si>
    <t>MSGDM120</t>
  </si>
  <si>
    <t>MGDM121</t>
  </si>
  <si>
    <t>Banda soporte de 1/2"</t>
  </si>
  <si>
    <t>MSGDM121</t>
  </si>
  <si>
    <t>MGDM122</t>
  </si>
  <si>
    <t>Bandeja Portacables Galv. 10 x 8cm</t>
  </si>
  <si>
    <t>MSGDM122</t>
  </si>
  <si>
    <t>MGDM123</t>
  </si>
  <si>
    <t>Bandeja Portacables Galv. 20 liv</t>
  </si>
  <si>
    <t>MSGDM123</t>
  </si>
  <si>
    <t>MGDM124</t>
  </si>
  <si>
    <t>Bandeja Portacables Galv. 20 x 8cm</t>
  </si>
  <si>
    <t>MSGDM124</t>
  </si>
  <si>
    <t>MGDM125</t>
  </si>
  <si>
    <t>Bandeja Portacables Galv. 30 x 8cm</t>
  </si>
  <si>
    <t>MSGDM125</t>
  </si>
  <si>
    <t>MGDM126</t>
  </si>
  <si>
    <t>Bandeja Portacables Galv. 40 x 8cm</t>
  </si>
  <si>
    <t>MSGDM126</t>
  </si>
  <si>
    <t>MGDM127</t>
  </si>
  <si>
    <t>Barraje De 316*2*0.33 m</t>
  </si>
  <si>
    <t>MSGDM127</t>
  </si>
  <si>
    <t>MGDM128</t>
  </si>
  <si>
    <t>Barraje de cobre De  1/4 x 1 1/2”</t>
  </si>
  <si>
    <t>MSGDM128</t>
  </si>
  <si>
    <t>MGDM129</t>
  </si>
  <si>
    <t>Barraje de cobre De  1/4 x 1” -</t>
  </si>
  <si>
    <t>MSGDM129</t>
  </si>
  <si>
    <t>MGDM130</t>
  </si>
  <si>
    <t>Barraje de cobre De  1/4 x 2” -</t>
  </si>
  <si>
    <t>MSGDM130</t>
  </si>
  <si>
    <t>MGDM131</t>
  </si>
  <si>
    <t>Barraje de cobre De  1/8 x 1/2” -</t>
  </si>
  <si>
    <t>MSGDM131</t>
  </si>
  <si>
    <t>MGDM132</t>
  </si>
  <si>
    <t xml:space="preserve">Barraje de cobre De  1/8 x3/4” </t>
  </si>
  <si>
    <t>MSGDM132</t>
  </si>
  <si>
    <t>MGDM133</t>
  </si>
  <si>
    <t>Barraje de cobre De  3/16 x 3/4”</t>
  </si>
  <si>
    <t>MSGDM133</t>
  </si>
  <si>
    <t>MGDM134</t>
  </si>
  <si>
    <t>Barraje de cobre De  3/8 x 2” -</t>
  </si>
  <si>
    <t>MSGDM134</t>
  </si>
  <si>
    <t>MGDM135</t>
  </si>
  <si>
    <t xml:space="preserve">Barraje de cobre De  3/8 x 3” </t>
  </si>
  <si>
    <t>MSGDM135</t>
  </si>
  <si>
    <t>MGDM136</t>
  </si>
  <si>
    <t>Barraje de cobre De  5/16 x 2” -</t>
  </si>
  <si>
    <t>MSGDM136</t>
  </si>
  <si>
    <t>MGDM137</t>
  </si>
  <si>
    <t>Barraje de cobre De  5/16 x 3”</t>
  </si>
  <si>
    <t>MSGDM137</t>
  </si>
  <si>
    <t>MGDM138</t>
  </si>
  <si>
    <t>Base autoadhesiva 21x21</t>
  </si>
  <si>
    <t>MSGDM138</t>
  </si>
  <si>
    <t>MGDM139</t>
  </si>
  <si>
    <t>Base autoadhesiva 25x25</t>
  </si>
  <si>
    <t>MSGDM139</t>
  </si>
  <si>
    <t>MGDM140</t>
  </si>
  <si>
    <t>Base de bronce</t>
  </si>
  <si>
    <t>MSGDM140</t>
  </si>
  <si>
    <t>MGDM141</t>
  </si>
  <si>
    <t>Base Fotocelda</t>
  </si>
  <si>
    <t>MSGDM141</t>
  </si>
  <si>
    <t>MGDM142</t>
  </si>
  <si>
    <t>Base rele 11 pines</t>
  </si>
  <si>
    <t>MSGDM142</t>
  </si>
  <si>
    <t>MGDM143</t>
  </si>
  <si>
    <t>Bayoneta Doble 1/4 x 2 1/2 x 1 m</t>
  </si>
  <si>
    <t>MSGDM143</t>
  </si>
  <si>
    <t>MGDM144</t>
  </si>
  <si>
    <t>Bayoneta Sencilla 1/4 x 2 1/2 x 1 m</t>
  </si>
  <si>
    <t>MSGDM144</t>
  </si>
  <si>
    <t>MGDM145</t>
  </si>
  <si>
    <t>Bombilla de MH  1000 W</t>
  </si>
  <si>
    <t>MSGDM145</t>
  </si>
  <si>
    <t>MGDM146</t>
  </si>
  <si>
    <t>Bombilla de MH  150 - 250 W</t>
  </si>
  <si>
    <t>MSGDM146</t>
  </si>
  <si>
    <t>MGDM147</t>
  </si>
  <si>
    <t>Bombilla de MH  400 W</t>
  </si>
  <si>
    <t>MSGDM147</t>
  </si>
  <si>
    <t>MGDM148</t>
  </si>
  <si>
    <t>Bombilla de neon o tipo bayoneta piloto o pulsadores luminosos</t>
  </si>
  <si>
    <t>MSGDM148</t>
  </si>
  <si>
    <t>MGDM149</t>
  </si>
  <si>
    <t>Bombilla de sodio 1000  W</t>
  </si>
  <si>
    <t>MSGDM149</t>
  </si>
  <si>
    <t>MGDM150</t>
  </si>
  <si>
    <t>Bombilla de sodio 70 -400  W</t>
  </si>
  <si>
    <t>MSGDM150</t>
  </si>
  <si>
    <t>MGDM151</t>
  </si>
  <si>
    <t>Bombilla incandescente de 100 W</t>
  </si>
  <si>
    <t>MSGDM151</t>
  </si>
  <si>
    <t>MGDM152</t>
  </si>
  <si>
    <t>Bombilla luz mixta 160 W  110V</t>
  </si>
  <si>
    <t>MSGDM152</t>
  </si>
  <si>
    <t>MGDM153</t>
  </si>
  <si>
    <t>Bombillo ahorrador de 11- 23 W</t>
  </si>
  <si>
    <t>MSGDM153</t>
  </si>
  <si>
    <t>MGDM154</t>
  </si>
  <si>
    <t>Bonder Alambre No. 4 Cobre Desnudo</t>
  </si>
  <si>
    <t>MSGDM154</t>
  </si>
  <si>
    <t>MGDM155</t>
  </si>
  <si>
    <t>Boquilla 1 1/2"  aislada</t>
  </si>
  <si>
    <t>MSGDM155</t>
  </si>
  <si>
    <t>MGDM156</t>
  </si>
  <si>
    <t>Boquilla 1"   aislada</t>
  </si>
  <si>
    <t>MSGDM156</t>
  </si>
  <si>
    <t>MGDM157</t>
  </si>
  <si>
    <t>Boquilla 1/2"  aislada</t>
  </si>
  <si>
    <t>MSGDM157</t>
  </si>
  <si>
    <t>MGDM158</t>
  </si>
  <si>
    <t>Boquilla 2"  aislada</t>
  </si>
  <si>
    <t>MSGDM158</t>
  </si>
  <si>
    <t>MGDM159</t>
  </si>
  <si>
    <t>Boquilla 3"  aislada</t>
  </si>
  <si>
    <t>MSGDM159</t>
  </si>
  <si>
    <t>MGDM160</t>
  </si>
  <si>
    <t>Boquilla 3/4"  aislada</t>
  </si>
  <si>
    <t>MSGDM160</t>
  </si>
  <si>
    <t>MGDM161</t>
  </si>
  <si>
    <t>Boquilla 4"  aislada</t>
  </si>
  <si>
    <t>MSGDM161</t>
  </si>
  <si>
    <t>MGDM162</t>
  </si>
  <si>
    <t>Borna de conexión 24 amps</t>
  </si>
  <si>
    <t>MSGDM162</t>
  </si>
  <si>
    <t>MGDM163</t>
  </si>
  <si>
    <t>Borna de conexión cable 10  47 amps</t>
  </si>
  <si>
    <t>MSGDM163</t>
  </si>
  <si>
    <t>MGDM164</t>
  </si>
  <si>
    <t>Bota pre moldeada termo contráctil  de 4” para cable  XenLPE hasta el 4/0</t>
  </si>
  <si>
    <t>MSGDM164</t>
  </si>
  <si>
    <t>MGDM165</t>
  </si>
  <si>
    <t>BOTON SELECTOR 2 POSICIONES X B4BD33</t>
  </si>
  <si>
    <t>MSGDM165</t>
  </si>
  <si>
    <t>MGDM166</t>
  </si>
  <si>
    <t>Brazo para luminaria Calima</t>
  </si>
  <si>
    <t>MSGDM166</t>
  </si>
  <si>
    <t>MGDM167</t>
  </si>
  <si>
    <t>Brazo pa iluminacion galv. 1 1/4 x 2mts</t>
  </si>
  <si>
    <t>MSGDM167</t>
  </si>
  <si>
    <t>MGDM168</t>
  </si>
  <si>
    <t xml:space="preserve">Breaker 3x20 tipo riel </t>
  </si>
  <si>
    <t>MSGDM168</t>
  </si>
  <si>
    <t>MGDM169</t>
  </si>
  <si>
    <t xml:space="preserve">Breaker 3x40 tipo riel </t>
  </si>
  <si>
    <t>MSGDM169</t>
  </si>
  <si>
    <t>MGDM170</t>
  </si>
  <si>
    <t>Breaker con unidad magnetica MA 100 
ref 430835 NSX 160H</t>
  </si>
  <si>
    <t>MSGDM170</t>
  </si>
  <si>
    <t>MGDM171</t>
  </si>
  <si>
    <t>Breaker enchufable 1x20 amps</t>
  </si>
  <si>
    <t>MSGDM171</t>
  </si>
  <si>
    <t>MGDM172</t>
  </si>
  <si>
    <t>Breaker enchufable 2x20 amps</t>
  </si>
  <si>
    <t>MSGDM172</t>
  </si>
  <si>
    <t>MGDM173</t>
  </si>
  <si>
    <t>Breaker enchufable 2x30 amps</t>
  </si>
  <si>
    <t>MSGDM173</t>
  </si>
  <si>
    <t>MGDM174</t>
  </si>
  <si>
    <t>Breaker enchufable 2x40 amps</t>
  </si>
  <si>
    <t>MSGDM174</t>
  </si>
  <si>
    <t>MGDM175</t>
  </si>
  <si>
    <t>Breaker enchufable 3x20 amps</t>
  </si>
  <si>
    <t>MSGDM175</t>
  </si>
  <si>
    <t>MGDM176</t>
  </si>
  <si>
    <t>Breaker enchufable 3x30 amps</t>
  </si>
  <si>
    <t>MSGDM176</t>
  </si>
  <si>
    <t>MGDM177</t>
  </si>
  <si>
    <t>Breaker enchufable 3x40 amps</t>
  </si>
  <si>
    <t>MSGDM177</t>
  </si>
  <si>
    <t>MGDM178</t>
  </si>
  <si>
    <t>Breaker enchufable HOM GFI 1x20 amps</t>
  </si>
  <si>
    <t>MSGDM178</t>
  </si>
  <si>
    <t>MGDM179</t>
  </si>
  <si>
    <t>Breaker Industrial 3f En Caja Moldeable Ajustable De 100-125 Amp, 250v 85ka</t>
  </si>
  <si>
    <t>MSGDM179</t>
  </si>
  <si>
    <t>MGDM180</t>
  </si>
  <si>
    <t>Breaker Industrial 3f En Caja Moldeable Ajustable De 128-160 Amp, 250v 85ka</t>
  </si>
  <si>
    <t>MSGDM180</t>
  </si>
  <si>
    <t>MGDM181</t>
  </si>
  <si>
    <t>Breaker Industrial 3f En Caja Moldeable Ajustable De 160-200 Amp, 250v 85ka</t>
  </si>
  <si>
    <t>MSGDM181</t>
  </si>
  <si>
    <t>MGDM182</t>
  </si>
  <si>
    <t>Breaker Industrial 3f En Caja Moldeable Ajustable De 160-400 Amp, 250v 40ka ref LV540306</t>
  </si>
  <si>
    <t>MSGDM182</t>
  </si>
  <si>
    <t>MGDM183</t>
  </si>
  <si>
    <t>Breaker Industrial 3f En Caja Moldeable Ajustable De 200-250 Amp, 250v 85ka</t>
  </si>
  <si>
    <t>MSGDM183</t>
  </si>
  <si>
    <t>MGDM184</t>
  </si>
  <si>
    <t>Breaker Industrial 3f En Caja Moldeable Ajustable De 224-320 Amp, 250v 40 ka ref LV540305</t>
  </si>
  <si>
    <t>MSGDM184</t>
  </si>
  <si>
    <t>MGDM185</t>
  </si>
  <si>
    <t>Breaker Industrial 3f En Caja Moldeable Ajustable De 32-40 Amp, 250v 40ka</t>
  </si>
  <si>
    <t>MSGDM185</t>
  </si>
  <si>
    <t>MGDM186</t>
  </si>
  <si>
    <t>Breaker Industrial 3f En Caja Moldeable Ajustable De 50.4-63 Amp,  250v 40ka</t>
  </si>
  <si>
    <t>MSGDM186</t>
  </si>
  <si>
    <t>MGDM187</t>
  </si>
  <si>
    <t>Breaker Industrial 3f En Caja Moldeable Ajustable De 64-80 Amp,  250v 40ka</t>
  </si>
  <si>
    <t>MSGDM187</t>
  </si>
  <si>
    <t>MGDM188</t>
  </si>
  <si>
    <t xml:space="preserve">Breaker Industrial 3f En Caja Moldeable Ajustable De 80-100 Amp ,250v 40ka, </t>
  </si>
  <si>
    <t>MSGDM188</t>
  </si>
  <si>
    <t>MGDM189</t>
  </si>
  <si>
    <t>Breaker Industrial 3f En Caja Moldeable De 15 Amp, Para Montaje En Riel Omega, 250v 10ka</t>
  </si>
  <si>
    <t>MSGDM189</t>
  </si>
  <si>
    <t>MGDM190</t>
  </si>
  <si>
    <t>Breaker Industrial 3f En Caja Moldeable De 20 Amp, 250v 10ka</t>
  </si>
  <si>
    <t>MSGDM190</t>
  </si>
  <si>
    <t>MGDM191</t>
  </si>
  <si>
    <t>Breaker Industrial 3f En Caja Moldeable De 30 Amp, 250v 10ka</t>
  </si>
  <si>
    <t>MSGDM191</t>
  </si>
  <si>
    <t>MGDM192</t>
  </si>
  <si>
    <t>Breaker Industrial 3f En Caja Moldeable
Ajustable De 160-400 amp, 250v 85ka.</t>
  </si>
  <si>
    <t>MSGDM192</t>
  </si>
  <si>
    <t>MGDM193</t>
  </si>
  <si>
    <t>Breaker Industrial de 800 A</t>
  </si>
  <si>
    <t>MSGDM193</t>
  </si>
  <si>
    <t>MGDM194</t>
  </si>
  <si>
    <t>Breaker industrial EZC100N 100 A</t>
  </si>
  <si>
    <t>MSGDM194</t>
  </si>
  <si>
    <t>MGDM195</t>
  </si>
  <si>
    <t>MSGDM195</t>
  </si>
  <si>
    <t>MGDM196</t>
  </si>
  <si>
    <t>MSGDM196</t>
  </si>
  <si>
    <t>MGDM197</t>
  </si>
  <si>
    <t>MSGDM197</t>
  </si>
  <si>
    <t>MGDM198</t>
  </si>
  <si>
    <t>MSGDM198</t>
  </si>
  <si>
    <t>MGDM199</t>
  </si>
  <si>
    <t>MSGDM199</t>
  </si>
  <si>
    <t>MGDM200</t>
  </si>
  <si>
    <t>Breaker industrial EZC100N 80 A</t>
  </si>
  <si>
    <t>MSGDM200</t>
  </si>
  <si>
    <t>MGDM201</t>
  </si>
  <si>
    <t>MSGDM201</t>
  </si>
  <si>
    <t>MGDM202</t>
  </si>
  <si>
    <t>MSGDM202</t>
  </si>
  <si>
    <t>MGDM203</t>
  </si>
  <si>
    <t>MSGDM203</t>
  </si>
  <si>
    <t>MGDM204</t>
  </si>
  <si>
    <t>MSGDM204</t>
  </si>
  <si>
    <t>MGDM205</t>
  </si>
  <si>
    <t>BREAKER INDUSTRIAL EZC 3X100AMP</t>
  </si>
  <si>
    <t>MSGDM205</t>
  </si>
  <si>
    <t>MGDM206</t>
  </si>
  <si>
    <t>BREAKER INDUSTRIAL  EZC 3X125AMP</t>
  </si>
  <si>
    <t>MSGDM206</t>
  </si>
  <si>
    <t>MGDM207</t>
  </si>
  <si>
    <t>BREAKER INDUSTRIAL  EZC 3X15 AMP</t>
  </si>
  <si>
    <t>MSGDM207</t>
  </si>
  <si>
    <t>MGDM208</t>
  </si>
  <si>
    <t>BREAKER INDUSTRIAL  EZC 3X20 AMP</t>
  </si>
  <si>
    <t>MSGDM208</t>
  </si>
  <si>
    <t>MGDM209</t>
  </si>
  <si>
    <t>BREAKER INDUSTRIAL  EZC 3X225AMP</t>
  </si>
  <si>
    <t>MSGDM209</t>
  </si>
  <si>
    <t>MGDM210</t>
  </si>
  <si>
    <t>BREAKER INDUSTRIAL  EZC 3X30 AMP</t>
  </si>
  <si>
    <t>MSGDM210</t>
  </si>
  <si>
    <t>MGDM211</t>
  </si>
  <si>
    <t>BREAKER INDUSTRIAL  EZC 3X40 AMP</t>
  </si>
  <si>
    <t>MSGDM211</t>
  </si>
  <si>
    <t>MGDM212</t>
  </si>
  <si>
    <t>BREAKER INDUSTRIAL  EZC 3X50 AMP</t>
  </si>
  <si>
    <t>MSGDM212</t>
  </si>
  <si>
    <t>MGDM213</t>
  </si>
  <si>
    <t>BREAKER INDUSTRIAL  EZC 3X60AMP</t>
  </si>
  <si>
    <t>MSGDM213</t>
  </si>
  <si>
    <t>MGDM214</t>
  </si>
  <si>
    <t>BREAKER INDUSTRIAL  EZC 3X80 AMP</t>
  </si>
  <si>
    <t>MSGDM214</t>
  </si>
  <si>
    <t>MGDM215</t>
  </si>
  <si>
    <t>Breaker industrial EZC250N 80 a 100 A</t>
  </si>
  <si>
    <t>MSGDM215</t>
  </si>
  <si>
    <t>MGDM216</t>
  </si>
  <si>
    <t xml:space="preserve">Breaker K60 monopolar 1x40/50/60 A </t>
  </si>
  <si>
    <t>MSGDM216</t>
  </si>
  <si>
    <t>MGDM217</t>
  </si>
  <si>
    <t>Breaker multi 9 C60N 3x1 amp</t>
  </si>
  <si>
    <t>MSGDM217</t>
  </si>
  <si>
    <t>MGDM218</t>
  </si>
  <si>
    <t>Breaker multi 9 C60N 3x2 amp</t>
  </si>
  <si>
    <t>MSGDM218</t>
  </si>
  <si>
    <t>MGDM219</t>
  </si>
  <si>
    <t>Breaker multi 9 C60N bipolar 2x1 amp</t>
  </si>
  <si>
    <t>MSGDM219</t>
  </si>
  <si>
    <t>MGDM220</t>
  </si>
  <si>
    <t>Breaker multi 9 C60N monopolar 10 a 32 amps</t>
  </si>
  <si>
    <t>MSGDM220</t>
  </si>
  <si>
    <t>MGDM221</t>
  </si>
  <si>
    <t>Breaker multi 9 C60N monopolar 1x2 amp</t>
  </si>
  <si>
    <t>MSGDM221</t>
  </si>
  <si>
    <t>MGDM222</t>
  </si>
  <si>
    <t>Breaker multi 9 C60N monopolar 40 a 63 amps</t>
  </si>
  <si>
    <t>MSGDM222</t>
  </si>
  <si>
    <t>MGDM223</t>
  </si>
  <si>
    <t>BREAKER MULTINUEVE DOMAE 1X20</t>
  </si>
  <si>
    <t>MSGDM223</t>
  </si>
  <si>
    <t>MGDM224</t>
  </si>
  <si>
    <t>BREAKER MULTINUEVE DOMAE 1X25</t>
  </si>
  <si>
    <t>MSGDM224</t>
  </si>
  <si>
    <t>MGDM225</t>
  </si>
  <si>
    <t>BREAKER MULTINUEVE DOMAE 1X32</t>
  </si>
  <si>
    <t>MSGDM225</t>
  </si>
  <si>
    <t>MGDM226</t>
  </si>
  <si>
    <t>BREAKER MULTINUEVE DOMAE 1x40</t>
  </si>
  <si>
    <t>MSGDM226</t>
  </si>
  <si>
    <t>MGDM227</t>
  </si>
  <si>
    <t>BREAKER MULTINUEVE DOMAE 2X10</t>
  </si>
  <si>
    <t>MSGDM227</t>
  </si>
  <si>
    <t>MGDM228</t>
  </si>
  <si>
    <t>BREAKER MULTINUEVE DOMAE 2X16</t>
  </si>
  <si>
    <t>MSGDM228</t>
  </si>
  <si>
    <t>MGDM229</t>
  </si>
  <si>
    <t>BREAKER MULTINUEVE DOMAE 2X20</t>
  </si>
  <si>
    <t>MSGDM229</t>
  </si>
  <si>
    <t>MGDM230</t>
  </si>
  <si>
    <t>BREAKER MULTINUEVE DOMAE 2X25</t>
  </si>
  <si>
    <t>MSGDM230</t>
  </si>
  <si>
    <t>MGDM231</t>
  </si>
  <si>
    <t>BREAKER MULTINUEVE DOMAE 2X32</t>
  </si>
  <si>
    <t>MSGDM231</t>
  </si>
  <si>
    <t>MGDM232</t>
  </si>
  <si>
    <t>BREAKER MULTINUEVE DOMAE 2X40</t>
  </si>
  <si>
    <t>MSGDM232</t>
  </si>
  <si>
    <t>MGDM233</t>
  </si>
  <si>
    <t>BREAKER MULTINUEVE DOMAE 2X50</t>
  </si>
  <si>
    <t>MSGDM233</t>
  </si>
  <si>
    <t>MGDM234</t>
  </si>
  <si>
    <t>BREAKER MULTINUEVE DOMAE 2X6</t>
  </si>
  <si>
    <t>MSGDM234</t>
  </si>
  <si>
    <t>MGDM235</t>
  </si>
  <si>
    <t>BREAKER MULTINUEVE DOMAE 3x16</t>
  </si>
  <si>
    <t>MSGDM235</t>
  </si>
  <si>
    <t>MGDM236</t>
  </si>
  <si>
    <t>BREAKER MULTINUEVE DOMAE 3X20</t>
  </si>
  <si>
    <t>MSGDM236</t>
  </si>
  <si>
    <t>MGDM237</t>
  </si>
  <si>
    <t>BREAKER MULTINUEVE DOMAE 3X32</t>
  </si>
  <si>
    <t>MSGDM237</t>
  </si>
  <si>
    <t>MGDM238</t>
  </si>
  <si>
    <t>BREAKER MULTINUEVE K60 1X10</t>
  </si>
  <si>
    <t>MSGDM238</t>
  </si>
  <si>
    <t>MGDM239</t>
  </si>
  <si>
    <t>BREAKER MULTINUEVE K60 1X6</t>
  </si>
  <si>
    <t>MSGDM239</t>
  </si>
  <si>
    <t>MGDM240</t>
  </si>
  <si>
    <t>BREAKER MULTINUEVE K60 1x63</t>
  </si>
  <si>
    <t>MSGDM240</t>
  </si>
  <si>
    <t>MGDM241</t>
  </si>
  <si>
    <t>BREAKER MULTINUEVE K60 2X16</t>
  </si>
  <si>
    <t>MSGDM241</t>
  </si>
  <si>
    <t>MGDM242</t>
  </si>
  <si>
    <t>BREAKER MULTINUEVE K60 2X63</t>
  </si>
  <si>
    <t>MSGDM242</t>
  </si>
  <si>
    <t>MGDM243</t>
  </si>
  <si>
    <t>BREAKER MULTINUEVE K60 3X10</t>
  </si>
  <si>
    <t>MSGDM243</t>
  </si>
  <si>
    <t>MGDM244</t>
  </si>
  <si>
    <t>BREAKER NSX100F/TM DE 28/40AMP LV 429634</t>
  </si>
  <si>
    <t>MSGDM244</t>
  </si>
  <si>
    <t>MGDM245</t>
  </si>
  <si>
    <t>BREAKER NSX100F/TM DE 44/63AMP LV29632</t>
  </si>
  <si>
    <t>MSGDM245</t>
  </si>
  <si>
    <t>MGDM246</t>
  </si>
  <si>
    <t>BREAKER NSX100F/TM DE 56/80AMP LV 429631</t>
  </si>
  <si>
    <t>MSGDM246</t>
  </si>
  <si>
    <t>MGDM247</t>
  </si>
  <si>
    <t xml:space="preserve">BREAKER NSX100F/TM DE 70/100AMP LV 429630 </t>
  </si>
  <si>
    <t>MSGDM247</t>
  </si>
  <si>
    <t>MGDM248</t>
  </si>
  <si>
    <t>BREAKER SENCILLO THQL SIEMEN</t>
  </si>
  <si>
    <t>MSGDM248</t>
  </si>
  <si>
    <t>MGDM249</t>
  </si>
  <si>
    <t xml:space="preserve">BREAKER SQUAR-D FAL 36330 30AMP </t>
  </si>
  <si>
    <t>MSGDM249</t>
  </si>
  <si>
    <t>MGDM250</t>
  </si>
  <si>
    <t xml:space="preserve">BREAKER SQUAR-D KAL 31625 125AMP </t>
  </si>
  <si>
    <t>MSGDM250</t>
  </si>
  <si>
    <t>MGDM251</t>
  </si>
  <si>
    <t>BREAKER TM 125 DE 88/125AMP LV 430631</t>
  </si>
  <si>
    <t>MSGDM251</t>
  </si>
  <si>
    <t>MGDM252</t>
  </si>
  <si>
    <t>BREAKER TM 250 DE 175/250AMP LV.431630</t>
  </si>
  <si>
    <t>MSGDM252</t>
  </si>
  <si>
    <t>MGDM253</t>
  </si>
  <si>
    <t>Cable 2 × 10 AWG</t>
  </si>
  <si>
    <t>MSGDM253</t>
  </si>
  <si>
    <t>MGDM254</t>
  </si>
  <si>
    <t>Cable 2 × 12 AWG</t>
  </si>
  <si>
    <t>MSGDM254</t>
  </si>
  <si>
    <t>MGDM255</t>
  </si>
  <si>
    <t>Cable 2 × 14 AWG</t>
  </si>
  <si>
    <t>MSGDM255</t>
  </si>
  <si>
    <t>MGDM256</t>
  </si>
  <si>
    <t>Cable 2 × 16 AWG</t>
  </si>
  <si>
    <t>MSGDM256</t>
  </si>
  <si>
    <t>MGDM257</t>
  </si>
  <si>
    <t>Cable 2 × 6 AWG</t>
  </si>
  <si>
    <t>MSGDM257</t>
  </si>
  <si>
    <t>MGDM258</t>
  </si>
  <si>
    <t>Cable 2 × 8 AWG</t>
  </si>
  <si>
    <t>MSGDM258</t>
  </si>
  <si>
    <t>MGDM259</t>
  </si>
  <si>
    <t>Cable 3 × 10 AWG</t>
  </si>
  <si>
    <t>MSGDM259</t>
  </si>
  <si>
    <t>MGDM260</t>
  </si>
  <si>
    <t>Cable 3 × 14 AWG</t>
  </si>
  <si>
    <t>MSGDM260</t>
  </si>
  <si>
    <t>MGDM261</t>
  </si>
  <si>
    <t>Cable 3 × 16 AWG</t>
  </si>
  <si>
    <t>MSGDM261</t>
  </si>
  <si>
    <t>MGDM262</t>
  </si>
  <si>
    <t>Cable 3 × 18 AWG</t>
  </si>
  <si>
    <t>MSGDM262</t>
  </si>
  <si>
    <t>MGDM263</t>
  </si>
  <si>
    <t>Cable 3 × 6 AWG</t>
  </si>
  <si>
    <t>MSGDM263</t>
  </si>
  <si>
    <t>MGDM264</t>
  </si>
  <si>
    <t>Cable 3 × 8 AWG</t>
  </si>
  <si>
    <t>MSGDM264</t>
  </si>
  <si>
    <t>MGDM265</t>
  </si>
  <si>
    <t>Cable 4 × 10 AWG</t>
  </si>
  <si>
    <t>MSGDM265</t>
  </si>
  <si>
    <t>MGDM266</t>
  </si>
  <si>
    <t>Cable 4 × 12 AWG</t>
  </si>
  <si>
    <t>MSGDM266</t>
  </si>
  <si>
    <t>MGDM267</t>
  </si>
  <si>
    <t>Cable 4 × 14 AWG</t>
  </si>
  <si>
    <t>MSGDM267</t>
  </si>
  <si>
    <t>MGDM268</t>
  </si>
  <si>
    <t>Cable 4 × 16 AWG</t>
  </si>
  <si>
    <t>MSGDM268</t>
  </si>
  <si>
    <t>MGDM269</t>
  </si>
  <si>
    <t>Cable 4 × 18 AWG</t>
  </si>
  <si>
    <t>MSGDM269</t>
  </si>
  <si>
    <t>MGDM270</t>
  </si>
  <si>
    <t>Cable 4 × 6 AWG</t>
  </si>
  <si>
    <t>MSGDM270</t>
  </si>
  <si>
    <t>MGDM271</t>
  </si>
  <si>
    <t>Cable 4 × 8 AWG</t>
  </si>
  <si>
    <t>MSGDM271</t>
  </si>
  <si>
    <t>MGDM272</t>
  </si>
  <si>
    <t>CABLE 4PR UTP CAT 6 GRIS CM 305m</t>
  </si>
  <si>
    <t>MSGDM272</t>
  </si>
  <si>
    <t>MGDM273</t>
  </si>
  <si>
    <t>Cable ACSR No 1/0</t>
  </si>
  <si>
    <t>MSGDM273</t>
  </si>
  <si>
    <t>MGDM274</t>
  </si>
  <si>
    <t>Cable ACSR No 2</t>
  </si>
  <si>
    <t>MSGDM274</t>
  </si>
  <si>
    <t>MGDM275</t>
  </si>
  <si>
    <t>Cable ACSR No 2/0</t>
  </si>
  <si>
    <t>MSGDM275</t>
  </si>
  <si>
    <t>MGDM276</t>
  </si>
  <si>
    <t>Cable ACSR No 4</t>
  </si>
  <si>
    <t>MSGDM276</t>
  </si>
  <si>
    <t>MGDM277</t>
  </si>
  <si>
    <t>Cable Alumoweld 7 no. 10</t>
  </si>
  <si>
    <t>MSGDM277</t>
  </si>
  <si>
    <t>MGDM278</t>
  </si>
  <si>
    <t>Cable Alumoweld 7 no. 8</t>
  </si>
  <si>
    <t>MSGDM278</t>
  </si>
  <si>
    <t>MGDM279</t>
  </si>
  <si>
    <t>Cable concentrico 2 x 8 + 8</t>
  </si>
  <si>
    <t>MSGDM279</t>
  </si>
  <si>
    <t>MGDM280</t>
  </si>
  <si>
    <t>Cable Concentrico ARE Cu 75oC 3X6+6 AWG 600V (PE/PVC)</t>
  </si>
  <si>
    <t>MSGDM280</t>
  </si>
  <si>
    <t>MGDM281</t>
  </si>
  <si>
    <t>Cable De 3/8" Para Retenida</t>
  </si>
  <si>
    <t>MSGDM281</t>
  </si>
  <si>
    <t>MGDM282</t>
  </si>
  <si>
    <t>Cable De Acero Galvanizado De 1/4 SUPERGX</t>
  </si>
  <si>
    <t>MSGDM282</t>
  </si>
  <si>
    <t>MGDM283</t>
  </si>
  <si>
    <t>Cable De Cobre Desnudo #1/0 AWG</t>
  </si>
  <si>
    <t>MSGDM283</t>
  </si>
  <si>
    <t>MGDM284</t>
  </si>
  <si>
    <t>Cable De Cobre Desnudo #10 AWG</t>
  </si>
  <si>
    <t>MSGDM284</t>
  </si>
  <si>
    <t>MGDM285</t>
  </si>
  <si>
    <t>Cable De Cobre Desnudo #12 AWG</t>
  </si>
  <si>
    <t>MSGDM285</t>
  </si>
  <si>
    <t>MGDM286</t>
  </si>
  <si>
    <t>Cable De Cobre Desnudo #2 AWG</t>
  </si>
  <si>
    <t>MSGDM286</t>
  </si>
  <si>
    <t>MGDM287</t>
  </si>
  <si>
    <t>Cable De Cobre Desnudo #2/0 AWG</t>
  </si>
  <si>
    <t>MSGDM287</t>
  </si>
  <si>
    <t>MGDM288</t>
  </si>
  <si>
    <t>Cable De Cobre Desnudo #4 AWG</t>
  </si>
  <si>
    <t>MSGDM288</t>
  </si>
  <si>
    <t>MGDM289</t>
  </si>
  <si>
    <t>Cable De Cobre Desnudo #4/0 AWG</t>
  </si>
  <si>
    <t>MSGDM289</t>
  </si>
  <si>
    <t>MGDM290</t>
  </si>
  <si>
    <t>Cable De Cobre Desnudo #6 AWG</t>
  </si>
  <si>
    <t>MSGDM290</t>
  </si>
  <si>
    <t>MGDM291</t>
  </si>
  <si>
    <t>Cable De Cobre Desnudo #8 AWG</t>
  </si>
  <si>
    <t>MSGDM291</t>
  </si>
  <si>
    <t>MGDM292</t>
  </si>
  <si>
    <t>Cable De Cobre Desnudo 350MCM</t>
  </si>
  <si>
    <t>MSGDM292</t>
  </si>
  <si>
    <t>MGDM293</t>
  </si>
  <si>
    <t>Cable duplex plano 2x14</t>
  </si>
  <si>
    <t>MSGDM293</t>
  </si>
  <si>
    <t>MGDM294</t>
  </si>
  <si>
    <t>Cable encauchetado 2 × 18 AWG</t>
  </si>
  <si>
    <t>MSGDM294</t>
  </si>
  <si>
    <t>MGDM295</t>
  </si>
  <si>
    <t>Cable Encauchetado 3x12</t>
  </si>
  <si>
    <t>MSGDM295</t>
  </si>
  <si>
    <t>MGDM296</t>
  </si>
  <si>
    <t>Cable Encauchetado 3x10</t>
  </si>
  <si>
    <t>MSGDM296</t>
  </si>
  <si>
    <t>MGDM297</t>
  </si>
  <si>
    <t>Cable encauchetado 3x8</t>
  </si>
  <si>
    <t>MSGDM297</t>
  </si>
  <si>
    <t>MGDM298</t>
  </si>
  <si>
    <t>MSGDM298</t>
  </si>
  <si>
    <t>MGDM299</t>
  </si>
  <si>
    <t>MSGDM299</t>
  </si>
  <si>
    <t>MGDM300</t>
  </si>
  <si>
    <t>MSGDM300</t>
  </si>
  <si>
    <t>MGDM301</t>
  </si>
  <si>
    <t>Cable Encauchetado 4x4 potencia</t>
  </si>
  <si>
    <t>MSGDM301</t>
  </si>
  <si>
    <t>MGDM302</t>
  </si>
  <si>
    <t>Cable encauchetado 7×12 + 20 AWG</t>
  </si>
  <si>
    <t>MSGDM302</t>
  </si>
  <si>
    <t>MGDM303</t>
  </si>
  <si>
    <t>Cable encauchetado 7×14 +20  AWG</t>
  </si>
  <si>
    <t>MSGDM303</t>
  </si>
  <si>
    <t>MGDM304</t>
  </si>
  <si>
    <t>Cable encauchetado pltc 24×14 + 20 AWG</t>
  </si>
  <si>
    <t>MSGDM304</t>
  </si>
  <si>
    <t>MGDM305</t>
  </si>
  <si>
    <t>Cable encauchetado pltc 4×18 + 20 AWG</t>
  </si>
  <si>
    <t>MSGDM305</t>
  </si>
  <si>
    <t>MGDM306</t>
  </si>
  <si>
    <t>Cable instrumentacion 18x18+20 apant</t>
  </si>
  <si>
    <t>MSGDM306</t>
  </si>
  <si>
    <t>MGDM307</t>
  </si>
  <si>
    <t>Cable instrumentacion 2x16+20 apant</t>
  </si>
  <si>
    <t>MSGDM307</t>
  </si>
  <si>
    <t>MGDM308</t>
  </si>
  <si>
    <t>Cable instrumentacion 4x16+20 apant</t>
  </si>
  <si>
    <t>MSGDM308</t>
  </si>
  <si>
    <t>MGDM309</t>
  </si>
  <si>
    <t>Cable instrumentacion 9x18+20 apant</t>
  </si>
  <si>
    <t>MSGDM309</t>
  </si>
  <si>
    <t>MGDM310</t>
  </si>
  <si>
    <t>Cable mensajero 1/4"</t>
  </si>
  <si>
    <t>MSGDM310</t>
  </si>
  <si>
    <t>MGDM311</t>
  </si>
  <si>
    <t>Cable No 1/0 THW</t>
  </si>
  <si>
    <t>MSGDM311</t>
  </si>
  <si>
    <t>MGDM312</t>
  </si>
  <si>
    <t>Cable No 10 AWG - THW Amarillo</t>
  </si>
  <si>
    <t>MSGDM312</t>
  </si>
  <si>
    <t>MGDM313</t>
  </si>
  <si>
    <t>Cable No 10 AWG - THW Azul</t>
  </si>
  <si>
    <t>MSGDM313</t>
  </si>
  <si>
    <t>MGDM314</t>
  </si>
  <si>
    <t>Cable No 10 AWG - THW Blanco</t>
  </si>
  <si>
    <t>MSGDM314</t>
  </si>
  <si>
    <t>MGDM315</t>
  </si>
  <si>
    <t>Cable No 10 AWG - THW Negro</t>
  </si>
  <si>
    <t>MSGDM315</t>
  </si>
  <si>
    <t>MGDM316</t>
  </si>
  <si>
    <t>Cable No 10 AWG - THW Rojo</t>
  </si>
  <si>
    <t>MSGDM316</t>
  </si>
  <si>
    <t>MGDM317</t>
  </si>
  <si>
    <t>Cable No 10 AWG - THW Verde</t>
  </si>
  <si>
    <t>MSGDM317</t>
  </si>
  <si>
    <t>MGDM318</t>
  </si>
  <si>
    <t>Cable No 12 AWG - THW Amarillo</t>
  </si>
  <si>
    <t>MSGDM318</t>
  </si>
  <si>
    <t>MGDM319</t>
  </si>
  <si>
    <t>Cable No 12 AWG - THW Azul</t>
  </si>
  <si>
    <t>MSGDM319</t>
  </si>
  <si>
    <t>MGDM320</t>
  </si>
  <si>
    <t>Cable No 12 AWG - THW Blanco</t>
  </si>
  <si>
    <t>MSGDM320</t>
  </si>
  <si>
    <t>MGDM321</t>
  </si>
  <si>
    <t>Cable No 12 AWG - THW Negro</t>
  </si>
  <si>
    <t>MSGDM321</t>
  </si>
  <si>
    <t>MGDM322</t>
  </si>
  <si>
    <t>Cable No 12 AWG - THW Rojo</t>
  </si>
  <si>
    <t>MSGDM322</t>
  </si>
  <si>
    <t>MGDM323</t>
  </si>
  <si>
    <t>Cable No 12 AWG - THW Verde</t>
  </si>
  <si>
    <t>MSGDM323</t>
  </si>
  <si>
    <t>MGDM324</t>
  </si>
  <si>
    <t>Cable No 14 AWG - THW</t>
  </si>
  <si>
    <t>MSGDM324</t>
  </si>
  <si>
    <t>MGDM325</t>
  </si>
  <si>
    <t>Cable No 2 AWG - THW</t>
  </si>
  <si>
    <t>MSGDM325</t>
  </si>
  <si>
    <t>MGDM326</t>
  </si>
  <si>
    <t>Cable No 4 AWG - THW</t>
  </si>
  <si>
    <t>MSGDM326</t>
  </si>
  <si>
    <t>MGDM327</t>
  </si>
  <si>
    <t>Cable No 6 AWG - THW</t>
  </si>
  <si>
    <t>MSGDM327</t>
  </si>
  <si>
    <t>MGDM328</t>
  </si>
  <si>
    <t>Cable No 8 AWG - THW</t>
  </si>
  <si>
    <t>MSGDM328</t>
  </si>
  <si>
    <t>MGDM329</t>
  </si>
  <si>
    <t>Cable No. 2/0 THW</t>
  </si>
  <si>
    <t>MSGDM329</t>
  </si>
  <si>
    <t>MGDM330</t>
  </si>
  <si>
    <t>Cable No. 250 MCM THHN</t>
  </si>
  <si>
    <t>MSGDM330</t>
  </si>
  <si>
    <t>MGDM331</t>
  </si>
  <si>
    <t>Cable No. 3/0 THW</t>
  </si>
  <si>
    <t>MSGDM331</t>
  </si>
  <si>
    <t>MGDM332</t>
  </si>
  <si>
    <t>Cable No. 300 MCM THHN</t>
  </si>
  <si>
    <t>MSGDM332</t>
  </si>
  <si>
    <t>MGDM333</t>
  </si>
  <si>
    <t>Cable No. 350 MCM THHN</t>
  </si>
  <si>
    <t>MSGDM333</t>
  </si>
  <si>
    <t>MGDM334</t>
  </si>
  <si>
    <t>Cable No. 4/0 THW</t>
  </si>
  <si>
    <t>MSGDM334</t>
  </si>
  <si>
    <t>MGDM335</t>
  </si>
  <si>
    <t>Cable No. 400 MCM THHN</t>
  </si>
  <si>
    <t>MSGDM335</t>
  </si>
  <si>
    <t>MGDM336</t>
  </si>
  <si>
    <t>Cable No. 500 MCM THHN</t>
  </si>
  <si>
    <t>MSGDM336</t>
  </si>
  <si>
    <t>MGDM337</t>
  </si>
  <si>
    <t>Cable RG 6 U</t>
  </si>
  <si>
    <t>MSGDM337</t>
  </si>
  <si>
    <t>MGDM338</t>
  </si>
  <si>
    <t>Cable telefonico de 10 pares</t>
  </si>
  <si>
    <t>MSGDM338</t>
  </si>
  <si>
    <t>MGDM339</t>
  </si>
  <si>
    <t>Cable TFF No 16</t>
  </si>
  <si>
    <t>MSGDM339</t>
  </si>
  <si>
    <t>MGDM340</t>
  </si>
  <si>
    <t>Cable THW 1/0 AL  Serie 8000 135 A</t>
  </si>
  <si>
    <t>MSGDM340</t>
  </si>
  <si>
    <t>MGDM341</t>
  </si>
  <si>
    <t>Cable THW 2 AL  Serie 8000 100 A</t>
  </si>
  <si>
    <t>MSGDM341</t>
  </si>
  <si>
    <t>MGDM342</t>
  </si>
  <si>
    <t>Cable THW 4 AL  Serie 8000 100 A</t>
  </si>
  <si>
    <t>MSGDM342</t>
  </si>
  <si>
    <t>MGDM343</t>
  </si>
  <si>
    <t>Cable THW 4/0 AL  Serie 8000 135 A</t>
  </si>
  <si>
    <t>MSGDM343</t>
  </si>
  <si>
    <t>MGDM344</t>
  </si>
  <si>
    <t>Cable Trenzado 4 x 1/0</t>
  </si>
  <si>
    <t>MSGDM344</t>
  </si>
  <si>
    <t>MGDM345</t>
  </si>
  <si>
    <t>Cable Trenzado 4 x 2</t>
  </si>
  <si>
    <t>MSGDM345</t>
  </si>
  <si>
    <t>MGDM346</t>
  </si>
  <si>
    <t>Cable Trenzado 4 x 4</t>
  </si>
  <si>
    <t>MSGDM346</t>
  </si>
  <si>
    <t>MGDM347</t>
  </si>
  <si>
    <t>Cable Trenzado 4 x 6</t>
  </si>
  <si>
    <t>MSGDM347</t>
  </si>
  <si>
    <t>MGDM348</t>
  </si>
  <si>
    <t>Cable UTP 4x2x24  amp cat 6  200 MHz</t>
  </si>
  <si>
    <t>MSGDM348</t>
  </si>
  <si>
    <t>MGDM349</t>
  </si>
  <si>
    <t>Cable XLPE No 1/0 100 %</t>
  </si>
  <si>
    <t>MSGDM349</t>
  </si>
  <si>
    <t>MGDM350</t>
  </si>
  <si>
    <t>Cable XLPE No 2  100 %</t>
  </si>
  <si>
    <t>MSGDM350</t>
  </si>
  <si>
    <t>MGDM351</t>
  </si>
  <si>
    <t>Cable XLPE No 2  133 %</t>
  </si>
  <si>
    <t>MSGDM351</t>
  </si>
  <si>
    <t>MGDM352</t>
  </si>
  <si>
    <t>Cable XLPE No 2/0 100 %</t>
  </si>
  <si>
    <t>MSGDM352</t>
  </si>
  <si>
    <t>MGDM353</t>
  </si>
  <si>
    <t>Caja De Distribución Eléctrica De 6x6x4" - Nema 12 cal 18</t>
  </si>
  <si>
    <t>MSGDM353</t>
  </si>
  <si>
    <t>MGDM354</t>
  </si>
  <si>
    <t>Caja De Distribución Eléctrica De 8x8x4"  - Nema 12 cal 18</t>
  </si>
  <si>
    <t>MSGDM354</t>
  </si>
  <si>
    <t>MGDM355</t>
  </si>
  <si>
    <t>Caja de empalme 8x8x6</t>
  </si>
  <si>
    <t>MSGDM355</t>
  </si>
  <si>
    <t>MGDM356</t>
  </si>
  <si>
    <t>Caja de empalme 15x15x10</t>
  </si>
  <si>
    <t>MSGDM356</t>
  </si>
  <si>
    <t>MGDM357</t>
  </si>
  <si>
    <t>Caja de empalme 20x20x15</t>
  </si>
  <si>
    <t>MSGDM357</t>
  </si>
  <si>
    <t>MGDM358</t>
  </si>
  <si>
    <t>Caja de empalme 50x50x20</t>
  </si>
  <si>
    <t>MSGDM358</t>
  </si>
  <si>
    <t>MGDM359</t>
  </si>
  <si>
    <t>Caja Doble ( 4x4" ) (Fundida Para Sobreponer)</t>
  </si>
  <si>
    <t>MSGDM359</t>
  </si>
  <si>
    <t>MGDM360</t>
  </si>
  <si>
    <t>Caja Doble ( 4x4" ) (Lámina PVC  Para Empotrar)</t>
  </si>
  <si>
    <t>MSGDM360</t>
  </si>
  <si>
    <t>MGDM361</t>
  </si>
  <si>
    <t>Caja doble (4x4")  (Fundida Para Sobreponer)</t>
  </si>
  <si>
    <t>MSGDM361</t>
  </si>
  <si>
    <t>MGDM362</t>
  </si>
  <si>
    <t>Caja doble (4x4")  PVC o galv incrustar</t>
  </si>
  <si>
    <t>MSGDM362</t>
  </si>
  <si>
    <t>MGDM363</t>
  </si>
  <si>
    <t>Caja IP 65 30x20x16</t>
  </si>
  <si>
    <t>MSGDM363</t>
  </si>
  <si>
    <t>MGDM364</t>
  </si>
  <si>
    <t>Caja metalica distribucion metálica CDM12</t>
  </si>
  <si>
    <t>MSGDM364</t>
  </si>
  <si>
    <t>MGDM365</t>
  </si>
  <si>
    <t>Caja metalica distribucion metálica CDM4</t>
  </si>
  <si>
    <t>MSGDM365</t>
  </si>
  <si>
    <t>MGDM366</t>
  </si>
  <si>
    <t>Caja metalica distribucion metálica CDM6</t>
  </si>
  <si>
    <t>MSGDM366</t>
  </si>
  <si>
    <t>MGDM367</t>
  </si>
  <si>
    <t>Caja metalica distribucion metálica CDM9</t>
  </si>
  <si>
    <t>MSGDM367</t>
  </si>
  <si>
    <t>MGDM368</t>
  </si>
  <si>
    <t>Caja minipragma opaca 6 pasos sobreponer multi 9</t>
  </si>
  <si>
    <t>MSGDM368</t>
  </si>
  <si>
    <t>MGDM369</t>
  </si>
  <si>
    <t>Caja minipragma transparente 10 pasos incrustar multi 9</t>
  </si>
  <si>
    <t>MSGDM369</t>
  </si>
  <si>
    <t>MGDM370</t>
  </si>
  <si>
    <t>Caja minipragma transparente 16 pasos incrustar multi 9</t>
  </si>
  <si>
    <t>MSGDM370</t>
  </si>
  <si>
    <t>MGDM371</t>
  </si>
  <si>
    <t>Caja Octagonal (Fundida Para Sobreponer)</t>
  </si>
  <si>
    <t>MSGDM371</t>
  </si>
  <si>
    <t>MGDM372</t>
  </si>
  <si>
    <t>Caja Octagonal (Lámina Para Empotrar)</t>
  </si>
  <si>
    <t>MSGDM372</t>
  </si>
  <si>
    <t>MGDM373</t>
  </si>
  <si>
    <t>Caja Octagonal PVC</t>
  </si>
  <si>
    <t>MSGDM373</t>
  </si>
  <si>
    <t>MGDM374</t>
  </si>
  <si>
    <t>CAJAS PRIMARIAS 15 KV</t>
  </si>
  <si>
    <t>MSGDM374</t>
  </si>
  <si>
    <t>MGDM375</t>
  </si>
  <si>
    <t>Caja para Medidor Tipo C</t>
  </si>
  <si>
    <t>MSGDM375</t>
  </si>
  <si>
    <t>MGDM376</t>
  </si>
  <si>
    <t>Caja PVC 2x4 Para Empotrar</t>
  </si>
  <si>
    <t>MSGDM376</t>
  </si>
  <si>
    <t>MGDM377</t>
  </si>
  <si>
    <t>Caja PVC 4x4</t>
  </si>
  <si>
    <t>MSGDM377</t>
  </si>
  <si>
    <t>un</t>
  </si>
  <si>
    <t>MGDM378</t>
  </si>
  <si>
    <t>Caja Plástica Dexson 2x4 Para Sobreponer, Utilizadas Con Canaleta</t>
  </si>
  <si>
    <t>MSGDM378</t>
  </si>
  <si>
    <t>MGDM379</t>
  </si>
  <si>
    <t>CAJA RAWELT GALVANIZADA OCTAGONAL 4 SALIDAS 3/4</t>
  </si>
  <si>
    <t>MSGDM379</t>
  </si>
  <si>
    <t>MGDM380</t>
  </si>
  <si>
    <t>Cajas Radwelt 2 x 4</t>
  </si>
  <si>
    <t>MSGDM380</t>
  </si>
  <si>
    <t>MGDM381</t>
  </si>
  <si>
    <t>Cajas Radwelt 2 x 4 salida 3/4</t>
  </si>
  <si>
    <t>MSGDM381</t>
  </si>
  <si>
    <t>MGDM382</t>
  </si>
  <si>
    <t>Cajas Radwelt 4 x 4 salida 3/4</t>
  </si>
  <si>
    <t>MSGDM382</t>
  </si>
  <si>
    <t>MGDM383</t>
  </si>
  <si>
    <t>Cajas Radwelt 4 x 4</t>
  </si>
  <si>
    <t>MSGDM383</t>
  </si>
  <si>
    <t>MGDM384</t>
  </si>
  <si>
    <t>Caja Sencilla (2x4")  (Fundida Para Sobreponer)</t>
  </si>
  <si>
    <t>MSGDM384</t>
  </si>
  <si>
    <t>MGDM385</t>
  </si>
  <si>
    <t>Caja Sencilla (2x4") (Lámina Para Empotrar)</t>
  </si>
  <si>
    <t>MSGDM385</t>
  </si>
  <si>
    <t>MGDM386</t>
  </si>
  <si>
    <t>Canaleta c/division de 11x5 c/tapa</t>
  </si>
  <si>
    <t>MSGDM386</t>
  </si>
  <si>
    <t>MGDM387</t>
  </si>
  <si>
    <t>Canaleta DLP</t>
  </si>
  <si>
    <t>MSGDM387</t>
  </si>
  <si>
    <t>MGDM388</t>
  </si>
  <si>
    <t>Canaleta Metálica De 10 x 12.5mm</t>
  </si>
  <si>
    <t>MSGDM388</t>
  </si>
  <si>
    <t>MGDM389</t>
  </si>
  <si>
    <t xml:space="preserve">Canaleta Metálica De 10 x 8 cm  C 22 TA  </t>
  </si>
  <si>
    <t>MSGDM389</t>
  </si>
  <si>
    <t>MGDM390</t>
  </si>
  <si>
    <t>Canaleta Metálica De 20 x 12.5mm</t>
  </si>
  <si>
    <t>MSGDM390</t>
  </si>
  <si>
    <t>MGDM391</t>
  </si>
  <si>
    <t>Canaleta Metálica De 20 x 8 cm  C 22 TA</t>
  </si>
  <si>
    <t>MSGDM391</t>
  </si>
  <si>
    <t>MGDM392</t>
  </si>
  <si>
    <t>Canaleta Metálica De 30 x 8 cm  C 22 TA</t>
  </si>
  <si>
    <t>MSGDM392</t>
  </si>
  <si>
    <t>MGDM393</t>
  </si>
  <si>
    <t>Canaleta Metálica De 32 x 12.5mm</t>
  </si>
  <si>
    <t>MSGDM393</t>
  </si>
  <si>
    <t>MGDM394</t>
  </si>
  <si>
    <t>Canaleta Metálica De 40 x 12,5 mm</t>
  </si>
  <si>
    <t>MSGDM394</t>
  </si>
  <si>
    <t>MGDM395</t>
  </si>
  <si>
    <t>Canaleta Plástica 10x12,5</t>
  </si>
  <si>
    <t>MSGDM395</t>
  </si>
  <si>
    <t>MGDM396</t>
  </si>
  <si>
    <t>Canaleta Plástica 20x12,5</t>
  </si>
  <si>
    <t>MSGDM396</t>
  </si>
  <si>
    <t>MGDM397</t>
  </si>
  <si>
    <t>Canaleta Plástica 32x12,5</t>
  </si>
  <si>
    <t>MSGDM397</t>
  </si>
  <si>
    <t>MGDM398</t>
  </si>
  <si>
    <t>Canaleta ranurada 60x40</t>
  </si>
  <si>
    <t>MSGDM398</t>
  </si>
  <si>
    <t>MGDM399</t>
  </si>
  <si>
    <t>Canaleta soporte colgante</t>
  </si>
  <si>
    <t>MSGDM399</t>
  </si>
  <si>
    <t>MGDM400</t>
  </si>
  <si>
    <t>Candado Master</t>
  </si>
  <si>
    <t>MSGDM400</t>
  </si>
  <si>
    <t>MGDM401</t>
  </si>
  <si>
    <t>MSGDM401</t>
  </si>
  <si>
    <t>MGDM402</t>
  </si>
  <si>
    <t>MSGDM402</t>
  </si>
  <si>
    <t>MGDM403</t>
  </si>
  <si>
    <t>MSGDM403</t>
  </si>
  <si>
    <t>MGDM404</t>
  </si>
  <si>
    <t>MSGDM404</t>
  </si>
  <si>
    <t>MGDM405</t>
  </si>
  <si>
    <t>Celda con seccionador y fusibles HH 630 amps</t>
  </si>
  <si>
    <t>MSGDM405</t>
  </si>
  <si>
    <t>MGDM406</t>
  </si>
  <si>
    <t xml:space="preserve">Celda de Proteccion con seccionador de Operación Bajo Carga Base Portafusibles </t>
  </si>
  <si>
    <t>MSGDM406</t>
  </si>
  <si>
    <t>MGDM407</t>
  </si>
  <si>
    <t>Celda de Remonte de Cables Sin Barraje GAM-0</t>
  </si>
  <si>
    <t>MSGDM407</t>
  </si>
  <si>
    <t>MGDM408</t>
  </si>
  <si>
    <t>Celda para transformador de 225 KVA</t>
  </si>
  <si>
    <t>MSGDM408</t>
  </si>
  <si>
    <t>MGDM409</t>
  </si>
  <si>
    <t>Cemento Gris</t>
  </si>
  <si>
    <t>MSGDM409</t>
  </si>
  <si>
    <t>KG</t>
  </si>
  <si>
    <t>MGDM410</t>
  </si>
  <si>
    <t>Certificacion RETIE</t>
  </si>
  <si>
    <t>MSGDM410</t>
  </si>
  <si>
    <t>MGDM411</t>
  </si>
  <si>
    <t>Channel alto</t>
  </si>
  <si>
    <t>MSGDM411</t>
  </si>
  <si>
    <t>MGDM412</t>
  </si>
  <si>
    <t>Channel bajo</t>
  </si>
  <si>
    <t>MSGDM412</t>
  </si>
  <si>
    <t>MGDM413</t>
  </si>
  <si>
    <t>Channel acero inoxidable</t>
  </si>
  <si>
    <t>MSGDM413</t>
  </si>
  <si>
    <t>MGDM414</t>
  </si>
  <si>
    <t>Chazos</t>
  </si>
  <si>
    <t>MSGDM414</t>
  </si>
  <si>
    <t>MGDM415</t>
  </si>
  <si>
    <t>Chico</t>
  </si>
  <si>
    <t>MSGDM415</t>
  </si>
  <si>
    <t>MGDM416</t>
  </si>
  <si>
    <t>Cinta bandit</t>
  </si>
  <si>
    <t>MSGDM416</t>
  </si>
  <si>
    <t>Rollo</t>
  </si>
  <si>
    <t>MGDM417</t>
  </si>
  <si>
    <t>Cinta Demarcacion</t>
  </si>
  <si>
    <t>MSGDM417</t>
  </si>
  <si>
    <t>MGDM418</t>
  </si>
  <si>
    <t>MSGDM418</t>
  </si>
  <si>
    <t>MGDM419</t>
  </si>
  <si>
    <t>CINTA SCOTH #23</t>
  </si>
  <si>
    <t>MSGDM419</t>
  </si>
  <si>
    <t>MGDM420</t>
  </si>
  <si>
    <t>CINTA SCOTH #50</t>
  </si>
  <si>
    <t>MSGDM420</t>
  </si>
  <si>
    <t>MGDM421</t>
  </si>
  <si>
    <t>Cinta tenflex 1700 x 10 mts</t>
  </si>
  <si>
    <t>MSGDM421</t>
  </si>
  <si>
    <t>MGDM422</t>
  </si>
  <si>
    <t>Cinta tenflex 1700 x 20 mts</t>
  </si>
  <si>
    <t>MSGDM422</t>
  </si>
  <si>
    <t>MGDM423</t>
  </si>
  <si>
    <t>Clavija 20A Twis Lock Uso Industrial Leviton O Similar 110v</t>
  </si>
  <si>
    <t>MSGDM423</t>
  </si>
  <si>
    <t>MGDM424</t>
  </si>
  <si>
    <t>Clavija 30A Twis Lock Uso Industrial Leviton O Similar ref 2621</t>
  </si>
  <si>
    <t>MSGDM424</t>
  </si>
  <si>
    <t>MGDM425</t>
  </si>
  <si>
    <t>Clavija 30A Twis Lock Uso Industrial Leviton O Similar ref 2721</t>
  </si>
  <si>
    <t>MSGDM425</t>
  </si>
  <si>
    <t>MGDM426</t>
  </si>
  <si>
    <t>Clavija 30A Twis Lock Uso Industrial Leviton O Similar ref 2811</t>
  </si>
  <si>
    <t>MSGDM426</t>
  </si>
  <si>
    <t>MGDM427</t>
  </si>
  <si>
    <t xml:space="preserve">Clavija Con Polo A Tierra De 20 Amp. A 120v. </t>
  </si>
  <si>
    <t>MSGDM427</t>
  </si>
  <si>
    <t>MGDM428</t>
  </si>
  <si>
    <t xml:space="preserve">Clavija de caucho con polo a tierra 15 amp 110 V </t>
  </si>
  <si>
    <t>MSGDM428</t>
  </si>
  <si>
    <t>MGDM429</t>
  </si>
  <si>
    <t>CLAVIJAS NEMA L16-20 AMP</t>
  </si>
  <si>
    <t>MSGDM429</t>
  </si>
  <si>
    <t>MGDM430</t>
  </si>
  <si>
    <t>CLAVIJAS NEMA L15-30 AMP</t>
  </si>
  <si>
    <t>MSGDM430</t>
  </si>
  <si>
    <t>MGDM431</t>
  </si>
  <si>
    <t>CLAVIJAS NEMA L5-20 AMP</t>
  </si>
  <si>
    <t>MSGDM431</t>
  </si>
  <si>
    <t>MGDM432</t>
  </si>
  <si>
    <t>CLAVIJAS NEMA L6-30 AMP</t>
  </si>
  <si>
    <t>MSGDM432</t>
  </si>
  <si>
    <t>MGDM433</t>
  </si>
  <si>
    <t>Clavija Trifásica Tripolar De 20 Amp - 250v, 4 hilos leviton</t>
  </si>
  <si>
    <t>MSGDM433</t>
  </si>
  <si>
    <t>MGDM434</t>
  </si>
  <si>
    <t>Clavija Trifásica Tripolar De 30 Amp - 250v, 4 hilos leviton</t>
  </si>
  <si>
    <t>MSGDM434</t>
  </si>
  <si>
    <t>MGDM435</t>
  </si>
  <si>
    <t>Clavija Trifásica Tripolar De 50 Amp - 250v, 4 hilos leviton o similar</t>
  </si>
  <si>
    <t>MSGDM435</t>
  </si>
  <si>
    <t>MGDM436</t>
  </si>
  <si>
    <t>Clavo de 2" (puntilla)</t>
  </si>
  <si>
    <t>MSGDM436</t>
  </si>
  <si>
    <t>MGDM437</t>
  </si>
  <si>
    <t>Clevis 10"</t>
  </si>
  <si>
    <t>MSGDM437</t>
  </si>
  <si>
    <t>MGDM438</t>
  </si>
  <si>
    <t>Clevis 6"</t>
  </si>
  <si>
    <t>MSGDM438</t>
  </si>
  <si>
    <t>MGDM439</t>
  </si>
  <si>
    <t>Codo 1" sch 40</t>
  </si>
  <si>
    <t>MSGDM439</t>
  </si>
  <si>
    <t>MGDM440</t>
  </si>
  <si>
    <t>Codo 1/2" sch 40</t>
  </si>
  <si>
    <t>MSGDM440</t>
  </si>
  <si>
    <t>MGDM441</t>
  </si>
  <si>
    <t>Codo 3/4" sch 40</t>
  </si>
  <si>
    <t>MSGDM441</t>
  </si>
  <si>
    <t>MGDM442</t>
  </si>
  <si>
    <t>Cofre De 30x20x15</t>
  </si>
  <si>
    <t>MSGDM442</t>
  </si>
  <si>
    <t>MGDM443</t>
  </si>
  <si>
    <t>Cofre De 40x30x20</t>
  </si>
  <si>
    <t>MSGDM443</t>
  </si>
  <si>
    <t>MGDM444</t>
  </si>
  <si>
    <t>Cofre De 50x30x20</t>
  </si>
  <si>
    <t>MSGDM444</t>
  </si>
  <si>
    <t>MGDM445</t>
  </si>
  <si>
    <t>Cofre De 50x40x20</t>
  </si>
  <si>
    <t>MSGDM445</t>
  </si>
  <si>
    <t>MGDM446</t>
  </si>
  <si>
    <t>Cofre De 60x40x25</t>
  </si>
  <si>
    <t>MSGDM446</t>
  </si>
  <si>
    <t>MGDM447</t>
  </si>
  <si>
    <t>Cofre Lamina Galv  100x80x30</t>
  </si>
  <si>
    <t>MSGDM447</t>
  </si>
  <si>
    <t>MGDM448</t>
  </si>
  <si>
    <t>Cofre Lamina Galv  90x70x30</t>
  </si>
  <si>
    <t>MSGDM448</t>
  </si>
  <si>
    <t>MGDM449</t>
  </si>
  <si>
    <t>Cofre Lamina Galv 120x80x40</t>
  </si>
  <si>
    <t>MSGDM449</t>
  </si>
  <si>
    <t>MGDM450</t>
  </si>
  <si>
    <t>Cofre Lamina Galv 150x80x40</t>
  </si>
  <si>
    <t>MSGDM450</t>
  </si>
  <si>
    <t>MGDM451</t>
  </si>
  <si>
    <t>Cofre Lamina Galv 200x120x100</t>
  </si>
  <si>
    <t>MSGDM451</t>
  </si>
  <si>
    <t>MGDM452</t>
  </si>
  <si>
    <t>Cofre Lamina Galv 200x120x100 sin barraje</t>
  </si>
  <si>
    <t>MSGDM452</t>
  </si>
  <si>
    <t>MGDM453</t>
  </si>
  <si>
    <t>Cofre Lamina Galv 70x50x25</t>
  </si>
  <si>
    <t>MSGDM453</t>
  </si>
  <si>
    <t>MGDM454</t>
  </si>
  <si>
    <t>Cofre Plástico Transparente IP65 de 16 cm de profundidad</t>
  </si>
  <si>
    <t>MSGDM454</t>
  </si>
  <si>
    <t>MGDM455</t>
  </si>
  <si>
    <t>Collarín De Doble Derivación De 6-7 pulg.</t>
  </si>
  <si>
    <t>MSGDM455</t>
  </si>
  <si>
    <t>MGDM456</t>
  </si>
  <si>
    <t>Collarín De Doble Derivación De 7-8 pulg.</t>
  </si>
  <si>
    <t>MSGDM456</t>
  </si>
  <si>
    <t>MGDM457</t>
  </si>
  <si>
    <t>Collarín De Doble Derivación De 8-9 pulg.</t>
  </si>
  <si>
    <t>MSGDM457</t>
  </si>
  <si>
    <t>MGDM458</t>
  </si>
  <si>
    <t>Combustible</t>
  </si>
  <si>
    <t>MSGDM458</t>
  </si>
  <si>
    <t>Gl</t>
  </si>
  <si>
    <t>MGDM459</t>
  </si>
  <si>
    <t>Concreto fc=2000 psi</t>
  </si>
  <si>
    <t>MSGDM459</t>
  </si>
  <si>
    <t>M3</t>
  </si>
  <si>
    <t>MGDM460</t>
  </si>
  <si>
    <t>Concreto fc=2500 psi</t>
  </si>
  <si>
    <t>MSGDM460</t>
  </si>
  <si>
    <t>MGDM461</t>
  </si>
  <si>
    <t>Concreto fc=3000 psi</t>
  </si>
  <si>
    <t>MSGDM461</t>
  </si>
  <si>
    <t>MGDM462</t>
  </si>
  <si>
    <t>Concreto fc=4000 psi</t>
  </si>
  <si>
    <t>MSGDM462</t>
  </si>
  <si>
    <t>MGDM463</t>
  </si>
  <si>
    <t>Condensador de 12 kvar 240V</t>
  </si>
  <si>
    <t>MSGDM463</t>
  </si>
  <si>
    <t>MGDM464</t>
  </si>
  <si>
    <t>Condensador de 30 uf 220V</t>
  </si>
  <si>
    <t>MSGDM464</t>
  </si>
  <si>
    <t>MGDM465</t>
  </si>
  <si>
    <t>Condensador de 6 kvar 240V</t>
  </si>
  <si>
    <t>MSGDM465</t>
  </si>
  <si>
    <t>MGDM466</t>
  </si>
  <si>
    <t>Conductor ACSR 1/0</t>
  </si>
  <si>
    <t>MSGDM466</t>
  </si>
  <si>
    <t>ML</t>
  </si>
  <si>
    <t>MGDM467</t>
  </si>
  <si>
    <t>Conductor ACSR 2</t>
  </si>
  <si>
    <t>MSGDM467</t>
  </si>
  <si>
    <t>MGDM468</t>
  </si>
  <si>
    <t>Conductor ACSR 2/0</t>
  </si>
  <si>
    <t>MSGDM468</t>
  </si>
  <si>
    <t>MGDM469</t>
  </si>
  <si>
    <t>Conductor ACSR 4</t>
  </si>
  <si>
    <t>MSGDM469</t>
  </si>
  <si>
    <t>MGDM470</t>
  </si>
  <si>
    <t>Conductor ACSR 4/0</t>
  </si>
  <si>
    <t>MSGDM470</t>
  </si>
  <si>
    <t>MGDM471</t>
  </si>
  <si>
    <t>Conductor XLPE Para 15kv, 1/0</t>
  </si>
  <si>
    <t>MSGDM471</t>
  </si>
  <si>
    <t>MGDM472</t>
  </si>
  <si>
    <t>Conductor XLPE Para 15kv, 2</t>
  </si>
  <si>
    <t>MSGDM472</t>
  </si>
  <si>
    <t>MGDM473</t>
  </si>
  <si>
    <t>Conductor XLPE Para 15kv, 2/0</t>
  </si>
  <si>
    <t>MSGDM473</t>
  </si>
  <si>
    <t>MGDM474</t>
  </si>
  <si>
    <t>Conductor XLPE Para 15kv, 250mcm</t>
  </si>
  <si>
    <t>MSGDM474</t>
  </si>
  <si>
    <t>MGDM475</t>
  </si>
  <si>
    <t>Conductor XLPE Para 15kv, 3/0</t>
  </si>
  <si>
    <t>MSGDM475</t>
  </si>
  <si>
    <t>MGDM476</t>
  </si>
  <si>
    <t>Conductor XLPE Para 15kv, 4/0</t>
  </si>
  <si>
    <t>MSGDM476</t>
  </si>
  <si>
    <t>MGDM477</t>
  </si>
  <si>
    <t>Conduleta PVC LB 1/2</t>
  </si>
  <si>
    <t>MSGDM477</t>
  </si>
  <si>
    <t>MGDM478</t>
  </si>
  <si>
    <t>Conduleta PVC LB 3/4</t>
  </si>
  <si>
    <t>MSGDM478</t>
  </si>
  <si>
    <t>MGDM479</t>
  </si>
  <si>
    <t>Conduleta PVC  LB 1</t>
  </si>
  <si>
    <t>MSGDM479</t>
  </si>
  <si>
    <t>MGDM480</t>
  </si>
  <si>
    <t>Conduleta PVC LB  1 1/2</t>
  </si>
  <si>
    <t>MSGDM480</t>
  </si>
  <si>
    <t>MGDM481</t>
  </si>
  <si>
    <t>Conduleta PVC LB 2</t>
  </si>
  <si>
    <t>MSGDM481</t>
  </si>
  <si>
    <t>MGDM482</t>
  </si>
  <si>
    <t>Conduleta PVC LR 1/2</t>
  </si>
  <si>
    <t>MSGDM482</t>
  </si>
  <si>
    <t>MGDM483</t>
  </si>
  <si>
    <t>ConduletaPVC  LR 3/4</t>
  </si>
  <si>
    <t>MSGDM483</t>
  </si>
  <si>
    <t>MGDM484</t>
  </si>
  <si>
    <t>Conduleta PVC LR 1</t>
  </si>
  <si>
    <t>MSGDM484</t>
  </si>
  <si>
    <t>MGDM485</t>
  </si>
  <si>
    <t>Conduleta PVC LR  1 1/2</t>
  </si>
  <si>
    <t>MSGDM485</t>
  </si>
  <si>
    <t>MGDM486</t>
  </si>
  <si>
    <t>Conduleta PVC LR 2</t>
  </si>
  <si>
    <t>MSGDM486</t>
  </si>
  <si>
    <t>MGDM487</t>
  </si>
  <si>
    <t>ConduletaPVC  LL 1/2</t>
  </si>
  <si>
    <t>MSGDM487</t>
  </si>
  <si>
    <t>MGDM488</t>
  </si>
  <si>
    <t>ConduletaPVC LL 3/4</t>
  </si>
  <si>
    <t>MSGDM488</t>
  </si>
  <si>
    <t>MGDM489</t>
  </si>
  <si>
    <t>Conduleta PVC LL 1</t>
  </si>
  <si>
    <t>MSGDM489</t>
  </si>
  <si>
    <t>MGDM490</t>
  </si>
  <si>
    <t>Conduleta PVC LL  1 1/2</t>
  </si>
  <si>
    <t>MSGDM490</t>
  </si>
  <si>
    <t>MGDM491</t>
  </si>
  <si>
    <t>Conduleta PVC LL 2</t>
  </si>
  <si>
    <t>MSGDM491</t>
  </si>
  <si>
    <t>MGDM492</t>
  </si>
  <si>
    <t>Conduleta PVC LT 1/2</t>
  </si>
  <si>
    <t>MSGDM492</t>
  </si>
  <si>
    <t>MGDM493</t>
  </si>
  <si>
    <t>Conduleta PVC LT 3/4</t>
  </si>
  <si>
    <t>MSGDM493</t>
  </si>
  <si>
    <t>MGDM494</t>
  </si>
  <si>
    <t>Conduleta PVC LT 1</t>
  </si>
  <si>
    <t>MSGDM494</t>
  </si>
  <si>
    <t>MGDM495</t>
  </si>
  <si>
    <t>Conduleta PVC LT 1 1/2</t>
  </si>
  <si>
    <t>MSGDM495</t>
  </si>
  <si>
    <t>MGDM496</t>
  </si>
  <si>
    <t>ConduletaPVC  LT 2</t>
  </si>
  <si>
    <t>MSGDM496</t>
  </si>
  <si>
    <t>MGDM497</t>
  </si>
  <si>
    <t>Conduleta LB 1/2</t>
  </si>
  <si>
    <t>MSGDM497</t>
  </si>
  <si>
    <t>MGDM498</t>
  </si>
  <si>
    <t>Conduleta LB 3/4</t>
  </si>
  <si>
    <t>MSGDM498</t>
  </si>
  <si>
    <t>MGDM499</t>
  </si>
  <si>
    <t>Conduleta LB 1</t>
  </si>
  <si>
    <t>MSGDM499</t>
  </si>
  <si>
    <t>MGDM500</t>
  </si>
  <si>
    <t>Conduleta LB  1 1/2</t>
  </si>
  <si>
    <t>MSGDM500</t>
  </si>
  <si>
    <t>MGDM501</t>
  </si>
  <si>
    <t>Conduleta LB 2</t>
  </si>
  <si>
    <t>MSGDM501</t>
  </si>
  <si>
    <t>MGDM502</t>
  </si>
  <si>
    <t>Conduleta LR 1/2</t>
  </si>
  <si>
    <t>MSGDM502</t>
  </si>
  <si>
    <t>MGDM503</t>
  </si>
  <si>
    <t>Conduleta LR 3/4</t>
  </si>
  <si>
    <t>MSGDM503</t>
  </si>
  <si>
    <t>MGDM504</t>
  </si>
  <si>
    <t>Conduleta LR 1</t>
  </si>
  <si>
    <t>MSGDM504</t>
  </si>
  <si>
    <t>MGDM505</t>
  </si>
  <si>
    <t>Conduleta LR  1 1/2</t>
  </si>
  <si>
    <t>MSGDM505</t>
  </si>
  <si>
    <t>MGDM506</t>
  </si>
  <si>
    <t>Conduleta LR 2</t>
  </si>
  <si>
    <t>MSGDM506</t>
  </si>
  <si>
    <t>MGDM507</t>
  </si>
  <si>
    <t>Conduleta LL 1/2</t>
  </si>
  <si>
    <t>MSGDM507</t>
  </si>
  <si>
    <t>MGDM508</t>
  </si>
  <si>
    <t>Conduleta LL 3/4</t>
  </si>
  <si>
    <t>MSGDM508</t>
  </si>
  <si>
    <t>MGDM509</t>
  </si>
  <si>
    <t>Conduleta LL 1</t>
  </si>
  <si>
    <t>MSGDM509</t>
  </si>
  <si>
    <t>MGDM510</t>
  </si>
  <si>
    <t>Conduleta LL  1 1/2</t>
  </si>
  <si>
    <t>MSGDM510</t>
  </si>
  <si>
    <t>MGDM511</t>
  </si>
  <si>
    <t>Conduleta LL 2</t>
  </si>
  <si>
    <t>MSGDM511</t>
  </si>
  <si>
    <t>MGDM512</t>
  </si>
  <si>
    <t>Conduleta LT 1/2</t>
  </si>
  <si>
    <t>MSGDM512</t>
  </si>
  <si>
    <t>MGDM513</t>
  </si>
  <si>
    <t>Conduleta LT 3/4</t>
  </si>
  <si>
    <t>MSGDM513</t>
  </si>
  <si>
    <t>MGDM514</t>
  </si>
  <si>
    <t>Conduleta LT 1</t>
  </si>
  <si>
    <t>MSGDM514</t>
  </si>
  <si>
    <t>MGDM515</t>
  </si>
  <si>
    <t>Conduleta LT 1 1/2</t>
  </si>
  <si>
    <t>MSGDM515</t>
  </si>
  <si>
    <t>MGDM516</t>
  </si>
  <si>
    <t>Conduleta LT 2</t>
  </si>
  <si>
    <t>MSGDM516</t>
  </si>
  <si>
    <t>MGDM517</t>
  </si>
  <si>
    <t>Conduleta EMT de 1 1/4" liviana</t>
  </si>
  <si>
    <t>MSGDM517</t>
  </si>
  <si>
    <t>MGDM518</t>
  </si>
  <si>
    <t>Conduleta EMT de 1 liviana</t>
  </si>
  <si>
    <t>MSGDM518</t>
  </si>
  <si>
    <t>MGDM519</t>
  </si>
  <si>
    <t>Conduleta EMT de 1/2 liviana</t>
  </si>
  <si>
    <t>MSGDM519</t>
  </si>
  <si>
    <t>MGDM520</t>
  </si>
  <si>
    <t>Conduleta EMT de 1-1/2 liviana</t>
  </si>
  <si>
    <t>MSGDM520</t>
  </si>
  <si>
    <t>MGDM521</t>
  </si>
  <si>
    <t>Conduleta EMT de 2 liviana</t>
  </si>
  <si>
    <t>MSGDM521</t>
  </si>
  <si>
    <t>MGDM522</t>
  </si>
  <si>
    <t>Conduleta EMT de 3 liviana</t>
  </si>
  <si>
    <t>MSGDM522</t>
  </si>
  <si>
    <t>MGDM523</t>
  </si>
  <si>
    <t>Conduleta EMT de 3/4 liviana</t>
  </si>
  <si>
    <t>MSGDM523</t>
  </si>
  <si>
    <t>MGDM524</t>
  </si>
  <si>
    <t>Conduleta GUAB o GUAL  16 1/2"</t>
  </si>
  <si>
    <t>MSGDM524</t>
  </si>
  <si>
    <t>MGDM525</t>
  </si>
  <si>
    <t>Conduleta GUAB o GUAL  26 3/4"</t>
  </si>
  <si>
    <t>MSGDM525</t>
  </si>
  <si>
    <t>MGDM526</t>
  </si>
  <si>
    <t>Conduleta GUAB o GUAL  36 1"</t>
  </si>
  <si>
    <t>MSGDM526</t>
  </si>
  <si>
    <t>MGDM527</t>
  </si>
  <si>
    <t>Conduleta GUAB o GUAL  56 1 1/2"</t>
  </si>
  <si>
    <t>MSGDM527</t>
  </si>
  <si>
    <t>MGDM528</t>
  </si>
  <si>
    <t>Conduleta GUAB o GUAL  66 2"</t>
  </si>
  <si>
    <t>MSGDM528</t>
  </si>
  <si>
    <t>MGDM529</t>
  </si>
  <si>
    <t>Conduleta pesada   1 1/2"</t>
  </si>
  <si>
    <t>MSGDM529</t>
  </si>
  <si>
    <t>MGDM530</t>
  </si>
  <si>
    <t>Conduleta pesada   1 1/4"</t>
  </si>
  <si>
    <t>MSGDM530</t>
  </si>
  <si>
    <t>MGDM531</t>
  </si>
  <si>
    <t>Conduleta pesada   1"</t>
  </si>
  <si>
    <t>MSGDM531</t>
  </si>
  <si>
    <t>MGDM532</t>
  </si>
  <si>
    <t>Conduleta pesada   1/2"</t>
  </si>
  <si>
    <t>MSGDM532</t>
  </si>
  <si>
    <t>MGDM533</t>
  </si>
  <si>
    <t>Conduleta pesada   2"</t>
  </si>
  <si>
    <t>MSGDM533</t>
  </si>
  <si>
    <t>MGDM534</t>
  </si>
  <si>
    <t>Conduleta pesada   3"</t>
  </si>
  <si>
    <t>MSGDM534</t>
  </si>
  <si>
    <t>MGDM535</t>
  </si>
  <si>
    <t>Conduleta pesada   3/4"</t>
  </si>
  <si>
    <t>MSGDM535</t>
  </si>
  <si>
    <t>MGDM536</t>
  </si>
  <si>
    <t>Conduleta pesada   4"</t>
  </si>
  <si>
    <t>MSGDM536</t>
  </si>
  <si>
    <t>MGDM537</t>
  </si>
  <si>
    <t>Conduleta PVC Tipo C De 1 1/4"</t>
  </si>
  <si>
    <t>MSGDM537</t>
  </si>
  <si>
    <t>MGDM538</t>
  </si>
  <si>
    <t>Conduleta PVC Tipo C De 1"</t>
  </si>
  <si>
    <t>MSGDM538</t>
  </si>
  <si>
    <t>MGDM539</t>
  </si>
  <si>
    <t>Conduleta PVC Tipo C De 1/2"</t>
  </si>
  <si>
    <t>MSGDM539</t>
  </si>
  <si>
    <t>MGDM540</t>
  </si>
  <si>
    <t>Conduleta PVC Tipo C De 1-1/2"</t>
  </si>
  <si>
    <t>MSGDM540</t>
  </si>
  <si>
    <t>MGDM541</t>
  </si>
  <si>
    <t>Conduleta PVC Tipo C De 2"</t>
  </si>
  <si>
    <t>MSGDM541</t>
  </si>
  <si>
    <t>MGDM542</t>
  </si>
  <si>
    <t>Conduleta PVC Tipo C De 3"</t>
  </si>
  <si>
    <t>MSGDM542</t>
  </si>
  <si>
    <t>MGDM543</t>
  </si>
  <si>
    <t>Conduleta PVC Tipo C De 3/4"</t>
  </si>
  <si>
    <t>MSGDM543</t>
  </si>
  <si>
    <t>MGDM544</t>
  </si>
  <si>
    <t>Conduleta PVC Tipo C De 4"</t>
  </si>
  <si>
    <t>MSGDM544</t>
  </si>
  <si>
    <t>MGDM545</t>
  </si>
  <si>
    <t>Conector Ampact</t>
  </si>
  <si>
    <t>MSGDM545</t>
  </si>
  <si>
    <t>MGDM546</t>
  </si>
  <si>
    <t xml:space="preserve">Conector ampact aislado 2 al 3/0  </t>
  </si>
  <si>
    <t>MSGDM546</t>
  </si>
  <si>
    <t>MGDM547</t>
  </si>
  <si>
    <t>Conector ampact aislado  4/0 al 300 MCM</t>
  </si>
  <si>
    <t>MSGDM547</t>
  </si>
  <si>
    <t>MGDM548</t>
  </si>
  <si>
    <t xml:space="preserve">Conector ampact tipo aluminio cuña 2 al 4/0 </t>
  </si>
  <si>
    <t>MSGDM548</t>
  </si>
  <si>
    <t>MGDM549</t>
  </si>
  <si>
    <t>Conector autodesf XA 3m 80610052765</t>
  </si>
  <si>
    <t>MSGDM549</t>
  </si>
  <si>
    <t>MGDM550</t>
  </si>
  <si>
    <t>Conector curvo de 2" no metalico</t>
  </si>
  <si>
    <t>MSGDM550</t>
  </si>
  <si>
    <t>MGDM551</t>
  </si>
  <si>
    <t>Conector de tierra Burndy Catalog Number: GC4C4C</t>
  </si>
  <si>
    <t>MSGDM551</t>
  </si>
  <si>
    <t>MGDM552</t>
  </si>
  <si>
    <t>Conector EMT 1 1/4"</t>
  </si>
  <si>
    <t>MSGDM552</t>
  </si>
  <si>
    <t>MGDM553</t>
  </si>
  <si>
    <t>Conector EMT 1"</t>
  </si>
  <si>
    <t>MSGDM553</t>
  </si>
  <si>
    <t>MGDM554</t>
  </si>
  <si>
    <t>Conector EMT 1/2"</t>
  </si>
  <si>
    <t>MSGDM554</t>
  </si>
  <si>
    <t>MGDM555</t>
  </si>
  <si>
    <t>Conector EMT 1-1/2"</t>
  </si>
  <si>
    <t>MSGDM555</t>
  </si>
  <si>
    <t>MGDM556</t>
  </si>
  <si>
    <t>Conector EMT 2"</t>
  </si>
  <si>
    <t>MSGDM556</t>
  </si>
  <si>
    <t>MGDM557</t>
  </si>
  <si>
    <t>Conector EMT 3/4"</t>
  </si>
  <si>
    <t>MSGDM557</t>
  </si>
  <si>
    <t>MGDM558</t>
  </si>
  <si>
    <t>Conector EMT  3"</t>
  </si>
  <si>
    <t>MSGDM558</t>
  </si>
  <si>
    <t>MGDM559</t>
  </si>
  <si>
    <t>Conector EMT  4"</t>
  </si>
  <si>
    <t>MSGDM559</t>
  </si>
  <si>
    <t>MGDM560</t>
  </si>
  <si>
    <t>Conector GAR 2"</t>
  </si>
  <si>
    <t>MSGDM560</t>
  </si>
  <si>
    <t>MGDM561</t>
  </si>
  <si>
    <t>Conector GAR 3"</t>
  </si>
  <si>
    <t>MSGDM561</t>
  </si>
  <si>
    <t>MGDM562</t>
  </si>
  <si>
    <t>Conector hub 1/2</t>
  </si>
  <si>
    <t>MSGDM562</t>
  </si>
  <si>
    <t>MGDM563</t>
  </si>
  <si>
    <t>Conector hub 3/4</t>
  </si>
  <si>
    <t>MSGDM563</t>
  </si>
  <si>
    <t>MGDM564</t>
  </si>
  <si>
    <t>Conector hub 1</t>
  </si>
  <si>
    <t>MSGDM564</t>
  </si>
  <si>
    <t>MGDM565</t>
  </si>
  <si>
    <t>Conector hub 2</t>
  </si>
  <si>
    <t>MSGDM565</t>
  </si>
  <si>
    <t>MGDM566</t>
  </si>
  <si>
    <t xml:space="preserve">Conector Liquid Tight De 1 1/2" </t>
  </si>
  <si>
    <t>MSGDM566</t>
  </si>
  <si>
    <t>MGDM567</t>
  </si>
  <si>
    <t xml:space="preserve">Conector Liquid Tight De 1 1/4" </t>
  </si>
  <si>
    <t>MSGDM567</t>
  </si>
  <si>
    <t>MGDM568</t>
  </si>
  <si>
    <t xml:space="preserve">Conector Liquid Tight De 1" </t>
  </si>
  <si>
    <t>MSGDM568</t>
  </si>
  <si>
    <t>MGDM569</t>
  </si>
  <si>
    <t xml:space="preserve">Conector Liquid Tight De 1/2" </t>
  </si>
  <si>
    <t>MSGDM569</t>
  </si>
  <si>
    <t>MGDM570</t>
  </si>
  <si>
    <t xml:space="preserve">Conector Liquid Tight De 2" </t>
  </si>
  <si>
    <t>MSGDM570</t>
  </si>
  <si>
    <t>MGDM571</t>
  </si>
  <si>
    <t>Conector Liquid Tight De 3"</t>
  </si>
  <si>
    <t>MSGDM571</t>
  </si>
  <si>
    <t>MGDM572</t>
  </si>
  <si>
    <t xml:space="preserve">Conector Liquid Tight De 3/4" </t>
  </si>
  <si>
    <t>MSGDM572</t>
  </si>
  <si>
    <t>MGDM573</t>
  </si>
  <si>
    <t>Conector Pvc 1/2</t>
  </si>
  <si>
    <t>MSGDM573</t>
  </si>
  <si>
    <t>MGDM574</t>
  </si>
  <si>
    <t>Conector Pvc 3/4</t>
  </si>
  <si>
    <t>MSGDM574</t>
  </si>
  <si>
    <t>MGDM575</t>
  </si>
  <si>
    <t>Conector Pvc 1</t>
  </si>
  <si>
    <t>MSGDM575</t>
  </si>
  <si>
    <t>MGDM576</t>
  </si>
  <si>
    <t>Conector Pvc 1 1/2</t>
  </si>
  <si>
    <t>MSGDM576</t>
  </si>
  <si>
    <t>MGDM577</t>
  </si>
  <si>
    <t>Conector Pvc 1 1/4</t>
  </si>
  <si>
    <t>MSGDM577</t>
  </si>
  <si>
    <t>MGDM578</t>
  </si>
  <si>
    <t>Conector Pvc 2</t>
  </si>
  <si>
    <t>MSGDM578</t>
  </si>
  <si>
    <t>MGDM579</t>
  </si>
  <si>
    <t>Conector Pvc hembra 1/2</t>
  </si>
  <si>
    <t>MSGDM579</t>
  </si>
  <si>
    <t>MGDM580</t>
  </si>
  <si>
    <t>Conector Pvc hembra 3/4</t>
  </si>
  <si>
    <t>MSGDM580</t>
  </si>
  <si>
    <t>MGDM581</t>
  </si>
  <si>
    <t>Conector Pvc  hembra 1</t>
  </si>
  <si>
    <t>MSGDM581</t>
  </si>
  <si>
    <t>MGDM582</t>
  </si>
  <si>
    <t>Conector Pvc hembra 1 1/2</t>
  </si>
  <si>
    <t>MSGDM582</t>
  </si>
  <si>
    <t>MGDM583</t>
  </si>
  <si>
    <t>Conector Pvc hembra 1 1/4</t>
  </si>
  <si>
    <t>MSGDM583</t>
  </si>
  <si>
    <t>MGDM584</t>
  </si>
  <si>
    <t>Conector Pvc hembra  2</t>
  </si>
  <si>
    <t>MSGDM584</t>
  </si>
  <si>
    <t>MGDM585</t>
  </si>
  <si>
    <t>Conector recto hubbell no metalico 2"</t>
  </si>
  <si>
    <t>MSGDM585</t>
  </si>
  <si>
    <t>MGDM586</t>
  </si>
  <si>
    <t>Conector resortado</t>
  </si>
  <si>
    <t>MSGDM586</t>
  </si>
  <si>
    <t>MGDM587</t>
  </si>
  <si>
    <t>Conector Tipo Cuña 1/0 al 2</t>
  </si>
  <si>
    <t>MSGDM587</t>
  </si>
  <si>
    <t>MGDM588</t>
  </si>
  <si>
    <t>Conector Tipo Cuña 2 al 2/0</t>
  </si>
  <si>
    <t>MSGDM588</t>
  </si>
  <si>
    <t>MGDM589</t>
  </si>
  <si>
    <t>Conector Tubular 1/0 AWG</t>
  </si>
  <si>
    <t>MSGDM589</t>
  </si>
  <si>
    <t>MGDM590</t>
  </si>
  <si>
    <t>Conector Tubular 2 AWG</t>
  </si>
  <si>
    <t>MSGDM590</t>
  </si>
  <si>
    <t>MGDM591</t>
  </si>
  <si>
    <t>Conector Tubular 2/0 AWG</t>
  </si>
  <si>
    <t>MSGDM591</t>
  </si>
  <si>
    <t>MGDM592</t>
  </si>
  <si>
    <t>Conector Tubular 250 MCM</t>
  </si>
  <si>
    <t>MSGDM592</t>
  </si>
  <si>
    <t>GL</t>
  </si>
  <si>
    <t>MGDM593</t>
  </si>
  <si>
    <t>Conector Tubular 300 MCM</t>
  </si>
  <si>
    <t>MSGDM593</t>
  </si>
  <si>
    <t>MGDM594</t>
  </si>
  <si>
    <t>Conector Tubular 350 MCM</t>
  </si>
  <si>
    <t>MSGDM594</t>
  </si>
  <si>
    <t>MGDM595</t>
  </si>
  <si>
    <t>Conector Tubular 4 AWG</t>
  </si>
  <si>
    <t>MSGDM595</t>
  </si>
  <si>
    <t>MGDM596</t>
  </si>
  <si>
    <t>Conector Tubular 4/0 AWG</t>
  </si>
  <si>
    <t>MSGDM596</t>
  </si>
  <si>
    <t>MGDM597</t>
  </si>
  <si>
    <t>Conector Tubular 500 MCM</t>
  </si>
  <si>
    <t>MSGDM597</t>
  </si>
  <si>
    <t>MGDM598</t>
  </si>
  <si>
    <t>Conector Tubular 6 AWG</t>
  </si>
  <si>
    <t>MSGDM598</t>
  </si>
  <si>
    <t>MGDM599</t>
  </si>
  <si>
    <t>Conector Tubular bimetalico 1/0</t>
  </si>
  <si>
    <t>MSGDM599</t>
  </si>
  <si>
    <t>MGDM600</t>
  </si>
  <si>
    <t>Conector Tubular bimetalico 2</t>
  </si>
  <si>
    <t>MSGDM600</t>
  </si>
  <si>
    <t>MGDM601</t>
  </si>
  <si>
    <t>Conector Tubular bimetalico 2/0</t>
  </si>
  <si>
    <t>MSGDM601</t>
  </si>
  <si>
    <t>MGDM602</t>
  </si>
  <si>
    <t>Conector Tubular bimetalico 3/0</t>
  </si>
  <si>
    <t>MSGDM602</t>
  </si>
  <si>
    <t>MGDM603</t>
  </si>
  <si>
    <t>Conector Tubular bimetalico 300 MCM</t>
  </si>
  <si>
    <t>MSGDM603</t>
  </si>
  <si>
    <t>MGDM604</t>
  </si>
  <si>
    <t>Conector Tubular bimetalico 350 MCM</t>
  </si>
  <si>
    <t>MSGDM604</t>
  </si>
  <si>
    <t>MGDM605</t>
  </si>
  <si>
    <t>Conector Tubular bimetalico 4/0</t>
  </si>
  <si>
    <t>MSGDM605</t>
  </si>
  <si>
    <t>MGDM606</t>
  </si>
  <si>
    <t>Conmutador selector lovato 2 pos fijas  lov0378</t>
  </si>
  <si>
    <t>MSGDM606</t>
  </si>
  <si>
    <t>MGDM607</t>
  </si>
  <si>
    <t>Conmutador seta rojo 9001KR9RH2 P.E.c/enclavamiento 40mm</t>
  </si>
  <si>
    <t>MSGDM607</t>
  </si>
  <si>
    <t>MGDM608</t>
  </si>
  <si>
    <t>Conmutador tres posiciones fijas negro 9001KS43FBH13 30mm</t>
  </si>
  <si>
    <t>MSGDM608</t>
  </si>
  <si>
    <t>MGDM609</t>
  </si>
  <si>
    <t>Consumibles</t>
  </si>
  <si>
    <t>MSGDM609</t>
  </si>
  <si>
    <t>MGDM610</t>
  </si>
  <si>
    <t>Contactor LC1D09</t>
  </si>
  <si>
    <t>MSGDM610</t>
  </si>
  <si>
    <t>MGDM611</t>
  </si>
  <si>
    <t>Contactor LC1D115</t>
  </si>
  <si>
    <t>MSGDM611</t>
  </si>
  <si>
    <t>MGDM612</t>
  </si>
  <si>
    <t>Contactor LC1D12</t>
  </si>
  <si>
    <t>MSGDM612</t>
  </si>
  <si>
    <t>MGDM613</t>
  </si>
  <si>
    <t>Contactor LC1D150</t>
  </si>
  <si>
    <t>MSGDM613</t>
  </si>
  <si>
    <t>MGDM614</t>
  </si>
  <si>
    <t>Contactor LC1D18</t>
  </si>
  <si>
    <t>MSGDM614</t>
  </si>
  <si>
    <t>MGDM615</t>
  </si>
  <si>
    <t>Contactor LC1D25</t>
  </si>
  <si>
    <t>MSGDM615</t>
  </si>
  <si>
    <t>MGDM616</t>
  </si>
  <si>
    <t>Contactor LC1D32</t>
  </si>
  <si>
    <t>MSGDM616</t>
  </si>
  <si>
    <t>MGDM617</t>
  </si>
  <si>
    <t>Contactor LC1D38</t>
  </si>
  <si>
    <t>MSGDM617</t>
  </si>
  <si>
    <t>MGDM618</t>
  </si>
  <si>
    <t>Contactor LC1D40</t>
  </si>
  <si>
    <t>MSGDM618</t>
  </si>
  <si>
    <t>MGDM619</t>
  </si>
  <si>
    <t>Contactor LC1D50</t>
  </si>
  <si>
    <t>MSGDM619</t>
  </si>
  <si>
    <t>MGDM620</t>
  </si>
  <si>
    <t>Contactor LC1D65</t>
  </si>
  <si>
    <t>MSGDM620</t>
  </si>
  <si>
    <t>MGDM621</t>
  </si>
  <si>
    <t>Contactor LC1D80</t>
  </si>
  <si>
    <t>MSGDM621</t>
  </si>
  <si>
    <t>MGDM622</t>
  </si>
  <si>
    <t>Contactor LC1D95</t>
  </si>
  <si>
    <t>MSGDM622</t>
  </si>
  <si>
    <t>MGDM623</t>
  </si>
  <si>
    <t>Contactor LC1F330F7</t>
  </si>
  <si>
    <t>MSGDM623</t>
  </si>
  <si>
    <t>MGDM624</t>
  </si>
  <si>
    <t>Contactor MOL 0139 c/resistencia /condensad</t>
  </si>
  <si>
    <t>MSGDM624</t>
  </si>
  <si>
    <t>MGDM625</t>
  </si>
  <si>
    <t>Contactor MOL 0145 c/resistencia /condensad</t>
  </si>
  <si>
    <t>MSGDM625</t>
  </si>
  <si>
    <t>MGDM626</t>
  </si>
  <si>
    <t>Contactor serie K 20 A  K0910</t>
  </si>
  <si>
    <t>MSGDM626</t>
  </si>
  <si>
    <t>MGDM627</t>
  </si>
  <si>
    <t>Contador</t>
  </si>
  <si>
    <t>MSGDM627</t>
  </si>
  <si>
    <t>MGDM628</t>
  </si>
  <si>
    <t>Cortacircuito 100 A</t>
  </si>
  <si>
    <t>MSGDM628</t>
  </si>
  <si>
    <t>MGDM629</t>
  </si>
  <si>
    <t>Cortacircuito 100 A en acero inoxidable</t>
  </si>
  <si>
    <t>MSGDM629</t>
  </si>
  <si>
    <t>MGDM630</t>
  </si>
  <si>
    <t>Cortacircuito 200 A</t>
  </si>
  <si>
    <t>MSGDM630</t>
  </si>
  <si>
    <t>MGDM631</t>
  </si>
  <si>
    <t>Cortacircuito 200 A en acero inoxidable</t>
  </si>
  <si>
    <t>MSGDM631</t>
  </si>
  <si>
    <t>MGDM632</t>
  </si>
  <si>
    <t>Cruce Para Bandeja x 10</t>
  </si>
  <si>
    <t>MSGDM632</t>
  </si>
  <si>
    <t>MGDM633</t>
  </si>
  <si>
    <t>Cruce Para Bandeja x 20</t>
  </si>
  <si>
    <t>MSGDM633</t>
  </si>
  <si>
    <t>MGDM634</t>
  </si>
  <si>
    <t>Cruce Para Bandeja x 30</t>
  </si>
  <si>
    <t>MSGDM634</t>
  </si>
  <si>
    <t>MGDM635</t>
  </si>
  <si>
    <t>Cruce Para Bandeja x 40</t>
  </si>
  <si>
    <t>MSGDM635</t>
  </si>
  <si>
    <t>MGDM636</t>
  </si>
  <si>
    <t>Cruceta Angular Metalica Con Silla 1,8 m</t>
  </si>
  <si>
    <t>MSGDM636</t>
  </si>
  <si>
    <t>MGDM637</t>
  </si>
  <si>
    <t>Cruceta Angular Metalica Con Silla 2,4 m</t>
  </si>
  <si>
    <t>MSGDM637</t>
  </si>
  <si>
    <t>MGDM638</t>
  </si>
  <si>
    <t>MSGDM638</t>
  </si>
  <si>
    <t>MGDM639</t>
  </si>
  <si>
    <t>Cruceta De Madera Con Bounder De 1,8m</t>
  </si>
  <si>
    <t>MSGDM639</t>
  </si>
  <si>
    <t>MGDM640</t>
  </si>
  <si>
    <t>Cruceta De Madera Con Bounder De 2,4m</t>
  </si>
  <si>
    <t>MSGDM640</t>
  </si>
  <si>
    <t>MGDM641</t>
  </si>
  <si>
    <t>Cruceta De Madera De 4"x4"x2,4 mts.</t>
  </si>
  <si>
    <t>MSGDM641</t>
  </si>
  <si>
    <t>MGDM642</t>
  </si>
  <si>
    <t>MSGDM642</t>
  </si>
  <si>
    <t>MGDM643</t>
  </si>
  <si>
    <t>Cuerda De 5/8 Nylon Driza (50m)</t>
  </si>
  <si>
    <t>MSGDM643</t>
  </si>
  <si>
    <t>MGDM644</t>
  </si>
  <si>
    <t>Curador</t>
  </si>
  <si>
    <t>MSGDM644</t>
  </si>
  <si>
    <t>MGDM645</t>
  </si>
  <si>
    <t>Curva bandeja liv 20 cms liv</t>
  </si>
  <si>
    <t>MSGDM645</t>
  </si>
  <si>
    <t>MGDM646</t>
  </si>
  <si>
    <t>Curva Conduit PVC a 45°  De 1 1/2"</t>
  </si>
  <si>
    <t>MSGDM646</t>
  </si>
  <si>
    <t>MGDM647</t>
  </si>
  <si>
    <t>Curva Conduit PVC a 45°  De 1"</t>
  </si>
  <si>
    <t>MSGDM647</t>
  </si>
  <si>
    <t>MGDM648</t>
  </si>
  <si>
    <t>Curva Conduit PVC a 45°  De 2"</t>
  </si>
  <si>
    <t>MSGDM648</t>
  </si>
  <si>
    <t>MGDM649</t>
  </si>
  <si>
    <t>Curva Conduit PVC a 90°  De 1 1/2"</t>
  </si>
  <si>
    <t>MSGDM649</t>
  </si>
  <si>
    <t>MGDM650</t>
  </si>
  <si>
    <t>Curva Conduit PVCa 90°  De 1"</t>
  </si>
  <si>
    <t>MSGDM650</t>
  </si>
  <si>
    <t>MGDM651</t>
  </si>
  <si>
    <t>Curva Conduit PVC a 90°  De 2"</t>
  </si>
  <si>
    <t>MSGDM651</t>
  </si>
  <si>
    <t>MGDM652</t>
  </si>
  <si>
    <t>Curva Conduit Galv. (IMC) 1 1/2"</t>
  </si>
  <si>
    <t>MSGDM652</t>
  </si>
  <si>
    <t>MGDM653</t>
  </si>
  <si>
    <t>Curva Conduit Galv. (IMC) 1"</t>
  </si>
  <si>
    <t>MSGDM653</t>
  </si>
  <si>
    <t>MGDM654</t>
  </si>
  <si>
    <t>Curva Conduit Galv. (IMC) 1/2"</t>
  </si>
  <si>
    <t>MSGDM654</t>
  </si>
  <si>
    <t>MGDM655</t>
  </si>
  <si>
    <t>Curva Conduit Galv. (IMC) 2"</t>
  </si>
  <si>
    <t>MSGDM655</t>
  </si>
  <si>
    <t>MGDM656</t>
  </si>
  <si>
    <t>Curva Conduit Galv. (IMC) 3"</t>
  </si>
  <si>
    <t>MSGDM656</t>
  </si>
  <si>
    <t>MGDM657</t>
  </si>
  <si>
    <t>Curva Conduit Galv. (IMC) 3/4"</t>
  </si>
  <si>
    <t>MSGDM657</t>
  </si>
  <si>
    <t>MGDM658</t>
  </si>
  <si>
    <t>Curva Conduit Galv. (RIDGID) 1 1/2"</t>
  </si>
  <si>
    <t>MSGDM658</t>
  </si>
  <si>
    <t>MGDM659</t>
  </si>
  <si>
    <t>Curva Conduit Galv. (RIDGID) 1 1/4"</t>
  </si>
  <si>
    <t>MSGDM659</t>
  </si>
  <si>
    <t>MGDM660</t>
  </si>
  <si>
    <t>Curva Conduit Galv. (RIDGID) 1"</t>
  </si>
  <si>
    <t>MSGDM660</t>
  </si>
  <si>
    <t>MGDM661</t>
  </si>
  <si>
    <t>Curva Conduit Galv. (RIDGID) 1/2"</t>
  </si>
  <si>
    <t>MSGDM661</t>
  </si>
  <si>
    <t>MGDM662</t>
  </si>
  <si>
    <t>Curva Conduit Galv. (RIDGID) 2"</t>
  </si>
  <si>
    <t>MSGDM662</t>
  </si>
  <si>
    <t>MGDM663</t>
  </si>
  <si>
    <t>Curva Conduit Galv. (RIDGID) 3"</t>
  </si>
  <si>
    <t>MSGDM663</t>
  </si>
  <si>
    <t>MGDM664</t>
  </si>
  <si>
    <t>Curva Conduit Galv. (RIDGID) 3/4"</t>
  </si>
  <si>
    <t>MSGDM664</t>
  </si>
  <si>
    <t>MGDM665</t>
  </si>
  <si>
    <t>Curva Conduit Galv. (RIDGID) 4"</t>
  </si>
  <si>
    <t>MSGDM665</t>
  </si>
  <si>
    <t>MGDM666</t>
  </si>
  <si>
    <t>Curva Conduit PVC a 45 De 3/4"</t>
  </si>
  <si>
    <t>MSGDM666</t>
  </si>
  <si>
    <t>MGDM667</t>
  </si>
  <si>
    <t>Curva Conduit PVC a 90 De 3/4"</t>
  </si>
  <si>
    <t>MSGDM667</t>
  </si>
  <si>
    <t>MGDM668</t>
  </si>
  <si>
    <t>Curva Conduit PVC De 1/2"</t>
  </si>
  <si>
    <t>MSGDM668</t>
  </si>
  <si>
    <t>MGDM669</t>
  </si>
  <si>
    <t>Curva Conduit PVC De 3"</t>
  </si>
  <si>
    <t>MSGDM669</t>
  </si>
  <si>
    <t>MGDM670</t>
  </si>
  <si>
    <t>Curva Conduit PVC De 4"</t>
  </si>
  <si>
    <t>MSGDM670</t>
  </si>
  <si>
    <t>MGDM671</t>
  </si>
  <si>
    <t>Curva EMT de 1</t>
  </si>
  <si>
    <t>MSGDM671</t>
  </si>
  <si>
    <t>MGDM672</t>
  </si>
  <si>
    <t>Curva EMT de 1 1/4</t>
  </si>
  <si>
    <t>MSGDM672</t>
  </si>
  <si>
    <t>MGDM673</t>
  </si>
  <si>
    <t>Curva EMT de 1/2</t>
  </si>
  <si>
    <t>MSGDM673</t>
  </si>
  <si>
    <t>MGDM674</t>
  </si>
  <si>
    <t>Curva EMT de 1-1/2</t>
  </si>
  <si>
    <t>MSGDM674</t>
  </si>
  <si>
    <t>MGDM675</t>
  </si>
  <si>
    <t>Curva EMT de 2</t>
  </si>
  <si>
    <t>MSGDM675</t>
  </si>
  <si>
    <t>MGDM676</t>
  </si>
  <si>
    <t>Curva EMT de 3</t>
  </si>
  <si>
    <t>MSGDM676</t>
  </si>
  <si>
    <t>MGDM677</t>
  </si>
  <si>
    <t>Curva EMT de 3/4</t>
  </si>
  <si>
    <t>MSGDM677</t>
  </si>
  <si>
    <t>MGDM678</t>
  </si>
  <si>
    <t>Curva horizontal de 10x8 C22 TA</t>
  </si>
  <si>
    <t>MSGDM678</t>
  </si>
  <si>
    <t>MGDM679</t>
  </si>
  <si>
    <t>Curva horizontal de 20x8 C22 TA</t>
  </si>
  <si>
    <t>MSGDM679</t>
  </si>
  <si>
    <t>MGDM680</t>
  </si>
  <si>
    <t>Curva horizontal de 30x8 C22 TA</t>
  </si>
  <si>
    <t>MSGDM680</t>
  </si>
  <si>
    <t>MGDM681</t>
  </si>
  <si>
    <t>Curva Para Bandeja Horizontal  en 90º 20</t>
  </si>
  <si>
    <t>MSGDM681</t>
  </si>
  <si>
    <t>MGDM682</t>
  </si>
  <si>
    <t>Curva Para Bandeja Horizontal en 90º 10</t>
  </si>
  <si>
    <t>MSGDM682</t>
  </si>
  <si>
    <t>MGDM683</t>
  </si>
  <si>
    <t>Curva Para Bandeja Horizontal en 90º 30</t>
  </si>
  <si>
    <t>MSGDM683</t>
  </si>
  <si>
    <t>MGDM684</t>
  </si>
  <si>
    <t>Curva Para Bandeja Horizontal en 90º 40</t>
  </si>
  <si>
    <t>MSGDM684</t>
  </si>
  <si>
    <t>MGDM685</t>
  </si>
  <si>
    <t>Curva Para Bandeja Vertical en 90º 10</t>
  </si>
  <si>
    <t>MSGDM685</t>
  </si>
  <si>
    <t>MGDM686</t>
  </si>
  <si>
    <t>Curva Para Bandeja Vertical en 90º 20</t>
  </si>
  <si>
    <t>MSGDM686</t>
  </si>
  <si>
    <t>MGDM687</t>
  </si>
  <si>
    <t>Curva Para Bandeja Vertical en 90º 30</t>
  </si>
  <si>
    <t>MSGDM687</t>
  </si>
  <si>
    <t>MGDM688</t>
  </si>
  <si>
    <t>Curva Para Bandeja Vertical en 90º 40</t>
  </si>
  <si>
    <t>MSGDM688</t>
  </si>
  <si>
    <t>MGDM689</t>
  </si>
  <si>
    <t>Descargo Electricaribe</t>
  </si>
  <si>
    <t>MSGDM689</t>
  </si>
  <si>
    <t>MGDM690</t>
  </si>
  <si>
    <t>Diseños Electricos</t>
  </si>
  <si>
    <t>MSGDM690</t>
  </si>
  <si>
    <t>MGDM691</t>
  </si>
  <si>
    <t>DPS 12kv</t>
  </si>
  <si>
    <t>MSGDM691</t>
  </si>
  <si>
    <t>MGDM692</t>
  </si>
  <si>
    <t>DPS 7 modos 47120</t>
  </si>
  <si>
    <t>MSGDM692</t>
  </si>
  <si>
    <t>MGDM693</t>
  </si>
  <si>
    <t>DPS tipo panel ref 52120  4H + T  4 MODOS</t>
  </si>
  <si>
    <t>MSGDM693</t>
  </si>
  <si>
    <t>MGDM694</t>
  </si>
  <si>
    <t>Ducto canal con division 12x5x240 c/pintura electr</t>
  </si>
  <si>
    <t>MSGDM694</t>
  </si>
  <si>
    <t>MGDM695</t>
  </si>
  <si>
    <t xml:space="preserve">Enclavamiento mecanico LAD911502 </t>
  </si>
  <si>
    <t>MSGDM695</t>
  </si>
  <si>
    <t>MGDM696</t>
  </si>
  <si>
    <t>Espaciador de 1/2" x 10 LG</t>
  </si>
  <si>
    <t>MSGDM696</t>
  </si>
  <si>
    <t>MGDM697</t>
  </si>
  <si>
    <t>Esparrago 5/8x24</t>
  </si>
  <si>
    <t>MSGDM697</t>
  </si>
  <si>
    <t>MGDM698</t>
  </si>
  <si>
    <t>Espigo corto line post</t>
  </si>
  <si>
    <t>MSGDM698</t>
  </si>
  <si>
    <t>MGDM699</t>
  </si>
  <si>
    <t xml:space="preserve">Espiral para proteccion de cables </t>
  </si>
  <si>
    <t>MSGDM699</t>
  </si>
  <si>
    <t>MGDM700</t>
  </si>
  <si>
    <t>Estuco De Sika</t>
  </si>
  <si>
    <t>MSGDM700</t>
  </si>
  <si>
    <t>MGDM701</t>
  </si>
  <si>
    <t>Estudio de Conexion y Factibilidad</t>
  </si>
  <si>
    <t>MSGDM701</t>
  </si>
  <si>
    <t>MGDM702</t>
  </si>
  <si>
    <t>Estudio para SPT</t>
  </si>
  <si>
    <t>MSGDM702</t>
  </si>
  <si>
    <t>MGDM703</t>
  </si>
  <si>
    <t>Extractor de aire 6" Mit 0209</t>
  </si>
  <si>
    <t>MSGDM703</t>
  </si>
  <si>
    <t>MGDM704</t>
  </si>
  <si>
    <t>Face Plate con conector coaxial</t>
  </si>
  <si>
    <t>MSGDM704</t>
  </si>
  <si>
    <t>MGDM705</t>
  </si>
  <si>
    <t>Face Plate Siemons.10GMX-FPS04-02B</t>
  </si>
  <si>
    <t>MSGDM705</t>
  </si>
  <si>
    <t>MGDM706</t>
  </si>
  <si>
    <t>FACEPLATE 10G MAX 2 PTO VERTICAL BLANCO B</t>
  </si>
  <si>
    <t>MSGDM706</t>
  </si>
  <si>
    <t>MGDM707</t>
  </si>
  <si>
    <t>FACEPLATE 10G MAX 4 PTO HORIZONTAL BLANCO</t>
  </si>
  <si>
    <t>MSGDM707</t>
  </si>
  <si>
    <t>MGDM708</t>
  </si>
  <si>
    <t>FACEPLATE MAX 2 PTO VERTICAL BLANCO B</t>
  </si>
  <si>
    <t>MSGDM708</t>
  </si>
  <si>
    <t>MGDM709</t>
  </si>
  <si>
    <t>FACEPLATE MAX 4 PTO VERTICAL BLANCO B</t>
  </si>
  <si>
    <t>MSGDM709</t>
  </si>
  <si>
    <t>MGDM710</t>
  </si>
  <si>
    <t>Favigel</t>
  </si>
  <si>
    <t>MSGDM710</t>
  </si>
  <si>
    <t>MGDM711</t>
  </si>
  <si>
    <t>Fibra</t>
  </si>
  <si>
    <t>MSGDM711</t>
  </si>
  <si>
    <t>MGDM712</t>
  </si>
  <si>
    <t xml:space="preserve">Flexi Conduit Liquid Tight De 1 1/2" </t>
  </si>
  <si>
    <t>MSGDM712</t>
  </si>
  <si>
    <t>MGDM713</t>
  </si>
  <si>
    <t xml:space="preserve">Flexi Conduit Liquid Tight De 1" </t>
  </si>
  <si>
    <t>MSGDM713</t>
  </si>
  <si>
    <t>MGDM714</t>
  </si>
  <si>
    <t xml:space="preserve">Flexi Conduit Liquid Tight De 1/2" </t>
  </si>
  <si>
    <t>MSGDM714</t>
  </si>
  <si>
    <t>MGDM715</t>
  </si>
  <si>
    <t xml:space="preserve">Flexi Conduit Liquid Tight De 2" </t>
  </si>
  <si>
    <t>MSGDM715</t>
  </si>
  <si>
    <t>MGDM716</t>
  </si>
  <si>
    <t xml:space="preserve">Flexi Conduit Liquid Tight De 3" </t>
  </si>
  <si>
    <t>MSGDM716</t>
  </si>
  <si>
    <t>MGDM717</t>
  </si>
  <si>
    <t xml:space="preserve">Flexi Conduit Liquid Tight De 3/4" </t>
  </si>
  <si>
    <t>MSGDM717</t>
  </si>
  <si>
    <t>MGDM718</t>
  </si>
  <si>
    <t>Flotador tipo sapito plastico</t>
  </si>
  <si>
    <t>MSGDM718</t>
  </si>
  <si>
    <t>MGDM719</t>
  </si>
  <si>
    <t>Formaleta En Madera</t>
  </si>
  <si>
    <t>MSGDM719</t>
  </si>
  <si>
    <t>MGDM720</t>
  </si>
  <si>
    <t>Fotocelda  220v</t>
  </si>
  <si>
    <t>MSGDM720</t>
  </si>
  <si>
    <t>MGDM721</t>
  </si>
  <si>
    <t xml:space="preserve">Fotocelda para 480 V </t>
  </si>
  <si>
    <t>MSGDM721</t>
  </si>
  <si>
    <t>MGDM722</t>
  </si>
  <si>
    <t>Freno para borna</t>
  </si>
  <si>
    <t>MSGDM722</t>
  </si>
  <si>
    <t>MGDM723</t>
  </si>
  <si>
    <t>Fusible 1 A</t>
  </si>
  <si>
    <t>MSGDM723</t>
  </si>
  <si>
    <t>MGDM724</t>
  </si>
  <si>
    <t>MSGDM724</t>
  </si>
  <si>
    <t>MGDM725</t>
  </si>
  <si>
    <t>MSGDM725</t>
  </si>
  <si>
    <t>MGDM726</t>
  </si>
  <si>
    <t>MSGDM726</t>
  </si>
  <si>
    <t>MGDM727</t>
  </si>
  <si>
    <t>MSGDM727</t>
  </si>
  <si>
    <t>MGDM728</t>
  </si>
  <si>
    <t>MSGDM728</t>
  </si>
  <si>
    <t>MGDM729</t>
  </si>
  <si>
    <t>MSGDM729</t>
  </si>
  <si>
    <t>MGDM730</t>
  </si>
  <si>
    <t>Fusible 200 A</t>
  </si>
  <si>
    <t>MSGDM730</t>
  </si>
  <si>
    <t>MGDM731</t>
  </si>
  <si>
    <t>Fusible Tipo HH de 32 Amp</t>
  </si>
  <si>
    <t>MSGDM731</t>
  </si>
  <si>
    <t>MGDM732</t>
  </si>
  <si>
    <t>Fusible Tipo HH de 63 Amp</t>
  </si>
  <si>
    <t>MSGDM732</t>
  </si>
  <si>
    <t>MGDM733</t>
  </si>
  <si>
    <t xml:space="preserve">Granito </t>
  </si>
  <si>
    <t>MSGDM733</t>
  </si>
  <si>
    <t>MGDM734</t>
  </si>
  <si>
    <t>Grapa doble ala o uña de 1/2</t>
  </si>
  <si>
    <t>MSGDM734</t>
  </si>
  <si>
    <t>MGDM735</t>
  </si>
  <si>
    <t>Grapa doble ala o uña de 3/4</t>
  </si>
  <si>
    <t>MSGDM735</t>
  </si>
  <si>
    <t>MGDM736</t>
  </si>
  <si>
    <t>Grapa doble ala o uña de 1</t>
  </si>
  <si>
    <t>MSGDM736</t>
  </si>
  <si>
    <t>MGDM737</t>
  </si>
  <si>
    <t>Grapa doble ala o uña de 2</t>
  </si>
  <si>
    <t>MSGDM737</t>
  </si>
  <si>
    <t>MGDM738</t>
  </si>
  <si>
    <t>Grapa 1 1/2 acero inoxidable</t>
  </si>
  <si>
    <t>MSGDM738</t>
  </si>
  <si>
    <t>MGDM739</t>
  </si>
  <si>
    <t>Grapa 1 1/2 FT AG112</t>
  </si>
  <si>
    <t>MSGDM739</t>
  </si>
  <si>
    <t>MGDM740</t>
  </si>
  <si>
    <t>Grapa 1 1/4  FT 2AG114N</t>
  </si>
  <si>
    <t>MSGDM740</t>
  </si>
  <si>
    <t>MGDM741</t>
  </si>
  <si>
    <t>Grapa 1 FT 2AG100N</t>
  </si>
  <si>
    <t>MSGDM741</t>
  </si>
  <si>
    <t>MGDM742</t>
  </si>
  <si>
    <t>Grapa 1" acero inoxidable</t>
  </si>
  <si>
    <t>MSGDM742</t>
  </si>
  <si>
    <t>MGDM743</t>
  </si>
  <si>
    <t>Grapa 1/2 FT 2AG012N</t>
  </si>
  <si>
    <t>MSGDM743</t>
  </si>
  <si>
    <t>MGDM744</t>
  </si>
  <si>
    <t>Grapa 2"</t>
  </si>
  <si>
    <t>MSGDM744</t>
  </si>
  <si>
    <t>MGDM745</t>
  </si>
  <si>
    <t>Grapa 3 FPAG300</t>
  </si>
  <si>
    <t>MSGDM745</t>
  </si>
  <si>
    <t>MGDM746</t>
  </si>
  <si>
    <t>Grapa 3" acero inoxidable</t>
  </si>
  <si>
    <t>MSGDM746</t>
  </si>
  <si>
    <t>MGDM747</t>
  </si>
  <si>
    <t>Grapa 3/4 FT 2AG034N</t>
  </si>
  <si>
    <t>MSGDM747</t>
  </si>
  <si>
    <t>MGDM748</t>
  </si>
  <si>
    <t>Grapa 3/4" acero inoxidable</t>
  </si>
  <si>
    <t>MSGDM748</t>
  </si>
  <si>
    <t>MGDM749</t>
  </si>
  <si>
    <t>Grapa 4"</t>
  </si>
  <si>
    <t>MSGDM749</t>
  </si>
  <si>
    <t>MGDM750</t>
  </si>
  <si>
    <t>MSGDM750</t>
  </si>
  <si>
    <t>MGDM751</t>
  </si>
  <si>
    <t>MSGDM751</t>
  </si>
  <si>
    <t>MGDM752</t>
  </si>
  <si>
    <t>MSGDM752</t>
  </si>
  <si>
    <t>MGDM753</t>
  </si>
  <si>
    <t>Grapa De 3 Pernos (1/2" 3/8 X 1½ X 6")</t>
  </si>
  <si>
    <t>MSGDM753</t>
  </si>
  <si>
    <t>MGDM754</t>
  </si>
  <si>
    <t>Grapa De 3 Pernos (3/8" X 2" X 6")</t>
  </si>
  <si>
    <t>MSGDM754</t>
  </si>
  <si>
    <t>MGDM755</t>
  </si>
  <si>
    <t>Grapa De Retencion</t>
  </si>
  <si>
    <t>MSGDM755</t>
  </si>
  <si>
    <t>MGDM756</t>
  </si>
  <si>
    <t>Grapa De Suspension Para Cable 556,5 MCM</t>
  </si>
  <si>
    <t>MSGDM756</t>
  </si>
  <si>
    <t>MGDM757</t>
  </si>
  <si>
    <t>Grapa De Uña De 3/8</t>
  </si>
  <si>
    <t>MSGDM757</t>
  </si>
  <si>
    <t>MGDM758</t>
  </si>
  <si>
    <t>Grapa en S.S. 304 CAL 16 Con Tornillo Hexagonal para Tubo 11/2"</t>
  </si>
  <si>
    <t>MSGDM758</t>
  </si>
  <si>
    <t>MGDM759</t>
  </si>
  <si>
    <t>Grapa en S.S. 304 CAL 16 Con Tornillo Hexagonal para Tubo 2"</t>
  </si>
  <si>
    <t>MSGDM759</t>
  </si>
  <si>
    <t>MGDM760</t>
  </si>
  <si>
    <t>Grapa en S.S. 304 CAL 16 Con Tornillo Hexagonal para Tubo 3/4"</t>
  </si>
  <si>
    <t>MSGDM760</t>
  </si>
  <si>
    <t>MGDM761</t>
  </si>
  <si>
    <t>Grapa o abrazadera de 1/2"</t>
  </si>
  <si>
    <t>MSGDM761</t>
  </si>
  <si>
    <t>MGDM762</t>
  </si>
  <si>
    <t>Grapa o abrazadera de 3/4"</t>
  </si>
  <si>
    <t>MSGDM762</t>
  </si>
  <si>
    <t>MGDM763</t>
  </si>
  <si>
    <t xml:space="preserve">Grapa retención y suspensión red trenzada  </t>
  </si>
  <si>
    <t>MSGDM763</t>
  </si>
  <si>
    <t>MGDM764</t>
  </si>
  <si>
    <t>Grapas De Retension Tipo Pistola En AL  3U</t>
  </si>
  <si>
    <t>MSGDM764</t>
  </si>
  <si>
    <t>MGDM765</t>
  </si>
  <si>
    <t>Grapas De Retension Tipo Pistola En AL  4U</t>
  </si>
  <si>
    <t>MSGDM765</t>
  </si>
  <si>
    <t>MGDM766</t>
  </si>
  <si>
    <t>Grapas De Retension Tipo Pistola En AL 2U</t>
  </si>
  <si>
    <t>MSGDM766</t>
  </si>
  <si>
    <t>MGDM767</t>
  </si>
  <si>
    <t>Guantes De Alta (1)</t>
  </si>
  <si>
    <t>MSGDM767</t>
  </si>
  <si>
    <t>MGDM768</t>
  </si>
  <si>
    <t>Guarda Cabo (Para Retenida De 5/8" Tipo Pesado)</t>
  </si>
  <si>
    <t>MSGDM768</t>
  </si>
  <si>
    <t>MGDM769</t>
  </si>
  <si>
    <t>Guardamotor GV2-ME03/10</t>
  </si>
  <si>
    <t>MSGDM769</t>
  </si>
  <si>
    <t>MGDM770</t>
  </si>
  <si>
    <t>Guardamotor GV2-ME14/20</t>
  </si>
  <si>
    <t>MSGDM770</t>
  </si>
  <si>
    <t>MGDM771</t>
  </si>
  <si>
    <t>Guardamotor GV2-ME21/32</t>
  </si>
  <si>
    <t>MSGDM771</t>
  </si>
  <si>
    <t>MGDM772</t>
  </si>
  <si>
    <t>Guaya galv de 1/8"</t>
  </si>
  <si>
    <t>MSGDM772</t>
  </si>
  <si>
    <t>ml</t>
  </si>
  <si>
    <t>MGDM773</t>
  </si>
  <si>
    <t>Guaya galv de 3/16"</t>
  </si>
  <si>
    <t>MSGDM773</t>
  </si>
  <si>
    <t>MGDM774</t>
  </si>
  <si>
    <t>Hebilla Para Bandit</t>
  </si>
  <si>
    <t>MSGDM774</t>
  </si>
  <si>
    <t>MGDM775</t>
  </si>
  <si>
    <t>Herraje Para Patch Panel 24 Port.Siemons</t>
  </si>
  <si>
    <t>MSGDM775</t>
  </si>
  <si>
    <t>MGDM776</t>
  </si>
  <si>
    <t>HERRAJE PATCH PANEL 48 PTS.ANGULADO</t>
  </si>
  <si>
    <t>MSGDM776</t>
  </si>
  <si>
    <t>MGDM777</t>
  </si>
  <si>
    <t>HERRAJE PATCH PANEL 48 PTS.MAX</t>
  </si>
  <si>
    <t>MSGDM777</t>
  </si>
  <si>
    <t>MGDM778</t>
  </si>
  <si>
    <t>Hidrosolta 10kg</t>
  </si>
  <si>
    <t>MSGDM778</t>
  </si>
  <si>
    <t>MGDM779</t>
  </si>
  <si>
    <t>Hub De 1 1/2"</t>
  </si>
  <si>
    <t>MSGDM779</t>
  </si>
  <si>
    <t>MGDM780</t>
  </si>
  <si>
    <t>Hub De 1"</t>
  </si>
  <si>
    <t>MSGDM780</t>
  </si>
  <si>
    <t>MGDM781</t>
  </si>
  <si>
    <t>Hub De 1/2"</t>
  </si>
  <si>
    <t>MSGDM781</t>
  </si>
  <si>
    <t>MGDM782</t>
  </si>
  <si>
    <t>Hub De 2"</t>
  </si>
  <si>
    <t>MSGDM782</t>
  </si>
  <si>
    <t>MGDM783</t>
  </si>
  <si>
    <t>Hub De 3"</t>
  </si>
  <si>
    <t>MSGDM783</t>
  </si>
  <si>
    <t>MGDM784</t>
  </si>
  <si>
    <t>Hub De 3/4"</t>
  </si>
  <si>
    <t>MSGDM784</t>
  </si>
  <si>
    <t>MGDM785</t>
  </si>
  <si>
    <t>Hub De 4"</t>
  </si>
  <si>
    <t>MSGDM785</t>
  </si>
  <si>
    <t>MGDM786</t>
  </si>
  <si>
    <t>Interrup Bipolar C60N Merlin Gerin 1 - 4A</t>
  </si>
  <si>
    <t>MSGDM786</t>
  </si>
  <si>
    <t>MGDM787</t>
  </si>
  <si>
    <t>Interrup Bipolar C60N Merlin Gerin 40A</t>
  </si>
  <si>
    <t>MSGDM787</t>
  </si>
  <si>
    <t>MGDM788</t>
  </si>
  <si>
    <t>Interrup Bipolar C60N Merlin Gerin 50A</t>
  </si>
  <si>
    <t>MSGDM788</t>
  </si>
  <si>
    <t>MGDM789</t>
  </si>
  <si>
    <t>Interrup Bipolar C60N Merlin Gerin 6 - 32A</t>
  </si>
  <si>
    <t>MSGDM789</t>
  </si>
  <si>
    <t>MGDM790</t>
  </si>
  <si>
    <t>Interrup Bipolar C60N Merlin Gerin 63A</t>
  </si>
  <si>
    <t>MSGDM790</t>
  </si>
  <si>
    <t>MGDM791</t>
  </si>
  <si>
    <t>Interrup Bipolar THQL 15 - 30 A</t>
  </si>
  <si>
    <t>MSGDM791</t>
  </si>
  <si>
    <t>MGDM792</t>
  </si>
  <si>
    <t>Interrup bipolar THQL 15 - 30 A  GFI</t>
  </si>
  <si>
    <t>MSGDM792</t>
  </si>
  <si>
    <t>MGDM793</t>
  </si>
  <si>
    <t>Interrup Bipolar THQL 40 - 60 A</t>
  </si>
  <si>
    <t>MSGDM793</t>
  </si>
  <si>
    <t>MGDM794</t>
  </si>
  <si>
    <t>Interrup bipolar THQL 40 A  GFI</t>
  </si>
  <si>
    <t>MSGDM794</t>
  </si>
  <si>
    <t>MGDM795</t>
  </si>
  <si>
    <t>Interrup Bipolar THQL 70- 100 A</t>
  </si>
  <si>
    <t>MSGDM795</t>
  </si>
  <si>
    <t>MGDM796</t>
  </si>
  <si>
    <t>Interrup Monopo C60N Merlin Gerin 40 - 63A</t>
  </si>
  <si>
    <t>MSGDM796</t>
  </si>
  <si>
    <t>MGDM797</t>
  </si>
  <si>
    <t>Interrup Monopo C60N Merlin Gerin 6 - 32A</t>
  </si>
  <si>
    <t>MSGDM797</t>
  </si>
  <si>
    <t>MGDM798</t>
  </si>
  <si>
    <t>Interrup monopolar THQL 15 - 20 A  GFI</t>
  </si>
  <si>
    <t>MSGDM798</t>
  </si>
  <si>
    <t>MGDM799</t>
  </si>
  <si>
    <t>Interrup Monopolar THQL 15-20A</t>
  </si>
  <si>
    <t>MSGDM799</t>
  </si>
  <si>
    <t>MGDM800</t>
  </si>
  <si>
    <t>Interrup Monopolar THQL 30A</t>
  </si>
  <si>
    <t>MSGDM800</t>
  </si>
  <si>
    <t>MGDM801</t>
  </si>
  <si>
    <t>Interrup Tripolar C60N Merlin Gerin 20A</t>
  </si>
  <si>
    <t>MSGDM801</t>
  </si>
  <si>
    <t>MGDM802</t>
  </si>
  <si>
    <t>Interrup Tripolar C60N Merlin Gerin 30A</t>
  </si>
  <si>
    <t>MSGDM802</t>
  </si>
  <si>
    <t>MGDM803</t>
  </si>
  <si>
    <t>Interrup Tripolar C60N Merlin Gerin 40A</t>
  </si>
  <si>
    <t>MSGDM803</t>
  </si>
  <si>
    <t>MGDM804</t>
  </si>
  <si>
    <t>Interrup Tripolar C60N Merlin Gerin 50A</t>
  </si>
  <si>
    <t>MSGDM804</t>
  </si>
  <si>
    <t>MGDM805</t>
  </si>
  <si>
    <t>Interrup Tripolar C60N Merlin Gerin 60A</t>
  </si>
  <si>
    <t>MSGDM805</t>
  </si>
  <si>
    <t>MGDM806</t>
  </si>
  <si>
    <t>Interrup Tripolar C60N Merlin Gerin 70A</t>
  </si>
  <si>
    <t>MSGDM806</t>
  </si>
  <si>
    <t>MGDM807</t>
  </si>
  <si>
    <t>Interrup Tripolar THQL 15 - 30 A</t>
  </si>
  <si>
    <t>MSGDM807</t>
  </si>
  <si>
    <t>MGDM808</t>
  </si>
  <si>
    <t>Interrup Tripolar THQL 40A</t>
  </si>
  <si>
    <t>MSGDM808</t>
  </si>
  <si>
    <t>MGDM809</t>
  </si>
  <si>
    <t>Interrup Tripolar THQL 50A</t>
  </si>
  <si>
    <t>MSGDM809</t>
  </si>
  <si>
    <t>MGDM810</t>
  </si>
  <si>
    <t>Interrup Tripolar THQL 60A</t>
  </si>
  <si>
    <t>MSGDM810</t>
  </si>
  <si>
    <t>MGDM811</t>
  </si>
  <si>
    <t>Interrup Tripolar THQL 70A</t>
  </si>
  <si>
    <t>MSGDM811</t>
  </si>
  <si>
    <t>MGDM812</t>
  </si>
  <si>
    <t>Interuptor bipolar vela</t>
  </si>
  <si>
    <t>MSGDM812</t>
  </si>
  <si>
    <t>MGDM813</t>
  </si>
  <si>
    <t>Interuptor boton ciego vela ref 681500</t>
  </si>
  <si>
    <t>MSGDM813</t>
  </si>
  <si>
    <t>MGDM814</t>
  </si>
  <si>
    <t xml:space="preserve">Interuptor con unidad disparo electronica ref 
33466 </t>
  </si>
  <si>
    <t>MSGDM814</t>
  </si>
  <si>
    <t>MGDM815</t>
  </si>
  <si>
    <t>Interuptor conmutable sencillo</t>
  </si>
  <si>
    <t>MSGDM815</t>
  </si>
  <si>
    <t>MGDM816</t>
  </si>
  <si>
    <t xml:space="preserve">Interuptor doble </t>
  </si>
  <si>
    <t>MSGDM816</t>
  </si>
  <si>
    <t>MGDM817</t>
  </si>
  <si>
    <t>Interuptor Doble dekora c/luz piloto 1754 LW</t>
  </si>
  <si>
    <t>MSGDM817</t>
  </si>
  <si>
    <t>MGDM818</t>
  </si>
  <si>
    <t>Interuptor Doble Levinton</t>
  </si>
  <si>
    <t>MSGDM818</t>
  </si>
  <si>
    <t>MGDM819</t>
  </si>
  <si>
    <t xml:space="preserve">Interuptor placa </t>
  </si>
  <si>
    <t>MSGDM819</t>
  </si>
  <si>
    <t>MGDM820</t>
  </si>
  <si>
    <t>Interuptor sencillo</t>
  </si>
  <si>
    <t>MSGDM820</t>
  </si>
  <si>
    <t>MGDM821</t>
  </si>
  <si>
    <t>Interuptor sencillo ambia conmutable luminex</t>
  </si>
  <si>
    <t>MSGDM821</t>
  </si>
  <si>
    <t>MGDM822</t>
  </si>
  <si>
    <t>Interuptor sencillo ambia luminex</t>
  </si>
  <si>
    <t>MSGDM822</t>
  </si>
  <si>
    <t>MGDM823</t>
  </si>
  <si>
    <t>Interuptor Sencillo dekora 5601 2W</t>
  </si>
  <si>
    <t>MSGDM823</t>
  </si>
  <si>
    <t>MGDM824</t>
  </si>
  <si>
    <t>Interuptor Sencillo dekora c/luz piloto 5613 W</t>
  </si>
  <si>
    <t>MSGDM824</t>
  </si>
  <si>
    <t>MGDM825</t>
  </si>
  <si>
    <t xml:space="preserve">Interuptor Sencillo dekora c/luz piloto conmutable </t>
  </si>
  <si>
    <t>MSGDM825</t>
  </si>
  <si>
    <t>MGDM826</t>
  </si>
  <si>
    <t>Interuptor Sencillo Levinton</t>
  </si>
  <si>
    <t>MSGDM826</t>
  </si>
  <si>
    <t>MGDM827</t>
  </si>
  <si>
    <t>Interuptor Sencillo Luminex modulo doble vela ref 681503</t>
  </si>
  <si>
    <t>MSGDM827</t>
  </si>
  <si>
    <t>MGDM828</t>
  </si>
  <si>
    <t>Interuptor Sencillo Luminex vela ref 681501</t>
  </si>
  <si>
    <t>MSGDM828</t>
  </si>
  <si>
    <t>MGDM829</t>
  </si>
  <si>
    <t xml:space="preserve">Interuptor triple </t>
  </si>
  <si>
    <t>MSGDM829</t>
  </si>
  <si>
    <t>MGDM830</t>
  </si>
  <si>
    <t>Interuptor triplex Luminex vela ref 681505</t>
  </si>
  <si>
    <t>MSGDM830</t>
  </si>
  <si>
    <t>MGDM831</t>
  </si>
  <si>
    <t>Interuptor vela (promedio)</t>
  </si>
  <si>
    <t>MSGDM831</t>
  </si>
  <si>
    <t>MGDM832</t>
  </si>
  <si>
    <t>JACK 6 MAX ANGUL. AZUL B</t>
  </si>
  <si>
    <t>MSGDM832</t>
  </si>
  <si>
    <t>MGDM833</t>
  </si>
  <si>
    <t>JACK 6 MAX ANGUL. BLANCO B</t>
  </si>
  <si>
    <t>MSGDM833</t>
  </si>
  <si>
    <t>MGDM834</t>
  </si>
  <si>
    <t>JACK 6 MAX ANGUL. ROJO B</t>
  </si>
  <si>
    <t>MSGDM834</t>
  </si>
  <si>
    <t>MGDM835</t>
  </si>
  <si>
    <t>JACK 6 MAX PLANO AZUL B</t>
  </si>
  <si>
    <t>MSGDM835</t>
  </si>
  <si>
    <t>MGDM836</t>
  </si>
  <si>
    <t>JACK 6 MAX PLANO BLANCO B</t>
  </si>
  <si>
    <t>MSGDM836</t>
  </si>
  <si>
    <t>MGDM837</t>
  </si>
  <si>
    <t>JACK 6 MAX PLANO NEGRO B</t>
  </si>
  <si>
    <t>MSGDM837</t>
  </si>
  <si>
    <t>MGDM838</t>
  </si>
  <si>
    <t>JACK 6 MAX PLANO ROJO B</t>
  </si>
  <si>
    <t>MSGDM838</t>
  </si>
  <si>
    <t>MGDM839</t>
  </si>
  <si>
    <t>Kit balasto de 250-400 W MH   CWA</t>
  </si>
  <si>
    <t>MSGDM839</t>
  </si>
  <si>
    <t>MGDM840</t>
  </si>
  <si>
    <t>Kit balasto de 250-400 W sodio CWA</t>
  </si>
  <si>
    <t>MSGDM840</t>
  </si>
  <si>
    <t>MGDM841</t>
  </si>
  <si>
    <t xml:space="preserve">Kit equipo de medicion </t>
  </si>
  <si>
    <t>MSGDM841</t>
  </si>
  <si>
    <t>MGDM842</t>
  </si>
  <si>
    <t>Ladrillo</t>
  </si>
  <si>
    <t>MSGDM842</t>
  </si>
  <si>
    <t>MGDM843</t>
  </si>
  <si>
    <t>Lamina alfajor 2,5 x 0,30 x 1,2 m</t>
  </si>
  <si>
    <t>MSGDM843</t>
  </si>
  <si>
    <t>MGDM844</t>
  </si>
  <si>
    <t>Lamina especular para lampara 2x32 con su soporte</t>
  </si>
  <si>
    <t>MSGDM844</t>
  </si>
  <si>
    <t>MGDM845</t>
  </si>
  <si>
    <t xml:space="preserve">Lamina y Angulo </t>
  </si>
  <si>
    <t>MSGDM845</t>
  </si>
  <si>
    <t>MGDM846</t>
  </si>
  <si>
    <t>limpiador removedor para PVC  1/4</t>
  </si>
  <si>
    <t>MSGDM846</t>
  </si>
  <si>
    <t>Galon</t>
  </si>
  <si>
    <t>MGDM847</t>
  </si>
  <si>
    <t>Luminaria BC indulux methalide CWA 250-400 w c/bombilla</t>
  </si>
  <si>
    <t>MSGDM847</t>
  </si>
  <si>
    <t>MGDM848</t>
  </si>
  <si>
    <t>Luminaria BC indulux sodio CWA 150-400 w c/bombilla</t>
  </si>
  <si>
    <t>MSGDM848</t>
  </si>
  <si>
    <t>MGDM849</t>
  </si>
  <si>
    <t xml:space="preserve">Luminaria calima de  sodio  22OV  150-400 w c/bombilla </t>
  </si>
  <si>
    <t>MSGDM849</t>
  </si>
  <si>
    <t>MGDM850</t>
  </si>
  <si>
    <t xml:space="preserve">Luminaria calima de  sodio  CWA  150-400 w c/bombilla </t>
  </si>
  <si>
    <t>MSGDM850</t>
  </si>
  <si>
    <t>MGDM851</t>
  </si>
  <si>
    <t>Luminaria calima de methalhalide 220V  250-400w c/bombilla</t>
  </si>
  <si>
    <t>MSGDM851</t>
  </si>
  <si>
    <t>MGDM852</t>
  </si>
  <si>
    <t>Luminaria de 2x32 incrustar con lamina especular</t>
  </si>
  <si>
    <t>MSGDM852</t>
  </si>
  <si>
    <t>MGDM853</t>
  </si>
  <si>
    <t>Luminaria de emergencia 2x20 W  hubbell</t>
  </si>
  <si>
    <t>MSGDM853</t>
  </si>
  <si>
    <t>MGDM854</t>
  </si>
  <si>
    <t>Luminaria de emergencia 2x5,8 W  ref
ELM-2  2x5,8W SD lithonia</t>
  </si>
  <si>
    <t>MSGDM854</t>
  </si>
  <si>
    <t>MGDM855</t>
  </si>
  <si>
    <t>luminaria de sodio 250W tipo alumbrado publico</t>
  </si>
  <si>
    <t>MSGDM855</t>
  </si>
  <si>
    <t>MGDM856</t>
  </si>
  <si>
    <t>Luminaria decorativa DJK MH 175 W</t>
  </si>
  <si>
    <t>MSGDM856</t>
  </si>
  <si>
    <t>MGDM857</t>
  </si>
  <si>
    <t>Luminaria decorativa DJK sodio 70 W</t>
  </si>
  <si>
    <t>MSGDM857</t>
  </si>
  <si>
    <t>MGDM858</t>
  </si>
  <si>
    <t>Luminaria explosion proof de 2x32 iluram</t>
  </si>
  <si>
    <t>MSGDM858</t>
  </si>
  <si>
    <t>MGDM859</t>
  </si>
  <si>
    <t>Luminaria Fluorescente 2x32 Cerrada En Policarbonato IP65</t>
  </si>
  <si>
    <t>MSGDM859</t>
  </si>
  <si>
    <t>MGDM860</t>
  </si>
  <si>
    <t>Luminaria fluorescente 4x17 T-8 empotrar balasto electronico</t>
  </si>
  <si>
    <t>MSGDM860</t>
  </si>
  <si>
    <t>MGDM861</t>
  </si>
  <si>
    <t>Luminaria fluorescente 4x17 T-8 empotrar balasto electronico emergencia</t>
  </si>
  <si>
    <t>MSGDM861</t>
  </si>
  <si>
    <t>MGDM862</t>
  </si>
  <si>
    <t xml:space="preserve">Luminaria fluorescente cerrada IP-65 de 2x17 </t>
  </si>
  <si>
    <t>MSGDM862</t>
  </si>
  <si>
    <t>MGDM863</t>
  </si>
  <si>
    <t>LUMINARIA FLUORECENTE DE 2X54 ip-65</t>
  </si>
  <si>
    <t>MSGDM863</t>
  </si>
  <si>
    <t>MGDM864</t>
  </si>
  <si>
    <t>LUMINARIA FLUORECENTE DE 2X32</t>
  </si>
  <si>
    <t>MSGDM864</t>
  </si>
  <si>
    <t>MGDM865</t>
  </si>
  <si>
    <t xml:space="preserve">LUMINARIA FLUORECENTE DE 2X32 FONDO BLANCO </t>
  </si>
  <si>
    <t>MSGDM865</t>
  </si>
  <si>
    <t>MGDM866</t>
  </si>
  <si>
    <t xml:space="preserve">LUMINARIA FLUORECENTE DE 2X32 CON REJILLA </t>
  </si>
  <si>
    <t>MSGDM866</t>
  </si>
  <si>
    <t>MGDM867</t>
  </si>
  <si>
    <t>luminarias Salidas de seguridad</t>
  </si>
  <si>
    <t>MSGDM867</t>
  </si>
  <si>
    <t>MGDM868</t>
  </si>
  <si>
    <t>Luminaria de Emergencia Mickey Mouse</t>
  </si>
  <si>
    <t>MSGDM868</t>
  </si>
  <si>
    <t>MGDM869</t>
  </si>
  <si>
    <t xml:space="preserve">Luminaria horizontal cerrada con vidrio curvo de vapor de sodio alta presion fotocelda incorporada, 250W/220V </t>
  </si>
  <si>
    <t>MSGDM869</t>
  </si>
  <si>
    <t>MGDM870</t>
  </si>
  <si>
    <t xml:space="preserve">Luminaria horizontal cerrada con vidrio curvo de vapor de sodio alta presion fotocelda incorporada, 70W/220V </t>
  </si>
  <si>
    <t>MSGDM870</t>
  </si>
  <si>
    <t>MGDM871</t>
  </si>
  <si>
    <t>LUMINARIA SCHREDER ONYX-1 1097 FH SODIO 150W 208/220V S.P. B.F.C.</t>
  </si>
  <si>
    <t>MSGDM871</t>
  </si>
  <si>
    <t>MGDM872</t>
  </si>
  <si>
    <t>LUMINARIA SCHREDER ONYX-1 1097 FH SODIO 250W 208/220V S.P. B.F.C. s/A-R-H-+ 2 FUS MARCADA AP BGA</t>
  </si>
  <si>
    <t>MSGDM872</t>
  </si>
  <si>
    <t>MGDM873</t>
  </si>
  <si>
    <t xml:space="preserve">Luminaria TE 400S E17S 480 HA DF LCPP PPH SCK LPI SBY </t>
  </si>
  <si>
    <t>MSGDM873</t>
  </si>
  <si>
    <t>MGDM874</t>
  </si>
  <si>
    <t>Luminaria tipo aplique con bombillo ahorrador 20 W con carcaza plastica y reflector en viidrio opal</t>
  </si>
  <si>
    <t>MSGDM874</t>
  </si>
  <si>
    <t>MGDM875</t>
  </si>
  <si>
    <t>Luminaria Tipo Wall Pack  MH 175 W</t>
  </si>
  <si>
    <t>MSGDM875</t>
  </si>
  <si>
    <t>MGDM876</t>
  </si>
  <si>
    <t>Luminaria Tipo Wall Pack  SODIO 150 W</t>
  </si>
  <si>
    <t>MSGDM876</t>
  </si>
  <si>
    <t>MGDM877</t>
  </si>
  <si>
    <t>Luminaria Tipo Wall Pack Sodio 70 W</t>
  </si>
  <si>
    <t>MSGDM877</t>
  </si>
  <si>
    <t>MGDM878</t>
  </si>
  <si>
    <t>Malla Galvanizada</t>
  </si>
  <si>
    <t>MSGDM878</t>
  </si>
  <si>
    <t>MGDM879</t>
  </si>
  <si>
    <t xml:space="preserve">Mantenimiento trafo 112,5 KVA </t>
  </si>
  <si>
    <t>MSGDM879</t>
  </si>
  <si>
    <t>MGDM880</t>
  </si>
  <si>
    <t xml:space="preserve">Mantenimiento trafo 25 KVA </t>
  </si>
  <si>
    <t>MSGDM880</t>
  </si>
  <si>
    <t>MGDM881</t>
  </si>
  <si>
    <t xml:space="preserve">Mantenimiento trafo 75 KVA </t>
  </si>
  <si>
    <t>MSGDM881</t>
  </si>
  <si>
    <t>MGDM882</t>
  </si>
  <si>
    <t>Marcador tipo boligrafo</t>
  </si>
  <si>
    <t>MSGDM882</t>
  </si>
  <si>
    <t>MGDM883</t>
  </si>
  <si>
    <t>Marquilla para marcacion interna</t>
  </si>
  <si>
    <t>MSGDM883</t>
  </si>
  <si>
    <t>MGDM884</t>
  </si>
  <si>
    <t>Marquilla punto de bloqueo</t>
  </si>
  <si>
    <t>MSGDM884</t>
  </si>
  <si>
    <t>MGDM885</t>
  </si>
  <si>
    <t>Marquillas en acrílico 10*5, 12*6, 14*7</t>
  </si>
  <si>
    <t>MSGDM885</t>
  </si>
  <si>
    <t>MGDM886</t>
  </si>
  <si>
    <t>Marquillas en acrílico 4*2, 6*3, 8*4</t>
  </si>
  <si>
    <t>MSGDM886</t>
  </si>
  <si>
    <t>MGDM887</t>
  </si>
  <si>
    <t>Marquillas tipo anillo dexson o similar</t>
  </si>
  <si>
    <t>MSGDM887</t>
  </si>
  <si>
    <t>MGDM888</t>
  </si>
  <si>
    <t>Material Seleccionado</t>
  </si>
  <si>
    <t>MSGDM888</t>
  </si>
  <si>
    <t>MGDM889</t>
  </si>
  <si>
    <t>Medidor digital DM 6000</t>
  </si>
  <si>
    <t>MSGDM889</t>
  </si>
  <si>
    <t>MGDM890</t>
  </si>
  <si>
    <t>Medidor Trifilar 2 x 120/208V 15-100 A</t>
  </si>
  <si>
    <t>MSGDM890</t>
  </si>
  <si>
    <t>MGDM891</t>
  </si>
  <si>
    <t>Mini interuptor mono multi 9 de 6 amps</t>
  </si>
  <si>
    <t>MSGDM891</t>
  </si>
  <si>
    <t>MGDM892</t>
  </si>
  <si>
    <t>Mini Split 12000 BTU</t>
  </si>
  <si>
    <t>MSGDM892</t>
  </si>
  <si>
    <t>MGDM893</t>
  </si>
  <si>
    <t>Modem de comunicaciones</t>
  </si>
  <si>
    <t>MSGDM893</t>
  </si>
  <si>
    <t>MGDM894</t>
  </si>
  <si>
    <t>Muerto De Concreto Para Retenida</t>
  </si>
  <si>
    <t>MSGDM894</t>
  </si>
  <si>
    <t>MGDM895</t>
  </si>
  <si>
    <t>Multimetro analizador DMK 32 c/software</t>
  </si>
  <si>
    <t>MSGDM895</t>
  </si>
  <si>
    <t>MGDM896</t>
  </si>
  <si>
    <t>Ocho De Seguridad (1)</t>
  </si>
  <si>
    <t>MSGDM896</t>
  </si>
  <si>
    <t>MGDM897</t>
  </si>
  <si>
    <t>Outlet (Toma) Siemons.10GMX-FS</t>
  </si>
  <si>
    <t>MSGDM897</t>
  </si>
  <si>
    <t>MGDM898</t>
  </si>
  <si>
    <t>P/CORD CAT. 6 1.5M AZUL  B</t>
  </si>
  <si>
    <t>MSGDM898</t>
  </si>
  <si>
    <t>MGDM899</t>
  </si>
  <si>
    <t>P/CORD CAT. 6 1.5M GRIS B</t>
  </si>
  <si>
    <t>MSGDM899</t>
  </si>
  <si>
    <t>MGDM900</t>
  </si>
  <si>
    <t>P/CORD CAT. 6 1.5M ROJO B</t>
  </si>
  <si>
    <t>MSGDM900</t>
  </si>
  <si>
    <t>MGDM901</t>
  </si>
  <si>
    <t>P/CORD CAT. 6 1M AZUL B</t>
  </si>
  <si>
    <t>MSGDM901</t>
  </si>
  <si>
    <t>MGDM902</t>
  </si>
  <si>
    <t>P/CORD CAT. 6 1M GRIS B</t>
  </si>
  <si>
    <t>MSGDM902</t>
  </si>
  <si>
    <t>MGDM903</t>
  </si>
  <si>
    <t>P/CORD CAT. 6 1M ROJO B</t>
  </si>
  <si>
    <t>MSGDM903</t>
  </si>
  <si>
    <t>MGDM904</t>
  </si>
  <si>
    <t>P/CORD CAT. 6 2M AZUL B</t>
  </si>
  <si>
    <t>MSGDM904</t>
  </si>
  <si>
    <t>MGDM905</t>
  </si>
  <si>
    <t>P/CORD CAT. 6 2M GRIS B</t>
  </si>
  <si>
    <t>MSGDM905</t>
  </si>
  <si>
    <t>MGDM906</t>
  </si>
  <si>
    <t>P/CORD CAT. 6 2M ROJO B</t>
  </si>
  <si>
    <t>MSGDM906</t>
  </si>
  <si>
    <t>MGDM907</t>
  </si>
  <si>
    <t>P/CORD CAT. 6 3M AZUL B</t>
  </si>
  <si>
    <t>MSGDM907</t>
  </si>
  <si>
    <t>MGDM908</t>
  </si>
  <si>
    <t>P/CORD CAT. 6 3M GRIS B</t>
  </si>
  <si>
    <t>MSGDM908</t>
  </si>
  <si>
    <t>MGDM909</t>
  </si>
  <si>
    <t>P/CORD CAT. 6 3M ROJO B</t>
  </si>
  <si>
    <t>MSGDM909</t>
  </si>
  <si>
    <t>MGDM910</t>
  </si>
  <si>
    <t>P/PANEL CAT 6 24PTO C/ORGANIZ</t>
  </si>
  <si>
    <t>MSGDM910</t>
  </si>
  <si>
    <t>MGDM911</t>
  </si>
  <si>
    <t>P/PANEL CAT 6 48PTS S/ORGANIZ</t>
  </si>
  <si>
    <t>MSGDM911</t>
  </si>
  <si>
    <t>MGDM912</t>
  </si>
  <si>
    <t>Pantalla para borna cable 10</t>
  </si>
  <si>
    <t>MSGDM912</t>
  </si>
  <si>
    <t>MGDM913</t>
  </si>
  <si>
    <t>Parada de emergencia y cabeza pulsador de hongo XB4BC42</t>
  </si>
  <si>
    <t>MSGDM913</t>
  </si>
  <si>
    <t>MGDM914</t>
  </si>
  <si>
    <t>Pararrayo 13,2 kv</t>
  </si>
  <si>
    <t>MSGDM914</t>
  </si>
  <si>
    <t>MGDM915</t>
  </si>
  <si>
    <t>Pararrayo 4160 v</t>
  </si>
  <si>
    <t>MSGDM915</t>
  </si>
  <si>
    <t>MGDM916</t>
  </si>
  <si>
    <t>Patch Cord de 1m</t>
  </si>
  <si>
    <t>MSGDM916</t>
  </si>
  <si>
    <t>MGDM917</t>
  </si>
  <si>
    <t>Patch Cord de 2m</t>
  </si>
  <si>
    <t>MSGDM917</t>
  </si>
  <si>
    <t>MGDM918</t>
  </si>
  <si>
    <t>Pegante PVC  1/4 gal</t>
  </si>
  <si>
    <t>MSGDM918</t>
  </si>
  <si>
    <t>MGDM919</t>
  </si>
  <si>
    <t>Pegante PVC  1/ 16 gal</t>
  </si>
  <si>
    <t>MSGDM919</t>
  </si>
  <si>
    <t>MGDM920</t>
  </si>
  <si>
    <t>Percha Galvanizada (Pesada) De Cuatro Puestos</t>
  </si>
  <si>
    <t>MSGDM920</t>
  </si>
  <si>
    <t>MGDM921</t>
  </si>
  <si>
    <t>Percha Galvanizada (Pesada) De Tres Puestos</t>
  </si>
  <si>
    <t>MSGDM921</t>
  </si>
  <si>
    <t>MGDM922</t>
  </si>
  <si>
    <t>Percha Galvanizada (Pesada) De Un Puesto</t>
  </si>
  <si>
    <t>MSGDM922</t>
  </si>
  <si>
    <t>MGDM923</t>
  </si>
  <si>
    <t xml:space="preserve">Perfil cal 16 en acero inoxidable </t>
  </si>
  <si>
    <t>MSGDM923</t>
  </si>
  <si>
    <t>MGDM924</t>
  </si>
  <si>
    <t>Perfil channel  2,4 m galv</t>
  </si>
  <si>
    <t>MSGDM924</t>
  </si>
  <si>
    <t>MGDM925</t>
  </si>
  <si>
    <t>Perfil channel de acero inoxidable 2,4 m</t>
  </si>
  <si>
    <t>MSGDM925</t>
  </si>
  <si>
    <t>MGDM926</t>
  </si>
  <si>
    <t>Perfil Mecano</t>
  </si>
  <si>
    <t>MSGDM926</t>
  </si>
  <si>
    <t>MGDM927</t>
  </si>
  <si>
    <t>Perfil omega</t>
  </si>
  <si>
    <t>MSGDM927</t>
  </si>
  <si>
    <t>MGDM928</t>
  </si>
  <si>
    <t>Perfil P1000 15/8"x15/8x CAL 16 x 235 LG</t>
  </si>
  <si>
    <t>MSGDM928</t>
  </si>
  <si>
    <t>MGDM929</t>
  </si>
  <si>
    <t>Perfil P1000 15/8"x15/8x CAL 16 x 400LG</t>
  </si>
  <si>
    <t>MSGDM929</t>
  </si>
  <si>
    <t>MGDM930</t>
  </si>
  <si>
    <t>Perfil X 100 LG</t>
  </si>
  <si>
    <t>MSGDM930</t>
  </si>
  <si>
    <t>MGDM931</t>
  </si>
  <si>
    <t>Perno carruaje 5/8x12"</t>
  </si>
  <si>
    <t>MSGDM931</t>
  </si>
  <si>
    <t>MGDM932</t>
  </si>
  <si>
    <t>Perno carruaje 5/8x6"</t>
  </si>
  <si>
    <t>MSGDM932</t>
  </si>
  <si>
    <t>MGDM933</t>
  </si>
  <si>
    <t>Perno carruaje ombligo 5/8x1 1/2</t>
  </si>
  <si>
    <t>MSGDM933</t>
  </si>
  <si>
    <t>MGDM934</t>
  </si>
  <si>
    <t>Perno de 1/2"  largo de 1/2 a 2" galv c/tuerca y arandela</t>
  </si>
  <si>
    <t>MSGDM934</t>
  </si>
  <si>
    <t>MGDM935</t>
  </si>
  <si>
    <t>Perno de 1/4"  largo de 1/2 a 2" galv c/tuerca y arandela</t>
  </si>
  <si>
    <t>MSGDM935</t>
  </si>
  <si>
    <t>MGDM936</t>
  </si>
  <si>
    <t>Perno de 3/8"  largo de 1/2 a 2" galv c/tuerca y arandela</t>
  </si>
  <si>
    <t>MSGDM936</t>
  </si>
  <si>
    <t>MGDM937</t>
  </si>
  <si>
    <t>Perno De Carruaje De 5/8" x 1 1/2"</t>
  </si>
  <si>
    <t>MSGDM937</t>
  </si>
  <si>
    <t>MGDM938</t>
  </si>
  <si>
    <t>Perno de expansion 1/2 x 3"</t>
  </si>
  <si>
    <t>MSGDM938</t>
  </si>
  <si>
    <t>MGDM939</t>
  </si>
  <si>
    <t>Perno de expansion 1/4"</t>
  </si>
  <si>
    <t>MSGDM939</t>
  </si>
  <si>
    <t>MGDM940</t>
  </si>
  <si>
    <t>Perno de expansion 3/8 x 2"</t>
  </si>
  <si>
    <t>MSGDM940</t>
  </si>
  <si>
    <t>MGDM941</t>
  </si>
  <si>
    <t>Perno de Expansion de 3/8" x 17/8"</t>
  </si>
  <si>
    <t>MSGDM941</t>
  </si>
  <si>
    <t>MGDM942</t>
  </si>
  <si>
    <t xml:space="preserve">Perno de Expansion Hembra 1/2" </t>
  </si>
  <si>
    <t>MSGDM942</t>
  </si>
  <si>
    <t>MGDM943</t>
  </si>
  <si>
    <t>Perno De Maquina 5/8 x 1 1/2</t>
  </si>
  <si>
    <t>MSGDM943</t>
  </si>
  <si>
    <t>MGDM944</t>
  </si>
  <si>
    <t>Perno De Maquina De 1/2" x 6"</t>
  </si>
  <si>
    <t>MSGDM944</t>
  </si>
  <si>
    <t>MGDM945</t>
  </si>
  <si>
    <t>Perno De Maquina De 5/8" x 12"</t>
  </si>
  <si>
    <t>MSGDM945</t>
  </si>
  <si>
    <t>MGDM946</t>
  </si>
  <si>
    <t>Perno De Ombligo 5/8 x 1 1/2</t>
  </si>
  <si>
    <t>MSGDM946</t>
  </si>
  <si>
    <t>MGDM947</t>
  </si>
  <si>
    <t>Pernos De Anclaje</t>
  </si>
  <si>
    <t>MSGDM947</t>
  </si>
  <si>
    <t>MGDM948</t>
  </si>
  <si>
    <t>Pernos De Expansion</t>
  </si>
  <si>
    <t>MSGDM948</t>
  </si>
  <si>
    <t>MGDM949</t>
  </si>
  <si>
    <t>Pernos de Ojo</t>
  </si>
  <si>
    <t>MSGDM949</t>
  </si>
  <si>
    <t>MGDM950</t>
  </si>
  <si>
    <t>Perro de 1/8</t>
  </si>
  <si>
    <t>MSGDM950</t>
  </si>
  <si>
    <t>MGDM951</t>
  </si>
  <si>
    <t>Perro de 3/16</t>
  </si>
  <si>
    <t>MSGDM951</t>
  </si>
  <si>
    <t>MGDM952</t>
  </si>
  <si>
    <t>MSGDM952</t>
  </si>
  <si>
    <t>MGDM953</t>
  </si>
  <si>
    <t>Piloto de señalizacion con led ref 9001KP40G-R-A-9 30 mm</t>
  </si>
  <si>
    <t>MSGDM953</t>
  </si>
  <si>
    <t>MGDM954</t>
  </si>
  <si>
    <t>Piloto de señalizacion con led ref XB4BVG3/4/5</t>
  </si>
  <si>
    <t>MSGDM954</t>
  </si>
  <si>
    <t>MGDM955</t>
  </si>
  <si>
    <t>Pin Para Aisladores</t>
  </si>
  <si>
    <t>MSGDM955</t>
  </si>
  <si>
    <t>MGDM956</t>
  </si>
  <si>
    <t>Pin Para Lines Post corto cruc metalic</t>
  </si>
  <si>
    <t>MSGDM956</t>
  </si>
  <si>
    <t>MGDM957</t>
  </si>
  <si>
    <t>Pin Para Lines Post largo cruc Madera</t>
  </si>
  <si>
    <t>MSGDM957</t>
  </si>
  <si>
    <t>MGDM958</t>
  </si>
  <si>
    <t>Pintura Acabado Poliuretano</t>
  </si>
  <si>
    <t>MSGDM958</t>
  </si>
  <si>
    <t>MGDM959</t>
  </si>
  <si>
    <t>Pintura Anticorrosiva</t>
  </si>
  <si>
    <t>MSGDM959</t>
  </si>
  <si>
    <t>MGDM960</t>
  </si>
  <si>
    <t>Pintura Anticorrosiva Atoxica Primer</t>
  </si>
  <si>
    <t>MSGDM960</t>
  </si>
  <si>
    <t>MGDM961</t>
  </si>
  <si>
    <t>Pintura De Acabado Pintucoat</t>
  </si>
  <si>
    <t>MSGDM961</t>
  </si>
  <si>
    <t>MGDM962</t>
  </si>
  <si>
    <t>Pintura Esnalte De Pintuco</t>
  </si>
  <si>
    <t>MSGDM962</t>
  </si>
  <si>
    <t>MGDM963</t>
  </si>
  <si>
    <t>Pintura Vinilo Pintulux De Pintuco</t>
  </si>
  <si>
    <t>MSGDM963</t>
  </si>
  <si>
    <t>MGDM964</t>
  </si>
  <si>
    <t>Platina conectora en L ref M21033 ; PLD2AG</t>
  </si>
  <si>
    <t>MSGDM964</t>
  </si>
  <si>
    <t>MGDM965</t>
  </si>
  <si>
    <t>Platina de cobre de 1 x 1/8</t>
  </si>
  <si>
    <t>MSGDM965</t>
  </si>
  <si>
    <t>MGDM966</t>
  </si>
  <si>
    <t>Platina Union Bandeja</t>
  </si>
  <si>
    <t>MSGDM966</t>
  </si>
  <si>
    <t>MGDM967</t>
  </si>
  <si>
    <t>Platina, Angulo de 11/0" X 3/16</t>
  </si>
  <si>
    <t>MSGDM967</t>
  </si>
  <si>
    <t>MGDM968</t>
  </si>
  <si>
    <t>Platinas para Asegurar Malla al Tubo</t>
  </si>
  <si>
    <t>MSGDM968</t>
  </si>
  <si>
    <t>MGDM969</t>
  </si>
  <si>
    <t>Polvo Mineral Rojo</t>
  </si>
  <si>
    <t>MSGDM969</t>
  </si>
  <si>
    <t>MGDM970</t>
  </si>
  <si>
    <t>Portacandado</t>
  </si>
  <si>
    <t>MSGDM970</t>
  </si>
  <si>
    <t>MGDM971</t>
  </si>
  <si>
    <t>Portalampara o soporte intemperie plastico</t>
  </si>
  <si>
    <t>MSGDM971</t>
  </si>
  <si>
    <t>MGDM972</t>
  </si>
  <si>
    <t>Poste de concreto APH=10m, CR=510 Kg</t>
  </si>
  <si>
    <t>MSGDM972</t>
  </si>
  <si>
    <t>MGDM973</t>
  </si>
  <si>
    <t>Poste de concreto APH=12m, CR=510 Kg</t>
  </si>
  <si>
    <t>MSGDM973</t>
  </si>
  <si>
    <t>MGDM974</t>
  </si>
  <si>
    <t>Poste de concreto APH=8m, CR=510 Kg</t>
  </si>
  <si>
    <t>MSGDM974</t>
  </si>
  <si>
    <t>MGDM975</t>
  </si>
  <si>
    <t>Poste en tuberia de 4 y 3</t>
  </si>
  <si>
    <t>MSGDM975</t>
  </si>
  <si>
    <t>MGDM976</t>
  </si>
  <si>
    <t>Postes De 10m de 1050kg</t>
  </si>
  <si>
    <t>MSGDM976</t>
  </si>
  <si>
    <t>MGDM977</t>
  </si>
  <si>
    <t>Postes De 10m de 750kg</t>
  </si>
  <si>
    <t>MSGDM977</t>
  </si>
  <si>
    <t>MGDM978</t>
  </si>
  <si>
    <t>Postes De 12m de 1050kg</t>
  </si>
  <si>
    <t>MSGDM978</t>
  </si>
  <si>
    <t>MGDM979</t>
  </si>
  <si>
    <t>Postes De 12m de 750kg</t>
  </si>
  <si>
    <t>MSGDM979</t>
  </si>
  <si>
    <t>MGDM980</t>
  </si>
  <si>
    <t>Postes De 14m de 1050kg</t>
  </si>
  <si>
    <t>MSGDM980</t>
  </si>
  <si>
    <t>MGDM981</t>
  </si>
  <si>
    <t>Postes De 14m de 750kg</t>
  </si>
  <si>
    <t>MSGDM981</t>
  </si>
  <si>
    <t>MGDM982</t>
  </si>
  <si>
    <t>Prensaestopa  13 mm cables 10 4PE21  3/4</t>
  </si>
  <si>
    <t>MSGDM982</t>
  </si>
  <si>
    <t>MGDM983</t>
  </si>
  <si>
    <t>Prensaestopa  9 mm cables 7 mm 3PE9 5/16</t>
  </si>
  <si>
    <t>MSGDM983</t>
  </si>
  <si>
    <t>MGDM984</t>
  </si>
  <si>
    <t>Prensaestopa 3/4"</t>
  </si>
  <si>
    <t>MSGDM984</t>
  </si>
  <si>
    <t>MGDM985</t>
  </si>
  <si>
    <t>Programador Horario Digital Semanal CCT15720</t>
  </si>
  <si>
    <t>MSGDM985</t>
  </si>
  <si>
    <t>MGDM986</t>
  </si>
  <si>
    <t>Protocolo de pruebas</t>
  </si>
  <si>
    <t>MSGDM986</t>
  </si>
  <si>
    <t>MGDM987</t>
  </si>
  <si>
    <t>PROYECTO SCHREDER NEOS 3 1709 400W N 208/220V S.P.MARCADO AP BGA + 2 FUS</t>
  </si>
  <si>
    <t>MSGDM987</t>
  </si>
  <si>
    <t>MGDM988</t>
  </si>
  <si>
    <t>Prueba de pararrayos</t>
  </si>
  <si>
    <t>MSGDM988</t>
  </si>
  <si>
    <t>MGDM989</t>
  </si>
  <si>
    <t>Pulsador arranque parada motor</t>
  </si>
  <si>
    <t>MSGDM989</t>
  </si>
  <si>
    <t>MGDM990</t>
  </si>
  <si>
    <t>Punta Franklin especial</t>
  </si>
  <si>
    <t>MSGDM990</t>
  </si>
  <si>
    <t>MGDM991</t>
  </si>
  <si>
    <t xml:space="preserve">Punta Franklin sencilla </t>
  </si>
  <si>
    <t>MSGDM991</t>
  </si>
  <si>
    <t>MGDM992</t>
  </si>
  <si>
    <t>Puntilla</t>
  </si>
  <si>
    <t>MSGDM992</t>
  </si>
  <si>
    <t>MGDM993</t>
  </si>
  <si>
    <t>Rack Manejador de 19"</t>
  </si>
  <si>
    <t>MSGDM993</t>
  </si>
  <si>
    <t>MGDM994</t>
  </si>
  <si>
    <t>Reducción 2 1/2" x 2"</t>
  </si>
  <si>
    <t>MSGDM994</t>
  </si>
  <si>
    <t>MGDM995</t>
  </si>
  <si>
    <t>Reflector MH 400 w  277</t>
  </si>
  <si>
    <t>MSGDM995</t>
  </si>
  <si>
    <t>MGDM996</t>
  </si>
  <si>
    <t>Reflector MH 400 w 220 v reactor</t>
  </si>
  <si>
    <t>MSGDM996</t>
  </si>
  <si>
    <t>MGDM997</t>
  </si>
  <si>
    <t>Reflector MH 400 w 480 v reactor</t>
  </si>
  <si>
    <t>MSGDM997</t>
  </si>
  <si>
    <t>MGDM998</t>
  </si>
  <si>
    <t>Reflector Sodio 400 w  277</t>
  </si>
  <si>
    <t>MSGDM998</t>
  </si>
  <si>
    <t>MGDM999</t>
  </si>
  <si>
    <t>Reflector Sodio 400 w 220 v reactor</t>
  </si>
  <si>
    <t>MSGDM999</t>
  </si>
  <si>
    <t>MGDM1000</t>
  </si>
  <si>
    <t>Reflector Sodio 400 w 480 v reactor</t>
  </si>
  <si>
    <t>MSGDM1000</t>
  </si>
  <si>
    <t>MGDM1001</t>
  </si>
  <si>
    <t>Reflector TFL 400W  SRA -2TBV CR LTI c/bombilla</t>
  </si>
  <si>
    <t>MSGDM1001</t>
  </si>
  <si>
    <t>MGDM1002</t>
  </si>
  <si>
    <t>Registro de concreto 0,30x0,30x0,4</t>
  </si>
  <si>
    <t>MSGDM1002</t>
  </si>
  <si>
    <t>MGDM1003</t>
  </si>
  <si>
    <t>Regleta</t>
  </si>
  <si>
    <t>MSGDM1003</t>
  </si>
  <si>
    <t>MGDM1004</t>
  </si>
  <si>
    <t>Regleta plastica 12 polos blanca 20A</t>
  </si>
  <si>
    <t>MSGDM1004</t>
  </si>
  <si>
    <t>MGDM1005</t>
  </si>
  <si>
    <t>Regulador factor potencia lovato ref LOV 0293</t>
  </si>
  <si>
    <t>MSGDM1005</t>
  </si>
  <si>
    <t>MGDM1006</t>
  </si>
  <si>
    <t>Regulador factor potencia varlogic ref 52448</t>
  </si>
  <si>
    <t>MSGDM1006</t>
  </si>
  <si>
    <t>MGDM1007</t>
  </si>
  <si>
    <t xml:space="preserve">Rele bloque de pruebas </t>
  </si>
  <si>
    <t>MSGDM1007</t>
  </si>
  <si>
    <t>MGDM1008</t>
  </si>
  <si>
    <t xml:space="preserve">Rele de 11 pines </t>
  </si>
  <si>
    <t>MSGDM1008</t>
  </si>
  <si>
    <t>MGDM1009</t>
  </si>
  <si>
    <t>Rele de tiempo electronico multirango on - off - delay, estr - triangulo</t>
  </si>
  <si>
    <t>MSGDM1009</t>
  </si>
  <si>
    <t>MGDM1010</t>
  </si>
  <si>
    <t>Rele monitor de fase RM35TF30</t>
  </si>
  <si>
    <t>MSGDM1010</t>
  </si>
  <si>
    <t>MGDM1011</t>
  </si>
  <si>
    <t>Retenida 3/8 (3 toneladas)</t>
  </si>
  <si>
    <t>MSGDM1011</t>
  </si>
  <si>
    <t>MGDM1012</t>
  </si>
  <si>
    <t>Riel Omega</t>
  </si>
  <si>
    <t>MSGDM1012</t>
  </si>
  <si>
    <t>MGDM1013</t>
  </si>
  <si>
    <t>Riostras</t>
  </si>
  <si>
    <t>MSGDM1013</t>
  </si>
  <si>
    <t>MGDM1014</t>
  </si>
  <si>
    <t>Secador de manos</t>
  </si>
  <si>
    <t>MSGDM1014</t>
  </si>
  <si>
    <t>MGDM1015</t>
  </si>
  <si>
    <t>Selector de dos posiciones</t>
  </si>
  <si>
    <t>MSGDM1015</t>
  </si>
  <si>
    <t>MGDM1016</t>
  </si>
  <si>
    <t>Selector de tres posiciones 9001KS43FBH13</t>
  </si>
  <si>
    <t>MSGDM1016</t>
  </si>
  <si>
    <t>MGDM1017</t>
  </si>
  <si>
    <t>Sello Cortafuego explosion proof 1 1/2"</t>
  </si>
  <si>
    <t>MSGDM1017</t>
  </si>
  <si>
    <t>MGDM1018</t>
  </si>
  <si>
    <t>Sello Cortafuego explosion proof 1"</t>
  </si>
  <si>
    <t>MSGDM1018</t>
  </si>
  <si>
    <t>MGDM1019</t>
  </si>
  <si>
    <t>Sello Cortafuego explosion proof 1/2"</t>
  </si>
  <si>
    <t>MSGDM1019</t>
  </si>
  <si>
    <t>MGDM1020</t>
  </si>
  <si>
    <t>Sello Cortafuego explosion proof 2"</t>
  </si>
  <si>
    <t>MSGDM1020</t>
  </si>
  <si>
    <t>MGDM1021</t>
  </si>
  <si>
    <t>Sello Cortafuego explosion proof 3/4"</t>
  </si>
  <si>
    <t>MSGDM1021</t>
  </si>
  <si>
    <t>MGDM1022</t>
  </si>
  <si>
    <t>Sikabond</t>
  </si>
  <si>
    <t>MSGDM1022</t>
  </si>
  <si>
    <t>MGDM1023</t>
  </si>
  <si>
    <t>Sikasil C (Silicona)</t>
  </si>
  <si>
    <t>MSGDM1023</t>
  </si>
  <si>
    <t>MGDM1024</t>
  </si>
  <si>
    <t>Sikatop 122</t>
  </si>
  <si>
    <t>MSGDM1024</t>
  </si>
  <si>
    <t>MGDM1025</t>
  </si>
  <si>
    <t>Silla Para Cruceta</t>
  </si>
  <si>
    <t>MSGDM1025</t>
  </si>
  <si>
    <t>MGDM1026</t>
  </si>
  <si>
    <t>Sirena a 110 V o 220 V</t>
  </si>
  <si>
    <t>MSGDM1026</t>
  </si>
  <si>
    <t>MGDM1027</t>
  </si>
  <si>
    <t>Socket para tubo fluorescente</t>
  </si>
  <si>
    <t>MSGDM1027</t>
  </si>
  <si>
    <t>MGDM1028</t>
  </si>
  <si>
    <t>Soldadura electrodos</t>
  </si>
  <si>
    <t>MSGDM1028</t>
  </si>
  <si>
    <t>MGDM1029</t>
  </si>
  <si>
    <t>Soldadura Exotérmica De 115 gr</t>
  </si>
  <si>
    <t>MSGDM1029</t>
  </si>
  <si>
    <t>MGDM1030</t>
  </si>
  <si>
    <t>Soldadura Exotérmica De 150 gr</t>
  </si>
  <si>
    <t>MSGDM1030</t>
  </si>
  <si>
    <t>MGDM1031</t>
  </si>
  <si>
    <t>Soldadura Exotérmica De 200 gr</t>
  </si>
  <si>
    <t>MSGDM1031</t>
  </si>
  <si>
    <t>MGDM1032</t>
  </si>
  <si>
    <t>Soldadura Exotérmica De 45 gr</t>
  </si>
  <si>
    <t>MSGDM1032</t>
  </si>
  <si>
    <t>MGDM1033</t>
  </si>
  <si>
    <t>Soldadura Exotérmica De 65 gr</t>
  </si>
  <si>
    <t>MSGDM1033</t>
  </si>
  <si>
    <t>MGDM1034</t>
  </si>
  <si>
    <t>Soldadura Exotérmica De 90 gr</t>
  </si>
  <si>
    <t>MSGDM1034</t>
  </si>
  <si>
    <t>MGDM1035</t>
  </si>
  <si>
    <t>Soporte para montar modulos seis espacios 4x4 vela ref 685098</t>
  </si>
  <si>
    <t>MSGDM1035</t>
  </si>
  <si>
    <t>MGDM1036</t>
  </si>
  <si>
    <t>Soporte para montar modulos tres espacios vela ref 681599</t>
  </si>
  <si>
    <t>MSGDM1036</t>
  </si>
  <si>
    <t>MGDM1037</t>
  </si>
  <si>
    <t>Soporte peldaño 20 cms</t>
  </si>
  <si>
    <t>MSGDM1037</t>
  </si>
  <si>
    <t>MGDM1038</t>
  </si>
  <si>
    <t>Soporte Tipo Repisa Galvanizada en Caliente</t>
  </si>
  <si>
    <t>MSGDM1038</t>
  </si>
  <si>
    <t>MGDM1039</t>
  </si>
  <si>
    <t>Suiche selector de manija negra 2 posiciones ref XB4BD21</t>
  </si>
  <si>
    <t>MSGDM1039</t>
  </si>
  <si>
    <t>MGDM1040</t>
  </si>
  <si>
    <t>Suiche selector de manija negra 3 posiciones ref XB4BD33</t>
  </si>
  <si>
    <t>MSGDM1040</t>
  </si>
  <si>
    <t>MGDM1041</t>
  </si>
  <si>
    <t>Sujetador de Bandeja</t>
  </si>
  <si>
    <t>MSGDM1041</t>
  </si>
  <si>
    <t>MGDM1042</t>
  </si>
  <si>
    <t>Sujetador de Bandeja Vertical</t>
  </si>
  <si>
    <t>MSGDM1042</t>
  </si>
  <si>
    <t>MGDM1043</t>
  </si>
  <si>
    <t>Suministro trasporte e instalación de red canalizada en cable concéntrico antifraude Cu 75 C° 3X1/0+1/0 AWG 600V (PE/PVC)</t>
  </si>
  <si>
    <t>MSGDM1043</t>
  </si>
  <si>
    <t>MGDM1044</t>
  </si>
  <si>
    <t>Suplemento para caja 4x4 galvanizada</t>
  </si>
  <si>
    <t>MSGDM1044</t>
  </si>
  <si>
    <t>MGDM1045</t>
  </si>
  <si>
    <t>Suplemento para caja 4x4 plastica</t>
  </si>
  <si>
    <t>MSGDM1045</t>
  </si>
  <si>
    <t>MGDM1046</t>
  </si>
  <si>
    <t>Suplemento para caja 4x4 radwelt</t>
  </si>
  <si>
    <t>MSGDM1046</t>
  </si>
  <si>
    <t>MGDM1047</t>
  </si>
  <si>
    <t>Tabla cepillada</t>
  </si>
  <si>
    <t>MSGDM1047</t>
  </si>
  <si>
    <t>MGDM1048</t>
  </si>
  <si>
    <t>Tablero general 2,20 x 1,9i0 x 0,60 cms</t>
  </si>
  <si>
    <t>MSGDM1048</t>
  </si>
  <si>
    <t>MGDM1049</t>
  </si>
  <si>
    <t>Tablero trifasico NTQ 412 con puerta</t>
  </si>
  <si>
    <t>MSGDM1049</t>
  </si>
  <si>
    <t>MGDM1050</t>
  </si>
  <si>
    <t>Tablero trifasico NTQ 418 con puerta</t>
  </si>
  <si>
    <t>MSGDM1050</t>
  </si>
  <si>
    <t>MGDM1051</t>
  </si>
  <si>
    <t>Tablero trifasico NTQ 424 con puerta</t>
  </si>
  <si>
    <t>MSGDM1051</t>
  </si>
  <si>
    <t>MGDM1052</t>
  </si>
  <si>
    <t>Tablero trifasico NTQ 430 con puerta</t>
  </si>
  <si>
    <t>MSGDM1052</t>
  </si>
  <si>
    <t>MGDM1053</t>
  </si>
  <si>
    <t>Tablero trifasico NTQ 436 con puerta</t>
  </si>
  <si>
    <t>MSGDM1053</t>
  </si>
  <si>
    <t>MGDM1054</t>
  </si>
  <si>
    <t>Tablero trifasico NTQ 442 con puerta</t>
  </si>
  <si>
    <t>MSGDM1054</t>
  </si>
  <si>
    <t>MGDM1055</t>
  </si>
  <si>
    <t>Tablero trifasico NTQ -T-12 circuitos con espacio para totalizador</t>
  </si>
  <si>
    <t>MSGDM1055</t>
  </si>
  <si>
    <t>MGDM1056</t>
  </si>
  <si>
    <t>Tablero trifasico NTQ -T-18 circuitos con espacio para totalizador</t>
  </si>
  <si>
    <t>MSGDM1056</t>
  </si>
  <si>
    <t>MGDM1057</t>
  </si>
  <si>
    <t>Tablero trifasico NTQ -T-24 circuitos con espacio para totalizador</t>
  </si>
  <si>
    <t>MSGDM1057</t>
  </si>
  <si>
    <t>MGDM1058</t>
  </si>
  <si>
    <t>Tablero trifasico NTQ -T-30 circuitos con espacio para totalizador</t>
  </si>
  <si>
    <t>MSGDM1058</t>
  </si>
  <si>
    <t>MGDM1059</t>
  </si>
  <si>
    <t>Tablero trifasico NTQ -T-36 circuitos con espacio para totalizador</t>
  </si>
  <si>
    <t>MSGDM1059</t>
  </si>
  <si>
    <t>MGDM1060</t>
  </si>
  <si>
    <t>Tablero trifasico NTQ -T-42 circuitos con espacio para totalizador</t>
  </si>
  <si>
    <t>MSGDM1060</t>
  </si>
  <si>
    <t>MGDM1061</t>
  </si>
  <si>
    <t xml:space="preserve">Tablon Vitrificado Formato 0,2 X 0,2 </t>
  </si>
  <si>
    <t>MSGDM1061</t>
  </si>
  <si>
    <t>MGDM1062</t>
  </si>
  <si>
    <t>Talicon</t>
  </si>
  <si>
    <t>MSGDM1062</t>
  </si>
  <si>
    <t>MGDM1063</t>
  </si>
  <si>
    <t>Tapa Ciega 2x4</t>
  </si>
  <si>
    <t>MSGDM1063</t>
  </si>
  <si>
    <t>MGDM1064</t>
  </si>
  <si>
    <t xml:space="preserve">Tapa Ciega Metalica 4x4 </t>
  </si>
  <si>
    <t>MSGDM1064</t>
  </si>
  <si>
    <t>MGDM1065</t>
  </si>
  <si>
    <t>TAPA CIEGA MX BLANCA 10UND</t>
  </si>
  <si>
    <t>MSGDM1065</t>
  </si>
  <si>
    <t>MGDM1066</t>
  </si>
  <si>
    <t xml:space="preserve">Tapa Ciega Octagonal </t>
  </si>
  <si>
    <t>MSGDM1066</t>
  </si>
  <si>
    <t>MGDM1067</t>
  </si>
  <si>
    <t>Tapa Ciega Octagonal radwelt</t>
  </si>
  <si>
    <t>MSGDM1067</t>
  </si>
  <si>
    <t>MGDM1068</t>
  </si>
  <si>
    <t>Tapa Interruptor Sencillo</t>
  </si>
  <si>
    <t>MSGDM1068</t>
  </si>
  <si>
    <t>MGDM1069</t>
  </si>
  <si>
    <t>Tapa metalica toma 20 A y 30 A</t>
  </si>
  <si>
    <t>MSGDM1069</t>
  </si>
  <si>
    <t>MGDM1070</t>
  </si>
  <si>
    <t>Tapa Para Bandeja 10</t>
  </si>
  <si>
    <t>MSGDM1070</t>
  </si>
  <si>
    <t>MGDM1071</t>
  </si>
  <si>
    <t>Tapa Para Bandeja 20</t>
  </si>
  <si>
    <t>MSGDM1071</t>
  </si>
  <si>
    <t>MGDM1072</t>
  </si>
  <si>
    <t>Tapa Para Bandeja 30</t>
  </si>
  <si>
    <t>MSGDM1072</t>
  </si>
  <si>
    <t>MGDM1073</t>
  </si>
  <si>
    <t>Tapa Para Bandeja 40</t>
  </si>
  <si>
    <t>MSGDM1073</t>
  </si>
  <si>
    <t>MGDM1074</t>
  </si>
  <si>
    <t>Tapa Para Bandeja en Cruce x 10</t>
  </si>
  <si>
    <t>MSGDM1074</t>
  </si>
  <si>
    <t>MGDM1075</t>
  </si>
  <si>
    <t>Tapa Para Bandeja en Cruce x 20</t>
  </si>
  <si>
    <t>MSGDM1075</t>
  </si>
  <si>
    <t>MGDM1076</t>
  </si>
  <si>
    <t>Tapa Para Bandeja en Cruce x 30</t>
  </si>
  <si>
    <t>MSGDM1076</t>
  </si>
  <si>
    <t>MGDM1077</t>
  </si>
  <si>
    <t>Tapa Para Bandeja en Cruce x 40</t>
  </si>
  <si>
    <t>MSGDM1077</t>
  </si>
  <si>
    <t>MGDM1078</t>
  </si>
  <si>
    <t>Tapa Para Bandeja en Curva Horizontal 90º  30</t>
  </si>
  <si>
    <t>MSGDM1078</t>
  </si>
  <si>
    <t>MGDM1079</t>
  </si>
  <si>
    <t>Tapa Para Bandeja en Curva Horizontal 90º 10</t>
  </si>
  <si>
    <t>MSGDM1079</t>
  </si>
  <si>
    <t>MGDM1080</t>
  </si>
  <si>
    <t>Tapa Para Bandeja en Curva Horizontal 90º 20</t>
  </si>
  <si>
    <t>MSGDM1080</t>
  </si>
  <si>
    <t>MGDM1081</t>
  </si>
  <si>
    <t>Tapa Para Bandeja en Curva Horizontal 90º 40</t>
  </si>
  <si>
    <t>MSGDM1081</t>
  </si>
  <si>
    <t>MGDM1082</t>
  </si>
  <si>
    <t>Tapa Para Bandeja en Curva Vertical 90º 10</t>
  </si>
  <si>
    <t>MSGDM1082</t>
  </si>
  <si>
    <t>MGDM1083</t>
  </si>
  <si>
    <t>Tapa Para Bandeja en Curva Vertical 90º 20</t>
  </si>
  <si>
    <t>MSGDM1083</t>
  </si>
  <si>
    <t>MGDM1084</t>
  </si>
  <si>
    <t>Tapa Para Bandeja en Curva Vertical 90º 30</t>
  </si>
  <si>
    <t>MSGDM1084</t>
  </si>
  <si>
    <t>MGDM1085</t>
  </si>
  <si>
    <t>Tapa Para Bandeja en Curva Vertical 90º 40</t>
  </si>
  <si>
    <t>MSGDM1085</t>
  </si>
  <si>
    <t>MGDM1086</t>
  </si>
  <si>
    <t xml:space="preserve">Tapa Para Bandeja en Te 10 </t>
  </si>
  <si>
    <t>MSGDM1086</t>
  </si>
  <si>
    <t>MGDM1087</t>
  </si>
  <si>
    <t>Tapa Para Bandeja en Te 20</t>
  </si>
  <si>
    <t>MSGDM1087</t>
  </si>
  <si>
    <t>MGDM1088</t>
  </si>
  <si>
    <t>Tapa Para Bandeja en Te 30</t>
  </si>
  <si>
    <t>MSGDM1088</t>
  </si>
  <si>
    <t>MGDM1089</t>
  </si>
  <si>
    <t>Tapa Para Bandeja en Te 40</t>
  </si>
  <si>
    <t>MSGDM1089</t>
  </si>
  <si>
    <t>MGDM1090</t>
  </si>
  <si>
    <t xml:space="preserve">Tapa Toma Doble </t>
  </si>
  <si>
    <t>MSGDM1090</t>
  </si>
  <si>
    <t>MGDM1091</t>
  </si>
  <si>
    <t>Tapa Toma Doble Seguridad Intemperie</t>
  </si>
  <si>
    <t>MSGDM1091</t>
  </si>
  <si>
    <t>MGDM1092</t>
  </si>
  <si>
    <t>Tapa Toma metalica locking ref 84020  20 y 30 A</t>
  </si>
  <si>
    <t>MSGDM1092</t>
  </si>
  <si>
    <t>MGDM1093</t>
  </si>
  <si>
    <t>Tapa Toma Trifilar</t>
  </si>
  <si>
    <t>MSGDM1093</t>
  </si>
  <si>
    <t>MGDM1094</t>
  </si>
  <si>
    <t>Tapa troquel 12x5 universal color almendra</t>
  </si>
  <si>
    <t>MSGDM1094</t>
  </si>
  <si>
    <t>MGDM1095</t>
  </si>
  <si>
    <t xml:space="preserve">Tapa troquel datos 11x5 </t>
  </si>
  <si>
    <t>MSGDM1095</t>
  </si>
  <si>
    <t>MGDM1096</t>
  </si>
  <si>
    <t xml:space="preserve">Tapa troquel datos doble 11x5 </t>
  </si>
  <si>
    <t>MSGDM1096</t>
  </si>
  <si>
    <t>MGDM1097</t>
  </si>
  <si>
    <t xml:space="preserve">Tapa troquel energia 11x5 </t>
  </si>
  <si>
    <t>MSGDM1097</t>
  </si>
  <si>
    <t>MGDM1098</t>
  </si>
  <si>
    <t xml:space="preserve">Tapa troquel universal doble 11x5 </t>
  </si>
  <si>
    <t>MSGDM1098</t>
  </si>
  <si>
    <t>MGDM1099</t>
  </si>
  <si>
    <t>Tapon de 1"</t>
  </si>
  <si>
    <t>MSGDM1099</t>
  </si>
  <si>
    <t>MGDM1100</t>
  </si>
  <si>
    <t>Tapon de 3" soldado PVC</t>
  </si>
  <si>
    <t>MSGDM1100</t>
  </si>
  <si>
    <t>MGDM1101</t>
  </si>
  <si>
    <t>Te Para Bandeja en 10</t>
  </si>
  <si>
    <t>MSGDM1101</t>
  </si>
  <si>
    <t>MGDM1102</t>
  </si>
  <si>
    <t>Te Para Bandeja en 20</t>
  </si>
  <si>
    <t>MSGDM1102</t>
  </si>
  <si>
    <t>MGDM1103</t>
  </si>
  <si>
    <t>Tee bandeja 20 cms liv</t>
  </si>
  <si>
    <t>MSGDM1103</t>
  </si>
  <si>
    <t>MGDM1104</t>
  </si>
  <si>
    <t>Temporizador programable</t>
  </si>
  <si>
    <t>MSGDM1104</t>
  </si>
  <si>
    <t>MGDM1105</t>
  </si>
  <si>
    <t>Tensor de 1/8" x 8</t>
  </si>
  <si>
    <t>MSGDM1105</t>
  </si>
  <si>
    <t>MGDM1106</t>
  </si>
  <si>
    <t>Tensor de 1/4x3 1/2</t>
  </si>
  <si>
    <t>MSGDM1106</t>
  </si>
  <si>
    <t>MGDM1107</t>
  </si>
  <si>
    <t>Tensor de 5/16x 4 1/4</t>
  </si>
  <si>
    <t>MSGDM1107</t>
  </si>
  <si>
    <t>MGDM1108</t>
  </si>
  <si>
    <t>Tensor de 3/8 x 6</t>
  </si>
  <si>
    <t>MSGDM1108</t>
  </si>
  <si>
    <t>MGDM1109</t>
  </si>
  <si>
    <t>Terminal  bimetalico 750  2 huecos</t>
  </si>
  <si>
    <t>MSGDM1109</t>
  </si>
  <si>
    <t>MGDM1110</t>
  </si>
  <si>
    <t>Terminal Campana PVC 1"</t>
  </si>
  <si>
    <t>MSGDM1110</t>
  </si>
  <si>
    <t>MGDM1111</t>
  </si>
  <si>
    <t>Terminal Campana PVC 11/2"</t>
  </si>
  <si>
    <t>MSGDM1111</t>
  </si>
  <si>
    <t>MGDM1112</t>
  </si>
  <si>
    <t>Terminal Campana PVC 2"</t>
  </si>
  <si>
    <t>MSGDM1112</t>
  </si>
  <si>
    <t>MGDM1113</t>
  </si>
  <si>
    <t>Terminal Campana PVC 3/4"</t>
  </si>
  <si>
    <t>MSGDM1113</t>
  </si>
  <si>
    <t>MGDM1114</t>
  </si>
  <si>
    <t>Terminal de cobre de compresión marca Burndy para cable N. 1/0 AWG Catalog Number: YA25L4-BOX</t>
  </si>
  <si>
    <t>MSGDM1114</t>
  </si>
  <si>
    <t>MGDM1115</t>
  </si>
  <si>
    <t>terminal de cobre de compresión marca Burndy para cable No. 4 AWG  Catalog Number YA4CL4-BOX.</t>
  </si>
  <si>
    <t>MSGDM1115</t>
  </si>
  <si>
    <t>MGDM1116</t>
  </si>
  <si>
    <t>Terminal de cobre de compresión marca Burndy para cable No.14 AWG Catalog Number: YAV10-BOX</t>
  </si>
  <si>
    <t>MSGDM1116</t>
  </si>
  <si>
    <t>MGDM1117</t>
  </si>
  <si>
    <t>terminal de compresion para cable 2 AWG Burndy Catalog Number YA2CL6-BOX</t>
  </si>
  <si>
    <t>MSGDM1117</t>
  </si>
  <si>
    <t>MGDM1118</t>
  </si>
  <si>
    <t>Terminal de compresion para cable 2/0 AWG Burndy Catalog Number YA26L-BOX</t>
  </si>
  <si>
    <t>MSGDM1118</t>
  </si>
  <si>
    <t>MGDM1119</t>
  </si>
  <si>
    <t xml:space="preserve">Terminal de gorrito </t>
  </si>
  <si>
    <t>MSGDM1119</t>
  </si>
  <si>
    <t>MGDM1120</t>
  </si>
  <si>
    <t>Terminal de un hueco No 1/0</t>
  </si>
  <si>
    <t>MSGDM1120</t>
  </si>
  <si>
    <t>MGDM1121</t>
  </si>
  <si>
    <t>Terminal de un hueco No 1/0 bimetalico</t>
  </si>
  <si>
    <t>MSGDM1121</t>
  </si>
  <si>
    <t>MGDM1122</t>
  </si>
  <si>
    <t>Terminal de un hueco No 2</t>
  </si>
  <si>
    <t>MSGDM1122</t>
  </si>
  <si>
    <t>MGDM1123</t>
  </si>
  <si>
    <t>Terminal de un hueco No 2 bimetalico</t>
  </si>
  <si>
    <t>MSGDM1123</t>
  </si>
  <si>
    <t>MGDM1124</t>
  </si>
  <si>
    <t>Terminal de un hueco No 2/0</t>
  </si>
  <si>
    <t>MSGDM1124</t>
  </si>
  <si>
    <t>MGDM1125</t>
  </si>
  <si>
    <t>Terminal de un hueco No 2/0 bimetalico</t>
  </si>
  <si>
    <t>MSGDM1125</t>
  </si>
  <si>
    <t>MGDM1126</t>
  </si>
  <si>
    <t>Terminal de un hueco No 250</t>
  </si>
  <si>
    <t>MSGDM1126</t>
  </si>
  <si>
    <t>MGDM1127</t>
  </si>
  <si>
    <t>Terminal de un hueco No 3/0</t>
  </si>
  <si>
    <t>MSGDM1127</t>
  </si>
  <si>
    <t>MGDM1128</t>
  </si>
  <si>
    <t>Terminal de un hueco No 3/0 bimetalico</t>
  </si>
  <si>
    <t>MSGDM1128</t>
  </si>
  <si>
    <t>MGDM1129</t>
  </si>
  <si>
    <t>Terminal de un hueco No 300</t>
  </si>
  <si>
    <t>MSGDM1129</t>
  </si>
  <si>
    <t>MGDM1130</t>
  </si>
  <si>
    <t>Terminal de un hueco No 300 bimetalico</t>
  </si>
  <si>
    <t>MSGDM1130</t>
  </si>
  <si>
    <t>MGDM1131</t>
  </si>
  <si>
    <t>Terminal de un hueco No 350</t>
  </si>
  <si>
    <t>MSGDM1131</t>
  </si>
  <si>
    <t>MGDM1132</t>
  </si>
  <si>
    <t>Terminal de un hueco No 350 bimetalico</t>
  </si>
  <si>
    <t>MSGDM1132</t>
  </si>
  <si>
    <t>MGDM1133</t>
  </si>
  <si>
    <t>Terminal de un hueco No 4</t>
  </si>
  <si>
    <t>MSGDM1133</t>
  </si>
  <si>
    <t>MGDM1134</t>
  </si>
  <si>
    <t>Terminal de un hueco No 4/0</t>
  </si>
  <si>
    <t>MSGDM1134</t>
  </si>
  <si>
    <t>MGDM1135</t>
  </si>
  <si>
    <t>Terminal de un hueco No 4/0 bimetalico</t>
  </si>
  <si>
    <t>MSGDM1135</t>
  </si>
  <si>
    <t>MGDM1136</t>
  </si>
  <si>
    <t>Terminal de un hueco No 500</t>
  </si>
  <si>
    <t>MSGDM1136</t>
  </si>
  <si>
    <t>MGDM1137</t>
  </si>
  <si>
    <t>Terminal de un hueco No 6</t>
  </si>
  <si>
    <t>MSGDM1137</t>
  </si>
  <si>
    <t>MGDM1138</t>
  </si>
  <si>
    <t xml:space="preserve">Terminal dos huecos 250 MCM </t>
  </si>
  <si>
    <t>MSGDM1138</t>
  </si>
  <si>
    <t>MGDM1139</t>
  </si>
  <si>
    <t xml:space="preserve">Terminal dos huecos 350 MCM </t>
  </si>
  <si>
    <t>MSGDM1139</t>
  </si>
  <si>
    <t>MGDM1140</t>
  </si>
  <si>
    <t>Terminal dos huecos 4/0 MCM</t>
  </si>
  <si>
    <t>MSGDM1140</t>
  </si>
  <si>
    <t>MGDM1141</t>
  </si>
  <si>
    <t>Terminal dos huecos 500 MCM 3M</t>
  </si>
  <si>
    <t>MSGDM1141</t>
  </si>
  <si>
    <t>MGDM1142</t>
  </si>
  <si>
    <t>Terminal dos huecos No 2/0 bimetalico</t>
  </si>
  <si>
    <t>MSGDM1142</t>
  </si>
  <si>
    <t>MGDM1143</t>
  </si>
  <si>
    <t>Terminal dos huecos No 300 bimetalico</t>
  </si>
  <si>
    <t>MSGDM1143</t>
  </si>
  <si>
    <t>MGDM1144</t>
  </si>
  <si>
    <t>Terminal dos huecos No 350 bimetalico</t>
  </si>
  <si>
    <t>MSGDM1144</t>
  </si>
  <si>
    <t>MGDM1145</t>
  </si>
  <si>
    <t>Terminal dos huecos No 4/0 bimetalico</t>
  </si>
  <si>
    <t>MSGDM1145</t>
  </si>
  <si>
    <t>MGDM1146</t>
  </si>
  <si>
    <t>Terminal dos huecos No 500 bimetalico</t>
  </si>
  <si>
    <t>MSGDM1146</t>
  </si>
  <si>
    <t>MGDM1147</t>
  </si>
  <si>
    <t xml:space="preserve">Terminal en U  16 - 14 </t>
  </si>
  <si>
    <t>MSGDM1147</t>
  </si>
  <si>
    <t>MGDM1148</t>
  </si>
  <si>
    <t>Terminal No.10-12</t>
  </si>
  <si>
    <t>MSGDM1148</t>
  </si>
  <si>
    <t>MGDM1149</t>
  </si>
  <si>
    <t>Terminal No.8</t>
  </si>
  <si>
    <t>MSGDM1149</t>
  </si>
  <si>
    <t>MGDM1150</t>
  </si>
  <si>
    <t>Terminal Premoldeado De 2 Awg-4/0 Tipo Intemperie, 15kv</t>
  </si>
  <si>
    <t>MSGDM1150</t>
  </si>
  <si>
    <t>MGDM1151</t>
  </si>
  <si>
    <t>Terminal Premoldeado De 2awg-4/0 Tipo Interior, 15kv</t>
  </si>
  <si>
    <t>MSGDM1151</t>
  </si>
  <si>
    <t>MGDM1152</t>
  </si>
  <si>
    <t>Terminal Premoldeado De 3/0-600MCM Tipo Intemperie, 15kv</t>
  </si>
  <si>
    <t>MSGDM1152</t>
  </si>
  <si>
    <t>MGDM1153</t>
  </si>
  <si>
    <t>Terminal Premoldeado De 3/0-600MCM Tipo Interior, 15kv</t>
  </si>
  <si>
    <t>MSGDM1153</t>
  </si>
  <si>
    <t>MGDM1154</t>
  </si>
  <si>
    <t>Terminales Lug</t>
  </si>
  <si>
    <t>MSGDM1154</t>
  </si>
  <si>
    <t>MGDM1155</t>
  </si>
  <si>
    <t>Termoencogible 10 a 3</t>
  </si>
  <si>
    <t>MSGDM1155</t>
  </si>
  <si>
    <t>MGDM1156</t>
  </si>
  <si>
    <t>Termoencogible 16 a 5</t>
  </si>
  <si>
    <t>MSGDM1156</t>
  </si>
  <si>
    <t>MGDM1157</t>
  </si>
  <si>
    <t>Termoencogible 25 a 8</t>
  </si>
  <si>
    <t>MSGDM1157</t>
  </si>
  <si>
    <t>MGDM1158</t>
  </si>
  <si>
    <t>Termoencogible 600v 2 A 4/0</t>
  </si>
  <si>
    <t>MSGDM1158</t>
  </si>
  <si>
    <t>MGDM1159</t>
  </si>
  <si>
    <t>Termoencogible  250 MCM – 500 MCM</t>
  </si>
  <si>
    <t>MSGDM1159</t>
  </si>
  <si>
    <t>MGDM1160</t>
  </si>
  <si>
    <t>Thinner</t>
  </si>
  <si>
    <t>MSGDM1160</t>
  </si>
  <si>
    <t>MGDM1161</t>
  </si>
  <si>
    <t>Thinner 21050</t>
  </si>
  <si>
    <t>MSGDM1161</t>
  </si>
  <si>
    <t>MGDM1162</t>
  </si>
  <si>
    <t xml:space="preserve">Timbre pulsador </t>
  </si>
  <si>
    <t>MSGDM1162</t>
  </si>
  <si>
    <t>MGDM1163</t>
  </si>
  <si>
    <t>Timbre tipo campana</t>
  </si>
  <si>
    <t>MSGDM1163</t>
  </si>
  <si>
    <t>MGDM1164</t>
  </si>
  <si>
    <t>MSGDM1164</t>
  </si>
  <si>
    <t>MGDM1165</t>
  </si>
  <si>
    <t xml:space="preserve">Toma  30 Amps 250V ref 2620 </t>
  </si>
  <si>
    <t>MSGDM1165</t>
  </si>
  <si>
    <t>MGDM1166</t>
  </si>
  <si>
    <t xml:space="preserve">Toma  63 Amps 250Vol  trifasica </t>
  </si>
  <si>
    <t>MSGDM1166</t>
  </si>
  <si>
    <t>MGDM1167</t>
  </si>
  <si>
    <t>Toma  Codelca 20 Amps</t>
  </si>
  <si>
    <t>MSGDM1167</t>
  </si>
  <si>
    <t>MGDM1168</t>
  </si>
  <si>
    <t>Toma  Doble Levinton 15 Amps blanco</t>
  </si>
  <si>
    <t>MSGDM1168</t>
  </si>
  <si>
    <t>MGDM1169</t>
  </si>
  <si>
    <t>Toma  Doble Levinton 15 Amps crema</t>
  </si>
  <si>
    <t>MSGDM1169</t>
  </si>
  <si>
    <t>MGDM1170</t>
  </si>
  <si>
    <t>Toma  Doble Levinton 20 Amps</t>
  </si>
  <si>
    <t>MSGDM1170</t>
  </si>
  <si>
    <t>MGDM1171</t>
  </si>
  <si>
    <t>Toma de DATO Luminex vela ref 682856</t>
  </si>
  <si>
    <t>MSGDM1171</t>
  </si>
  <si>
    <t>MGDM1172</t>
  </si>
  <si>
    <t>Toma de incrustar L 15- 30 ref 2720  30 amp</t>
  </si>
  <si>
    <t>MSGDM1172</t>
  </si>
  <si>
    <t>MGDM1173</t>
  </si>
  <si>
    <t>Toma de incrustar L 21- 30 ref 2810  30 amp</t>
  </si>
  <si>
    <t>MSGDM1173</t>
  </si>
  <si>
    <t>MGDM1174</t>
  </si>
  <si>
    <t>Toma de incrustar L 6-30 ref 2620  30 amp</t>
  </si>
  <si>
    <t>MSGDM1174</t>
  </si>
  <si>
    <t>MGDM1175</t>
  </si>
  <si>
    <t>toma interruptor mixto</t>
  </si>
  <si>
    <t>MSGDM1175</t>
  </si>
  <si>
    <t>MGDM1176</t>
  </si>
  <si>
    <t>Toma Doble GFCI 15A 125v</t>
  </si>
  <si>
    <t>MSGDM1176</t>
  </si>
  <si>
    <t>MGDM1177</t>
  </si>
  <si>
    <t>Toma Doble HGR 15A 125v 8200</t>
  </si>
  <si>
    <t>MSGDM1177</t>
  </si>
  <si>
    <t>MGDM1178</t>
  </si>
  <si>
    <t>Toma Doble Luminex vela 220 V ref 681547</t>
  </si>
  <si>
    <t>MSGDM1178</t>
  </si>
  <si>
    <t>MGDM1179</t>
  </si>
  <si>
    <t>Toma Doble Luminex vela 681542</t>
  </si>
  <si>
    <t>MSGDM1179</t>
  </si>
  <si>
    <t>MGDM1180</t>
  </si>
  <si>
    <t>Toma doble vela (promedio)</t>
  </si>
  <si>
    <t>MSGDM1180</t>
  </si>
  <si>
    <t>MGDM1181</t>
  </si>
  <si>
    <t>Toma wallplate c/tapa ref VPG 1601</t>
  </si>
  <si>
    <t>MSGDM1181</t>
  </si>
  <si>
    <t>MGDM1182</t>
  </si>
  <si>
    <t>Tomacorriente 20A Twis Lock Leviton O Similar</t>
  </si>
  <si>
    <t>MSGDM1182</t>
  </si>
  <si>
    <t>MGDM1183</t>
  </si>
  <si>
    <t>Tomacorriente 30A Twis Lock Leviton</t>
  </si>
  <si>
    <t>MSGDM1183</t>
  </si>
  <si>
    <t>MGDM1184</t>
  </si>
  <si>
    <t>Tomacorriente Doble 15A Twis Lock Leviton</t>
  </si>
  <si>
    <t>MSGDM1184</t>
  </si>
  <si>
    <t>MGDM1185</t>
  </si>
  <si>
    <t>Tomacorriente doble Grado Hosp naranja 8200 IG</t>
  </si>
  <si>
    <t>MSGDM1185</t>
  </si>
  <si>
    <t>MGDM1186</t>
  </si>
  <si>
    <t>Tornillo  1/4, 3/8</t>
  </si>
  <si>
    <t>MSGDM1186</t>
  </si>
  <si>
    <t>MGDM1187</t>
  </si>
  <si>
    <t>MSGDM1187</t>
  </si>
  <si>
    <t>MGDM1188</t>
  </si>
  <si>
    <t>MSGDM1188</t>
  </si>
  <si>
    <t>MGDM1189</t>
  </si>
  <si>
    <t>MSGDM1189</t>
  </si>
  <si>
    <t>MGDM1190</t>
  </si>
  <si>
    <t>Tornillo acero inoxidable 3/8x1"</t>
  </si>
  <si>
    <t>MSGDM1190</t>
  </si>
  <si>
    <t>MGDM1191</t>
  </si>
  <si>
    <t>Tramites ante Electricaribe</t>
  </si>
  <si>
    <t>MSGDM1191</t>
  </si>
  <si>
    <t>MGDM1192</t>
  </si>
  <si>
    <t>Transformador corriente 10/20/5</t>
  </si>
  <si>
    <t>MSGDM1192</t>
  </si>
  <si>
    <t>MGDM1193</t>
  </si>
  <si>
    <t>Transformador De Control De 300VA</t>
  </si>
  <si>
    <t>MSGDM1193</t>
  </si>
  <si>
    <t>MGDM1194</t>
  </si>
  <si>
    <t>Transformador de corriente de 1200 a 5</t>
  </si>
  <si>
    <t>MSGDM1194</t>
  </si>
  <si>
    <t>MGDM1195</t>
  </si>
  <si>
    <t xml:space="preserve">Transformador de corriente de 300 a 5 </t>
  </si>
  <si>
    <t>MSGDM1195</t>
  </si>
  <si>
    <t>MGDM1196</t>
  </si>
  <si>
    <t>Transformador de corriente de 800 a 5</t>
  </si>
  <si>
    <t>MSGDM1196</t>
  </si>
  <si>
    <t>MGDM1197</t>
  </si>
  <si>
    <t>Transformador potencial 13200/120V</t>
  </si>
  <si>
    <t>MSGDM1197</t>
  </si>
  <si>
    <t>MGDM1198</t>
  </si>
  <si>
    <t>Transformador Trifasico 112,5 KVA 
13,200/120/220 V pad mounted</t>
  </si>
  <si>
    <t>MSGDM1198</t>
  </si>
  <si>
    <t>MGDM1199</t>
  </si>
  <si>
    <t>Transformador Trifasico 45 KVA 13,2/120/220 V</t>
  </si>
  <si>
    <t>MSGDM1199</t>
  </si>
  <si>
    <t>MGDM1200</t>
  </si>
  <si>
    <t>Transformador trifasico seco ahorrador suntec 225 KVA 13200/220/127 V</t>
  </si>
  <si>
    <t>MSGDM1200</t>
  </si>
  <si>
    <t>MGDM1201</t>
  </si>
  <si>
    <t>Transformador monofasico en vacio 10kva 13,2kv/240-120</t>
  </si>
  <si>
    <t>MSGDM1201</t>
  </si>
  <si>
    <t>MGDM1202</t>
  </si>
  <si>
    <t>Transformador monofasico en vacio 15kva 13,2kv/240-120</t>
  </si>
  <si>
    <t>MSGDM1202</t>
  </si>
  <si>
    <t>MGDM1203</t>
  </si>
  <si>
    <t>Transformador monofasico de 50kva.13,2kv 240/120</t>
  </si>
  <si>
    <t>MSGDM1203</t>
  </si>
  <si>
    <t>MGDM1204</t>
  </si>
  <si>
    <t>Triturado</t>
  </si>
  <si>
    <t>MSGDM1204</t>
  </si>
  <si>
    <t>MGDM1205</t>
  </si>
  <si>
    <t>Tuberia Acero 1" sch 40</t>
  </si>
  <si>
    <t>MSGDM1205</t>
  </si>
  <si>
    <t>MGDM1206</t>
  </si>
  <si>
    <t>Tuberia Acero 1/2" sch 40</t>
  </si>
  <si>
    <t>MSGDM1206</t>
  </si>
  <si>
    <t>MGDM1207</t>
  </si>
  <si>
    <t>Tuberia Acero 3/4" sch 40</t>
  </si>
  <si>
    <t>MSGDM1207</t>
  </si>
  <si>
    <t>MGDM1208</t>
  </si>
  <si>
    <t>Tuberia conduflex 1/2</t>
  </si>
  <si>
    <t>MSGDM1208</t>
  </si>
  <si>
    <t>MGDM1209</t>
  </si>
  <si>
    <t>Tuberia conduflex 3/4</t>
  </si>
  <si>
    <t>MSGDM1209</t>
  </si>
  <si>
    <t>MGDM1210</t>
  </si>
  <si>
    <t>Tuberia conduflex 1</t>
  </si>
  <si>
    <t>MSGDM1210</t>
  </si>
  <si>
    <t>MGDM1211</t>
  </si>
  <si>
    <t>Tuberia Conduit Galv. (IMC) De 1 1/2"</t>
  </si>
  <si>
    <t>MSGDM1211</t>
  </si>
  <si>
    <t>MGDM1212</t>
  </si>
  <si>
    <t>Tuberia Conduit Galv. (IMC) De 1 1/4"</t>
  </si>
  <si>
    <t>MSGDM1212</t>
  </si>
  <si>
    <t>MGDM1213</t>
  </si>
  <si>
    <t>Tuberia Conduit Galv. (IMC) De 1"</t>
  </si>
  <si>
    <t>MSGDM1213</t>
  </si>
  <si>
    <t>MGDM1214</t>
  </si>
  <si>
    <t>Tuberia Conduit Galv. (IMC) De 1/2"</t>
  </si>
  <si>
    <t>MSGDM1214</t>
  </si>
  <si>
    <t>MGDM1215</t>
  </si>
  <si>
    <t>Tuberia Conduit Galv. (IMC) De 2"</t>
  </si>
  <si>
    <t>MSGDM1215</t>
  </si>
  <si>
    <t>MGDM1216</t>
  </si>
  <si>
    <t>Tuberia Conduit Galv. (IMC) De 3"</t>
  </si>
  <si>
    <t>MSGDM1216</t>
  </si>
  <si>
    <t>MGDM1217</t>
  </si>
  <si>
    <t>Tuberia Conduit Galv. (IMC) De 3/4"</t>
  </si>
  <si>
    <t>MSGDM1217</t>
  </si>
  <si>
    <t>MGDM1218</t>
  </si>
  <si>
    <t>Tuberia Conduit Galv. (IMC) De 4"</t>
  </si>
  <si>
    <t>MSGDM1218</t>
  </si>
  <si>
    <t>MGDM1219</t>
  </si>
  <si>
    <t>Tuberia Conduit Galv. (Ridgid) De 1 1/2"</t>
  </si>
  <si>
    <t>MSGDM1219</t>
  </si>
  <si>
    <t>MGDM1220</t>
  </si>
  <si>
    <t>Tuberia Conduit Galv. (Ridgid) De 1 1/4"</t>
  </si>
  <si>
    <t>MSGDM1220</t>
  </si>
  <si>
    <t>MGDM1221</t>
  </si>
  <si>
    <t>Tuberia Conduit Galv. (Ridgid) De 1"</t>
  </si>
  <si>
    <t>MSGDM1221</t>
  </si>
  <si>
    <t>MGDM1222</t>
  </si>
  <si>
    <t>Tuberia Conduit Galv. (Ridgid) De 1/2"</t>
  </si>
  <si>
    <t>MSGDM1222</t>
  </si>
  <si>
    <t>MGDM1223</t>
  </si>
  <si>
    <t>Tuberia Conduit Galv. (Ridgid) De 2"</t>
  </si>
  <si>
    <t>MSGDM1223</t>
  </si>
  <si>
    <t>MGDM1224</t>
  </si>
  <si>
    <t>Tuberia Conduit Galv. (Ridgid) De 3"</t>
  </si>
  <si>
    <t>MSGDM1224</t>
  </si>
  <si>
    <t>MGDM1225</t>
  </si>
  <si>
    <t>Tuberia Conduit Galv. (Ridgid) De 3/4"</t>
  </si>
  <si>
    <t>MSGDM1225</t>
  </si>
  <si>
    <t>MGDM1226</t>
  </si>
  <si>
    <t>Tuberia Conduit Galv. (Ridgid) De 4"</t>
  </si>
  <si>
    <t>MSGDM1226</t>
  </si>
  <si>
    <t>MGDM1227</t>
  </si>
  <si>
    <t>Tuberia EMT De 1 1/2"</t>
  </si>
  <si>
    <t>MSGDM1227</t>
  </si>
  <si>
    <t>MGDM1228</t>
  </si>
  <si>
    <t>Tuberia EMT De 1 1/4"</t>
  </si>
  <si>
    <t>MSGDM1228</t>
  </si>
  <si>
    <t>MGDM1229</t>
  </si>
  <si>
    <t>Tuberia EMT De 1"</t>
  </si>
  <si>
    <t>MSGDM1229</t>
  </si>
  <si>
    <t>MGDM1230</t>
  </si>
  <si>
    <t>Tuberia EMT De 1/2"</t>
  </si>
  <si>
    <t>MSGDM1230</t>
  </si>
  <si>
    <t>MGDM1231</t>
  </si>
  <si>
    <t>Tubería EMT De 2"</t>
  </si>
  <si>
    <t>MSGDM1231</t>
  </si>
  <si>
    <t>MGDM1232</t>
  </si>
  <si>
    <t>Tuberia EMT De 3"</t>
  </si>
  <si>
    <t>MSGDM1232</t>
  </si>
  <si>
    <t>MGDM1233</t>
  </si>
  <si>
    <t>Tuberia EMT De 3/4"</t>
  </si>
  <si>
    <t>MSGDM1233</t>
  </si>
  <si>
    <t>MGDM1234</t>
  </si>
  <si>
    <t>Tuberia EMT De 4"</t>
  </si>
  <si>
    <t>MSGDM1234</t>
  </si>
  <si>
    <t>MGDM1235</t>
  </si>
  <si>
    <t>Tuberia Galv de 3/4"</t>
  </si>
  <si>
    <t>MSGDM1235</t>
  </si>
  <si>
    <t>MGDM1236</t>
  </si>
  <si>
    <t>Tuberia PVC De 1 1/2"</t>
  </si>
  <si>
    <t>MSGDM1236</t>
  </si>
  <si>
    <t>MGDM1237</t>
  </si>
  <si>
    <t>Tuberia PVC De 1"</t>
  </si>
  <si>
    <t>MSGDM1237</t>
  </si>
  <si>
    <t>MGDM1238</t>
  </si>
  <si>
    <t>Tuberia PVC De 1/2"</t>
  </si>
  <si>
    <t>MSGDM1238</t>
  </si>
  <si>
    <t>MGDM1239</t>
  </si>
  <si>
    <t>Tuberia PVC De 11/4"</t>
  </si>
  <si>
    <t>MSGDM1239</t>
  </si>
  <si>
    <t>MGDM1240</t>
  </si>
  <si>
    <t>Tuberia PVC De 2"</t>
  </si>
  <si>
    <t>MSGDM1240</t>
  </si>
  <si>
    <t>MGDM1241</t>
  </si>
  <si>
    <t>Tuberia PVC De 3"</t>
  </si>
  <si>
    <t>MSGDM1241</t>
  </si>
  <si>
    <t>MGDM1242</t>
  </si>
  <si>
    <t>Tuberia PVC De 3/4"</t>
  </si>
  <si>
    <t>MSGDM1242</t>
  </si>
  <si>
    <t>MGDM1243</t>
  </si>
  <si>
    <t>Tuberia PVC De 4"</t>
  </si>
  <si>
    <t>MSGDM1243</t>
  </si>
  <si>
    <t>MGDM1244</t>
  </si>
  <si>
    <t xml:space="preserve">Tubo termocontractil 10 -3 </t>
  </si>
  <si>
    <t>MSGDM1244</t>
  </si>
  <si>
    <t>MGDM1245</t>
  </si>
  <si>
    <t xml:space="preserve">Tubo termocontractil 16 -5 </t>
  </si>
  <si>
    <t>MSGDM1245</t>
  </si>
  <si>
    <t>MGDM1246</t>
  </si>
  <si>
    <t xml:space="preserve">Tubo termocontractil 25 -8 </t>
  </si>
  <si>
    <t>MSGDM1246</t>
  </si>
  <si>
    <t>MGDM1247</t>
  </si>
  <si>
    <t>Tubo Fluoresentes 54w t5 blanco caja 25 un</t>
  </si>
  <si>
    <t>MSGDM1247</t>
  </si>
  <si>
    <t>MGDM1248</t>
  </si>
  <si>
    <t>Tubos Fluoresentes 32w t-8 Azul caja 25 un</t>
  </si>
  <si>
    <t>MSGDM1248</t>
  </si>
  <si>
    <t>MGDM1249</t>
  </si>
  <si>
    <t>Tubos Fluoresentes 32w t-8 Rojo  caja 25 un</t>
  </si>
  <si>
    <t>MSGDM1249</t>
  </si>
  <si>
    <t>MGDM1250</t>
  </si>
  <si>
    <t>Tubos Fluoresentes 32w t-8 Verde  caja 25 un</t>
  </si>
  <si>
    <t>MSGDM1250</t>
  </si>
  <si>
    <t>MGDM1251</t>
  </si>
  <si>
    <t>MSGDM1251</t>
  </si>
  <si>
    <t>MGDM1252</t>
  </si>
  <si>
    <t>MSGDM1252</t>
  </si>
  <si>
    <t>MGDM1253</t>
  </si>
  <si>
    <t>MSGDM1253</t>
  </si>
  <si>
    <t>MGDM1254</t>
  </si>
  <si>
    <t>Tuerca de ojo  5/8 - 3/4</t>
  </si>
  <si>
    <t>MSGDM1254</t>
  </si>
  <si>
    <t>MGDM1255</t>
  </si>
  <si>
    <t xml:space="preserve">Tuerca galvanizada </t>
  </si>
  <si>
    <t>MSGDM1255</t>
  </si>
  <si>
    <t>MGDM1256</t>
  </si>
  <si>
    <t>Tuerca Hexagonal de 1/2"</t>
  </si>
  <si>
    <t>MSGDM1256</t>
  </si>
  <si>
    <t>MGDM1257</t>
  </si>
  <si>
    <t>Tuerca Rectangular con Resorte</t>
  </si>
  <si>
    <t>MSGDM1257</t>
  </si>
  <si>
    <t>MGDM1258</t>
  </si>
  <si>
    <t>Tuercas De Ojo De 5/8"</t>
  </si>
  <si>
    <t>MSGDM1258</t>
  </si>
  <si>
    <t>MGDM1259</t>
  </si>
  <si>
    <t>Union 1" sch 40</t>
  </si>
  <si>
    <t>MSGDM1259</t>
  </si>
  <si>
    <t>MGDM1260</t>
  </si>
  <si>
    <t>Union 1/2" sch 40</t>
  </si>
  <si>
    <t>MSGDM1260</t>
  </si>
  <si>
    <t>MGDM1261</t>
  </si>
  <si>
    <t>Union 3/4" sch 40</t>
  </si>
  <si>
    <t>MSGDM1261</t>
  </si>
  <si>
    <t>MGDM1262</t>
  </si>
  <si>
    <t>Union conduit galvanizada (IMC) de 1 1/4"</t>
  </si>
  <si>
    <t>MSGDM1262</t>
  </si>
  <si>
    <t>MGDM1263</t>
  </si>
  <si>
    <t>Union conduit galvanizada (IMC) de 1"</t>
  </si>
  <si>
    <t>MSGDM1263</t>
  </si>
  <si>
    <t>MGDM1264</t>
  </si>
  <si>
    <t>Union conduit galvanizada (IMC) de 1/2"</t>
  </si>
  <si>
    <t>MSGDM1264</t>
  </si>
  <si>
    <t>MGDM1265</t>
  </si>
  <si>
    <t>Union conduit galvanizada (IMC) de 1-1/2"</t>
  </si>
  <si>
    <t>MSGDM1265</t>
  </si>
  <si>
    <t>MGDM1266</t>
  </si>
  <si>
    <t>Union conduit galvanizada (IMC) de 2"</t>
  </si>
  <si>
    <t>MSGDM1266</t>
  </si>
  <si>
    <t>MGDM1267</t>
  </si>
  <si>
    <t>Union conduit galvanizada (IMC) de 3"</t>
  </si>
  <si>
    <t>MSGDM1267</t>
  </si>
  <si>
    <t>MGDM1268</t>
  </si>
  <si>
    <t>Union conduit galvanizada (IMC) de 3/4"</t>
  </si>
  <si>
    <t>MSGDM1268</t>
  </si>
  <si>
    <t>MGDM1269</t>
  </si>
  <si>
    <t>Union conduit galvanizada (IMC) de 4"</t>
  </si>
  <si>
    <t>MSGDM1269</t>
  </si>
  <si>
    <t>MGDM1270</t>
  </si>
  <si>
    <t>Union conduit galvanizada (RIGID) de 1 1/2"</t>
  </si>
  <si>
    <t>MSGDM1270</t>
  </si>
  <si>
    <t>MGDM1271</t>
  </si>
  <si>
    <t>Union conduit galvanizada (RIGID) de 1"</t>
  </si>
  <si>
    <t>MSGDM1271</t>
  </si>
  <si>
    <t>MGDM1272</t>
  </si>
  <si>
    <t>Union conduit galvanizada (RIGID) de 1/2"</t>
  </si>
  <si>
    <t>MSGDM1272</t>
  </si>
  <si>
    <t>MGDM1273</t>
  </si>
  <si>
    <t>Union conduit galvanizada (RIGID) de 2"</t>
  </si>
  <si>
    <t>MSGDM1273</t>
  </si>
  <si>
    <t>MGDM1274</t>
  </si>
  <si>
    <t>Union conduit galvanizada (RIGID) de 3"</t>
  </si>
  <si>
    <t>MSGDM1274</t>
  </si>
  <si>
    <t>MGDM1275</t>
  </si>
  <si>
    <t>Union conduit galvanizada (RIGID) de 3/4"</t>
  </si>
  <si>
    <t>MSGDM1275</t>
  </si>
  <si>
    <t>MGDM1276</t>
  </si>
  <si>
    <t>Union conduit galvanizada (RIGID) de 4"</t>
  </si>
  <si>
    <t>MSGDM1276</t>
  </si>
  <si>
    <t>MGDM1277</t>
  </si>
  <si>
    <t>Union conduit PVC de 1"</t>
  </si>
  <si>
    <t>MSGDM1277</t>
  </si>
  <si>
    <t>MGDM1278</t>
  </si>
  <si>
    <t>Union conduit PVC de 1/2"</t>
  </si>
  <si>
    <t>MSGDM1278</t>
  </si>
  <si>
    <t>MGDM1279</t>
  </si>
  <si>
    <t>Union conduit PVC de 1-1/2"</t>
  </si>
  <si>
    <t>MSGDM1279</t>
  </si>
  <si>
    <t>MGDM1280</t>
  </si>
  <si>
    <t>Union conduit PVC de 2"</t>
  </si>
  <si>
    <t>MSGDM1280</t>
  </si>
  <si>
    <t>MGDM1281</t>
  </si>
  <si>
    <t>Union conduit PVC de 3"</t>
  </si>
  <si>
    <t>MSGDM1281</t>
  </si>
  <si>
    <t>MGDM1282</t>
  </si>
  <si>
    <t>Union conduit PVC de 3/4"</t>
  </si>
  <si>
    <t>MSGDM1282</t>
  </si>
  <si>
    <t>MGDM1283</t>
  </si>
  <si>
    <t>Union conduit PVC de 4"</t>
  </si>
  <si>
    <t>MSGDM1283</t>
  </si>
  <si>
    <t>MGDM1284</t>
  </si>
  <si>
    <t>Union EMT de 1</t>
  </si>
  <si>
    <t>MSGDM1284</t>
  </si>
  <si>
    <t>MGDM1285</t>
  </si>
  <si>
    <t>Union EMT de 1/2</t>
  </si>
  <si>
    <t>MSGDM1285</t>
  </si>
  <si>
    <t>MGDM1286</t>
  </si>
  <si>
    <t>Union EMT de 1-1/2</t>
  </si>
  <si>
    <t>MSGDM1286</t>
  </si>
  <si>
    <t>MGDM1287</t>
  </si>
  <si>
    <t>Union EMT de 2</t>
  </si>
  <si>
    <t>MSGDM1287</t>
  </si>
  <si>
    <t>MGDM1288</t>
  </si>
  <si>
    <t>Union EMT de 3</t>
  </si>
  <si>
    <t>MSGDM1288</t>
  </si>
  <si>
    <t>MGDM1289</t>
  </si>
  <si>
    <t>Union EMT de 3/4</t>
  </si>
  <si>
    <t>MSGDM1289</t>
  </si>
  <si>
    <t>MGDM1290</t>
  </si>
  <si>
    <t>Union EMT de 4</t>
  </si>
  <si>
    <t>MSGDM1290</t>
  </si>
  <si>
    <t>MGDM1291</t>
  </si>
  <si>
    <t>Union Universal De 1 1/2"</t>
  </si>
  <si>
    <t>MSGDM1291</t>
  </si>
  <si>
    <t>MGDM1292</t>
  </si>
  <si>
    <t>Union Universal De 1"</t>
  </si>
  <si>
    <t>MSGDM1292</t>
  </si>
  <si>
    <t>MGDM1293</t>
  </si>
  <si>
    <t>Union Universal De 1/2"</t>
  </si>
  <si>
    <t>MSGDM1293</t>
  </si>
  <si>
    <t>MGDM1294</t>
  </si>
  <si>
    <t>Union Universal De 2"</t>
  </si>
  <si>
    <t>MSGDM1294</t>
  </si>
  <si>
    <t>MGDM1295</t>
  </si>
  <si>
    <t>Union Universal De 3/4"</t>
  </si>
  <si>
    <t>MSGDM1295</t>
  </si>
  <si>
    <t>MGDM1296</t>
  </si>
  <si>
    <t>Varilla Copperweld 5/8 x 2,4 mts</t>
  </si>
  <si>
    <t>MSGDM1296</t>
  </si>
  <si>
    <t>MGDM1297</t>
  </si>
  <si>
    <t>Varilla Corrugada 1/2</t>
  </si>
  <si>
    <t>MSGDM1297</t>
  </si>
  <si>
    <t>MGDM1298</t>
  </si>
  <si>
    <t>Varilla Corrugada 3/8</t>
  </si>
  <si>
    <t>MSGDM1298</t>
  </si>
  <si>
    <t>MGDM1299</t>
  </si>
  <si>
    <t>Varilla De Anclaje De Acero Galvanizado 5/8" x 1,80 mts</t>
  </si>
  <si>
    <t>MSGDM1299</t>
  </si>
  <si>
    <t>MGDM1300</t>
  </si>
  <si>
    <t>Varilla Roscada</t>
  </si>
  <si>
    <t>MSGDM1300</t>
  </si>
  <si>
    <t>MGDM1301</t>
  </si>
  <si>
    <t>Vaselina</t>
  </si>
  <si>
    <t>MSGDM1301</t>
  </si>
  <si>
    <t>Descripcion</t>
  </si>
  <si>
    <t>Camion turbito</t>
  </si>
  <si>
    <t>Camion turbo</t>
  </si>
  <si>
    <t xml:space="preserve">Grua carga postes brazo extensor hidraulico </t>
  </si>
  <si>
    <t>Grua hidraulica carro canasta</t>
  </si>
  <si>
    <t>Volqueta</t>
  </si>
  <si>
    <t>Retrocargador</t>
  </si>
  <si>
    <t>Alicate</t>
  </si>
  <si>
    <t>EQU</t>
  </si>
  <si>
    <t>Arnes</t>
  </si>
  <si>
    <t>SEG</t>
  </si>
  <si>
    <t>Dobla tubo</t>
  </si>
  <si>
    <t>Escalera de tijera hasta 10 pasos</t>
  </si>
  <si>
    <t>Escalera de extension hasta 24 pasos</t>
  </si>
  <si>
    <t>Llaves mixtas</t>
  </si>
  <si>
    <t>Martillo</t>
  </si>
  <si>
    <t>ELEC</t>
  </si>
  <si>
    <t>Pinza para molde</t>
  </si>
  <si>
    <t>Pinza voltiamperimetrica</t>
  </si>
  <si>
    <t>Ponchadora</t>
  </si>
  <si>
    <t>Pretales</t>
  </si>
  <si>
    <t>Pulidora</t>
  </si>
  <si>
    <t>Sacabocado hidraulico</t>
  </si>
  <si>
    <t xml:space="preserve">Taladro </t>
  </si>
  <si>
    <t>Andamios</t>
  </si>
  <si>
    <t>Cincel</t>
  </si>
  <si>
    <t>Nivel</t>
  </si>
  <si>
    <t>Tripode</t>
  </si>
  <si>
    <t>Zunchadora</t>
  </si>
  <si>
    <t>Maquina soldar</t>
  </si>
  <si>
    <t>Navaja</t>
  </si>
  <si>
    <t>Remachadora</t>
  </si>
  <si>
    <t>Pertiga</t>
  </si>
  <si>
    <t>Estopas</t>
  </si>
  <si>
    <t>MSGDM1302</t>
  </si>
  <si>
    <t>Pico</t>
  </si>
  <si>
    <t xml:space="preserve">Pala </t>
  </si>
  <si>
    <t>Camioneta 4x4</t>
  </si>
  <si>
    <t>Item</t>
  </si>
  <si>
    <t>Tipo</t>
  </si>
  <si>
    <t>Valor</t>
  </si>
  <si>
    <t>Metro</t>
  </si>
  <si>
    <t>Cegueta</t>
  </si>
  <si>
    <t>Caucho dobla tubo 1/2</t>
  </si>
  <si>
    <t>Caucho dobla tubo 3/4</t>
  </si>
  <si>
    <t>Cizalla</t>
  </si>
  <si>
    <t>Celular</t>
  </si>
  <si>
    <t>Copa cierra</t>
  </si>
  <si>
    <t>Corta frio</t>
  </si>
  <si>
    <t>Juego llave allen</t>
  </si>
  <si>
    <t>Taladro percutor</t>
  </si>
  <si>
    <t>Calentador manual</t>
  </si>
  <si>
    <t>Juego llave ratchet</t>
  </si>
  <si>
    <t>Megger aislamiento</t>
  </si>
  <si>
    <t>Cinturon herramientas</t>
  </si>
  <si>
    <t>Caja de herramientas</t>
  </si>
  <si>
    <t>Escuadra profesional</t>
  </si>
  <si>
    <t>Cinta metrica x 30 mts</t>
  </si>
  <si>
    <t>Analizador de redes</t>
  </si>
  <si>
    <t>Molde cadweld</t>
  </si>
  <si>
    <t>Gato hidraulico</t>
  </si>
  <si>
    <t>Tarifa/Día</t>
  </si>
  <si>
    <t>Extensión industrial 30 m</t>
  </si>
  <si>
    <t>MGDM1302</t>
  </si>
  <si>
    <t>Tubos fluorecentes t8 17w</t>
  </si>
  <si>
    <t>Tubos fluorecentes t8 32 w</t>
  </si>
  <si>
    <t>Tubos fluorecentes t12 48 w</t>
  </si>
  <si>
    <t>Tornillo autoperforante 1/4 x 1</t>
  </si>
  <si>
    <t>Tornillo autoperforante 5/16x 1</t>
  </si>
  <si>
    <t xml:space="preserve">Tornillo autoperforante 5/16 </t>
  </si>
  <si>
    <t>Toma 220v</t>
  </si>
  <si>
    <t xml:space="preserve">Pertiga De Extension (1) </t>
  </si>
  <si>
    <t>Grapa channel 1 1/4</t>
  </si>
  <si>
    <t xml:space="preserve">Grapa channel 1 </t>
  </si>
  <si>
    <t>Grapa channel 3/4</t>
  </si>
  <si>
    <t>Fusible 2A</t>
  </si>
  <si>
    <t>Fusible 5A</t>
  </si>
  <si>
    <t>Fusible 7A</t>
  </si>
  <si>
    <t>Fusible 10A</t>
  </si>
  <si>
    <t>Fusible 20A</t>
  </si>
  <si>
    <t>Fusible 15 amp</t>
  </si>
  <si>
    <t>Suministro de tubería conduit galvanizada RMC ¾”</t>
  </si>
  <si>
    <t>Suministro de tubería conduit galvanizada RMC 1”</t>
  </si>
  <si>
    <t>Suministro de tubería conduit galvanizada RMC 1 ½”</t>
  </si>
  <si>
    <t>Suministro de tubería conduit galvanizada RMC 2”</t>
  </si>
  <si>
    <t>Suministro de tubería conduit galvanizada RMC 3”</t>
  </si>
  <si>
    <t>Suministro de tubería conduit PVC pesado   ¾”</t>
  </si>
  <si>
    <t>Suministro de tubería conduit PVC  pesado 1”</t>
  </si>
  <si>
    <t>Suministro de tubería conduit PVC  pesado 1 ½”</t>
  </si>
  <si>
    <t>Suministro de tubería conduit PVC  pesado 2”</t>
  </si>
  <si>
    <t>Suministro de tubería conduit PVC pesado 3”</t>
  </si>
  <si>
    <t>Flexi coraza de 3/4"</t>
  </si>
  <si>
    <t>Flexi coraza de 1/2"</t>
  </si>
  <si>
    <t>Sellante para sellos (chico)</t>
  </si>
  <si>
    <t>Suministro de conduletas conduit galvanizada tipo “C”  ¾”</t>
  </si>
  <si>
    <t>Suministro de conduletas conduit galvanizada tipo “L”  ¾”</t>
  </si>
  <si>
    <t>Suministro de conduletas conduit galvanizada tipo “T”  ¾”</t>
  </si>
  <si>
    <t>Suministro de conduletas conduit galvanizada tipo “X”  ¾”</t>
  </si>
  <si>
    <t>Suministro de conduletas conduit galvanizada tipo “C”  1”</t>
  </si>
  <si>
    <t>Suministro de conduletas conduit galvanizada tipo “L”  1”</t>
  </si>
  <si>
    <t>Suministro de conduletas conduit galvanizada tipo “T”  1”</t>
  </si>
  <si>
    <t>Suministro de conduletas conduit galvanizada tipo “X”  1”</t>
  </si>
  <si>
    <t>Suministro de conduletas conduit galvanizada tipo “C”  1 ½”</t>
  </si>
  <si>
    <t>Suministro de conduletas conduit galvanizada tipo “L”  1 ½”</t>
  </si>
  <si>
    <t>Suministro de conduletas conduit galvanizada tipo “T”  1 ½”</t>
  </si>
  <si>
    <t>Suministro de conduletas conduit galvanizada tipo “X”  1 ½”</t>
  </si>
  <si>
    <t>Suministro de conduletas conduit PVC tipo industrial (pesadas), “C”  ¾”</t>
  </si>
  <si>
    <t>Suministro de conduletas conduit PVC tipo industrial (pesadas), “L”  ¾”</t>
  </si>
  <si>
    <t>Suministro de conduletas conduit PVC tipo industrial (pesadas), “T”  ¾”</t>
  </si>
  <si>
    <t>Suministro de conduletas conduit PVC tipo industrial (pesadas), “X”  ¾”</t>
  </si>
  <si>
    <t>Suministro de conduletas conduit PVC tipo industrial (pesadas), “C”  1”</t>
  </si>
  <si>
    <t>Suministro de conduletas conduit PVC tipo industrial (pesadas), “L”  1”</t>
  </si>
  <si>
    <t>Suministro de conduletas conduit PVC tipo industrial (pesadas), “T”  1”</t>
  </si>
  <si>
    <t>Suministro de conduletas conduit PVC tipo industrial (pesadas), “X”  1”</t>
  </si>
  <si>
    <t>Suministro de sellos cortafuegos galvanizado ¾”</t>
  </si>
  <si>
    <t>Suministro de sellos cortafuegos galvanizado  1”</t>
  </si>
  <si>
    <t>Suministro de unión universal galvanizada ¾”</t>
  </si>
  <si>
    <t>Suministro de unión universal galvanizada 1”</t>
  </si>
  <si>
    <t>Suministro de HUB ¾”</t>
  </si>
  <si>
    <t>Suministro de HUB 1”</t>
  </si>
  <si>
    <t>Suministro de HUB 1-1/2"</t>
  </si>
  <si>
    <t>Suministro de HUB 2”</t>
  </si>
  <si>
    <t>Suministro de HUB 3”</t>
  </si>
  <si>
    <t>Suministro de cinta Scotchrap 51 3M</t>
  </si>
  <si>
    <t>RO</t>
  </si>
  <si>
    <t>Suministro de cinta Scotch 33 3M</t>
  </si>
  <si>
    <t>Suministro de cinta Scotch 130 3M</t>
  </si>
  <si>
    <t>Suministro de pintura epoxica Azul medio</t>
  </si>
  <si>
    <r>
      <t>Suministro de</t>
    </r>
    <r>
      <rPr>
        <sz val="10"/>
        <color indexed="10"/>
        <rFont val="Arial"/>
        <family val="2"/>
      </rPr>
      <t xml:space="preserve"> </t>
    </r>
    <r>
      <rPr>
        <sz val="10"/>
        <color indexed="8"/>
        <rFont val="Arial"/>
        <family val="2"/>
      </rPr>
      <t>channel inoxidable 304</t>
    </r>
  </si>
  <si>
    <t>Camión canasta</t>
  </si>
  <si>
    <t>DIA</t>
  </si>
  <si>
    <t>Aislador de barraje de 25mm x 1/4" con tornillos (completo)</t>
  </si>
  <si>
    <t>Balasto de emergencia marca Iluminaciones Técnicas, Ref. IT2401EBH</t>
  </si>
  <si>
    <t>Suministro bombillo 160w / Mercurio / 220V</t>
  </si>
  <si>
    <t>Suministro bombillo 250w / Mercurio / 220V</t>
  </si>
  <si>
    <t>Suministro bombillo 400w / Mercurio / 220V</t>
  </si>
  <si>
    <t>Suministro bombillo 100w / Metal Halide / 220V</t>
  </si>
  <si>
    <t>Suministro bombillo 175w / Metal Halide / 220V</t>
  </si>
  <si>
    <t>Suministro bombillo 250w / Metal Halide / 220V</t>
  </si>
  <si>
    <t>Suministro bombillo 400w / Metal Halide / 220V</t>
  </si>
  <si>
    <t>Suministro bombillo 1000w / Metal Halide / 220V</t>
  </si>
  <si>
    <t xml:space="preserve">Suministro bombillo sodio 150w </t>
  </si>
  <si>
    <t>Suministro bombillo 250w / Sodio / 220V</t>
  </si>
  <si>
    <t>Suministro bombillo 400w / Sodio / 220V</t>
  </si>
  <si>
    <t>Suministro KIT 160w / Mercurio / 220V</t>
  </si>
  <si>
    <t>Suministro KTI 250w / Mercurio / 220V</t>
  </si>
  <si>
    <t>Suministro KIT 400w / Mercurio / 220V</t>
  </si>
  <si>
    <t>Suministro KIT 100w / Metal Halide / 220V</t>
  </si>
  <si>
    <t>Suministro KIT 175w / Metal Halide / 220V</t>
  </si>
  <si>
    <t>Suministro KIT 250w / Metal Halide / 220V</t>
  </si>
  <si>
    <t>Suministro KIT 400w / Metal Halide / 220V</t>
  </si>
  <si>
    <t>Suministro KIT 1000w / Metal Halide / 220V</t>
  </si>
  <si>
    <t>Suministro KIT 150w / Sodio / 220V</t>
  </si>
  <si>
    <t>Suministro KIT 250w / Sodio / 220V</t>
  </si>
  <si>
    <t>Suministro KIT 400w / Sodio / 220V</t>
  </si>
  <si>
    <t>Breaker 1 x 20Amp. Enchufable</t>
  </si>
  <si>
    <t>Breaker 2 x 20Amp. Enchufable</t>
  </si>
  <si>
    <t>Breaker 1 x 30Amp. Enchufable</t>
  </si>
  <si>
    <t>Breaker 2 x 30Amp. Enchufable</t>
  </si>
  <si>
    <t>Breaker 3 x 40Amp. Enchufable</t>
  </si>
  <si>
    <t>Breaker totalizador 3x40A, tipo industrial. Ref: EZC100B3040 - Scheneider</t>
  </si>
  <si>
    <t>Cable # 8, Centelsa</t>
  </si>
  <si>
    <t>Cable #10 THHN/THW (Centelsa)</t>
  </si>
  <si>
    <t>Cable #12 THHN/THW (Centelsa)</t>
  </si>
  <si>
    <t>Cable 3x10 (Centelsa)</t>
  </si>
  <si>
    <t>Cable #6 THHN/THW  600 V 90°C (Centelsa)</t>
  </si>
  <si>
    <t>Cable #2 THHN/THW  600 V 90°C (Centelsa)</t>
  </si>
  <si>
    <t>Cable #1/0 THHN/THW  600 V 90°C (Centelsa)</t>
  </si>
  <si>
    <t>Cable #2/0 THHN/THW  600 V 90°C (Centelsa)</t>
  </si>
  <si>
    <t>Cable #4/0 THHN/THW  600 V 90°C (Centelsa)</t>
  </si>
  <si>
    <t>Cable #250 MCM THHN/THW  600 V 90°C (Centelsa)</t>
  </si>
  <si>
    <t>Cable # 500 MCM THHN/THW  600 V 90°C (Centelsa)</t>
  </si>
  <si>
    <t>Cable de Cobre Desnudo No. 2 (Centelsa)</t>
  </si>
  <si>
    <t>Caja Radweld 2x4 para tubería EMT cerrada</t>
  </si>
  <si>
    <t>Caja Radweld 4x4 para tubería EMT cerrada</t>
  </si>
  <si>
    <t>Caja PVC 2 x 4"</t>
  </si>
  <si>
    <t>Caja PVC 4 x 4" con sumplento</t>
  </si>
  <si>
    <t>Caja de paso en acero inoxidable de 40x40cm IP 65</t>
  </si>
  <si>
    <t>Caja de paso termoplasticas de 40x40cm IP 65</t>
  </si>
  <si>
    <t xml:space="preserve">Extractor 110V. Marca Siemens. Ref 2CC2 254-5YC3. </t>
  </si>
  <si>
    <t>Fotocelda de 1000W / 220V, Fisher. Incluye base y soportería para montaje</t>
  </si>
  <si>
    <t>Lampara Fluorescente 4 x 17W Incrustar de emergencia</t>
  </si>
  <si>
    <t xml:space="preserve">Luminaria fluorescente de 110V 2x32w, hermetica, de sobreponer. Marca Phillips, incluye bombillos T8 de 6500K y balasto electrónico </t>
  </si>
  <si>
    <t>Luminaria Wallpack sodio 150w / 220v. Marca Roy Alpha. Incluye bombillo, arrancador, capacitor y transformador</t>
  </si>
  <si>
    <t>Suministro luminaria Tipo poste Completa / Con bombillo sodio 150w / Calima II</t>
  </si>
  <si>
    <t>Suministro Luminaria 4x17W, T8 6500K de 60x60cm. Con tubos fluorescentes, balasto electronico y accesorios de montaje</t>
  </si>
  <si>
    <t>Suministro brazo para luminiara de 2mts de largo x 1 1/4"</t>
  </si>
  <si>
    <t>Soldadura Cadwell de 115gr</t>
  </si>
  <si>
    <t>Tablero multibreaker trifásico de 12 circuitos, con espacio para totalizador. Blanco. Con puerta, chapa y llave</t>
  </si>
  <si>
    <t>Tablero multibreaker trifásico de 18 circuitos, con espacio para totalizador. Blanco. Con puerta, chapa y llave</t>
  </si>
  <si>
    <t>Tablero multibreaker trifásico de 24 circuitos, con espacio para totalizador. Blanco. Con puerta, chapa y llave</t>
  </si>
  <si>
    <t>Tablero multibreaker trifásico de 36 circuitos, con espacio para totalizador. Blanco. Con puerta, chapa y llave</t>
  </si>
  <si>
    <t>Tablero multibreaker trifásico de 42 circuitos, con espacio para totalizador. Blanco. Con puerta, chapa y llave</t>
  </si>
  <si>
    <t>Tablero bifásico 4 Ctos</t>
  </si>
  <si>
    <t xml:space="preserve">Tapa Ciega 4 x 4" - PVC </t>
  </si>
  <si>
    <t>Terminal ponchable  para calibre 4</t>
  </si>
  <si>
    <t>Terminal ponchable  para calibre 6</t>
  </si>
  <si>
    <t>Terminal ponchable para calibre 2</t>
  </si>
  <si>
    <t>Terminal ponchable para calibre 8</t>
  </si>
  <si>
    <t>Tomacorriente 110v LEVINTON con tapa tipo waterproof</t>
  </si>
  <si>
    <t>Tomacorriente doble tipo GFCI, LEVINTON 110V, con tapa</t>
  </si>
  <si>
    <t>Poste de fibra de vidrio de 12mts 750kgs</t>
  </si>
  <si>
    <t>Poste de concreto de 10mts 750kgs</t>
  </si>
  <si>
    <t>Poste de concreto de 12mts 750kgs</t>
  </si>
  <si>
    <t>Sensores de Movimiento</t>
  </si>
  <si>
    <t>Varilla Cobre 5/8" x 2,40 mts</t>
  </si>
  <si>
    <t>ADMINISTRACION</t>
  </si>
  <si>
    <t>COSTO UNITARIO</t>
  </si>
  <si>
    <t>COSTO UNITARIO DE MATERIALES (M):</t>
  </si>
  <si>
    <t>TOTAL EQUIPOS:</t>
  </si>
  <si>
    <t>SUB TOTAL MANO DE OBRA (%):</t>
  </si>
  <si>
    <t>TR</t>
  </si>
  <si>
    <t>Juego de Tablas</t>
  </si>
  <si>
    <t>Lija</t>
  </si>
  <si>
    <t>Espatula</t>
  </si>
  <si>
    <t>Brocha</t>
  </si>
  <si>
    <t>Overol enterizo Manga larga</t>
  </si>
  <si>
    <t>Rodillo Profesional</t>
  </si>
  <si>
    <t>Breaker industrial EZC100N 20 A</t>
  </si>
  <si>
    <t>Breaker industrial EZC100N 30 A</t>
  </si>
  <si>
    <t>Breaker industrial EZC100N 40 A</t>
  </si>
  <si>
    <t>Breaker industrial EZC100N 50 A</t>
  </si>
  <si>
    <t>Breaker industrial EZC100N 60 A</t>
  </si>
  <si>
    <t>Breaker industrial EZC250N 125 A</t>
  </si>
  <si>
    <t xml:space="preserve">Breaker industrial EZC250N 150 A </t>
  </si>
  <si>
    <t>Breaker industrial EZC250N 200 A</t>
  </si>
  <si>
    <t>Breaker industrial EZC250N 250 A</t>
  </si>
  <si>
    <t>Cruceta de hierro de 5/16 x 21/2 x 6 M</t>
  </si>
  <si>
    <t>Cubre luz galvanizado en caliente de 20 cm de ancho util MECANO Referencia: CL AG20</t>
  </si>
  <si>
    <t>Cable encauchetado 4x10</t>
  </si>
  <si>
    <t>Cable encauchetado 4x12</t>
  </si>
  <si>
    <t>Cable encauchetado 4 x 14</t>
  </si>
  <si>
    <t>Cinta Super 33</t>
  </si>
  <si>
    <t>Capacete de 1 1/2"</t>
  </si>
  <si>
    <t>Capacete de 1", 3/4", o 1/2"</t>
  </si>
  <si>
    <t>Capacete de 2"</t>
  </si>
  <si>
    <t>Capacete de 3"</t>
  </si>
  <si>
    <t>Und</t>
  </si>
  <si>
    <t>Cinta peligro</t>
  </si>
  <si>
    <t>Cono de 70 cm</t>
  </si>
  <si>
    <t xml:space="preserve">Colombina plastica </t>
  </si>
  <si>
    <t>Manila de 1/2" x 20 mts</t>
  </si>
  <si>
    <t>Tablon</t>
  </si>
  <si>
    <t>Bandeja plastica</t>
  </si>
  <si>
    <t>Carretilla</t>
  </si>
  <si>
    <t>Oficial O.Civil</t>
  </si>
  <si>
    <t>Mona 4 Lb</t>
  </si>
  <si>
    <t>Mona 18 Lb</t>
  </si>
  <si>
    <t>Palustre</t>
  </si>
  <si>
    <t>Llana madera</t>
  </si>
  <si>
    <t>Llana metálica</t>
  </si>
  <si>
    <t>Mezcladora de concreto de 2 bultos</t>
  </si>
  <si>
    <t>Cortadora de concreto</t>
  </si>
  <si>
    <t xml:space="preserve">Planta electrica </t>
  </si>
  <si>
    <t>Martillo demoledor electrico</t>
  </si>
  <si>
    <t>Barra</t>
  </si>
  <si>
    <t>Vibrocompactador tipo canguro</t>
  </si>
  <si>
    <t>Paladraga</t>
  </si>
  <si>
    <t>Pizon</t>
  </si>
  <si>
    <t>mt</t>
  </si>
  <si>
    <t>Trozadora de metal</t>
  </si>
  <si>
    <t>Compresor + Equipo Pintura</t>
  </si>
  <si>
    <t>Hacha con cabo</t>
  </si>
  <si>
    <t>Antenaya</t>
  </si>
  <si>
    <t>Equipo extracción de nucleos</t>
  </si>
  <si>
    <t>Equipo perforación dirigida</t>
  </si>
  <si>
    <t>Equipo perforación neumática</t>
  </si>
  <si>
    <t>Juego 4 ruedas para andamio</t>
  </si>
  <si>
    <t>Motobomba</t>
  </si>
  <si>
    <t>Sonda pesada 200 mts</t>
  </si>
  <si>
    <t>Sonda electrica 30mts</t>
  </si>
  <si>
    <t>Guantes primarios</t>
  </si>
  <si>
    <t>Alquiler Computador</t>
  </si>
  <si>
    <t>Licencia Autocad</t>
  </si>
  <si>
    <t>SUELDO BASICO</t>
  </si>
  <si>
    <t>HORAS EXTRAS DIURNAS</t>
  </si>
  <si>
    <t>DOMINGOS Y FESTIVOS</t>
  </si>
  <si>
    <t>SUBSIDIO HABITACION</t>
  </si>
  <si>
    <t>SUBSIDIO ALIMENTACION</t>
  </si>
  <si>
    <t>SUBSIDIO FAMILIAR</t>
  </si>
  <si>
    <t>SERVICIOS MEDICOS</t>
  </si>
  <si>
    <t>SEGUROS SOCIALES</t>
  </si>
  <si>
    <t>APORTE SENA</t>
  </si>
  <si>
    <t>APORTE I.C.B.F.</t>
  </si>
  <si>
    <t>DOTACION ROPA Y CALZADO</t>
  </si>
  <si>
    <t>PRIMA DE SERVICIO</t>
  </si>
  <si>
    <t>PRIMA EXTRALEGAL</t>
  </si>
  <si>
    <t>PRIMA DE VACACIONES</t>
  </si>
  <si>
    <t>VACACIONES</t>
  </si>
  <si>
    <t>CESANTIAS E INTERESES</t>
  </si>
  <si>
    <t>SALARIO TOTAL/HORA</t>
  </si>
  <si>
    <t>SALARIO TOTAL/DÍA</t>
  </si>
  <si>
    <t>NOMBRE DEL CARGO</t>
  </si>
  <si>
    <t>Almacenista</t>
  </si>
  <si>
    <t>Ayudante Almacenista</t>
  </si>
  <si>
    <t>Ayudante Eléctricista</t>
  </si>
  <si>
    <t>Ayudante Emp FO</t>
  </si>
  <si>
    <t>Ayudante Liniería</t>
  </si>
  <si>
    <t>Ayudante Metalmecánico</t>
  </si>
  <si>
    <t>Ayudante O.Civil</t>
  </si>
  <si>
    <t>Ayudante Pintura</t>
  </si>
  <si>
    <t>Dibujante - Digitador</t>
  </si>
  <si>
    <t>Director de Proyecto</t>
  </si>
  <si>
    <t>Empalmador de FO</t>
  </si>
  <si>
    <t>Gerente General</t>
  </si>
  <si>
    <t>Ingenierio Residente</t>
  </si>
  <si>
    <t>Oficial Eléctricista</t>
  </si>
  <si>
    <t>Oficial Metalmecánico</t>
  </si>
  <si>
    <t>Destonilladores</t>
  </si>
  <si>
    <t>Cámara Fotográfica Digital</t>
  </si>
  <si>
    <t>Fusionadora de FO Fujikura 12S</t>
  </si>
  <si>
    <t>Odómetro</t>
  </si>
  <si>
    <t>OTDR (Incluye VFL, Medidor Potencia y Bobina Lanzamiento)</t>
  </si>
  <si>
    <t>Malacate</t>
  </si>
  <si>
    <t>Formaleta metálica bordillo</t>
  </si>
  <si>
    <t>Formaleta metálica cámara 2F1</t>
  </si>
  <si>
    <t>Formaleta metálica cámara P4</t>
  </si>
  <si>
    <t>Formaleta metálica cámara prefabricada 40 x 40</t>
  </si>
  <si>
    <t>VALOR COMPRA</t>
  </si>
  <si>
    <t>IVA</t>
  </si>
  <si>
    <t>GANANCIA</t>
  </si>
  <si>
    <t>VALOR VENDIDO</t>
  </si>
  <si>
    <t>VALOR REAL</t>
  </si>
  <si>
    <t>Fotocelda</t>
  </si>
  <si>
    <t>RENDIMIENTO</t>
  </si>
  <si>
    <t>TOTAL TRANSPORTE:</t>
  </si>
  <si>
    <t>SISO</t>
  </si>
  <si>
    <t>VALOR PARCIAL</t>
  </si>
  <si>
    <t>Cordialmente,</t>
  </si>
  <si>
    <t>OBJETO
CONTRATO</t>
  </si>
  <si>
    <t>FECHA</t>
  </si>
  <si>
    <t>CAPITULO</t>
  </si>
  <si>
    <t>ITEM</t>
  </si>
  <si>
    <t>DESCRIPCIÓN</t>
  </si>
  <si>
    <t>ANALISIS DE PRECIOS UNITARIOS</t>
  </si>
  <si>
    <t>I. EQUIPO</t>
  </si>
  <si>
    <t>COSTO DIRECTO</t>
  </si>
  <si>
    <t>TARIFA</t>
  </si>
  <si>
    <t>PRECIO UNITARIO
(COP$)</t>
  </si>
  <si>
    <t>II. SUMINISTRO Y/O MATERIALES</t>
  </si>
  <si>
    <t>III. TRANSPORTES</t>
  </si>
  <si>
    <t>VOL O PESO</t>
  </si>
  <si>
    <t>DISTANCIA</t>
  </si>
  <si>
    <t>M3 ó T/Km</t>
  </si>
  <si>
    <t>IV. MANO DE OBRA</t>
  </si>
  <si>
    <t xml:space="preserve">COSTO   </t>
  </si>
  <si>
    <t>V. COSTOS INDIRECTOS</t>
  </si>
  <si>
    <t>PORCENTAJE</t>
  </si>
  <si>
    <t>VR. TOTAL</t>
  </si>
  <si>
    <t>IMPREVISTOS</t>
  </si>
  <si>
    <t>PRECIO UNITARIO TOTAL</t>
  </si>
  <si>
    <t>C.Material</t>
  </si>
  <si>
    <t>Unidad</t>
  </si>
  <si>
    <t>Ítem</t>
  </si>
  <si>
    <t>Descripción</t>
  </si>
  <si>
    <t>Cantidad</t>
  </si>
  <si>
    <t>TOTAL OBRA</t>
  </si>
  <si>
    <t>ÁLVARO NAVARRO C.</t>
  </si>
  <si>
    <t>Agradecemos su amable invitación a cotizar y quedamos atentos a resolver cualquier inquietud al respecto.</t>
  </si>
  <si>
    <t>PRESUPUESTO DE PROYECTOS</t>
  </si>
  <si>
    <t>ITEMS</t>
  </si>
  <si>
    <t>COSTO MENSUAL</t>
  </si>
  <si>
    <t>COSTO DIARIO</t>
  </si>
  <si>
    <t>MARGEN DE CONTRIBUCCION MENSUAL</t>
  </si>
  <si>
    <t>NOMBRE DE LA EMPRESA:</t>
  </si>
  <si>
    <t>EPP:</t>
  </si>
  <si>
    <t>NOMBRE DEL PROYECTO:</t>
  </si>
  <si>
    <t>EPP ESPECIAL:</t>
  </si>
  <si>
    <t>ULTIMA ACTUALIZACION DE PRECIOS</t>
  </si>
  <si>
    <t>DOTACION :</t>
  </si>
  <si>
    <t>REALIZADO POR:</t>
  </si>
  <si>
    <t>REQUERIMIENTOS LEGALES:</t>
  </si>
  <si>
    <t>REVISADO POR:</t>
  </si>
  <si>
    <t>OPCIONALES:</t>
  </si>
  <si>
    <t>APROBADO POR:</t>
  </si>
  <si>
    <t>EQUIPOS DE ALTURA:</t>
  </si>
  <si>
    <t>TOTAL PRESUPUESTO HSE:</t>
  </si>
  <si>
    <t>PLAN DE EMERGENCIA:</t>
  </si>
  <si>
    <t>TOTAL GASTO HSE:</t>
  </si>
  <si>
    <t>EQUIPOS ESPECIALES:</t>
  </si>
  <si>
    <t>GESTION DE AHORRO:</t>
  </si>
  <si>
    <t>GASTOS ADMINISTRATIVOS:</t>
  </si>
  <si>
    <t>INDICADOR DE CUMPLIMIENTO (%):</t>
  </si>
  <si>
    <t>TOTAL COSTO MENSUAL:</t>
  </si>
  <si>
    <t>NUMERO DE TRABAJADORES:</t>
  </si>
  <si>
    <t>TOTAL COSTO DURACION DEL PROYECTO:</t>
  </si>
  <si>
    <t>DURACION DEL PROYECTO MESES:</t>
  </si>
  <si>
    <t>TABLA DE COSTOS</t>
  </si>
  <si>
    <t>DURACION X MES O AMORTIZABLE</t>
  </si>
  <si>
    <t>COSTO X IVA INCLUIDO</t>
  </si>
  <si>
    <t>GASTOS X MES O AMORTIZACION</t>
  </si>
  <si>
    <t>EPP</t>
  </si>
  <si>
    <t>casco</t>
  </si>
  <si>
    <t>amortizable (12 meses)</t>
  </si>
  <si>
    <t>x</t>
  </si>
  <si>
    <t>gafas claras</t>
  </si>
  <si>
    <t>gafas oscuras</t>
  </si>
  <si>
    <t>protectores auditivos</t>
  </si>
  <si>
    <t>protectores nasobucal</t>
  </si>
  <si>
    <t>escafandra</t>
  </si>
  <si>
    <t>amortizable (3 meses)</t>
  </si>
  <si>
    <t>guantes de nitrilo</t>
  </si>
  <si>
    <t>guantes de carnaza</t>
  </si>
  <si>
    <t>TOTALES DE EPP</t>
  </si>
  <si>
    <t>EPP especiales</t>
  </si>
  <si>
    <t>botas pantaneras con punteras</t>
  </si>
  <si>
    <t>trajes taiveck A70 riesgo quimico biologico</t>
  </si>
  <si>
    <t>Monogafas</t>
  </si>
  <si>
    <t>amortizable (2 meses)</t>
  </si>
  <si>
    <t>careta pulidora</t>
  </si>
  <si>
    <t>guantes de carnaza largos de carnaza soldadura</t>
  </si>
  <si>
    <t>delantal de carnaza</t>
  </si>
  <si>
    <t>mascara doble filtro</t>
  </si>
  <si>
    <t>tapa oidos tipo copa</t>
  </si>
  <si>
    <t>amortizable (6 meses)</t>
  </si>
  <si>
    <t>chalecos reflectivos</t>
  </si>
  <si>
    <t>candados y etiquetas</t>
  </si>
  <si>
    <t>TOTAL EPP ESPECIALES</t>
  </si>
  <si>
    <t>DOTACION</t>
  </si>
  <si>
    <t>camisa dotacion</t>
  </si>
  <si>
    <t>amortizable 3 meses</t>
  </si>
  <si>
    <t>camisa dotacion bordados y reflectivos</t>
  </si>
  <si>
    <t>pantalon</t>
  </si>
  <si>
    <t>pantalon reflectivo</t>
  </si>
  <si>
    <t>botas dielectricas</t>
  </si>
  <si>
    <t>amortizable 6 meses</t>
  </si>
  <si>
    <t>TOTAL DOTACION</t>
  </si>
  <si>
    <t>REQUERIMIENTOS LEGALES</t>
  </si>
  <si>
    <t>curso de altura reentrenamiento</t>
  </si>
  <si>
    <t>amortizable 12 meses</t>
  </si>
  <si>
    <t>examenes ocupacionales ingreso nuevo trabajador</t>
  </si>
  <si>
    <t>examenes ocupacionales trabajador antiguo</t>
  </si>
  <si>
    <t>examenes ocupacionales retiro</t>
  </si>
  <si>
    <t>vacunas (cuadro tetano 3 ciclos)</t>
  </si>
  <si>
    <t>TOTAL REQUERIMIENTOS LEGALES</t>
  </si>
  <si>
    <t>OPCIONALES</t>
  </si>
  <si>
    <t>curso avanzado en altura</t>
  </si>
  <si>
    <t>curso coordinador de altura</t>
  </si>
  <si>
    <t>curso de plataforma articulares</t>
  </si>
  <si>
    <t>TOTAL OPCIONALES</t>
  </si>
  <si>
    <t>EQUIPOS DE ALTURA</t>
  </si>
  <si>
    <t>arnes dielectrico</t>
  </si>
  <si>
    <t>eslinga en Y</t>
  </si>
  <si>
    <t>eslinga con absorcion de choque</t>
  </si>
  <si>
    <t>tai off</t>
  </si>
  <si>
    <t>TOTAL EQUIPO DE ALTURA</t>
  </si>
  <si>
    <t>PLAN DE EMERGENCIA</t>
  </si>
  <si>
    <t>recarga extintor solkaflam</t>
  </si>
  <si>
    <t>recarga extintor multipropsito</t>
  </si>
  <si>
    <t>recarga del botiquin</t>
  </si>
  <si>
    <t>TOTAL PLAN DE EMERGENCIA</t>
  </si>
  <si>
    <t>EQUIPOS ESPECIALES</t>
  </si>
  <si>
    <t>calibracion alcoholimetro</t>
  </si>
  <si>
    <t>calibracion sonometro</t>
  </si>
  <si>
    <t>calibracion luxometro</t>
  </si>
  <si>
    <t>TOTAL EQUIPOS ESPECIALES</t>
  </si>
  <si>
    <t>GASTOS ADMINISTRATIVOS</t>
  </si>
  <si>
    <t>auditorias sistema de gestion (certificacion)</t>
  </si>
  <si>
    <t>amortizable (36 meses)</t>
  </si>
  <si>
    <t>fumigacion oficina</t>
  </si>
  <si>
    <t>disposicion de residuos oficina</t>
  </si>
  <si>
    <t>formatos papeleria</t>
  </si>
  <si>
    <t>otros</t>
  </si>
  <si>
    <t>TOTAL GASTOS ADMINISTRATIVOS</t>
  </si>
  <si>
    <t>TOTAL COSTO DEL DSISTEMA DE GESTION EN SEGURIDAD Y SALUD EN EL TRABAJO Y AMBIENTE MENSUAL</t>
  </si>
  <si>
    <t>TABLA DE RECARGOS Y HORAS EXTRAS SEGÚN SALARIO</t>
  </si>
  <si>
    <t>Cargo</t>
  </si>
  <si>
    <t>Salario</t>
  </si>
  <si>
    <t>Valor Hora</t>
  </si>
  <si>
    <t>Horas trabajadas</t>
  </si>
  <si>
    <t>Total costo horas</t>
  </si>
  <si>
    <t>Recardo nocturno</t>
  </si>
  <si>
    <t>Hora extra diurna</t>
  </si>
  <si>
    <t>Recargo dominical</t>
  </si>
  <si>
    <t>Total costo Horas</t>
  </si>
  <si>
    <t>Extra noctura o recargo domingical/festivo nocturo</t>
  </si>
  <si>
    <t>Hora extra dominical nocturna</t>
  </si>
  <si>
    <t>Total Costo horas</t>
  </si>
  <si>
    <t>Ingeniero</t>
  </si>
  <si>
    <t>Supervisor</t>
  </si>
  <si>
    <t>Tecnico electricista</t>
  </si>
  <si>
    <t>Auxiliar electricista</t>
  </si>
  <si>
    <t>El recargo nocturno es aquel que se paga al trabajador que desarrolla su jornada ordinaria en la noche, que en Colombia es entre las 9 de la noche y las 6 de la mañana del día siguiente.</t>
  </si>
  <si>
    <t>Hora extra es aquella hora que se trabaja adicional a las 10 horas diarias o a la jornada ordinaria pactada entre la partes.</t>
  </si>
  <si>
    <t xml:space="preserve">Recargo dominical </t>
  </si>
  <si>
    <t>El recargo dominical es aquel que se paga al trabajador que desarrolla su jornada ordinaria en dia domingo</t>
  </si>
  <si>
    <t>Recardo dominical nocturno</t>
  </si>
  <si>
    <t>Para que se configure una hora dominical o festiva nocturna el trabajador debe cumplir dos condiciones:
Trabajar la jornada ordinaria en un domingo o un festivo
Trabajar en horario nocturno (9pm – 6am)</t>
  </si>
  <si>
    <t>La hora extra nocturna dominical o festiva se configura cuando se cumplen tres condiciones:
Se trabaja en un domingo o festivo.
Se trabaja tiempo extra o suplementario
El trabajo extra se desarrolla en horario nocturno (9pm – 6am)</t>
  </si>
  <si>
    <t>Telefono</t>
  </si>
  <si>
    <t>Directorio</t>
  </si>
  <si>
    <t>Email</t>
  </si>
  <si>
    <t>CREDITO 30 DIAS</t>
  </si>
  <si>
    <t>CREDITO 90 DIAS</t>
  </si>
  <si>
    <t>CONDICIONES DE PAGO</t>
  </si>
  <si>
    <t>CREDITO 60 DIAS</t>
  </si>
  <si>
    <t>CREDITO 45 DIAS</t>
  </si>
  <si>
    <t>ANTICIPO 30%, 70% UNA VEZ FINALIZADA LA OBRA</t>
  </si>
  <si>
    <t>ANTICIPO 40%, 60% UNA VEZ FINALIZADA LA OBRA</t>
  </si>
  <si>
    <t>CONTADO</t>
  </si>
  <si>
    <t>MATERIAL</t>
  </si>
  <si>
    <t>MANO OBRA</t>
  </si>
  <si>
    <t>EQUIPO</t>
  </si>
  <si>
    <t>TRANSPORTE</t>
  </si>
  <si>
    <t>RETEFUENTE</t>
  </si>
  <si>
    <t>ICA</t>
  </si>
  <si>
    <t>RETEIVA</t>
  </si>
  <si>
    <t>DISEÑO</t>
  </si>
  <si>
    <t>SERVICIO</t>
  </si>
  <si>
    <t>ALQUILER EQUIPOS</t>
  </si>
  <si>
    <t>COMPRA</t>
  </si>
  <si>
    <t>CONSTRUCCION</t>
  </si>
  <si>
    <t>BARRANQUILLA</t>
  </si>
  <si>
    <t>SOLEDAD</t>
  </si>
  <si>
    <t xml:space="preserve">Fecha: Agosto 18.
Versión: 000                                                                                                                                                                                                                                                                                                                           Código: </t>
  </si>
  <si>
    <t>FORMATO DE COTIZACIÓN UCAPS</t>
  </si>
  <si>
    <t>Número de cotización: COT-</t>
  </si>
  <si>
    <t>ALCALDIA</t>
  </si>
  <si>
    <t>MOMPOX</t>
  </si>
  <si>
    <t>PROYECTO</t>
  </si>
  <si>
    <t>MODERNIZACION ALUMBRADO PUBLICO</t>
  </si>
  <si>
    <t xml:space="preserve">MUNICIPIO: </t>
  </si>
  <si>
    <t>FECHA:</t>
  </si>
  <si>
    <t>DURACION:</t>
  </si>
  <si>
    <t>ALCANCE:</t>
  </si>
  <si>
    <t>MODERNIZACION A TECNOLOGIA LED</t>
  </si>
  <si>
    <t>Aislador tipo carrete (ansi 53-2)</t>
  </si>
  <si>
    <t>Aislador Line post 23 kv</t>
  </si>
  <si>
    <t>Aislador suspensión polimerico 15kV</t>
  </si>
  <si>
    <t>Aislador tensor 3/8</t>
  </si>
  <si>
    <t>Alambre acero galvanizado 10 grado comun</t>
  </si>
  <si>
    <t>Alambre aluminio aislado # 8</t>
  </si>
  <si>
    <t>Alambre aluminio aislado # 6</t>
  </si>
  <si>
    <t>Amarra plastica de 100 mm</t>
  </si>
  <si>
    <t>Amarra plastica de 200 mm</t>
  </si>
  <si>
    <t>Amarra plastica de 300 mm</t>
  </si>
  <si>
    <t>Arandela plana redonda 1/2</t>
  </si>
  <si>
    <t>Arandela plana redonda 1/4</t>
  </si>
  <si>
    <t>Arandela Presion 1/2</t>
  </si>
  <si>
    <t>Arandela Presion 5/8</t>
  </si>
  <si>
    <t>Arandela cuadrada de 5/8 x 2 x 2</t>
  </si>
  <si>
    <t>Arandela cuadrada de 5/8 x 4 x 4</t>
  </si>
  <si>
    <t>Base para fotocelda con soporte en L</t>
  </si>
  <si>
    <t>Base para cortacircuito  en L</t>
  </si>
  <si>
    <t>Brazo metalico galvanizado 1 1/2", angulo 52°/0°, 2 metros, para soporte con collarin.</t>
  </si>
  <si>
    <t>Brazo metalico galvanizado 1 1/2", angulo 52°/0°, 1.5 metros, para soporte con collarin.</t>
  </si>
  <si>
    <t>Bloque anclaje de  400x300x100mm</t>
  </si>
  <si>
    <t>Cable de acero Galvanizado 3/8" extra alta resistencia</t>
  </si>
  <si>
    <t>Cable de acero Galvanizado 1/4" extra alta resistencia</t>
  </si>
  <si>
    <t>Cable ACSR 4 awg</t>
  </si>
  <si>
    <t>Cable ACSR 2 awg</t>
  </si>
  <si>
    <t>Cable AAAC 1/0 awg</t>
  </si>
  <si>
    <t>Cable poder manguera led</t>
  </si>
  <si>
    <t>Cable Aluminio THHW # 4 AWG S 8000</t>
  </si>
  <si>
    <t>Cable Aluminio THHW # 2 AWG S 8000</t>
  </si>
  <si>
    <t>Cable Aluminio THHW # 6 AWG S 8000</t>
  </si>
  <si>
    <t>Cable encauchetado 3 x 8 AWG</t>
  </si>
  <si>
    <t>Cable encauchetado 3 x 10 AWG</t>
  </si>
  <si>
    <t>Cable encauchetado 3 x 12 AWG</t>
  </si>
  <si>
    <t>Cable encauchetado 3 x 14 AWG</t>
  </si>
  <si>
    <t>Cable Cuadruplex 3 x 2 + 2 AWG Al autosoportado</t>
  </si>
  <si>
    <t>Cable Cuadruplex 3 x 4 + 4 AWG Al autosoportado</t>
  </si>
  <si>
    <t>Cable triplex 2 x 1/0 + 1/0 AWG Al autosoportado</t>
  </si>
  <si>
    <t>Cable triplex 2 x 2 + 2  AWG Al autosoportado</t>
  </si>
  <si>
    <t>Cable triplex 2 x 4 + 4  AWG Al autosoportado</t>
  </si>
  <si>
    <t>Cable #6 Cu forrado AWG THHN/THWN-2, 90 C°, 600 V.</t>
  </si>
  <si>
    <t>Cable #8 Cu forrado AWG THHN/THWN-2, 90 C°, 600 V.</t>
  </si>
  <si>
    <t>Cable de cu Desnudo # 2</t>
  </si>
  <si>
    <t>Cable de cu Desnudo # 8</t>
  </si>
  <si>
    <t>Caja radwelt 2x2 - 3 salidas 3/4</t>
  </si>
  <si>
    <t>Caja radwelt 4x4 - 3 salidas 3/4</t>
  </si>
  <si>
    <t xml:space="preserve">Caja prefabricada de 30x30 cm </t>
  </si>
  <si>
    <t xml:space="preserve">Caja prefabricada de 40x40 cm </t>
  </si>
  <si>
    <t>Capacete galvanizado de 2"</t>
  </si>
  <si>
    <t>Capacete galvanizado de 1 1/2"</t>
  </si>
  <si>
    <t>Capacete galvanizado de 1"</t>
  </si>
  <si>
    <t>Capacete galvanizado de 3/4"</t>
  </si>
  <si>
    <t>Cinta aislante  23</t>
  </si>
  <si>
    <t>Cinta aislante Super 33</t>
  </si>
  <si>
    <t xml:space="preserve">Cinta aislante temflex color rojo </t>
  </si>
  <si>
    <t>Cinta aislante temflex color blanco</t>
  </si>
  <si>
    <t>Cinta aislante temflex color verde</t>
  </si>
  <si>
    <t>Cinta señalizacion Amarillo negro peligro</t>
  </si>
  <si>
    <t>Cinta bandit 1/2" en acero marca eagle o similar</t>
  </si>
  <si>
    <t>Cinta bandit 5/8" en acero marca eagle o similar</t>
  </si>
  <si>
    <t>Cinta bandit 3/4" en acero marca eagle o similar</t>
  </si>
  <si>
    <t>Collarin de 5" a 6" una salida con tornillos 5/8 x 4"</t>
  </si>
  <si>
    <t>Collarin de 5" a 6" dos salidas con tornillos 5/8 x 4"</t>
  </si>
  <si>
    <t>Collarin de 6" a 7" una salida con tornillos 5/8 x 4"</t>
  </si>
  <si>
    <t>Collarin de 6" a 7" dos salidas con tornillos 5/8 x 4"</t>
  </si>
  <si>
    <t>Collarin de 7" a 8" una salida con tornillos 5/8 x 10"</t>
  </si>
  <si>
    <t>Collarin de 7" a 8" dos salidas con tornillos 5/8 x 10"</t>
  </si>
  <si>
    <t>Collarin de 8" a 9" Una salida con tornillos 5/8 x 4"</t>
  </si>
  <si>
    <t>Collarin de 8" a 9" dos salidas con tornillos 5/8 x 4"</t>
  </si>
  <si>
    <t>Collarin para transformador</t>
  </si>
  <si>
    <t>Platina de sujeccion para retenida</t>
  </si>
  <si>
    <t>Collarin antiescalante</t>
  </si>
  <si>
    <t>Conector de perforación CP120</t>
  </si>
  <si>
    <t>Conector de perforación CP70</t>
  </si>
  <si>
    <t>Conector ponchable AP1</t>
  </si>
  <si>
    <t>Conector ponchable AP2</t>
  </si>
  <si>
    <t>Conector ponchable en gel 6-2/ 14-8</t>
  </si>
  <si>
    <t>Conector resorte rojo</t>
  </si>
  <si>
    <t>Conector recto coraza 1 1/2"</t>
  </si>
  <si>
    <t>Conector recto coraza 1"</t>
  </si>
  <si>
    <t>Coraza LT 1 1/2"</t>
  </si>
  <si>
    <t>Coraza LT 1"</t>
  </si>
  <si>
    <t>Cruceta metalica autosoportada de 1,5 m</t>
  </si>
  <si>
    <t>Cruceta metalica autosoportada de 2,4 m</t>
  </si>
  <si>
    <t xml:space="preserve">Conduleta  1 1/2 LB                </t>
  </si>
  <si>
    <t xml:space="preserve">Conduleta 1 1/2 LL                 </t>
  </si>
  <si>
    <t xml:space="preserve">Conduleta 1 1/2 C </t>
  </si>
  <si>
    <t>Conduleta 1 1/2 LR</t>
  </si>
  <si>
    <t xml:space="preserve">Conduleta  1  LB                </t>
  </si>
  <si>
    <t xml:space="preserve">Conduleta 1  T </t>
  </si>
  <si>
    <t>Conduleta 1 LR</t>
  </si>
  <si>
    <t xml:space="preserve">Conduleta  3/4  LB                </t>
  </si>
  <si>
    <t xml:space="preserve">Conduleta 3/4  T </t>
  </si>
  <si>
    <t>Conduleta 3/4 LR</t>
  </si>
  <si>
    <t xml:space="preserve">Conduleta  1/2  LB                </t>
  </si>
  <si>
    <t xml:space="preserve">Conduleta 1/2  T </t>
  </si>
  <si>
    <t>Conduleta 1/2 LR</t>
  </si>
  <si>
    <t>Conector amovible P 4/0 - 2  S 6-4/0</t>
  </si>
  <si>
    <t>Conector ampac con estribo 1/0-2/0</t>
  </si>
  <si>
    <t xml:space="preserve">Conector varilla / Cable cobre </t>
  </si>
  <si>
    <t>Conector PVC 2"</t>
  </si>
  <si>
    <t>Conector PVC 1 1/2"</t>
  </si>
  <si>
    <t>Conector PVC 1"</t>
  </si>
  <si>
    <t>Conector PVC 3/4"</t>
  </si>
  <si>
    <t>Conector tipo H</t>
  </si>
  <si>
    <t>Conector compresion cobre 2-2</t>
  </si>
  <si>
    <t xml:space="preserve">Cortacircuito completo 15KVA 200A               </t>
  </si>
  <si>
    <t>Contrapeso tipo tuerca de ojo</t>
  </si>
  <si>
    <t>Curva PVC pesada de 2"</t>
  </si>
  <si>
    <t>Curva PVC pesada de 1 1/2"</t>
  </si>
  <si>
    <t>Curva PVC pesada de 1"</t>
  </si>
  <si>
    <t>Curva PVC pesada de 3/4"</t>
  </si>
  <si>
    <t>Descargadores de sobretension de 15Kv</t>
  </si>
  <si>
    <t>Esparrago de 5/8 x 12"</t>
  </si>
  <si>
    <t>Esparrago de 5/8 x 18"</t>
  </si>
  <si>
    <t>Escuadra 90 grados recta en acero o niquel de 50x50 mm</t>
  </si>
  <si>
    <t>Fusible de expulsión 0.4 (SR) tipo D</t>
  </si>
  <si>
    <t>Fusible de expulsión 2 (VS)</t>
  </si>
  <si>
    <t>Grapa tipo pistola 1/0</t>
  </si>
  <si>
    <t>Grapa tres pernos 1 1/2 x 3/8</t>
  </si>
  <si>
    <t>Grillete largo recto 5/8</t>
  </si>
  <si>
    <t>Guardacabo 5/8</t>
  </si>
  <si>
    <t>Hebilla bandit 5/8"</t>
  </si>
  <si>
    <t>Hebilla bandit 1/2"</t>
  </si>
  <si>
    <t>Hebilla bandit 3/4"</t>
  </si>
  <si>
    <t>Kit stavol para SPT</t>
  </si>
  <si>
    <t>Luminaria farol LED 31w</t>
  </si>
  <si>
    <t>Luminaria farol LED 62w</t>
  </si>
  <si>
    <t>Cinta led de 3,6w x 1m - 240V</t>
  </si>
  <si>
    <t>Medidor Monofasico 480/240</t>
  </si>
  <si>
    <t>Medidor Trifasico 480/240</t>
  </si>
  <si>
    <t>breaker 2 polo 15 amperios riel</t>
  </si>
  <si>
    <t>breaker 2 polo 20 amperios riel</t>
  </si>
  <si>
    <t>breaker 2 polo 40 amperios riel</t>
  </si>
  <si>
    <t>breaker 2 polo 60 amperios riel</t>
  </si>
  <si>
    <t>breaker 1 polo 20 amperios riel</t>
  </si>
  <si>
    <t>breaker 1 polo 50 amperios riel</t>
  </si>
  <si>
    <t>Pecha de un puesto ANSI 53-2</t>
  </si>
  <si>
    <t>Perno 5/8 x 4"</t>
  </si>
  <si>
    <t>Perno 5/8 x 10"</t>
  </si>
  <si>
    <t>Perno 5/8 x 12"</t>
  </si>
  <si>
    <t>Perno de ojo de 5/8 x 12</t>
  </si>
  <si>
    <t xml:space="preserve">Pinza de Retensión en baja tensión de Ø 4 a 22 mm </t>
  </si>
  <si>
    <t>Poste de 10 mts 510 KGF de fibra de vidrio</t>
  </si>
  <si>
    <t>Poste de 10 mts 750 KGF de fibra de vidrio</t>
  </si>
  <si>
    <t>Poste de 8 mts 510 KGF de fibra de vidrio</t>
  </si>
  <si>
    <t>Poste de 12 mts 510 KGF de fibra de vidrio</t>
  </si>
  <si>
    <t>Poste de 12 mts 750 KGF de fibra de vidrio</t>
  </si>
  <si>
    <t>Poste de 12 mts 350 KGF de fibra de vidrio</t>
  </si>
  <si>
    <t>Poste de 10 mts 750 KGF de concreto</t>
  </si>
  <si>
    <t>Poste de 12 mts 750 KGF de concreto</t>
  </si>
  <si>
    <t>Poste de 12 mts 1050 KGF de concreto</t>
  </si>
  <si>
    <t>Poste de 12 mts 1350 KGF de concreto</t>
  </si>
  <si>
    <t>Poste de 10 mts 750 KGF Translucido</t>
  </si>
  <si>
    <t>Poste de 10 mts 510 KGF Translucido</t>
  </si>
  <si>
    <t>Poste de 10 mts 350 KGF Translucido</t>
  </si>
  <si>
    <t>Poste de 12 mts 510 KGF Translucido</t>
  </si>
  <si>
    <t>Poste de 12 mts 750 KGF Translucido</t>
  </si>
  <si>
    <t>Prensa estopa 1/2</t>
  </si>
  <si>
    <t>Prensa estopa 3/4</t>
  </si>
  <si>
    <t>Reflector Led 110w</t>
  </si>
  <si>
    <t>Reflector Led 210w</t>
  </si>
  <si>
    <t>Reflector Led 35w</t>
  </si>
  <si>
    <t>Reflector Led 300w</t>
  </si>
  <si>
    <t>Reflector Led 400w</t>
  </si>
  <si>
    <t>Soldadura PVC x 1/8</t>
  </si>
  <si>
    <t>Tapon sellador para cable 2</t>
  </si>
  <si>
    <t>Tapon sellador para cable 4</t>
  </si>
  <si>
    <t>Tornillo y tuerca 5/8"x3"</t>
  </si>
  <si>
    <t>Tablero para medida directa con espacio para Interruptor</t>
  </si>
  <si>
    <t>Terminal aluminio cable # 1/0</t>
  </si>
  <si>
    <t>Terminal aluminio cable # 2</t>
  </si>
  <si>
    <t>Terminal aluminio cable # 4</t>
  </si>
  <si>
    <t>Transformador Monofasico 5 kVA 13200/480-240</t>
  </si>
  <si>
    <t>Transformador Monofasico 10 kVA 13200/480-240</t>
  </si>
  <si>
    <t>Transformador Monofasico 15 kVA 13200/480-240</t>
  </si>
  <si>
    <t>Tubo metálico IMC de 2" x 3 mts</t>
  </si>
  <si>
    <t>Tubo metálico IMC de 1 1/2" x 3 mts</t>
  </si>
  <si>
    <t>Tubo metálico IMC de 1" x 3 mts</t>
  </si>
  <si>
    <t>Tubo metálico IMC de 3/4" x 3 mts</t>
  </si>
  <si>
    <t>Tubo PVC pesado de 2" x 3 mts</t>
  </si>
  <si>
    <t>Tubo PVC pesado de 1 1/2" x 3 mts</t>
  </si>
  <si>
    <t>Tubo PVC pesado de 1" x 3 mts</t>
  </si>
  <si>
    <t>Tubo PVC pesado de 3/4" x 3 mts</t>
  </si>
  <si>
    <t>Union manguera led</t>
  </si>
  <si>
    <t>Unión IMC 1 1/2"</t>
  </si>
  <si>
    <t>Varilla corrugada 3/8" x  1 m</t>
  </si>
  <si>
    <t>Varilla corrugada 5/8" x 1 m</t>
  </si>
  <si>
    <t>Varilla cooperweld 5/8" x 2,4 m</t>
  </si>
  <si>
    <t>Varilla anclaje 5/8 x 1500mm</t>
  </si>
  <si>
    <t>SIESA</t>
  </si>
  <si>
    <t>Luminaria Led 150W Kingsun</t>
  </si>
  <si>
    <t>Luminaria Led 110W Kingsun</t>
  </si>
  <si>
    <t>Luminaria Led 35w Kingsun</t>
  </si>
  <si>
    <t>Luminaria Led 52w Kingsun</t>
  </si>
  <si>
    <t>Luminaria Led 75w Kingsun</t>
  </si>
  <si>
    <t>Luminaria LED 35w</t>
  </si>
  <si>
    <t>Luminaria LED 52w</t>
  </si>
  <si>
    <t>Luminaria LED 75w</t>
  </si>
  <si>
    <t>Luminaria Led 110w</t>
  </si>
  <si>
    <t>X</t>
  </si>
  <si>
    <t>Reflector LED 110w</t>
  </si>
  <si>
    <t>Reflector LED 210w</t>
  </si>
  <si>
    <t>Reflector LED 400w</t>
  </si>
  <si>
    <t>Farol LED 31w</t>
  </si>
  <si>
    <t>Farol LED 61w</t>
  </si>
  <si>
    <t>Luminarias</t>
  </si>
  <si>
    <t>Posteria</t>
  </si>
  <si>
    <t>Poste metalico de 3 metros para farol doble</t>
  </si>
  <si>
    <t>Poste de concreto 8mx350kgf</t>
  </si>
  <si>
    <t>Poste de concreto 8mx750kgf</t>
  </si>
  <si>
    <t>Poste metalico de 3m</t>
  </si>
  <si>
    <t>Cimentacion concreto 3000 psi</t>
  </si>
  <si>
    <t>Poste de 8 mts 510 KGF de concreto</t>
  </si>
  <si>
    <t>BALA LED de piso 14w, 1020lm</t>
  </si>
  <si>
    <t>CINTA LED 5w/m, 560lm/m</t>
  </si>
  <si>
    <t>SPOT LED 14w, 650lm</t>
  </si>
  <si>
    <t>WALLPACK LED 30w, 3180lm</t>
  </si>
  <si>
    <t>BAÑADOR LINEAL DE SOBREPONER 1 METRO, 45w, 4300lm</t>
  </si>
  <si>
    <t>SPOT LED 14w, 650lm EMPOTRABLE</t>
  </si>
  <si>
    <t>Caja radwelt octagonal - 3 salidas 3/4</t>
  </si>
  <si>
    <t>Silicona liquida</t>
  </si>
  <si>
    <t>Tapa redonda metalica para radwelt</t>
  </si>
  <si>
    <t>Accesorios de Fijacion</t>
  </si>
  <si>
    <t>Poste de concreto 8mx510kgf</t>
  </si>
  <si>
    <t>Poste metalico de 4 metros para reflectores</t>
  </si>
  <si>
    <t>Poste de 8 mts 750 KGF de concreto</t>
  </si>
  <si>
    <t>Poste metalico de 4m</t>
  </si>
  <si>
    <t>Cableado</t>
  </si>
  <si>
    <t>Instalacion de Red de baja tensión  3x14awg Cu en tubo PVC 1/2" subterraneo, para conexionado de BALAS DE PISO. Terreno en concreto, incluye resane y curado en concreto.</t>
  </si>
  <si>
    <t>Instalacion de tubería EMT de 1/2" con red 3x12 awg para instalacion de luminarias. Adosado en pared. Incluye instalacion de elementos de fijacion, soporte y conexionado</t>
  </si>
  <si>
    <t>Suministro e Instalacion de Red Aerea 2x6+6 AWG AL</t>
  </si>
  <si>
    <t>Suministro e Instalacion de Red Subterranea 2x4+4 AWG AL</t>
  </si>
  <si>
    <t xml:space="preserve">Cable Cu THHN-2 # 12 AWG </t>
  </si>
  <si>
    <t>Tubo metálico EMT de 1/2" x 3 mts</t>
  </si>
  <si>
    <t>Conector emt 1/2"</t>
  </si>
  <si>
    <t>Union Emt 1/2"</t>
  </si>
  <si>
    <t>Tubo metálico IMC de 1/2" x 3 mts</t>
  </si>
  <si>
    <t>Centro de transformacion</t>
  </si>
  <si>
    <t>Instalacion de CENTRO DE TRANSFORMACION, MONOFASICO, 5KVA, 13200-480/240 a Red de Media tension , TIPO HORIZONTAL, en poste existente</t>
  </si>
  <si>
    <t>Sistema de tierras</t>
  </si>
  <si>
    <t>Tablero y Medidores</t>
  </si>
  <si>
    <t>caja para control 20x40cm tipo exterior</t>
  </si>
  <si>
    <t>Instalación y montaje de gabinete de control y medida (alimentador a red bt existente). La instalacion del gabinete es empotrada en fachada existente (ver plano)</t>
  </si>
  <si>
    <t>Caja de paso tipo intemperie de 40x20x12</t>
  </si>
  <si>
    <t>Gabinete doble fondo 40x30x20</t>
  </si>
  <si>
    <t>Contactor de 2x20</t>
  </si>
  <si>
    <t>Timmer</t>
  </si>
  <si>
    <t>Cableado control</t>
  </si>
  <si>
    <t>Canaleta ranurada 25x30</t>
  </si>
  <si>
    <t>Glb</t>
  </si>
  <si>
    <t>Registro concreto 40x40x60</t>
  </si>
  <si>
    <t>DIRECTOR DE PROYECTOS</t>
  </si>
  <si>
    <t>Reflector Metal Halide 100w</t>
  </si>
  <si>
    <t>Reflector Metal Halide 150w</t>
  </si>
  <si>
    <t>Reflector Metal Halide 250w</t>
  </si>
  <si>
    <t>Reflector Metal Halide 400w</t>
  </si>
  <si>
    <t>Reflector Metal Halide 1000w</t>
  </si>
  <si>
    <t>Luminaria Sodio 70w</t>
  </si>
  <si>
    <t>Luminaria Sodio 150w</t>
  </si>
  <si>
    <t>Luminaria Sodio 250w</t>
  </si>
  <si>
    <t>Luminaria Sodio 400w</t>
  </si>
  <si>
    <t>Farol con luminaria sodio 70w</t>
  </si>
  <si>
    <t>Farol con luminaria sodio 150w</t>
  </si>
  <si>
    <t>Farol con luminaria incandescente 100w</t>
  </si>
  <si>
    <t>Luminaria con bombillo incandescente 100w</t>
  </si>
  <si>
    <t>Luminaria Mercurio 100w</t>
  </si>
  <si>
    <t>Luminaria Mixta 160w</t>
  </si>
  <si>
    <t>Farol con luminaria fluorescente 32w</t>
  </si>
  <si>
    <t>Luminaria con bombillo fluorescente 32w</t>
  </si>
  <si>
    <t>Luminaria con bombillo fluorescente 45w</t>
  </si>
  <si>
    <t>Luminaria con bombillo fluorescente 80w</t>
  </si>
  <si>
    <t>1.2</t>
  </si>
  <si>
    <t>1.3</t>
  </si>
  <si>
    <t>Poste metalico 5 metros para reflector</t>
  </si>
  <si>
    <t>Poste metalico 8 metros para luminaria cuadruple</t>
  </si>
  <si>
    <t>Poste metalico 12 metros para reflector</t>
  </si>
  <si>
    <t>Poste metalico de 5m</t>
  </si>
  <si>
    <t>Poste metalico de 8m</t>
  </si>
  <si>
    <t>Poste metalico de 12m</t>
  </si>
  <si>
    <t>3.10</t>
  </si>
  <si>
    <t xml:space="preserve">Cable Cu THHN-2 # 14 AWG </t>
  </si>
  <si>
    <t>Cable concentrico aluminio 8+8</t>
  </si>
  <si>
    <t>Canalizaciones</t>
  </si>
  <si>
    <t>Canalizacion con un ducto 1/2" PVC</t>
  </si>
  <si>
    <t>Canalizacion con un ducto 1" PVC</t>
  </si>
  <si>
    <t>Canalizacion con un ducto 1 1/2" PVC</t>
  </si>
  <si>
    <t>Canalizacion con un ducto 1" EMT</t>
  </si>
  <si>
    <t>Canalizacion con un ducto 1/2" EMT</t>
  </si>
  <si>
    <t>Canalizacion con un ducto 1/2" IMC</t>
  </si>
  <si>
    <t>Tubo PVC pesado de 1/2" x 3 mts</t>
  </si>
  <si>
    <t>Tubo metálico EMT de 1" x 3 mts</t>
  </si>
  <si>
    <t>Conector Emt 1"</t>
  </si>
  <si>
    <t>Unión EMT 1"</t>
  </si>
  <si>
    <t>Unión EMT 1/2"</t>
  </si>
  <si>
    <t>Conector Emt 1/2"</t>
  </si>
  <si>
    <t>1.4</t>
  </si>
  <si>
    <t>Reflector Led baja eficiencia 50w</t>
  </si>
  <si>
    <t>Reflector Led baja eficiencia 100w</t>
  </si>
  <si>
    <t>Reflector Led baja eficiencia 150w</t>
  </si>
  <si>
    <t>Reflector Led baja eficiencia 200w</t>
  </si>
  <si>
    <t>Luminaria con bombillo Led 20w</t>
  </si>
  <si>
    <t>Luminaria Led baja eficiencia 30w</t>
  </si>
  <si>
    <t>Luminaria Led baja eficiencia 60w</t>
  </si>
  <si>
    <t>Bala de piso Led 18w</t>
  </si>
  <si>
    <t>Spot Led 18w</t>
  </si>
  <si>
    <t>Luminaria con bombillo led 20w</t>
  </si>
  <si>
    <t>Luminaria Led 30w Sylvania</t>
  </si>
  <si>
    <t>Luminaria Led 60w Sylvania</t>
  </si>
  <si>
    <t>BALA LED de piso 18w</t>
  </si>
  <si>
    <t>SPOT LED 18w, 650lm</t>
  </si>
  <si>
    <t>Gabinete en poste</t>
  </si>
  <si>
    <t>Medidor 1f 3h</t>
  </si>
  <si>
    <t>Medidor 2f 3h</t>
  </si>
  <si>
    <t>Luminaria Metal Halide 70w</t>
  </si>
  <si>
    <t>Reflector Sodio 150w</t>
  </si>
  <si>
    <t>Reflector Sodio 400w</t>
  </si>
  <si>
    <t>Luminaria Led 150w</t>
  </si>
  <si>
    <t>Poste metalico 6 metros para luminaria</t>
  </si>
  <si>
    <t>Poste de concreto 12 metros x 750kg.f</t>
  </si>
  <si>
    <t>Poste de concreto 12 metros x 1050kg.f</t>
  </si>
  <si>
    <t>Poste metalico de 6m</t>
  </si>
  <si>
    <t>Cable encauchetado 3 x 6 AWG</t>
  </si>
  <si>
    <t>Instalacion de CENTRO DE TRANSFORMACION, MONOFASICO, 10KVA, 13200-480/240 a Red de Media tension , TIPO HORIZONTAL, en poste existente</t>
  </si>
  <si>
    <t>Instalacion de CENTRO DE TRANSFORMACION, MONOFASICO, 15KVA, 13200-480/240 a Red de Media tension , TIPO HORIZONTAL, en poste existente</t>
  </si>
  <si>
    <t>Retenida 90°</t>
  </si>
  <si>
    <t>RIOHACHA</t>
  </si>
  <si>
    <t>EXPANSION ALUMBRADO PUBLICO</t>
  </si>
  <si>
    <t>1.50</t>
  </si>
  <si>
    <t>Wall Washed Led 31w</t>
  </si>
  <si>
    <t>Reflector Led de 100w</t>
  </si>
  <si>
    <t>Reflector Led 100w</t>
  </si>
  <si>
    <t>Bañador Led 31w</t>
  </si>
  <si>
    <t>Poste de concreto 12 metros x 510kg.f</t>
  </si>
  <si>
    <t>Poste de 12 mts 510 KGF de concreto</t>
  </si>
  <si>
    <t>Poste de Metal de 10m</t>
  </si>
  <si>
    <t>Poste metalico de 10m</t>
  </si>
  <si>
    <t xml:space="preserve">Poste de Fibra de 12 m x 510KgF </t>
  </si>
  <si>
    <t xml:space="preserve">Poste de Fibra de 12 m x 750KgF </t>
  </si>
  <si>
    <t>Reflector Led de 300w</t>
  </si>
  <si>
    <t>2.20</t>
  </si>
  <si>
    <t>Poste metalico 8 metros</t>
  </si>
  <si>
    <t>Torre metalica 10 metros</t>
  </si>
  <si>
    <t>Poste de traslucido 10 metros</t>
  </si>
  <si>
    <t>Poste de concreto 10 metros x 510kg.f</t>
  </si>
  <si>
    <t>Poste de 10 mts 510 KGF de concreto</t>
  </si>
  <si>
    <t>Reflector Led 20w</t>
  </si>
  <si>
    <t>Reflector Led 160w onoff</t>
  </si>
  <si>
    <t>Luminaria Led 30w monoff</t>
  </si>
  <si>
    <t>Luminaria Led 45w monoff</t>
  </si>
  <si>
    <t>Luminaria Led 60w monoff</t>
  </si>
  <si>
    <t>Luminaria Led 80w monoff</t>
  </si>
  <si>
    <t>Luminaria Led 90w</t>
  </si>
  <si>
    <t>Luminaria Led 100w monoff</t>
  </si>
  <si>
    <t>Luminaria Led 120w monoff</t>
  </si>
  <si>
    <t>Luminaria Led 27.8w agm</t>
  </si>
  <si>
    <t>Luminaria Led 60.2w agm</t>
  </si>
  <si>
    <t>Luminaria Led 74.1w agm</t>
  </si>
  <si>
    <t>Luminaria Led 92.6w agm</t>
  </si>
  <si>
    <t>1.6</t>
  </si>
  <si>
    <t>Farol Led 80w Monoff</t>
  </si>
  <si>
    <t>LA DORADA</t>
  </si>
  <si>
    <t>Luminaria farol LED 80w Municipio</t>
  </si>
  <si>
    <t>SAN MARTIN DE LOBA</t>
  </si>
  <si>
    <t>NUEVA GRANADA</t>
  </si>
  <si>
    <t>Poste Melatico de 2,5m</t>
  </si>
  <si>
    <t xml:space="preserve">Poste metalico de 3 metros </t>
  </si>
  <si>
    <t>Poste de concreto 10 metros x 750kg.f</t>
  </si>
  <si>
    <t>3.2</t>
  </si>
  <si>
    <t>Luminaria Fluorescente de 100w</t>
  </si>
  <si>
    <t>Reflector de sodio de 200w</t>
  </si>
  <si>
    <t>Reflector Sodio 200w</t>
  </si>
  <si>
    <t>Reflector de baja eficia led de 400w</t>
  </si>
  <si>
    <t>Reflector Led baja eficiencia 400w</t>
  </si>
  <si>
    <t>Instalacion de CENTRO DE TRANSFORMACION, MONOFASICO, 50KVA, 13200-480/240 a Red de Media tension , TIPO HORIZONTAL, en poste existente</t>
  </si>
  <si>
    <t>Transformador Monofasico 50 kVA 13200/480-240</t>
  </si>
  <si>
    <t>PITALITO</t>
  </si>
  <si>
    <t>Luminaria Metal Halide 250w</t>
  </si>
  <si>
    <t>Luminaria Sodio 50w</t>
  </si>
  <si>
    <t>1.70</t>
  </si>
  <si>
    <t>Luminaria MH 250w</t>
  </si>
  <si>
    <t>Poste de fibra 10 metros x 750kg.f</t>
  </si>
  <si>
    <t>Poste de fibra 10 metros x 510kg.f</t>
  </si>
  <si>
    <t>COPEY</t>
  </si>
  <si>
    <t>MODERNIZACION DE PARQUES</t>
  </si>
  <si>
    <t>1 MES</t>
  </si>
  <si>
    <t>LOS PATIOS</t>
  </si>
  <si>
    <t>Torre metalica 20 metros</t>
  </si>
  <si>
    <t>Poste metalico de 20m</t>
  </si>
  <si>
    <t>Cable Aluminio THHW # 1/0 AWG S 8000</t>
  </si>
  <si>
    <t xml:space="preserve">Cable Cu THHN-2 # 10 AWG </t>
  </si>
  <si>
    <t>Cable #2 Cu forrado AWG THHN/THWN-2, 90 C°, 600 V.</t>
  </si>
  <si>
    <t>3.3</t>
  </si>
  <si>
    <t>Cable encauchetado 2 x 14 AWG</t>
  </si>
  <si>
    <t>WALLPACK LED 60w, 3180lm</t>
  </si>
  <si>
    <t>Wallpack led de 50w</t>
  </si>
  <si>
    <t>BALA LED de piso 30w</t>
  </si>
  <si>
    <t>Bala led piso 30w</t>
  </si>
  <si>
    <t>Farol con bombillo led de 30-40W</t>
  </si>
  <si>
    <t>Luminaria Metal Halide 400w</t>
  </si>
  <si>
    <t>Luminaria MH 400w</t>
  </si>
  <si>
    <t>Instalacion de CENTRO DE TRANSFORMACION, MONOFASICO, 25KVA, 13200-480/240 a Red de Media tension , TIPO HORIZONTAL, en poste existente</t>
  </si>
  <si>
    <t>Instalacion de CENTRO DE TRANSFORMACION, TRIFASICO, 112,5KVA, 13200-480/240 a Red de Media tension , TIPO HORIZONTAL, en poste existente</t>
  </si>
  <si>
    <t>Transformador Monofasico 25 kVA 13200/480-240</t>
  </si>
  <si>
    <t>Transformador trifasico 112,5 kVA 13200/480-240</t>
  </si>
  <si>
    <t>Fusible de expulsión 8 (VS)</t>
  </si>
  <si>
    <t>Sistema de puesta a tierra Stavol</t>
  </si>
  <si>
    <t>Sistema de puesta a tierra Varilla cobre</t>
  </si>
  <si>
    <t>Poste concreto de 14 x 750 kgf</t>
  </si>
  <si>
    <t>Poste de 14 mts 750 KGF concreto</t>
  </si>
  <si>
    <t>Reflector tayrona 70W</t>
  </si>
  <si>
    <t>Reflector Sodio 70w</t>
  </si>
  <si>
    <t>Reflector con bombillo fluorescente 80W</t>
  </si>
  <si>
    <t>Reflector con bombillo fluorescente 100W</t>
  </si>
  <si>
    <t>Luminaria Metal Halide 100w</t>
  </si>
  <si>
    <t>CICUCO</t>
  </si>
  <si>
    <t>CLEMENCIA</t>
  </si>
  <si>
    <t>Poste concreto de 16 x 750 kgf</t>
  </si>
  <si>
    <t>Poste de 16 mts 750 KGF concreto</t>
  </si>
  <si>
    <t>Luminaria led 37 w Agm</t>
  </si>
  <si>
    <t>Luminaria Led 37w agm</t>
  </si>
  <si>
    <t>Cable encauchetado 2 x 16 AWG</t>
  </si>
  <si>
    <t>Poste metalico de 6m doble</t>
  </si>
  <si>
    <t>Poste de 9 mts 510 KGF de fibra de vidrio</t>
  </si>
  <si>
    <t>Poste de 9 mts750 KGF de fibra de vidrio</t>
  </si>
  <si>
    <t>Poste de 8 mts 750 KGF de fibra de vidrio</t>
  </si>
  <si>
    <t>Poste de 9 mts 510 KGF de concreto</t>
  </si>
  <si>
    <t>Poste de 8 mts 510 KGF Translucido</t>
  </si>
  <si>
    <t>Poste de 8 mts 750 KGF Translucido</t>
  </si>
  <si>
    <t>SAN PEDRO</t>
  </si>
  <si>
    <t>COSTO INGENIERIA</t>
  </si>
  <si>
    <t>COSTO DE ADMINISTRACION</t>
  </si>
  <si>
    <t>COSTOS INSPECTOR</t>
  </si>
  <si>
    <t>COSTOS DE INTERVENTORIA</t>
  </si>
  <si>
    <t>COSTOS FINANCIEROS</t>
  </si>
  <si>
    <t>TOTAL SUMINISTRO</t>
  </si>
  <si>
    <t>TOTAL IVA</t>
  </si>
  <si>
    <t>Reubicacion de luminaria</t>
  </si>
  <si>
    <t>MUNICIPIOS</t>
  </si>
  <si>
    <t>TIPO</t>
  </si>
  <si>
    <t>ORIGEN</t>
  </si>
  <si>
    <t>ABREGO</t>
  </si>
  <si>
    <t>BOMBILLAS</t>
  </si>
  <si>
    <t>FLUJO FINANCIERO INDEXADO</t>
  </si>
  <si>
    <t>AGUACHICA</t>
  </si>
  <si>
    <t>LUMINARIAS</t>
  </si>
  <si>
    <t>RESOLUCIÓN CREG 015 INDEXADO</t>
  </si>
  <si>
    <t>AGUSTÍN CODAZZI</t>
  </si>
  <si>
    <t>TRANSFORMADORES</t>
  </si>
  <si>
    <t>NUEVO</t>
  </si>
  <si>
    <t>ALTOS DEL ROSARIO</t>
  </si>
  <si>
    <t>POSTES</t>
  </si>
  <si>
    <t>ARJONA</t>
  </si>
  <si>
    <t>CÁMARAS Y CANALIZACIONES</t>
  </si>
  <si>
    <t>BARRANCO DE LOBA</t>
  </si>
  <si>
    <t>REDES</t>
  </si>
  <si>
    <t>BOSCONIA</t>
  </si>
  <si>
    <t>SISTEMA MEDICIÓN</t>
  </si>
  <si>
    <t>CALAMAR</t>
  </si>
  <si>
    <t>CARMEN DE BOLÍVAR</t>
  </si>
  <si>
    <t>CHIMICHAGUA</t>
  </si>
  <si>
    <t>CHIRIGUANÁ</t>
  </si>
  <si>
    <t>CONVENCIÓN</t>
  </si>
  <si>
    <t>CURUMANÍ</t>
  </si>
  <si>
    <t>EL COPEY</t>
  </si>
  <si>
    <t>EL PASO</t>
  </si>
  <si>
    <t>FACATATIVÁ</t>
  </si>
  <si>
    <t>GAMARRA</t>
  </si>
  <si>
    <t>HATILLO DE LOBA</t>
  </si>
  <si>
    <t>LA GLORIA</t>
  </si>
  <si>
    <t>LA PAZ</t>
  </si>
  <si>
    <t>MAGANGUÉ</t>
  </si>
  <si>
    <t>MARGARITA</t>
  </si>
  <si>
    <t>MARÍA LA BAJA</t>
  </si>
  <si>
    <t>NEIVA</t>
  </si>
  <si>
    <t>OCAÑA</t>
  </si>
  <si>
    <t>PAMPLONA</t>
  </si>
  <si>
    <t>PUERTO SANTANDER</t>
  </si>
  <si>
    <t>SAN ESTANISLAO</t>
  </si>
  <si>
    <t>SAN JACINTO</t>
  </si>
  <si>
    <t xml:space="preserve">SAN JOSÉ DE CÚCUTA </t>
  </si>
  <si>
    <t>SAN JUAN DEL CESAR</t>
  </si>
  <si>
    <t>SAN JUAN NEPOMUCENO</t>
  </si>
  <si>
    <t>SAN MARTÍN DE LOBA</t>
  </si>
  <si>
    <t>SANTA ROSA</t>
  </si>
  <si>
    <t>SARDINATA</t>
  </si>
  <si>
    <t>TALAIGUA NUEVO</t>
  </si>
  <si>
    <t>TIBÚ</t>
  </si>
  <si>
    <t>TURBACO</t>
  </si>
  <si>
    <t>TURBANA</t>
  </si>
  <si>
    <t>UBATÉ</t>
  </si>
  <si>
    <t>URUMITA</t>
  </si>
  <si>
    <t>VILLA DEL ROSARIO</t>
  </si>
  <si>
    <t>VILLANUEVA</t>
  </si>
  <si>
    <t>COSTO SUMINISTRO</t>
  </si>
  <si>
    <t>PROYECTO TIPO:</t>
  </si>
  <si>
    <t>MODERNIZACION Y EXPANSION ALUMBRADO PUBLICO</t>
  </si>
  <si>
    <t>Valor total</t>
  </si>
  <si>
    <t>Valor unitario</t>
  </si>
  <si>
    <t>PRESUPUESTO DE OBRA MUNICIPIO</t>
  </si>
  <si>
    <t>MUNICIPIO</t>
  </si>
  <si>
    <t xml:space="preserve">FECHA ELABORACIÓN </t>
  </si>
  <si>
    <t>DURACIÓN</t>
  </si>
  <si>
    <t>3 MESES</t>
  </si>
  <si>
    <t>ÍTEMS</t>
  </si>
  <si>
    <t>ACTIVIDADES</t>
  </si>
  <si>
    <t xml:space="preserve">CANTIDAD </t>
  </si>
  <si>
    <t xml:space="preserve">VALOR TOTAL </t>
  </si>
  <si>
    <t>COSTO DE ADMINISTRACIÓN</t>
  </si>
  <si>
    <t>IVA 19%</t>
  </si>
  <si>
    <t>IVA TOTAL</t>
  </si>
  <si>
    <t>SUMINISITRO DE MATERIALES</t>
  </si>
  <si>
    <t>SUB - TOTAL SUMINISTRO</t>
  </si>
  <si>
    <t>Red de baja tensión  3x14awg Cu en tubo PVC 1/2" subterraneo, para conexionado de BALAS DE PISO. Terreno en concreto, incluye resane y curado en concreto. X 500m</t>
  </si>
  <si>
    <t>Tubería EMT de 1/2" con red 3x12 awg para instalacion de luminarias. Adosado en pared. Incluye instalacion de elementos de fijacion, soporte y conexionado x 500 m</t>
  </si>
  <si>
    <t>Tubería IMC de 1/2" con red 3x12 awg para instalacion de luminarias. Adosado en pared. Incluye instalacion de elementos de fijacion, soporte y conexionado x 500m</t>
  </si>
  <si>
    <t>Red Aerea 2x6+6 AWG AL x 500m</t>
  </si>
  <si>
    <t>Red Aerea 2x2+2 AWG AL x 500m</t>
  </si>
  <si>
    <t>Red Aerea 2x4+4 AWG AL x 500m</t>
  </si>
  <si>
    <t>Red canalizada en cable aluminio 3 No 4 x 500m</t>
  </si>
  <si>
    <t>Red aerea en cable cobre 3 No 12 x 500m</t>
  </si>
  <si>
    <t>Red canalizada en cable cobre 2 No 12 x 500m</t>
  </si>
  <si>
    <t>Red aerea en cable cobre 3 No 14 x 500m</t>
  </si>
  <si>
    <t>Red canalizada en cable encauchetado 3x8 x 500m</t>
  </si>
  <si>
    <t>Red aérea en cable concentrico aluminio 8+8 AWG x500m</t>
  </si>
  <si>
    <t>Red canalizada en cable aluminio 3 No 2 x 500m</t>
  </si>
  <si>
    <t>Red aérea en cable encauchetado 3x6 x 500m</t>
  </si>
  <si>
    <t>Red aerea en cable multiplex 2x1/0+1/0 AWG AL x 500m</t>
  </si>
  <si>
    <t>Red aerea en cable AAAC 123 kcmil x 500m</t>
  </si>
  <si>
    <t>Cable serie 8000 AL #4 x500m</t>
  </si>
  <si>
    <t>Cable serie 8000 AL #6 x500m</t>
  </si>
  <si>
    <t>Red canalizada en cable aluminio 4 No 4 x500m</t>
  </si>
  <si>
    <t>Red Abierta 3#2 ACSR desnudo x 500m</t>
  </si>
  <si>
    <t>Red Aerea 3x2+2 AWG AL x 500m</t>
  </si>
  <si>
    <t>Red Abierta 2#4 ACSR desnudo x 500m</t>
  </si>
  <si>
    <t>Red canalizada en cable aluminio 1/0 x500m</t>
  </si>
  <si>
    <t>Red canalizada en cable cobre # 12 x 500m</t>
  </si>
  <si>
    <t>Red canalizada en cable cobre # 10 x 500m</t>
  </si>
  <si>
    <t>Red canalizada en cable cobre # 8 x 500m</t>
  </si>
  <si>
    <t>Red canalizada en cable cobre # 6 x 500 m</t>
  </si>
  <si>
    <t>Red canalizada en cable cobre # 2 x 500m</t>
  </si>
  <si>
    <t>Red canalizada en cable aluminio 2 x 500m</t>
  </si>
  <si>
    <t>Red Aerea en cable cobre 12 x500m</t>
  </si>
  <si>
    <t>Red Aerea en cable cobre 10 x 500m</t>
  </si>
  <si>
    <t>Red Aerea en cable cobre 8 x 500m</t>
  </si>
  <si>
    <t>Red en cable encauchetado 2x14 x 500m</t>
  </si>
  <si>
    <t>Red aerea en ASCR No 4x2 AWG x 500m</t>
  </si>
  <si>
    <t>7,10</t>
  </si>
  <si>
    <t>Tubo metálico IMC de 1 1/4" x 3 mts</t>
  </si>
  <si>
    <t>Tubo metálico EMT de 1 1/2" x 3 mts</t>
  </si>
  <si>
    <t>Tubo metálico EMT de 2" x 3 mts</t>
  </si>
  <si>
    <t>Tubo metálico EMT de 3/4" x 3 mts</t>
  </si>
  <si>
    <t>COSTO DE SUMINISTRO</t>
  </si>
  <si>
    <t>COSTO DE OBRA CIVIL</t>
  </si>
  <si>
    <t>COSTO MONTAJE</t>
  </si>
  <si>
    <t>COSTO TOTAL DE UC</t>
  </si>
  <si>
    <t>COSTO CIVIL</t>
  </si>
  <si>
    <t>Ucaps</t>
  </si>
  <si>
    <t>Luminaria led 106,5 w Agm</t>
  </si>
  <si>
    <t>Luminaria led 120.4 w Agm</t>
  </si>
  <si>
    <t>Luminaria led 150 w Agm</t>
  </si>
  <si>
    <t>Reflector Led de 500w</t>
  </si>
  <si>
    <t>1.80</t>
  </si>
  <si>
    <t>Luminaria Led 150W sed</t>
  </si>
  <si>
    <t>Luminaria Led 106,5W sed</t>
  </si>
  <si>
    <t>Luminaria Led 120,4W sed</t>
  </si>
  <si>
    <t>Luminaria Led 46.3w agm</t>
  </si>
  <si>
    <t>Reflector Led 500w</t>
  </si>
  <si>
    <t>Reflector Led de 70w agm</t>
  </si>
  <si>
    <t>Reflector Led de 150w Agm</t>
  </si>
  <si>
    <t>Reflector Led 70w</t>
  </si>
  <si>
    <t>Reflector Led 150w</t>
  </si>
  <si>
    <t>Poste concreto de 14 x 510 kgf</t>
  </si>
  <si>
    <t>Poste de 14 mts 510 KGF concreto</t>
  </si>
  <si>
    <t>Red Aerea 3x4+4 AWG AL x 500m</t>
  </si>
  <si>
    <t>Red Aerea 3x1/0+1/0 AWG AL x 500m</t>
  </si>
  <si>
    <t>Red Aerea 3x2/0+2/0 AWG AL x 500m</t>
  </si>
  <si>
    <t>Red Aerea 3x4/0+4/0 AWG AL x 500m</t>
  </si>
  <si>
    <t>Cable Cuadruplex 3 x 1/0 + 2 AWG Al autosoportado</t>
  </si>
  <si>
    <t>Cable Cuadruplex 3 x 4/0 + 2 AWG Al autosoportado</t>
  </si>
  <si>
    <t>Cable Cuadruplex 3 x 2/0 + 1/0 AWG Al autosoportado</t>
  </si>
  <si>
    <t>3.40</t>
  </si>
  <si>
    <t>Red subterránea con cable aislado de aluminio S8000 3 x 6AWG (2f+n) + 1 x 6AWG (t) x 500 MTS</t>
  </si>
  <si>
    <t>Red subterránea de baja tensión con cable aislado de aluminio S8000 3 x 4AWG (2f+n) + 1 x 6AWG (t) x 500 MT</t>
  </si>
  <si>
    <t>Red subterránea de baja tensión con cable aislado de aluminio S8000 3 x 1/0AWG (2f+n) + 1 x 4AWG (t) x 500 MTS</t>
  </si>
  <si>
    <t>Red subterránea de baja tensión con cable aislado de aluminio S8000 3 x 4/0AWG (2f+n) + 1 x 2AWG (t) x 500 MTS</t>
  </si>
  <si>
    <t>Cable Aluminio THHW # 4/0 AWG S 8000</t>
  </si>
  <si>
    <t>Cable Aluminio THHW # 2/0 AWG S 8000</t>
  </si>
  <si>
    <t>Cable encauchetado 3 x 14AWG  x 500 MT</t>
  </si>
  <si>
    <t>Red aérea de media tensión con cable AAAC 3 x 1/0 AWG x 500 MTS</t>
  </si>
  <si>
    <t>Tubo PVC pesado de 3" x 3 mts</t>
  </si>
  <si>
    <t>4.10</t>
  </si>
  <si>
    <t>Instalacion de CENTRO DE TRANSFORMACION, TRIFASICO, 75KVA, 13200-480/240 a Red de Media tension , TIPO HORIZONTAL, en poste existente</t>
  </si>
  <si>
    <t>Medidor 1f 3h 480/240</t>
  </si>
  <si>
    <t>Medidor 2f 3h 480/240</t>
  </si>
  <si>
    <t>Medidor 2f 3h 220/110</t>
  </si>
  <si>
    <t>Transformador trifasico 75 kVA 13200/480-240</t>
  </si>
  <si>
    <t>Medidor Monofasico 240/120</t>
  </si>
  <si>
    <t>Cinta led Azul 3,6W x 20mts</t>
  </si>
  <si>
    <t>2.30</t>
  </si>
  <si>
    <t>Cimentacion Posteria</t>
  </si>
  <si>
    <t>Poste Traslucido de 12m</t>
  </si>
  <si>
    <t>CABLE ENCAUCHETADO 3 X 12AWG (CANALIZACIÓN INCLUIDA) x 500 MTS</t>
  </si>
  <si>
    <t>Cable encauchetado 3 x 12AWG  x 500 MT</t>
  </si>
  <si>
    <t>Canalizacion con un ducto 1/2" PVC x 500 mts</t>
  </si>
  <si>
    <t>Canalizacion con un ducto 1" PVC x 500 mts</t>
  </si>
  <si>
    <t>Canalizacion con un ducto 1 1/2" PVC x 500 mts</t>
  </si>
  <si>
    <t>Canalizacion con un ducto 1" EMT x 500 mts</t>
  </si>
  <si>
    <t>Canalizacion con un ducto 1/2" EMT x 500 mts</t>
  </si>
  <si>
    <t>Canalizacion con un ducto 1/2" IMC x 500 mts</t>
  </si>
  <si>
    <t>Canalizacion con un ducto 1" IMC x 500 mts</t>
  </si>
  <si>
    <t>Canalizacion con un ducto 3/4" PVC x 500 mts</t>
  </si>
  <si>
    <t>Canalizacion con un ducto 2" PVC x 500 mts</t>
  </si>
  <si>
    <t>Canalizacion con un ducto 3/4" IMC x 500 mts</t>
  </si>
  <si>
    <t>Canalizacion con un ducto 2" IMC x 500 mts</t>
  </si>
  <si>
    <t>Canalizacion con un ducto 3" PVC x 500 mts</t>
  </si>
  <si>
    <t>Luminaria led 46 w Agm</t>
  </si>
  <si>
    <t>COSTOS CERTIFICADO RETIE/ RETILAP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</si>
</sst>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1">
    <numFmt numFmtId="5" formatCode="&quot;$&quot;\ #,##0;\-&quot;$&quot;\ #,##0"/>
    <numFmt numFmtId="42" formatCode="_-&quot;$&quot;\ * #,##0_-;\-&quot;$&quot;\ * #,##0_-;_-&quot;$&quot;\ * &quot;-&quot;_-;_-@_-"/>
    <numFmt numFmtId="44" formatCode="_-&quot;$&quot;\ * #,##0.00_-;\-&quot;$&quot;\ * #,##0.00_-;_-&quot;$&quot;\ * &quot;-&quot;??_-;_-@_-"/>
    <numFmt numFmtId="43" formatCode="_-* #,##0.00_-;\-* #,##0.00_-;_-* &quot;-&quot;??_-;_-@_-"/>
    <numFmt numFmtId="164" formatCode="&quot;$&quot;#,##0;[Red]\-&quot;$&quot;#,##0"/>
    <numFmt numFmtId="165" formatCode="_-&quot;$&quot;* #,##0.00_-;\-&quot;$&quot;* #,##0.00_-;_-&quot;$&quot;* &quot;-&quot;??_-;_-@_-"/>
    <numFmt numFmtId="166" formatCode="#,##0\ &quot;€&quot;;\-#,##0\ &quot;€&quot;"/>
    <numFmt numFmtId="167" formatCode="#,##0.00\ &quot;€&quot;;[Red]\-#,##0.00\ &quot;€&quot;"/>
    <numFmt numFmtId="168" formatCode="_-* #,##0.00\ _€_-;\-* #,##0.00\ _€_-;_-* &quot;-&quot;??\ _€_-;_-@_-"/>
    <numFmt numFmtId="169" formatCode="_(&quot;$&quot;\ * #,##0_);_(&quot;$&quot;\ * \(#,##0\);_(&quot;$&quot;\ * &quot;-&quot;_);_(@_)"/>
    <numFmt numFmtId="170" formatCode="_(&quot;$&quot;\ * #,##0.00_);_(&quot;$&quot;\ * \(#,##0.00\);_(&quot;$&quot;\ * &quot;-&quot;??_);_(@_)"/>
    <numFmt numFmtId="171" formatCode="_(* #,##0.00_);_(* \(#,##0.00\);_(* &quot;-&quot;??_);_(@_)"/>
    <numFmt numFmtId="172" formatCode="&quot;$&quot;#.00"/>
    <numFmt numFmtId="173" formatCode="&quot;$&quot;\ #,##0;&quot;$&quot;\ \-#,##0"/>
    <numFmt numFmtId="174" formatCode="m\o\n\th\ d\,\ yyyy"/>
    <numFmt numFmtId="175" formatCode="_ [$€-2]\ * #,##0.00_ ;_ [$€-2]\ * \-#,##0.00_ ;_ [$€-2]\ * &quot;-&quot;??_ "/>
    <numFmt numFmtId="176" formatCode="#.00"/>
    <numFmt numFmtId="177" formatCode="#."/>
    <numFmt numFmtId="178" formatCode="_ * #,##0_ ;_ * \-#,##0_ ;_ * &quot;-&quot;_ ;_ @_ "/>
    <numFmt numFmtId="179" formatCode="_ * #,##0.00_ ;_ * \-#,##0.00_ ;_ * &quot;-&quot;??_ ;_ @_ "/>
    <numFmt numFmtId="180" formatCode="dd/mmm/yy"/>
    <numFmt numFmtId="181" formatCode="&quot;$&quot;#,##0"/>
    <numFmt numFmtId="182" formatCode="_ &quot;$&quot;\ * #,##0.00_ ;_ &quot;$&quot;\ * \-#,##0.00_ ;_ &quot;$&quot;\ * &quot;-&quot;??_ ;_ @_ "/>
    <numFmt numFmtId="183" formatCode="_-* #,##0.00\ _$_-;\-* #,##0.00\ _$_-;_-* &quot;-&quot;??\ _$_-;_-@_-"/>
    <numFmt numFmtId="184" formatCode="#,##0.00_);\-#,##0.00;&quot;&lt;Default Format&gt;&quot;"/>
    <numFmt numFmtId="185" formatCode="&quot;$&quot;#,##0_);\(&quot;$&quot;#,##0\)"/>
    <numFmt numFmtId="186" formatCode="General_)"/>
    <numFmt numFmtId="187" formatCode="%#.00"/>
    <numFmt numFmtId="188" formatCode="_(\$* #,##0.00_);_(\$* \(#,##0.00\);_(\$* &quot;-&quot;??_);_(@_)"/>
    <numFmt numFmtId="189" formatCode="_(&quot;$&quot;\ * #,##0.00_);_(&quot;$&quot;\ * \(#,##0.00\);_(&quot;$&quot;\ * &quot;-&quot;_);_(@_)"/>
    <numFmt numFmtId="190" formatCode="_(&quot;$&quot;\ * #,##0_);_(&quot;$&quot;\ * \(#,##0\);_(&quot;$&quot;\ * &quot;-&quot;??_);_(@_)"/>
    <numFmt numFmtId="191" formatCode="_(&quot;C$&quot;* #,##0.00_);_(&quot;C$&quot;* \(#,##0.00\);_(&quot;C$&quot;* &quot;-&quot;??_);_(@_)"/>
    <numFmt numFmtId="192" formatCode="&quot;$&quot;\ #,##0"/>
    <numFmt numFmtId="193" formatCode="[$$-240A]\ #,##0_ ;\-[$$-240A]\ #,##0\ "/>
    <numFmt numFmtId="194" formatCode="[$$-240A]\ #,##0.00_ ;\-[$$-240A]\ #,##0.00\ "/>
    <numFmt numFmtId="195" formatCode="#,##0.00\ ;&quot; (&quot;#,##0.00\);&quot; -&quot;#\ ;@\ "/>
    <numFmt numFmtId="196" formatCode="\$#,##0.0"/>
    <numFmt numFmtId="197" formatCode="\$#,##0.00"/>
    <numFmt numFmtId="198" formatCode="&quot;$ &quot;#,##0"/>
    <numFmt numFmtId="199" formatCode="[$$-300A]\ #,##0.00"/>
    <numFmt numFmtId="200" formatCode="[$-F800]dddd\,\ mmmm\ dd\,\ yyyy"/>
    <numFmt numFmtId="201" formatCode="[$$-240A]\ #,##0.00"/>
    <numFmt numFmtId="202" formatCode="[$$-240A]#,##0.00"/>
    <numFmt numFmtId="203" formatCode="&quot;$&quot;\ #,##0_);[Red]\(&quot;$&quot;\ #,##0\)"/>
    <numFmt numFmtId="204" formatCode="&quot;$&quot;\ #,##0.00_);[Red]\(&quot;$&quot;\ #,##0.00\)"/>
    <numFmt numFmtId="205" formatCode="_([$$-240A]\ * #,##0.00_);_([$$-240A]\ * \(#,##0.00\);_([$$-240A]\ * &quot;-&quot;??_);_(@_)"/>
    <numFmt numFmtId="206" formatCode="#,##0.0"/>
    <numFmt numFmtId="207" formatCode="\$#,##0"/>
    <numFmt numFmtId="208" formatCode="_-&quot;$&quot;* #,##0_-;\-&quot;$&quot;* #,##0_-;_-&quot;$&quot;* &quot;-&quot;??_-;_-@_-"/>
    <numFmt numFmtId="209" formatCode="0.0%"/>
    <numFmt numFmtId="210" formatCode="_-&quot;$&quot;\ * #,##0_-;\-&quot;$&quot;\ * #,##0_-;_-&quot;$&quot;\ * &quot;-&quot;??_-;_-@_-"/>
  </numFmts>
  <fonts count="125">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1"/>
      <name val="Calibri"/>
      <family val="2"/>
      <charset val="134"/>
      <scheme val="minor"/>
    </font>
    <font>
      <sz val="11"/>
      <color theme="1"/>
      <name val="Arial"/>
      <family val="2"/>
    </font>
    <font>
      <sz val="10"/>
      <color rgb="FF000000"/>
      <name val="Arial"/>
      <family val="2"/>
    </font>
    <font>
      <sz val="10"/>
      <color theme="1"/>
      <name val="Arial"/>
      <family val="2"/>
    </font>
    <font>
      <sz val="10"/>
      <name val="Arial"/>
      <family val="2"/>
    </font>
    <font>
      <sz val="11"/>
      <name val="Arial"/>
      <family val="2"/>
    </font>
    <font>
      <sz val="11"/>
      <color indexed="8"/>
      <name val="Calibri"/>
      <family val="2"/>
    </font>
    <font>
      <sz val="10"/>
      <name val="Tahoma"/>
      <family val="2"/>
    </font>
    <font>
      <sz val="1"/>
      <color indexed="8"/>
      <name val="Courier"/>
      <family val="3"/>
    </font>
    <font>
      <b/>
      <sz val="18"/>
      <name val="Arial"/>
      <family val="2"/>
    </font>
    <font>
      <b/>
      <sz val="12"/>
      <name val="Arial"/>
      <family val="2"/>
    </font>
    <font>
      <b/>
      <sz val="1"/>
      <color indexed="8"/>
      <name val="Courier"/>
      <family val="3"/>
    </font>
    <font>
      <sz val="10"/>
      <color indexed="8"/>
      <name val="MS Sans Serif"/>
      <family val="2"/>
    </font>
    <font>
      <sz val="12"/>
      <name val="Courier"/>
      <family val="3"/>
    </font>
    <font>
      <sz val="10"/>
      <color indexed="8"/>
      <name val="Calibri"/>
      <family val="2"/>
    </font>
    <font>
      <b/>
      <sz val="10"/>
      <color theme="1"/>
      <name val="Arial"/>
      <family val="2"/>
    </font>
    <font>
      <sz val="10"/>
      <color rgb="FF000099"/>
      <name val="Arial"/>
      <family val="2"/>
    </font>
    <font>
      <sz val="10"/>
      <color indexed="8"/>
      <name val="Arial"/>
      <family val="2"/>
    </font>
    <font>
      <sz val="11"/>
      <color indexed="8"/>
      <name val="Arial Narrow"/>
      <family val="2"/>
    </font>
    <font>
      <sz val="11"/>
      <color rgb="FF002060"/>
      <name val="Calibri"/>
      <family val="2"/>
      <scheme val="minor"/>
    </font>
    <font>
      <sz val="9"/>
      <name val="Verdana"/>
      <family val="2"/>
    </font>
    <font>
      <sz val="9"/>
      <name val="Arial"/>
      <family val="2"/>
    </font>
    <font>
      <b/>
      <sz val="11"/>
      <name val="Calibri"/>
      <family val="2"/>
      <scheme val="minor"/>
    </font>
    <font>
      <sz val="10"/>
      <color indexed="10"/>
      <name val="Arial"/>
      <family val="2"/>
    </font>
    <font>
      <b/>
      <sz val="8"/>
      <color theme="1"/>
      <name val="Arial"/>
      <family val="2"/>
    </font>
    <font>
      <b/>
      <sz val="16"/>
      <name val="Arial Narrow"/>
      <family val="2"/>
    </font>
    <font>
      <sz val="12"/>
      <name val="Arial Narrow"/>
      <family val="2"/>
    </font>
    <font>
      <u/>
      <sz val="11"/>
      <color theme="10"/>
      <name val="Calibri"/>
      <family val="2"/>
    </font>
    <font>
      <b/>
      <sz val="10"/>
      <name val="Arial Narrow"/>
      <family val="2"/>
    </font>
    <font>
      <sz val="9"/>
      <name val="Arial Narrow"/>
      <family val="2"/>
    </font>
    <font>
      <b/>
      <sz val="11"/>
      <name val="Arial Narrow"/>
      <family val="2"/>
    </font>
    <font>
      <sz val="10"/>
      <name val="Arial Narrow"/>
      <family val="2"/>
    </font>
    <font>
      <b/>
      <sz val="7"/>
      <name val="Arial Narrow"/>
      <family val="2"/>
    </font>
    <font>
      <sz val="11"/>
      <color theme="1"/>
      <name val="Arial Narrow"/>
      <family val="2"/>
    </font>
    <font>
      <sz val="8"/>
      <name val="Arial Narrow"/>
      <family val="2"/>
    </font>
    <font>
      <b/>
      <sz val="8"/>
      <color rgb="FFFF0000"/>
      <name val="Arial Narrow"/>
      <family val="2"/>
    </font>
    <font>
      <b/>
      <sz val="10"/>
      <color theme="1"/>
      <name val="Arial"/>
      <family val="2"/>
    </font>
    <font>
      <sz val="11"/>
      <color theme="1"/>
      <name val="Calibri"/>
      <family val="2"/>
      <scheme val="minor"/>
    </font>
    <font>
      <sz val="10"/>
      <color theme="1"/>
      <name val="Arial"/>
      <family val="2"/>
    </font>
    <font>
      <sz val="12"/>
      <name val="Arial"/>
      <family val="2"/>
    </font>
    <font>
      <sz val="10"/>
      <name val="Arial"/>
      <family val="2"/>
    </font>
    <font>
      <sz val="9"/>
      <name val="Tahoma"/>
      <family val="2"/>
    </font>
    <font>
      <sz val="10"/>
      <color rgb="FF000099"/>
      <name val="Arial"/>
      <family val="2"/>
    </font>
    <font>
      <sz val="11"/>
      <color rgb="FF002060"/>
      <name val="Calibri"/>
      <family val="2"/>
      <scheme val="minor"/>
    </font>
    <font>
      <sz val="9"/>
      <name val="Arial"/>
      <family val="2"/>
    </font>
    <font>
      <sz val="9"/>
      <name val="Verdana"/>
      <family val="2"/>
    </font>
    <font>
      <b/>
      <sz val="12"/>
      <color theme="1" tint="0.499984740745262"/>
      <name val="Arial Narrow"/>
      <family val="2"/>
    </font>
    <font>
      <b/>
      <sz val="12"/>
      <color theme="1"/>
      <name val="Times New Roman"/>
      <family val="1"/>
    </font>
    <font>
      <sz val="12"/>
      <color theme="1"/>
      <name val="Times New Roman"/>
      <family val="1"/>
    </font>
    <font>
      <sz val="14"/>
      <color theme="1"/>
      <name val="Calibri"/>
      <family val="2"/>
      <scheme val="minor"/>
    </font>
    <font>
      <sz val="14"/>
      <name val="Arial Narrow"/>
      <family val="2"/>
    </font>
    <font>
      <sz val="14"/>
      <color theme="1"/>
      <name val="Times New Roman"/>
      <family val="1"/>
    </font>
    <font>
      <sz val="14"/>
      <color indexed="8"/>
      <name val="Arial Narrow"/>
      <family val="2"/>
    </font>
    <font>
      <b/>
      <sz val="14"/>
      <color theme="1"/>
      <name val="Times New Roman"/>
      <family val="1"/>
    </font>
    <font>
      <b/>
      <sz val="14"/>
      <name val="Arial Narrow"/>
      <family val="2"/>
    </font>
    <font>
      <sz val="14"/>
      <name val="Calibri"/>
      <family val="2"/>
      <scheme val="minor"/>
    </font>
    <font>
      <b/>
      <sz val="14"/>
      <name val="Calibri"/>
      <family val="2"/>
      <scheme val="minor"/>
    </font>
    <font>
      <b/>
      <sz val="14"/>
      <color rgb="FF000000"/>
      <name val="Calibri"/>
      <family val="2"/>
    </font>
    <font>
      <sz val="14"/>
      <color rgb="FF000000"/>
      <name val="Calibri"/>
      <family val="2"/>
    </font>
    <font>
      <sz val="11"/>
      <color rgb="FF000000"/>
      <name val="Calibri"/>
      <family val="2"/>
    </font>
    <font>
      <b/>
      <sz val="14"/>
      <color theme="1"/>
      <name val="Calibri"/>
      <family val="2"/>
      <scheme val="minor"/>
    </font>
    <font>
      <b/>
      <sz val="16"/>
      <color theme="1"/>
      <name val="Calibri"/>
      <family val="2"/>
      <scheme val="minor"/>
    </font>
    <font>
      <b/>
      <sz val="20"/>
      <color theme="1"/>
      <name val="Calibri"/>
      <family val="2"/>
      <scheme val="minor"/>
    </font>
    <font>
      <sz val="12"/>
      <color theme="1"/>
      <name val="Sansation"/>
    </font>
    <font>
      <b/>
      <sz val="12"/>
      <name val="Sansation"/>
    </font>
    <font>
      <b/>
      <sz val="14"/>
      <name val="Sansation"/>
    </font>
    <font>
      <b/>
      <sz val="12"/>
      <color theme="1" tint="0.499984740745262"/>
      <name val="Sansation"/>
    </font>
    <font>
      <b/>
      <sz val="16"/>
      <name val="Sansation"/>
    </font>
    <font>
      <sz val="11.5"/>
      <color theme="1"/>
      <name val="Calibri"/>
      <family val="2"/>
      <scheme val="minor"/>
    </font>
    <font>
      <b/>
      <sz val="11.5"/>
      <name val="Sansation"/>
    </font>
    <font>
      <sz val="11.5"/>
      <name val="Sansation"/>
    </font>
    <font>
      <sz val="11.5"/>
      <name val="Arial Narrow"/>
      <family val="2"/>
    </font>
    <font>
      <u/>
      <sz val="11.5"/>
      <color theme="10"/>
      <name val="Arial Narrow"/>
      <family val="2"/>
    </font>
    <font>
      <sz val="11.5"/>
      <color indexed="8"/>
      <name val="Arial Narrow"/>
      <family val="2"/>
    </font>
    <font>
      <sz val="12"/>
      <name val="Sansation"/>
    </font>
    <font>
      <b/>
      <sz val="12"/>
      <color theme="0"/>
      <name val="Sansation"/>
    </font>
    <font>
      <b/>
      <sz val="11.5"/>
      <color indexed="8"/>
      <name val="Arial Narrow"/>
      <family val="2"/>
    </font>
    <font>
      <sz val="11.5"/>
      <color rgb="FF000000"/>
      <name val="Sansation"/>
    </font>
    <font>
      <sz val="11.5"/>
      <color indexed="8"/>
      <name val="Sansation"/>
    </font>
    <font>
      <b/>
      <sz val="11.5"/>
      <color indexed="8"/>
      <name val="Sansation"/>
    </font>
    <font>
      <b/>
      <sz val="11.5"/>
      <color theme="0"/>
      <name val="Sansation"/>
    </font>
    <font>
      <sz val="12"/>
      <color indexed="8"/>
      <name val="Sansation"/>
    </font>
    <font>
      <b/>
      <sz val="12"/>
      <color theme="1"/>
      <name val="Sansation"/>
    </font>
    <font>
      <b/>
      <sz val="10"/>
      <name val="Arial"/>
      <family val="2"/>
    </font>
    <font>
      <sz val="11"/>
      <name val="Calibri"/>
      <family val="2"/>
      <scheme val="minor"/>
    </font>
    <font>
      <sz val="11"/>
      <color indexed="72"/>
      <name val="Calibri"/>
      <family val="2"/>
      <scheme val="minor"/>
    </font>
    <font>
      <sz val="10"/>
      <name val="Calibri"/>
      <family val="2"/>
      <scheme val="minor"/>
    </font>
    <font>
      <b/>
      <i/>
      <sz val="10"/>
      <color rgb="FFFF0000"/>
      <name val="Calibri"/>
      <family val="2"/>
      <scheme val="minor"/>
    </font>
    <font>
      <sz val="11"/>
      <color theme="1"/>
      <name val="Bahnschrift Light SemiCondensed"/>
      <family val="2"/>
    </font>
    <font>
      <sz val="12"/>
      <name val="Calibri"/>
      <family val="2"/>
      <scheme val="minor"/>
    </font>
    <font>
      <b/>
      <sz val="12"/>
      <color rgb="FF000000"/>
      <name val="Calibri"/>
      <family val="2"/>
    </font>
    <font>
      <sz val="12"/>
      <color rgb="FF000000"/>
      <name val="Calibri"/>
      <family val="2"/>
    </font>
    <font>
      <b/>
      <sz val="11"/>
      <color theme="1"/>
      <name val="Bahnschrift Light SemiCondensed"/>
      <family val="2"/>
    </font>
    <font>
      <sz val="11"/>
      <color theme="4"/>
      <name val="Bahnschrift Light SemiCondensed"/>
      <family val="2"/>
    </font>
    <font>
      <b/>
      <sz val="10"/>
      <name val="Sansation"/>
    </font>
    <font>
      <b/>
      <sz val="26"/>
      <color theme="1"/>
      <name val="Bahnschrift Light SemiCondensed"/>
      <family val="2"/>
    </font>
    <font>
      <b/>
      <sz val="14"/>
      <color theme="1"/>
      <name val="Bahnschrift Light SemiCondensed"/>
      <family val="2"/>
    </font>
    <font>
      <b/>
      <sz val="12"/>
      <color theme="1"/>
      <name val="Bahnschrift Light SemiCondensed"/>
      <family val="2"/>
    </font>
    <font>
      <b/>
      <sz val="14"/>
      <color theme="0"/>
      <name val="Bahnschrift Light SemiCondensed"/>
      <family val="2"/>
    </font>
    <font>
      <b/>
      <sz val="12"/>
      <color theme="0"/>
      <name val="Bahnschrift Light SemiCondensed"/>
      <family val="2"/>
    </font>
    <font>
      <sz val="14"/>
      <color theme="1"/>
      <name val="Bahnschrift Light SemiCondensed"/>
      <family val="2"/>
    </font>
    <font>
      <sz val="12"/>
      <name val="Bahnschrift Light SemiCondensed"/>
      <family val="2"/>
    </font>
    <font>
      <sz val="11"/>
      <name val="Bahnschrift Light SemiCondensed"/>
      <family val="2"/>
    </font>
    <font>
      <b/>
      <sz val="12"/>
      <name val="Bahnschrift Light SemiCondensed"/>
      <family val="2"/>
    </font>
    <font>
      <b/>
      <sz val="15"/>
      <color theme="3"/>
      <name val="Bahnschrift Light SemiCondensed"/>
      <family val="2"/>
    </font>
    <font>
      <b/>
      <sz val="11"/>
      <color theme="4"/>
      <name val="Bahnschrift Light SemiCondensed"/>
      <family val="2"/>
    </font>
    <font>
      <b/>
      <sz val="10"/>
      <color theme="1"/>
      <name val="Bahnschrift Light SemiCondensed"/>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indexed="9"/>
        <bgColor indexed="64"/>
      </patternFill>
    </fill>
    <fill>
      <patternFill patternType="solid">
        <fgColor indexed="9"/>
        <bgColor indexed="26"/>
      </patternFill>
    </fill>
    <fill>
      <patternFill patternType="solid">
        <fgColor theme="0" tint="-4.9989318521683403E-2"/>
        <bgColor indexed="64"/>
      </patternFill>
    </fill>
    <fill>
      <patternFill patternType="solid">
        <fgColor rgb="FF00FFFF"/>
        <bgColor indexed="64"/>
      </patternFill>
    </fill>
    <fill>
      <patternFill patternType="solid">
        <fgColor rgb="FF00FF00"/>
        <bgColor indexed="64"/>
      </patternFill>
    </fill>
    <fill>
      <patternFill patternType="solid">
        <fgColor rgb="FFFFC000"/>
        <bgColor indexed="64"/>
      </patternFill>
    </fill>
    <fill>
      <patternFill patternType="solid">
        <fgColor rgb="FFFFFF00"/>
        <bgColor indexed="64"/>
      </patternFill>
    </fill>
    <fill>
      <patternFill patternType="solid">
        <fgColor rgb="FF00B0F0"/>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249977111117893"/>
        <bgColor indexed="64"/>
      </patternFill>
    </fill>
    <fill>
      <patternFill patternType="solid">
        <fgColor rgb="FFFF0000"/>
        <bgColor indexed="64"/>
      </patternFill>
    </fill>
    <fill>
      <patternFill patternType="solid">
        <fgColor theme="5" tint="0.59999389629810485"/>
        <bgColor indexed="64"/>
      </patternFill>
    </fill>
    <fill>
      <patternFill patternType="solid">
        <fgColor rgb="FF2C384E"/>
        <bgColor indexed="64"/>
      </patternFill>
    </fill>
    <fill>
      <patternFill patternType="solid">
        <fgColor theme="3" tint="0.59999389629810485"/>
        <bgColor indexed="64"/>
      </patternFill>
    </fill>
    <fill>
      <patternFill patternType="solid">
        <fgColor theme="0" tint="-0.14999847407452621"/>
        <bgColor indexed="41"/>
      </patternFill>
    </fill>
    <fill>
      <patternFill patternType="solid">
        <fgColor rgb="FF92D050"/>
        <bgColor indexed="64"/>
      </patternFill>
    </fill>
    <fill>
      <patternFill patternType="solid">
        <fgColor theme="4"/>
        <bgColor indexed="64"/>
      </patternFill>
    </fill>
    <fill>
      <patternFill patternType="solid">
        <fgColor theme="2"/>
        <bgColor indexed="64"/>
      </patternFill>
    </fill>
    <fill>
      <patternFill patternType="solid">
        <fgColor theme="2" tint="-0.249977111117893"/>
        <bgColor indexed="64"/>
      </patternFill>
    </fill>
  </fills>
  <borders count="9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bottom style="thin">
        <color indexed="64"/>
      </bottom>
      <diagonal/>
    </border>
    <border>
      <left/>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medium">
        <color indexed="64"/>
      </left>
      <right style="medium">
        <color indexed="8"/>
      </right>
      <top/>
      <bottom/>
      <diagonal/>
    </border>
    <border>
      <left style="medium">
        <color indexed="8"/>
      </left>
      <right style="medium">
        <color indexed="8"/>
      </right>
      <top/>
      <bottom/>
      <diagonal/>
    </border>
    <border>
      <left style="medium">
        <color indexed="8"/>
      </left>
      <right/>
      <top/>
      <bottom/>
      <diagonal/>
    </border>
    <border>
      <left/>
      <right/>
      <top/>
      <bottom style="thin">
        <color indexed="8"/>
      </bottom>
      <diagonal/>
    </border>
    <border>
      <left/>
      <right/>
      <top style="thin">
        <color indexed="8"/>
      </top>
      <bottom style="thin">
        <color indexed="8"/>
      </bottom>
      <diagonal/>
    </border>
    <border>
      <left style="thin">
        <color indexed="8"/>
      </left>
      <right style="thin">
        <color indexed="8"/>
      </right>
      <top/>
      <bottom style="thin">
        <color indexed="8"/>
      </bottom>
      <diagonal/>
    </border>
    <border>
      <left/>
      <right/>
      <top style="thin">
        <color indexed="8"/>
      </top>
      <bottom/>
      <diagonal/>
    </border>
    <border>
      <left/>
      <right style="thin">
        <color indexed="64"/>
      </right>
      <top style="thin">
        <color indexed="8"/>
      </top>
      <bottom style="thin">
        <color indexed="64"/>
      </bottom>
      <diagonal/>
    </border>
    <border>
      <left style="thin">
        <color indexed="64"/>
      </left>
      <right/>
      <top style="thin">
        <color indexed="64"/>
      </top>
      <bottom/>
      <diagonal/>
    </border>
    <border>
      <left style="thin">
        <color indexed="64"/>
      </left>
      <right style="thin">
        <color indexed="64"/>
      </right>
      <top style="thin">
        <color indexed="8"/>
      </top>
      <bottom style="thin">
        <color indexed="8"/>
      </bottom>
      <diagonal/>
    </border>
    <border>
      <left/>
      <right style="thin">
        <color indexed="64"/>
      </right>
      <top style="thin">
        <color indexed="8"/>
      </top>
      <bottom/>
      <diagonal/>
    </border>
    <border>
      <left style="thin">
        <color indexed="64"/>
      </left>
      <right style="thin">
        <color indexed="64"/>
      </right>
      <top/>
      <bottom/>
      <diagonal/>
    </border>
    <border>
      <left/>
      <right/>
      <top style="thin">
        <color theme="0" tint="-0.34998626667073579"/>
      </top>
      <bottom/>
      <diagonal/>
    </border>
    <border>
      <left style="thin">
        <color indexed="8"/>
      </left>
      <right style="thin">
        <color indexed="8"/>
      </right>
      <top/>
      <bottom/>
      <diagonal/>
    </border>
    <border>
      <left/>
      <right style="thin">
        <color indexed="8"/>
      </right>
      <top/>
      <bottom style="thin">
        <color indexed="8"/>
      </bottom>
      <diagonal/>
    </border>
    <border>
      <left/>
      <right/>
      <top style="thin">
        <color indexed="8"/>
      </top>
      <bottom style="thin">
        <color indexed="64"/>
      </bottom>
      <diagonal/>
    </border>
    <border>
      <left style="thin">
        <color indexed="8"/>
      </left>
      <right style="thin">
        <color indexed="64"/>
      </right>
      <top/>
      <bottom/>
      <diagonal/>
    </border>
    <border>
      <left style="thin">
        <color indexed="8"/>
      </left>
      <right style="thin">
        <color indexed="64"/>
      </right>
      <top style="thin">
        <color indexed="8"/>
      </top>
      <bottom/>
      <diagonal/>
    </border>
    <border>
      <left/>
      <right style="thin">
        <color indexed="64"/>
      </right>
      <top/>
      <bottom style="thin">
        <color indexed="8"/>
      </bottom>
      <diagonal/>
    </border>
    <border>
      <left style="medium">
        <color indexed="64"/>
      </left>
      <right/>
      <top style="thin">
        <color indexed="64"/>
      </top>
      <bottom/>
      <diagonal/>
    </border>
    <border>
      <left style="thin">
        <color indexed="64"/>
      </left>
      <right/>
      <top style="thin">
        <color indexed="8"/>
      </top>
      <bottom style="thin">
        <color indexed="8"/>
      </bottom>
      <diagonal/>
    </border>
    <border>
      <left style="thin">
        <color indexed="64"/>
      </left>
      <right/>
      <top/>
      <bottom style="thin">
        <color indexed="8"/>
      </bottom>
      <diagonal/>
    </border>
    <border>
      <left style="thin">
        <color indexed="64"/>
      </left>
      <right/>
      <top style="thin">
        <color indexed="8"/>
      </top>
      <bottom/>
      <diagonal/>
    </border>
    <border>
      <left style="thin">
        <color indexed="64"/>
      </left>
      <right style="thin">
        <color indexed="8"/>
      </right>
      <top style="thin">
        <color indexed="8"/>
      </top>
      <bottom style="thin">
        <color indexed="8"/>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64"/>
      </left>
      <right/>
      <top style="thin">
        <color indexed="64"/>
      </top>
      <bottom style="thin">
        <color theme="0" tint="-0.249977111117893"/>
      </bottom>
      <diagonal/>
    </border>
    <border>
      <left style="thin">
        <color indexed="64"/>
      </left>
      <right style="thin">
        <color indexed="64"/>
      </right>
      <top style="thin">
        <color indexed="64"/>
      </top>
      <bottom style="thin">
        <color theme="0" tint="-0.249977111117893"/>
      </bottom>
      <diagonal/>
    </border>
    <border>
      <left style="thin">
        <color indexed="64"/>
      </left>
      <right style="thin">
        <color indexed="64"/>
      </right>
      <top style="thin">
        <color theme="0" tint="-0.249977111117893"/>
      </top>
      <bottom/>
      <diagonal/>
    </border>
    <border>
      <left style="thin">
        <color indexed="64"/>
      </left>
      <right/>
      <top style="thin">
        <color theme="0" tint="-0.249977111117893"/>
      </top>
      <bottom/>
      <diagonal/>
    </border>
    <border>
      <left style="thin">
        <color indexed="64"/>
      </left>
      <right/>
      <top style="thin">
        <color theme="0" tint="-0.249977111117893"/>
      </top>
      <bottom style="thin">
        <color theme="0" tint="-0.249977111117893"/>
      </bottom>
      <diagonal/>
    </border>
    <border>
      <left style="thin">
        <color indexed="64"/>
      </left>
      <right style="thin">
        <color indexed="64"/>
      </right>
      <top style="thin">
        <color theme="0" tint="-0.249977111117893"/>
      </top>
      <bottom style="thin">
        <color theme="0" tint="-0.249977111117893"/>
      </bottom>
      <diagonal/>
    </border>
    <border>
      <left/>
      <right style="thin">
        <color indexed="64"/>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style="thin">
        <color indexed="64"/>
      </right>
      <top style="thin">
        <color indexed="64"/>
      </top>
      <bottom style="thin">
        <color indexed="8"/>
      </bottom>
      <diagonal/>
    </border>
    <border>
      <left style="thin">
        <color theme="0" tint="-0.34998626667073579"/>
      </left>
      <right style="thin">
        <color theme="0" tint="-0.34998626667073579"/>
      </right>
      <top/>
      <bottom/>
      <diagonal/>
    </border>
    <border>
      <left style="thin">
        <color indexed="63"/>
      </left>
      <right style="thin">
        <color indexed="63"/>
      </right>
      <top/>
      <bottom style="thin">
        <color indexed="63"/>
      </bottom>
      <diagonal/>
    </border>
    <border>
      <left style="thin">
        <color indexed="63"/>
      </left>
      <right style="thin">
        <color indexed="63"/>
      </right>
      <top style="thin">
        <color indexed="63"/>
      </top>
      <bottom style="thin">
        <color indexed="63"/>
      </bottom>
      <diagonal/>
    </border>
    <border>
      <left style="thin">
        <color indexed="63"/>
      </left>
      <right/>
      <top style="thin">
        <color indexed="64"/>
      </top>
      <bottom style="thin">
        <color indexed="63"/>
      </bottom>
      <diagonal/>
    </border>
    <border>
      <left/>
      <right/>
      <top style="thin">
        <color indexed="64"/>
      </top>
      <bottom style="thin">
        <color indexed="63"/>
      </bottom>
      <diagonal/>
    </border>
    <border>
      <left/>
      <right style="thin">
        <color indexed="63"/>
      </right>
      <top style="thin">
        <color indexed="64"/>
      </top>
      <bottom style="thin">
        <color indexed="63"/>
      </bottom>
      <diagonal/>
    </border>
    <border>
      <left/>
      <right style="thin">
        <color indexed="64"/>
      </right>
      <top style="thin">
        <color indexed="64"/>
      </top>
      <bottom style="thin">
        <color theme="0" tint="-0.249977111117893"/>
      </bottom>
      <diagonal/>
    </border>
    <border>
      <left/>
      <right/>
      <top style="thin">
        <color indexed="64"/>
      </top>
      <bottom style="thin">
        <color theme="0" tint="-0.249977111117893"/>
      </bottom>
      <diagonal/>
    </border>
    <border>
      <left style="thin">
        <color indexed="63"/>
      </left>
      <right/>
      <top style="thin">
        <color indexed="63"/>
      </top>
      <bottom/>
      <diagonal/>
    </border>
    <border>
      <left/>
      <right/>
      <top style="thin">
        <color indexed="63"/>
      </top>
      <bottom/>
      <diagonal/>
    </border>
    <border>
      <left/>
      <right style="thin">
        <color indexed="63"/>
      </right>
      <top style="thin">
        <color indexed="63"/>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indexed="63"/>
      </left>
      <right/>
      <top style="thin">
        <color indexed="63"/>
      </top>
      <bottom style="thin">
        <color indexed="63"/>
      </bottom>
      <diagonal/>
    </border>
    <border>
      <left/>
      <right/>
      <top style="thin">
        <color indexed="63"/>
      </top>
      <bottom style="thin">
        <color indexed="63"/>
      </bottom>
      <diagonal/>
    </border>
    <border>
      <left/>
      <right style="thin">
        <color rgb="FF000000"/>
      </right>
      <top style="thin">
        <color indexed="63"/>
      </top>
      <bottom style="thin">
        <color indexed="63"/>
      </bottom>
      <diagonal/>
    </border>
    <border>
      <left style="hair">
        <color indexed="64"/>
      </left>
      <right style="hair">
        <color indexed="64"/>
      </right>
      <top style="hair">
        <color indexed="64"/>
      </top>
      <bottom style="hair">
        <color indexed="64"/>
      </bottom>
      <diagonal/>
    </border>
    <border>
      <left style="thin">
        <color theme="0" tint="-0.249977111117893"/>
      </left>
      <right style="thin">
        <color theme="0" tint="-0.249977111117893"/>
      </right>
      <top style="thin">
        <color theme="0" tint="-0.249977111117893"/>
      </top>
      <bottom/>
      <diagonal/>
    </border>
  </borders>
  <cellStyleXfs count="157">
    <xf numFmtId="0" fontId="0" fillId="0" borderId="0"/>
    <xf numFmtId="170"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lignment vertical="center"/>
    </xf>
    <xf numFmtId="0" fontId="22" fillId="0" borderId="0"/>
    <xf numFmtId="168" fontId="22" fillId="0" borderId="0" applyFont="0" applyFill="0" applyBorder="0" applyAlignment="0" applyProtection="0"/>
    <xf numFmtId="182" fontId="22" fillId="0" borderId="0" applyFont="0" applyFill="0" applyBorder="0" applyAlignment="0" applyProtection="0"/>
    <xf numFmtId="181" fontId="25" fillId="0" borderId="0" applyFont="0" applyFill="0" applyBorder="0" applyAlignment="0" applyProtection="0"/>
    <xf numFmtId="180" fontId="22" fillId="0" borderId="0" applyFont="0" applyFill="0" applyBorder="0" applyAlignment="0" applyProtection="0"/>
    <xf numFmtId="167" fontId="22" fillId="0" borderId="0" applyFont="0" applyFill="0" applyBorder="0" applyAlignment="0" applyProtection="0"/>
    <xf numFmtId="179"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77" fontId="29" fillId="0" borderId="0">
      <protection locked="0"/>
    </xf>
    <xf numFmtId="177" fontId="29" fillId="0" borderId="0">
      <protection locked="0"/>
    </xf>
    <xf numFmtId="0" fontId="28" fillId="0" borderId="0" applyNumberFormat="0" applyFill="0" applyBorder="0" applyAlignment="0" applyProtection="0"/>
    <xf numFmtId="0" fontId="27" fillId="0" borderId="0" applyNumberFormat="0" applyFill="0" applyBorder="0" applyAlignment="0" applyProtection="0"/>
    <xf numFmtId="176" fontId="26" fillId="0" borderId="0">
      <protection locked="0"/>
    </xf>
    <xf numFmtId="2" fontId="22" fillId="0" borderId="0" applyFont="0" applyFill="0" applyBorder="0" applyAlignment="0" applyProtection="0"/>
    <xf numFmtId="0" fontId="22" fillId="0" borderId="0" applyFont="0" applyFill="0" applyBorder="0" applyAlignment="0" applyProtection="0"/>
    <xf numFmtId="175" fontId="22" fillId="0" borderId="0" applyFont="0" applyFill="0" applyBorder="0" applyAlignment="0" applyProtection="0"/>
    <xf numFmtId="0" fontId="28" fillId="0" borderId="0" applyNumberFormat="0" applyFill="0" applyBorder="0" applyAlignment="0" applyProtection="0"/>
    <xf numFmtId="174" fontId="26" fillId="0" borderId="0">
      <protection locked="0"/>
    </xf>
    <xf numFmtId="173" fontId="22" fillId="0" borderId="0" applyFill="0" applyBorder="0" applyAlignment="0" applyProtection="0"/>
    <xf numFmtId="172" fontId="26" fillId="0" borderId="0">
      <protection locked="0"/>
    </xf>
    <xf numFmtId="3" fontId="22" fillId="0" borderId="0" applyFill="0" applyBorder="0" applyAlignment="0" applyProtection="0"/>
    <xf numFmtId="4" fontId="26" fillId="0" borderId="0">
      <protection locked="0"/>
    </xf>
    <xf numFmtId="0" fontId="22" fillId="0" borderId="0"/>
    <xf numFmtId="0" fontId="22" fillId="0" borderId="0"/>
    <xf numFmtId="0" fontId="22" fillId="0" borderId="0"/>
    <xf numFmtId="171" fontId="24" fillId="0" borderId="0" applyFont="0" applyFill="0" applyBorder="0" applyAlignment="0" applyProtection="0"/>
    <xf numFmtId="0" fontId="24" fillId="8" borderId="8" applyNumberFormat="0" applyFont="0" applyAlignment="0" applyProtection="0"/>
    <xf numFmtId="166" fontId="30" fillId="0" borderId="0" applyFont="0" applyFill="0" applyBorder="0" applyAlignment="0" applyProtection="0"/>
    <xf numFmtId="179" fontId="22" fillId="0" borderId="0" applyFont="0" applyFill="0" applyBorder="0" applyAlignment="0" applyProtection="0"/>
    <xf numFmtId="174" fontId="22" fillId="0" borderId="0" applyFont="0" applyFill="0" applyBorder="0" applyAlignment="0" applyProtection="0"/>
    <xf numFmtId="183" fontId="22" fillId="0" borderId="0" applyFont="0" applyFill="0" applyBorder="0" applyAlignment="0" applyProtection="0"/>
    <xf numFmtId="43" fontId="22" fillId="0" borderId="0" applyFont="0" applyFill="0" applyBorder="0" applyAlignment="0" applyProtection="0"/>
    <xf numFmtId="171" fontId="1" fillId="0" borderId="0" applyFont="0" applyFill="0" applyBorder="0" applyAlignment="0" applyProtection="0"/>
    <xf numFmtId="43" fontId="24" fillId="0" borderId="0" applyFont="0" applyFill="0" applyBorder="0" applyAlignment="0" applyProtection="0"/>
    <xf numFmtId="179" fontId="22" fillId="0" borderId="0" applyFont="0" applyFill="0" applyBorder="0" applyAlignment="0" applyProtection="0"/>
    <xf numFmtId="179" fontId="22" fillId="0" borderId="0" applyFont="0" applyFill="0" applyBorder="0" applyAlignment="0" applyProtection="0"/>
    <xf numFmtId="179" fontId="25" fillId="0" borderId="0" applyFont="0" applyFill="0" applyBorder="0" applyAlignment="0" applyProtection="0"/>
    <xf numFmtId="0" fontId="22" fillId="0" borderId="0" applyFont="0" applyFill="0" applyBorder="0" applyAlignment="0" applyProtection="0"/>
    <xf numFmtId="171" fontId="22" fillId="0" borderId="0" applyFont="0" applyFill="0" applyBorder="0" applyAlignment="0" applyProtection="0"/>
    <xf numFmtId="165" fontId="22" fillId="0" borderId="0" applyFont="0" applyFill="0" applyBorder="0" applyAlignment="0" applyProtection="0"/>
    <xf numFmtId="0" fontId="22" fillId="0" borderId="0" applyFont="0" applyFill="0" applyBorder="0" applyAlignment="0" applyProtection="0"/>
    <xf numFmtId="181" fontId="22" fillId="0" borderId="0" applyFont="0" applyFill="0" applyBorder="0" applyAlignment="0" applyProtection="0"/>
    <xf numFmtId="0" fontId="22"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9" fontId="22" fillId="0" borderId="0" applyFont="0" applyFill="0" applyBorder="0" applyAlignment="0" applyProtection="0"/>
    <xf numFmtId="179" fontId="22" fillId="0" borderId="0" applyFont="0" applyFill="0" applyBorder="0" applyAlignment="0" applyProtection="0"/>
    <xf numFmtId="182" fontId="22" fillId="0" borderId="0" applyNumberFormat="0" applyFill="0" applyBorder="0" applyAlignment="0" applyProtection="0"/>
    <xf numFmtId="170" fontId="1" fillId="0" borderId="0" applyFont="0" applyFill="0" applyBorder="0" applyAlignment="0" applyProtection="0"/>
    <xf numFmtId="182" fontId="22" fillId="0" borderId="0" applyFont="0" applyFill="0" applyBorder="0" applyAlignment="0" applyProtection="0"/>
    <xf numFmtId="165" fontId="22" fillId="0" borderId="0" applyFont="0" applyFill="0" applyBorder="0" applyAlignment="0" applyProtection="0"/>
    <xf numFmtId="182" fontId="22" fillId="0" borderId="0" applyFont="0" applyFill="0" applyBorder="0" applyAlignment="0" applyProtection="0"/>
    <xf numFmtId="182" fontId="22" fillId="0" borderId="0" applyFont="0" applyFill="0" applyBorder="0" applyAlignment="0" applyProtection="0"/>
    <xf numFmtId="165"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182" fontId="22" fillId="0" borderId="0" applyFont="0" applyFill="0" applyBorder="0" applyAlignment="0" applyProtection="0"/>
    <xf numFmtId="175" fontId="22" fillId="0" borderId="0" applyFont="0" applyFill="0" applyBorder="0" applyAlignment="0" applyProtection="0"/>
    <xf numFmtId="184" fontId="22" fillId="0" borderId="0" applyFont="0" applyFill="0" applyBorder="0" applyAlignment="0" applyProtection="0"/>
    <xf numFmtId="185" fontId="22" fillId="0" borderId="0" applyFont="0" applyFill="0" applyBorder="0" applyAlignment="0" applyProtection="0"/>
    <xf numFmtId="186" fontId="31" fillId="0" borderId="0"/>
    <xf numFmtId="0" fontId="22" fillId="0" borderId="0"/>
    <xf numFmtId="0" fontId="31" fillId="0" borderId="0"/>
    <xf numFmtId="0" fontId="22" fillId="0" borderId="0"/>
    <xf numFmtId="0" fontId="22" fillId="0" borderId="0"/>
    <xf numFmtId="0" fontId="32" fillId="0" borderId="0"/>
    <xf numFmtId="0" fontId="22" fillId="0" borderId="0">
      <alignment wrapText="1"/>
    </xf>
    <xf numFmtId="0" fontId="22" fillId="0" borderId="0"/>
    <xf numFmtId="0" fontId="1" fillId="0" borderId="0"/>
    <xf numFmtId="187" fontId="26" fillId="0" borderId="0">
      <protection locked="0"/>
    </xf>
    <xf numFmtId="188" fontId="23" fillId="0" borderId="0"/>
    <xf numFmtId="9" fontId="25"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2" fillId="0" borderId="0" applyFont="0" applyFill="0" applyBorder="0" applyAlignment="0" applyProtection="0"/>
    <xf numFmtId="9" fontId="25"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alignment wrapText="1"/>
    </xf>
    <xf numFmtId="9" fontId="24" fillId="0" borderId="0" applyFont="0" applyFill="0" applyBorder="0" applyAlignment="0" applyProtection="0"/>
    <xf numFmtId="9" fontId="22" fillId="0" borderId="0" applyFont="0" applyFill="0" applyBorder="0" applyAlignment="0" applyProtection="0">
      <alignment wrapText="1"/>
    </xf>
    <xf numFmtId="9" fontId="22" fillId="0" borderId="0" applyFont="0" applyFill="0" applyBorder="0" applyAlignment="0" applyProtection="0"/>
    <xf numFmtId="9" fontId="22" fillId="0" borderId="0" applyFont="0" applyFill="0" applyBorder="0" applyAlignment="0" applyProtection="0"/>
    <xf numFmtId="3" fontId="22" fillId="0" borderId="0" applyFont="0" applyFill="0" applyBorder="0" applyAlignment="0" applyProtection="0"/>
    <xf numFmtId="0" fontId="35" fillId="0" borderId="0"/>
    <xf numFmtId="0" fontId="22" fillId="0" borderId="0"/>
    <xf numFmtId="168" fontId="22" fillId="0" borderId="0" applyFont="0" applyFill="0" applyBorder="0" applyAlignment="0" applyProtection="0"/>
    <xf numFmtId="171" fontId="24" fillId="0" borderId="0" applyFont="0" applyFill="0" applyBorder="0" applyAlignment="0" applyProtection="0"/>
    <xf numFmtId="9" fontId="1" fillId="0" borderId="0" applyFont="0" applyFill="0" applyBorder="0" applyAlignment="0" applyProtection="0"/>
    <xf numFmtId="0" fontId="22" fillId="0" borderId="0"/>
    <xf numFmtId="191" fontId="22" fillId="0" borderId="0" applyFont="0" applyFill="0" applyBorder="0" applyAlignment="0" applyProtection="0"/>
    <xf numFmtId="0" fontId="45" fillId="0" borderId="0" applyNumberFormat="0" applyFill="0" applyBorder="0" applyAlignment="0" applyProtection="0">
      <alignment vertical="top"/>
      <protection locked="0"/>
    </xf>
    <xf numFmtId="0" fontId="22" fillId="0" borderId="0"/>
    <xf numFmtId="195" fontId="24" fillId="0" borderId="0" applyFill="0" applyBorder="0" applyAlignment="0" applyProtection="0"/>
    <xf numFmtId="0" fontId="22" fillId="0" borderId="0"/>
    <xf numFmtId="9" fontId="24" fillId="0" borderId="0" applyFill="0" applyBorder="0" applyAlignment="0" applyProtection="0"/>
    <xf numFmtId="43" fontId="24" fillId="0" borderId="0" applyFont="0" applyFill="0" applyBorder="0" applyAlignment="0" applyProtection="0"/>
    <xf numFmtId="43" fontId="22" fillId="0" borderId="0" applyFont="0" applyFill="0" applyBorder="0" applyAlignment="0" applyProtection="0"/>
    <xf numFmtId="43" fontId="1" fillId="0" borderId="0" applyFont="0" applyFill="0" applyBorder="0" applyAlignment="0" applyProtection="0"/>
    <xf numFmtId="43" fontId="24" fillId="0" borderId="0" applyFont="0" applyFill="0" applyBorder="0" applyAlignment="0" applyProtection="0"/>
    <xf numFmtId="43" fontId="22"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5" fontId="22" fillId="0" borderId="0" applyFont="0" applyFill="0" applyBorder="0" applyAlignment="0" applyProtection="0"/>
    <xf numFmtId="43" fontId="24" fillId="0" borderId="0" applyFont="0" applyFill="0" applyBorder="0" applyAlignment="0" applyProtection="0"/>
    <xf numFmtId="43" fontId="1" fillId="0" borderId="0" applyFont="0" applyFill="0" applyBorder="0" applyAlignment="0" applyProtection="0"/>
    <xf numFmtId="42" fontId="1" fillId="0" borderId="0" applyFont="0" applyFill="0" applyBorder="0" applyAlignment="0" applyProtection="0"/>
    <xf numFmtId="165" fontId="1" fillId="0" borderId="0" applyFont="0" applyFill="0" applyBorder="0" applyAlignment="0" applyProtection="0"/>
    <xf numFmtId="0" fontId="45" fillId="0" borderId="0" applyNumberFormat="0" applyFill="0" applyBorder="0" applyAlignment="0" applyProtection="0">
      <alignment vertical="top"/>
      <protection locked="0"/>
    </xf>
    <xf numFmtId="44" fontId="1" fillId="0" borderId="0" applyFont="0" applyFill="0" applyBorder="0" applyAlignment="0" applyProtection="0"/>
    <xf numFmtId="43" fontId="1" fillId="0" borderId="0" applyFont="0" applyFill="0" applyBorder="0" applyAlignment="0" applyProtection="0"/>
  </cellStyleXfs>
  <cellXfs count="623">
    <xf numFmtId="0" fontId="0" fillId="0" borderId="0" xfId="0"/>
    <xf numFmtId="0" fontId="0" fillId="0" borderId="13" xfId="0" applyBorder="1"/>
    <xf numFmtId="0" fontId="38" fillId="34" borderId="0" xfId="0" applyFont="1" applyFill="1" applyAlignment="1">
      <alignment horizontal="center" vertical="center" wrapText="1"/>
    </xf>
    <xf numFmtId="0" fontId="19" fillId="34" borderId="0" xfId="0" applyFont="1" applyFill="1"/>
    <xf numFmtId="0" fontId="19" fillId="0" borderId="0" xfId="0" applyFont="1"/>
    <xf numFmtId="0" fontId="0" fillId="0" borderId="0" xfId="0" applyAlignment="1">
      <alignment horizontal="center"/>
    </xf>
    <xf numFmtId="0" fontId="0" fillId="0" borderId="13" xfId="0" applyBorder="1" applyAlignment="1">
      <alignment horizontal="center"/>
    </xf>
    <xf numFmtId="170" fontId="0" fillId="0" borderId="0" xfId="0" applyNumberFormat="1"/>
    <xf numFmtId="170" fontId="0" fillId="0" borderId="13" xfId="1" applyFont="1" applyBorder="1" applyAlignment="1">
      <alignment horizontal="center"/>
    </xf>
    <xf numFmtId="0" fontId="16" fillId="33" borderId="13" xfId="0" applyFont="1" applyFill="1" applyBorder="1" applyAlignment="1">
      <alignment horizontal="center"/>
    </xf>
    <xf numFmtId="0" fontId="40" fillId="0" borderId="13" xfId="0" applyFont="1" applyBorder="1" applyAlignment="1">
      <alignment horizontal="center"/>
    </xf>
    <xf numFmtId="0" fontId="19" fillId="0" borderId="17" xfId="0" applyFont="1" applyBorder="1" applyAlignment="1">
      <alignment horizontal="center"/>
    </xf>
    <xf numFmtId="0" fontId="0" fillId="0" borderId="13" xfId="0" applyBorder="1" applyAlignment="1">
      <alignment horizontal="justify" vertical="center" wrapText="1"/>
    </xf>
    <xf numFmtId="0" fontId="33" fillId="34" borderId="13" xfId="0" applyFont="1" applyFill="1" applyBorder="1" applyAlignment="1">
      <alignment horizontal="center" vertical="center"/>
    </xf>
    <xf numFmtId="0" fontId="0" fillId="34" borderId="0" xfId="0" applyFill="1" applyAlignment="1">
      <alignment vertical="center"/>
    </xf>
    <xf numFmtId="0" fontId="33" fillId="34" borderId="11" xfId="0" applyFont="1" applyFill="1" applyBorder="1" applyAlignment="1">
      <alignment horizontal="center" vertical="center"/>
    </xf>
    <xf numFmtId="0" fontId="33" fillId="34" borderId="17" xfId="0" applyFont="1" applyFill="1" applyBorder="1" applyAlignment="1">
      <alignment horizontal="center" vertical="center"/>
    </xf>
    <xf numFmtId="170" fontId="33" fillId="34" borderId="21" xfId="1" applyFont="1" applyFill="1" applyBorder="1" applyAlignment="1">
      <alignment horizontal="center" vertical="center"/>
    </xf>
    <xf numFmtId="0" fontId="21" fillId="34" borderId="11" xfId="0" applyFont="1" applyFill="1" applyBorder="1" applyAlignment="1">
      <alignment horizontal="left" vertical="center"/>
    </xf>
    <xf numFmtId="0" fontId="21" fillId="34" borderId="17" xfId="0" applyFont="1" applyFill="1" applyBorder="1" applyAlignment="1">
      <alignment horizontal="center" vertical="center"/>
    </xf>
    <xf numFmtId="170" fontId="34" fillId="34" borderId="21" xfId="1" applyFont="1" applyFill="1" applyBorder="1" applyAlignment="1">
      <alignment horizontal="center" vertical="center"/>
    </xf>
    <xf numFmtId="0" fontId="22" fillId="34" borderId="11" xfId="43" applyFill="1" applyBorder="1" applyAlignment="1">
      <alignment vertical="center" wrapText="1"/>
    </xf>
    <xf numFmtId="170" fontId="34" fillId="34" borderId="21" xfId="1" applyFont="1" applyFill="1" applyBorder="1" applyAlignment="1">
      <alignment vertical="center"/>
    </xf>
    <xf numFmtId="0" fontId="22" fillId="34" borderId="16" xfId="43" applyFill="1" applyBorder="1" applyAlignment="1">
      <alignment vertical="center" wrapText="1"/>
    </xf>
    <xf numFmtId="0" fontId="21" fillId="34" borderId="13" xfId="0" applyFont="1" applyFill="1" applyBorder="1" applyAlignment="1">
      <alignment horizontal="center" vertical="center"/>
    </xf>
    <xf numFmtId="170" fontId="34" fillId="34" borderId="14" xfId="1" applyFont="1" applyFill="1" applyBorder="1" applyAlignment="1">
      <alignment vertical="center"/>
    </xf>
    <xf numFmtId="0" fontId="36" fillId="34" borderId="13" xfId="130" applyFont="1" applyFill="1" applyBorder="1" applyAlignment="1">
      <alignment horizontal="left" vertical="center" wrapText="1"/>
    </xf>
    <xf numFmtId="170" fontId="34" fillId="34" borderId="13" xfId="1" applyFont="1" applyFill="1" applyBorder="1" applyAlignment="1">
      <alignment vertical="center"/>
    </xf>
    <xf numFmtId="169" fontId="21" fillId="34" borderId="13" xfId="0" applyNumberFormat="1" applyFont="1" applyFill="1" applyBorder="1" applyAlignment="1">
      <alignment horizontal="center" vertical="center"/>
    </xf>
    <xf numFmtId="0" fontId="20" fillId="34" borderId="16" xfId="43" applyFont="1" applyFill="1" applyBorder="1" applyAlignment="1">
      <alignment vertical="center" wrapText="1"/>
    </xf>
    <xf numFmtId="0" fontId="22" fillId="34" borderId="16" xfId="43" applyFill="1" applyBorder="1" applyAlignment="1">
      <alignment vertical="center"/>
    </xf>
    <xf numFmtId="0" fontId="35" fillId="34" borderId="16" xfId="43" applyFont="1" applyFill="1" applyBorder="1" applyAlignment="1">
      <alignment vertical="center" wrapText="1"/>
    </xf>
    <xf numFmtId="0" fontId="20" fillId="34" borderId="0" xfId="43" applyFont="1" applyFill="1" applyAlignment="1">
      <alignment vertical="center" wrapText="1"/>
    </xf>
    <xf numFmtId="0" fontId="22" fillId="34" borderId="13" xfId="0" applyFont="1" applyFill="1" applyBorder="1" applyAlignment="1">
      <alignment vertical="center" wrapText="1"/>
    </xf>
    <xf numFmtId="0" fontId="21" fillId="34" borderId="13" xfId="0" applyFont="1" applyFill="1" applyBorder="1" applyAlignment="1">
      <alignment horizontal="left" vertical="center" wrapText="1"/>
    </xf>
    <xf numFmtId="0" fontId="21" fillId="34" borderId="13" xfId="0" applyFont="1" applyFill="1" applyBorder="1" applyAlignment="1">
      <alignment vertical="center" wrapText="1"/>
    </xf>
    <xf numFmtId="0" fontId="22" fillId="34" borderId="0" xfId="43" applyFill="1" applyAlignment="1">
      <alignment vertical="center" wrapText="1"/>
    </xf>
    <xf numFmtId="0" fontId="22" fillId="34" borderId="16" xfId="131" applyFill="1" applyBorder="1" applyAlignment="1">
      <alignment horizontal="justify" vertical="center" wrapText="1"/>
    </xf>
    <xf numFmtId="0" fontId="22" fillId="34" borderId="0" xfId="43" applyFill="1" applyAlignment="1">
      <alignment vertical="center"/>
    </xf>
    <xf numFmtId="0" fontId="21" fillId="34" borderId="16" xfId="0" applyFont="1" applyFill="1" applyBorder="1" applyAlignment="1">
      <alignment vertical="center" wrapText="1"/>
    </xf>
    <xf numFmtId="0" fontId="35" fillId="34" borderId="0" xfId="43" applyFont="1" applyFill="1" applyAlignment="1">
      <alignment vertical="center" wrapText="1"/>
    </xf>
    <xf numFmtId="0" fontId="22" fillId="34" borderId="20" xfId="43" applyFill="1" applyBorder="1" applyAlignment="1">
      <alignment vertical="center" wrapText="1"/>
    </xf>
    <xf numFmtId="0" fontId="35" fillId="34" borderId="16" xfId="43" applyFont="1" applyFill="1" applyBorder="1" applyAlignment="1">
      <alignment vertical="center"/>
    </xf>
    <xf numFmtId="0" fontId="22" fillId="34" borderId="20" xfId="43" applyFill="1" applyBorder="1" applyAlignment="1">
      <alignment vertical="center"/>
    </xf>
    <xf numFmtId="0" fontId="20" fillId="34" borderId="20" xfId="43" applyFont="1" applyFill="1" applyBorder="1" applyAlignment="1">
      <alignment vertical="center" wrapText="1"/>
    </xf>
    <xf numFmtId="170" fontId="37" fillId="34" borderId="13" xfId="0" applyNumberFormat="1" applyFont="1" applyFill="1" applyBorder="1" applyAlignment="1">
      <alignment vertical="center"/>
    </xf>
    <xf numFmtId="0" fontId="21" fillId="34" borderId="18" xfId="0" applyFont="1" applyFill="1" applyBorder="1" applyAlignment="1">
      <alignment horizontal="center" vertical="center"/>
    </xf>
    <xf numFmtId="170" fontId="34" fillId="34" borderId="22" xfId="1" applyFont="1" applyFill="1" applyBorder="1" applyAlignment="1">
      <alignment vertical="center"/>
    </xf>
    <xf numFmtId="0" fontId="39" fillId="34" borderId="0" xfId="0" applyFont="1" applyFill="1" applyAlignment="1">
      <alignment horizontal="left" vertical="center"/>
    </xf>
    <xf numFmtId="170" fontId="0" fillId="34" borderId="0" xfId="1" applyFont="1" applyFill="1" applyAlignment="1">
      <alignment vertical="center"/>
    </xf>
    <xf numFmtId="0" fontId="22" fillId="0" borderId="13" xfId="43" applyBorder="1" applyAlignment="1">
      <alignment horizontal="center" vertical="center"/>
    </xf>
    <xf numFmtId="0" fontId="22" fillId="34" borderId="13" xfId="43" applyFill="1" applyBorder="1" applyAlignment="1">
      <alignment horizontal="center" vertical="center"/>
    </xf>
    <xf numFmtId="170" fontId="0" fillId="34" borderId="0" xfId="0" applyNumberFormat="1" applyFill="1" applyAlignment="1">
      <alignment vertical="center"/>
    </xf>
    <xf numFmtId="0" fontId="0" fillId="34" borderId="13" xfId="0" applyFill="1" applyBorder="1" applyAlignment="1">
      <alignment vertical="center"/>
    </xf>
    <xf numFmtId="2" fontId="0" fillId="34" borderId="13" xfId="0" applyNumberFormat="1" applyFill="1" applyBorder="1" applyAlignment="1">
      <alignment vertical="center"/>
    </xf>
    <xf numFmtId="169" fontId="22" fillId="36" borderId="0" xfId="0" applyNumberFormat="1" applyFont="1" applyFill="1"/>
    <xf numFmtId="190" fontId="0" fillId="0" borderId="0" xfId="1" applyNumberFormat="1" applyFont="1"/>
    <xf numFmtId="190" fontId="19" fillId="0" borderId="13" xfId="1" applyNumberFormat="1" applyFont="1" applyBorder="1"/>
    <xf numFmtId="0" fontId="42" fillId="35" borderId="13" xfId="0" applyFont="1" applyFill="1" applyBorder="1" applyAlignment="1">
      <alignment horizontal="center" wrapText="1"/>
    </xf>
    <xf numFmtId="0" fontId="21" fillId="35" borderId="13" xfId="131" applyFont="1" applyFill="1" applyBorder="1" applyAlignment="1">
      <alignment horizontal="justify" vertical="center" wrapText="1"/>
    </xf>
    <xf numFmtId="0" fontId="19" fillId="35" borderId="17" xfId="0" applyFont="1" applyFill="1" applyBorder="1" applyAlignment="1">
      <alignment horizontal="center"/>
    </xf>
    <xf numFmtId="190" fontId="0" fillId="0" borderId="13" xfId="1" applyNumberFormat="1" applyFont="1" applyBorder="1"/>
    <xf numFmtId="169" fontId="0" fillId="0" borderId="0" xfId="0" applyNumberFormat="1"/>
    <xf numFmtId="0" fontId="0" fillId="0" borderId="13" xfId="0" applyBorder="1" applyAlignment="1">
      <alignment wrapText="1"/>
    </xf>
    <xf numFmtId="0" fontId="0" fillId="0" borderId="21" xfId="0" applyBorder="1"/>
    <xf numFmtId="0" fontId="0" fillId="0" borderId="23" xfId="0" applyBorder="1"/>
    <xf numFmtId="0" fontId="22" fillId="36" borderId="13" xfId="0" applyFont="1" applyFill="1" applyBorder="1" applyProtection="1">
      <protection locked="0"/>
    </xf>
    <xf numFmtId="1" fontId="0" fillId="0" borderId="0" xfId="0" applyNumberFormat="1"/>
    <xf numFmtId="9" fontId="0" fillId="0" borderId="0" xfId="134" applyFont="1"/>
    <xf numFmtId="189" fontId="0" fillId="0" borderId="0" xfId="0" applyNumberFormat="1"/>
    <xf numFmtId="0" fontId="46" fillId="37" borderId="26" xfId="138" applyFont="1" applyFill="1" applyBorder="1" applyAlignment="1">
      <alignment horizontal="center" vertical="center" wrapText="1"/>
    </xf>
    <xf numFmtId="0" fontId="46" fillId="37" borderId="25" xfId="138" applyFont="1" applyFill="1" applyBorder="1" applyAlignment="1">
      <alignment horizontal="center" vertical="center"/>
    </xf>
    <xf numFmtId="0" fontId="49" fillId="37" borderId="31" xfId="138" applyFont="1" applyFill="1" applyBorder="1"/>
    <xf numFmtId="195" fontId="49" fillId="37" borderId="31" xfId="139" applyFont="1" applyFill="1" applyBorder="1"/>
    <xf numFmtId="0" fontId="49" fillId="0" borderId="32" xfId="138" applyFont="1" applyBorder="1" applyAlignment="1">
      <alignment horizontal="center" vertical="center"/>
    </xf>
    <xf numFmtId="0" fontId="49" fillId="37" borderId="33" xfId="138" applyFont="1" applyFill="1" applyBorder="1"/>
    <xf numFmtId="195" fontId="49" fillId="37" borderId="33" xfId="139" applyFont="1" applyFill="1" applyBorder="1"/>
    <xf numFmtId="195" fontId="49" fillId="0" borderId="13" xfId="139" applyFont="1" applyBorder="1" applyAlignment="1">
      <alignment horizontal="center" vertical="center"/>
    </xf>
    <xf numFmtId="197" fontId="49" fillId="37" borderId="25" xfId="138" applyNumberFormat="1" applyFont="1" applyFill="1" applyBorder="1"/>
    <xf numFmtId="9" fontId="49" fillId="37" borderId="31" xfId="141" applyFont="1" applyFill="1" applyBorder="1" applyAlignment="1">
      <alignment horizontal="center"/>
    </xf>
    <xf numFmtId="198" fontId="49" fillId="37" borderId="25" xfId="138" applyNumberFormat="1" applyFont="1" applyFill="1" applyBorder="1"/>
    <xf numFmtId="0" fontId="49" fillId="37" borderId="30" xfId="138" applyFont="1" applyFill="1" applyBorder="1"/>
    <xf numFmtId="195" fontId="49" fillId="37" borderId="30" xfId="139" applyFont="1" applyFill="1" applyBorder="1"/>
    <xf numFmtId="0" fontId="49" fillId="37" borderId="0" xfId="138" applyFont="1" applyFill="1"/>
    <xf numFmtId="195" fontId="49" fillId="37" borderId="0" xfId="139" applyFont="1" applyFill="1"/>
    <xf numFmtId="197" fontId="49" fillId="37" borderId="33" xfId="138" applyNumberFormat="1" applyFont="1" applyFill="1" applyBorder="1"/>
    <xf numFmtId="196" fontId="49" fillId="37" borderId="33" xfId="138" applyNumberFormat="1" applyFont="1" applyFill="1" applyBorder="1"/>
    <xf numFmtId="197" fontId="46" fillId="37" borderId="20" xfId="138" applyNumberFormat="1" applyFont="1" applyFill="1" applyBorder="1" applyAlignment="1">
      <alignment horizontal="center" vertical="center"/>
    </xf>
    <xf numFmtId="197" fontId="46" fillId="37" borderId="19" xfId="138" applyNumberFormat="1" applyFont="1" applyFill="1" applyBorder="1" applyAlignment="1">
      <alignment vertical="center"/>
    </xf>
    <xf numFmtId="0" fontId="36" fillId="0" borderId="0" xfId="43" applyFont="1"/>
    <xf numFmtId="0" fontId="51" fillId="0" borderId="0" xfId="0" applyFont="1"/>
    <xf numFmtId="0" fontId="48" fillId="34" borderId="12" xfId="43" applyFont="1" applyFill="1" applyBorder="1" applyAlignment="1">
      <alignment horizontal="left" vertical="center"/>
    </xf>
    <xf numFmtId="0" fontId="47" fillId="34" borderId="0" xfId="43" applyFont="1" applyFill="1" applyAlignment="1">
      <alignment vertical="center"/>
    </xf>
    <xf numFmtId="0" fontId="46" fillId="34" borderId="0" xfId="43" applyFont="1" applyFill="1" applyAlignment="1">
      <alignment horizontal="left" vertical="center"/>
    </xf>
    <xf numFmtId="0" fontId="52" fillId="34" borderId="0" xfId="43" applyFont="1" applyFill="1" applyAlignment="1">
      <alignment horizontal="center" vertical="center"/>
    </xf>
    <xf numFmtId="170" fontId="52" fillId="0" borderId="14" xfId="1" applyFont="1" applyBorder="1" applyAlignment="1">
      <alignment vertical="center"/>
    </xf>
    <xf numFmtId="2" fontId="52" fillId="0" borderId="13" xfId="1" applyNumberFormat="1" applyFont="1" applyBorder="1" applyAlignment="1">
      <alignment vertical="center"/>
    </xf>
    <xf numFmtId="169" fontId="46" fillId="0" borderId="14" xfId="43" applyNumberFormat="1" applyFont="1" applyBorder="1" applyAlignment="1">
      <alignment vertical="center"/>
    </xf>
    <xf numFmtId="0" fontId="52" fillId="0" borderId="13" xfId="43" applyFont="1" applyBorder="1" applyAlignment="1">
      <alignment horizontal="center" vertical="center" wrapText="1"/>
    </xf>
    <xf numFmtId="170" fontId="52" fillId="0" borderId="13" xfId="1" applyFont="1" applyBorder="1" applyAlignment="1">
      <alignment horizontal="center" vertical="center" wrapText="1"/>
    </xf>
    <xf numFmtId="0" fontId="52" fillId="0" borderId="13" xfId="1" applyNumberFormat="1" applyFont="1" applyBorder="1" applyAlignment="1">
      <alignment vertical="center"/>
    </xf>
    <xf numFmtId="2" fontId="52" fillId="0" borderId="15" xfId="43" applyNumberFormat="1" applyFont="1" applyBorder="1" applyAlignment="1">
      <alignment vertical="center" wrapText="1"/>
    </xf>
    <xf numFmtId="2" fontId="52" fillId="0" borderId="14" xfId="43" applyNumberFormat="1" applyFont="1" applyBorder="1" applyAlignment="1">
      <alignment vertical="center" wrapText="1"/>
    </xf>
    <xf numFmtId="170" fontId="52" fillId="0" borderId="13" xfId="1" applyFont="1" applyBorder="1" applyAlignment="1">
      <alignment vertical="center"/>
    </xf>
    <xf numFmtId="169" fontId="52" fillId="0" borderId="13" xfId="43" applyNumberFormat="1" applyFont="1" applyBorder="1" applyAlignment="1">
      <alignment vertical="center"/>
    </xf>
    <xf numFmtId="169" fontId="46" fillId="0" borderId="13" xfId="43" applyNumberFormat="1" applyFont="1" applyBorder="1" applyAlignment="1">
      <alignment vertical="center"/>
    </xf>
    <xf numFmtId="0" fontId="47" fillId="0" borderId="15" xfId="43" applyFont="1" applyBorder="1" applyAlignment="1">
      <alignment vertical="center"/>
    </xf>
    <xf numFmtId="0" fontId="47" fillId="0" borderId="14" xfId="43" applyFont="1" applyBorder="1" applyAlignment="1">
      <alignment vertical="center"/>
    </xf>
    <xf numFmtId="0" fontId="47" fillId="0" borderId="13" xfId="43" applyFont="1" applyBorder="1" applyAlignment="1">
      <alignment vertical="center"/>
    </xf>
    <xf numFmtId="0" fontId="49" fillId="0" borderId="13" xfId="43" applyFont="1" applyBorder="1" applyAlignment="1">
      <alignment horizontal="center" vertical="center"/>
    </xf>
    <xf numFmtId="0" fontId="49" fillId="0" borderId="15" xfId="43" applyFont="1" applyBorder="1" applyAlignment="1">
      <alignment vertical="center" wrapText="1"/>
    </xf>
    <xf numFmtId="0" fontId="49" fillId="0" borderId="13" xfId="43" applyFont="1" applyBorder="1" applyAlignment="1">
      <alignment vertical="center" wrapText="1"/>
    </xf>
    <xf numFmtId="0" fontId="49" fillId="37" borderId="33" xfId="138" applyFont="1" applyFill="1" applyBorder="1" applyAlignment="1">
      <alignment horizontal="left" vertical="center" wrapText="1"/>
    </xf>
    <xf numFmtId="0" fontId="49" fillId="37" borderId="31" xfId="138" applyFont="1" applyFill="1" applyBorder="1" applyAlignment="1">
      <alignment horizontal="left" vertical="center" wrapText="1"/>
    </xf>
    <xf numFmtId="0" fontId="46" fillId="37" borderId="36" xfId="138" applyFont="1" applyFill="1" applyBorder="1" applyAlignment="1">
      <alignment horizontal="center" vertical="center"/>
    </xf>
    <xf numFmtId="2" fontId="0" fillId="0" borderId="0" xfId="0" applyNumberFormat="1"/>
    <xf numFmtId="169" fontId="46" fillId="0" borderId="21" xfId="43" applyNumberFormat="1" applyFont="1" applyBorder="1" applyAlignment="1">
      <alignment vertical="center"/>
    </xf>
    <xf numFmtId="189" fontId="52" fillId="0" borderId="21" xfId="43" applyNumberFormat="1" applyFont="1" applyBorder="1" applyAlignment="1">
      <alignment vertical="center"/>
    </xf>
    <xf numFmtId="189" fontId="52" fillId="0" borderId="37" xfId="43" applyNumberFormat="1" applyFont="1" applyBorder="1" applyAlignment="1">
      <alignment vertical="center"/>
    </xf>
    <xf numFmtId="0" fontId="50" fillId="0" borderId="38" xfId="43" applyFont="1" applyBorder="1" applyAlignment="1">
      <alignment vertical="center"/>
    </xf>
    <xf numFmtId="189" fontId="52" fillId="0" borderId="17" xfId="43" applyNumberFormat="1" applyFont="1" applyBorder="1" applyAlignment="1">
      <alignment vertical="center"/>
    </xf>
    <xf numFmtId="189" fontId="52" fillId="0" borderId="38" xfId="43" applyNumberFormat="1" applyFont="1" applyBorder="1" applyAlignment="1">
      <alignment vertical="center"/>
    </xf>
    <xf numFmtId="189" fontId="52" fillId="0" borderId="13" xfId="43" applyNumberFormat="1" applyFont="1" applyBorder="1" applyAlignment="1">
      <alignment vertical="center"/>
    </xf>
    <xf numFmtId="0" fontId="55" fillId="34" borderId="0" xfId="0" applyFont="1" applyFill="1" applyAlignment="1">
      <alignment vertical="center"/>
    </xf>
    <xf numFmtId="0" fontId="56" fillId="34" borderId="13" xfId="0" applyFont="1" applyFill="1" applyBorder="1" applyAlignment="1">
      <alignment horizontal="center" vertical="center"/>
    </xf>
    <xf numFmtId="0" fontId="58" fillId="34" borderId="0" xfId="114" applyFont="1" applyFill="1" applyAlignment="1">
      <alignment vertical="center"/>
    </xf>
    <xf numFmtId="0" fontId="56" fillId="34" borderId="11" xfId="0" applyFont="1" applyFill="1" applyBorder="1" applyAlignment="1">
      <alignment horizontal="left" vertical="center"/>
    </xf>
    <xf numFmtId="0" fontId="54" fillId="34" borderId="13" xfId="0" applyFont="1" applyFill="1" applyBorder="1" applyAlignment="1">
      <alignment horizontal="center" vertical="center"/>
    </xf>
    <xf numFmtId="170" fontId="60" fillId="34" borderId="14" xfId="1" applyFont="1" applyFill="1" applyBorder="1" applyAlignment="1">
      <alignment vertical="center"/>
    </xf>
    <xf numFmtId="170" fontId="60" fillId="34" borderId="13" xfId="1" applyFont="1" applyFill="1" applyBorder="1" applyAlignment="1">
      <alignment vertical="center"/>
    </xf>
    <xf numFmtId="170" fontId="61" fillId="34" borderId="13" xfId="0" applyNumberFormat="1" applyFont="1" applyFill="1" applyBorder="1" applyAlignment="1">
      <alignment vertical="center"/>
    </xf>
    <xf numFmtId="0" fontId="56" fillId="34" borderId="18" xfId="0" applyFont="1" applyFill="1" applyBorder="1" applyAlignment="1">
      <alignment horizontal="center" vertical="center"/>
    </xf>
    <xf numFmtId="170" fontId="60" fillId="34" borderId="22" xfId="1" applyFont="1" applyFill="1" applyBorder="1" applyAlignment="1">
      <alignment vertical="center"/>
    </xf>
    <xf numFmtId="0" fontId="62" fillId="34" borderId="0" xfId="0" applyFont="1" applyFill="1" applyAlignment="1">
      <alignment horizontal="left" vertical="center"/>
    </xf>
    <xf numFmtId="0" fontId="63" fillId="34" borderId="0" xfId="0" applyFont="1" applyFill="1" applyAlignment="1">
      <alignment horizontal="center" vertical="center" wrapText="1"/>
    </xf>
    <xf numFmtId="170" fontId="55" fillId="34" borderId="0" xfId="1" applyFont="1" applyFill="1" applyAlignment="1">
      <alignment vertical="center"/>
    </xf>
    <xf numFmtId="44" fontId="0" fillId="0" borderId="0" xfId="0" applyNumberFormat="1"/>
    <xf numFmtId="0" fontId="0" fillId="0" borderId="35" xfId="0" applyBorder="1"/>
    <xf numFmtId="0" fontId="0" fillId="0" borderId="22" xfId="0" applyBorder="1"/>
    <xf numFmtId="9" fontId="0" fillId="0" borderId="0" xfId="0" applyNumberFormat="1"/>
    <xf numFmtId="9" fontId="0" fillId="0" borderId="0" xfId="0" applyNumberFormat="1" applyAlignment="1">
      <alignment horizontal="right"/>
    </xf>
    <xf numFmtId="199" fontId="0" fillId="0" borderId="0" xfId="0" applyNumberFormat="1"/>
    <xf numFmtId="192" fontId="0" fillId="0" borderId="0" xfId="0" applyNumberFormat="1"/>
    <xf numFmtId="0" fontId="0" fillId="0" borderId="12" xfId="0" applyBorder="1"/>
    <xf numFmtId="9" fontId="17" fillId="0" borderId="0" xfId="0" applyNumberFormat="1" applyFont="1"/>
    <xf numFmtId="9" fontId="17" fillId="0" borderId="0" xfId="0" applyNumberFormat="1" applyFont="1" applyAlignment="1">
      <alignment horizontal="right"/>
    </xf>
    <xf numFmtId="0" fontId="17" fillId="0" borderId="0" xfId="0" applyFont="1"/>
    <xf numFmtId="199" fontId="17" fillId="0" borderId="0" xfId="0" applyNumberFormat="1" applyFont="1"/>
    <xf numFmtId="9" fontId="65" fillId="0" borderId="0" xfId="0" applyNumberFormat="1" applyFont="1" applyAlignment="1">
      <alignment horizontal="center" vertical="center" wrapText="1"/>
    </xf>
    <xf numFmtId="0" fontId="66" fillId="0" borderId="0" xfId="0" applyFont="1" applyAlignment="1">
      <alignment horizontal="center" vertical="center" wrapText="1"/>
    </xf>
    <xf numFmtId="0" fontId="65" fillId="0" borderId="0" xfId="0" applyFont="1" applyAlignment="1">
      <alignment horizontal="center" vertical="center" wrapText="1"/>
    </xf>
    <xf numFmtId="192" fontId="65" fillId="0" borderId="0" xfId="0" applyNumberFormat="1" applyFont="1" applyAlignment="1">
      <alignment horizontal="center" vertical="center" wrapText="1"/>
    </xf>
    <xf numFmtId="0" fontId="43" fillId="0" borderId="19" xfId="0" applyFont="1" applyBorder="1"/>
    <xf numFmtId="9" fontId="66" fillId="0" borderId="0" xfId="0" applyNumberFormat="1" applyFont="1" applyAlignment="1">
      <alignment horizontal="justify" vertical="center" wrapText="1"/>
    </xf>
    <xf numFmtId="192" fontId="66" fillId="0" borderId="0" xfId="0" applyNumberFormat="1" applyFont="1" applyAlignment="1">
      <alignment horizontal="center" vertical="center" wrapText="1"/>
    </xf>
    <xf numFmtId="0" fontId="67" fillId="0" borderId="0" xfId="0" applyFont="1" applyAlignment="1">
      <alignment vertical="center"/>
    </xf>
    <xf numFmtId="9" fontId="67" fillId="0" borderId="0" xfId="0" applyNumberFormat="1" applyFont="1" applyAlignment="1">
      <alignment vertical="center"/>
    </xf>
    <xf numFmtId="9" fontId="69" fillId="0" borderId="0" xfId="0" applyNumberFormat="1" applyFont="1" applyAlignment="1">
      <alignment horizontal="justify" vertical="center" wrapText="1"/>
    </xf>
    <xf numFmtId="0" fontId="69" fillId="0" borderId="0" xfId="0" applyFont="1" applyAlignment="1">
      <alignment horizontal="center" vertical="center" wrapText="1"/>
    </xf>
    <xf numFmtId="164" fontId="69" fillId="0" borderId="0" xfId="0" applyNumberFormat="1" applyFont="1" applyAlignment="1">
      <alignment horizontal="center" vertical="center" wrapText="1"/>
    </xf>
    <xf numFmtId="192" fontId="69" fillId="0" borderId="0" xfId="0" applyNumberFormat="1" applyFont="1" applyAlignment="1">
      <alignment horizontal="center" vertical="center" wrapText="1"/>
    </xf>
    <xf numFmtId="3" fontId="67" fillId="0" borderId="0" xfId="0" applyNumberFormat="1" applyFont="1" applyAlignment="1">
      <alignment vertical="center"/>
    </xf>
    <xf numFmtId="9" fontId="67" fillId="0" borderId="0" xfId="0" applyNumberFormat="1" applyFont="1" applyAlignment="1">
      <alignment horizontal="right" vertical="center"/>
    </xf>
    <xf numFmtId="200" fontId="68" fillId="0" borderId="0" xfId="0" applyNumberFormat="1" applyFont="1" applyAlignment="1" applyProtection="1">
      <alignment vertical="center"/>
      <protection locked="0"/>
    </xf>
    <xf numFmtId="0" fontId="70" fillId="0" borderId="0" xfId="0" applyFont="1" applyAlignment="1">
      <alignment vertical="center"/>
    </xf>
    <xf numFmtId="0" fontId="71" fillId="0" borderId="0" xfId="0" applyFont="1" applyAlignment="1">
      <alignment horizontal="center" vertical="center" wrapText="1"/>
    </xf>
    <xf numFmtId="192" fontId="71" fillId="0" borderId="0" xfId="0" applyNumberFormat="1" applyFont="1" applyAlignment="1">
      <alignment horizontal="center" vertical="center" wrapText="1"/>
    </xf>
    <xf numFmtId="192" fontId="67" fillId="0" borderId="0" xfId="0" applyNumberFormat="1" applyFont="1" applyAlignment="1">
      <alignment vertical="center"/>
    </xf>
    <xf numFmtId="0" fontId="67" fillId="0" borderId="0" xfId="0" applyFont="1"/>
    <xf numFmtId="0" fontId="67" fillId="0" borderId="12" xfId="0" applyFont="1" applyBorder="1"/>
    <xf numFmtId="0" fontId="44" fillId="0" borderId="19" xfId="0" applyFont="1" applyBorder="1" applyAlignment="1">
      <alignment horizontal="center"/>
    </xf>
    <xf numFmtId="9" fontId="67" fillId="0" borderId="0" xfId="0" applyNumberFormat="1" applyFont="1" applyAlignment="1">
      <alignment horizontal="right"/>
    </xf>
    <xf numFmtId="3" fontId="67" fillId="0" borderId="0" xfId="0" applyNumberFormat="1" applyFont="1"/>
    <xf numFmtId="192" fontId="67" fillId="0" borderId="0" xfId="0" applyNumberFormat="1" applyFont="1"/>
    <xf numFmtId="0" fontId="72" fillId="0" borderId="19" xfId="0" applyFont="1" applyBorder="1" applyAlignment="1">
      <alignment horizontal="center" vertical="center"/>
    </xf>
    <xf numFmtId="194" fontId="73" fillId="0" borderId="0" xfId="0" applyNumberFormat="1" applyFont="1"/>
    <xf numFmtId="9" fontId="67" fillId="0" borderId="0" xfId="0" applyNumberFormat="1" applyFont="1"/>
    <xf numFmtId="194" fontId="74" fillId="0" borderId="0" xfId="0" applyNumberFormat="1" applyFont="1" applyAlignment="1">
      <alignment horizontal="center"/>
    </xf>
    <xf numFmtId="9" fontId="75" fillId="0" borderId="0" xfId="0" applyNumberFormat="1" applyFont="1" applyAlignment="1">
      <alignment vertical="center"/>
    </xf>
    <xf numFmtId="192" fontId="75" fillId="0" borderId="0" xfId="0" applyNumberFormat="1" applyFont="1" applyAlignment="1">
      <alignment vertical="center"/>
    </xf>
    <xf numFmtId="0" fontId="75" fillId="0" borderId="0" xfId="0" applyFont="1" applyAlignment="1">
      <alignment horizontal="center" vertical="center" wrapText="1"/>
    </xf>
    <xf numFmtId="194" fontId="73" fillId="0" borderId="0" xfId="0" applyNumberFormat="1" applyFont="1" applyAlignment="1">
      <alignment vertical="center"/>
    </xf>
    <xf numFmtId="192" fontId="70" fillId="0" borderId="0" xfId="0" applyNumberFormat="1" applyFont="1" applyAlignment="1">
      <alignment vertical="center" wrapText="1"/>
    </xf>
    <xf numFmtId="201" fontId="76" fillId="0" borderId="0" xfId="0" applyNumberFormat="1" applyFont="1" applyAlignment="1">
      <alignment vertical="center"/>
    </xf>
    <xf numFmtId="202" fontId="75" fillId="0" borderId="0" xfId="0" applyNumberFormat="1" applyFont="1" applyAlignment="1">
      <alignment vertical="center"/>
    </xf>
    <xf numFmtId="0" fontId="76" fillId="0" borderId="0" xfId="0" applyFont="1" applyAlignment="1">
      <alignment vertical="center"/>
    </xf>
    <xf numFmtId="0" fontId="75" fillId="0" borderId="0" xfId="0" applyFont="1" applyAlignment="1">
      <alignment vertical="center"/>
    </xf>
    <xf numFmtId="0" fontId="72" fillId="0" borderId="0" xfId="0" applyFont="1" applyAlignment="1">
      <alignment vertical="center"/>
    </xf>
    <xf numFmtId="0" fontId="36" fillId="0" borderId="0" xfId="0" applyFont="1"/>
    <xf numFmtId="9" fontId="77" fillId="0" borderId="0" xfId="0" applyNumberFormat="1" applyFont="1" applyAlignment="1">
      <alignment vertical="center"/>
    </xf>
    <xf numFmtId="0" fontId="77" fillId="0" borderId="0" xfId="0" applyFont="1" applyAlignment="1">
      <alignment horizontal="center" vertical="center"/>
    </xf>
    <xf numFmtId="0" fontId="77" fillId="0" borderId="0" xfId="0" applyFont="1" applyAlignment="1">
      <alignment vertical="center" wrapText="1"/>
    </xf>
    <xf numFmtId="192" fontId="77" fillId="0" borderId="0" xfId="0" applyNumberFormat="1" applyFont="1" applyAlignment="1">
      <alignment vertical="center"/>
    </xf>
    <xf numFmtId="203" fontId="77" fillId="0" borderId="0" xfId="0" applyNumberFormat="1" applyFont="1" applyAlignment="1">
      <alignment vertical="center"/>
    </xf>
    <xf numFmtId="204" fontId="77" fillId="0" borderId="0" xfId="0" applyNumberFormat="1" applyFont="1" applyAlignment="1">
      <alignment horizontal="right" vertical="center"/>
    </xf>
    <xf numFmtId="3" fontId="0" fillId="0" borderId="0" xfId="0" applyNumberFormat="1"/>
    <xf numFmtId="0" fontId="77" fillId="0" borderId="0" xfId="0" applyFont="1" applyAlignment="1">
      <alignment vertical="center"/>
    </xf>
    <xf numFmtId="0" fontId="16" fillId="0" borderId="0" xfId="0" applyFont="1"/>
    <xf numFmtId="3" fontId="14" fillId="0" borderId="0" xfId="0" applyNumberFormat="1" applyFont="1"/>
    <xf numFmtId="205" fontId="0" fillId="0" borderId="0" xfId="0" applyNumberFormat="1"/>
    <xf numFmtId="197" fontId="49" fillId="37" borderId="40" xfId="138" applyNumberFormat="1" applyFont="1" applyFill="1" applyBorder="1" applyAlignment="1">
      <alignment horizontal="center"/>
    </xf>
    <xf numFmtId="196" fontId="49" fillId="37" borderId="0" xfId="138" applyNumberFormat="1" applyFont="1" applyFill="1" applyAlignment="1">
      <alignment horizontal="center"/>
    </xf>
    <xf numFmtId="195" fontId="49" fillId="37" borderId="16" xfId="139" applyFont="1" applyFill="1" applyBorder="1"/>
    <xf numFmtId="197" fontId="49" fillId="37" borderId="16" xfId="138" applyNumberFormat="1" applyFont="1" applyFill="1" applyBorder="1"/>
    <xf numFmtId="196" fontId="49" fillId="37" borderId="16" xfId="138" applyNumberFormat="1" applyFont="1" applyFill="1" applyBorder="1"/>
    <xf numFmtId="0" fontId="49" fillId="37" borderId="16" xfId="138" applyFont="1" applyFill="1" applyBorder="1"/>
    <xf numFmtId="196" fontId="47" fillId="0" borderId="13" xfId="138" applyNumberFormat="1" applyFont="1" applyBorder="1" applyAlignment="1">
      <alignment horizontal="center"/>
    </xf>
    <xf numFmtId="0" fontId="49" fillId="0" borderId="41" xfId="138" applyFont="1" applyBorder="1" applyAlignment="1">
      <alignment horizontal="center" vertical="center"/>
    </xf>
    <xf numFmtId="196" fontId="49" fillId="0" borderId="30" xfId="138" applyNumberFormat="1" applyFont="1" applyBorder="1" applyAlignment="1">
      <alignment horizontal="center" vertical="center"/>
    </xf>
    <xf numFmtId="0" fontId="49" fillId="37" borderId="42" xfId="138" applyFont="1" applyFill="1" applyBorder="1"/>
    <xf numFmtId="0" fontId="51" fillId="0" borderId="11" xfId="0" applyFont="1" applyBorder="1"/>
    <xf numFmtId="0" fontId="49" fillId="37" borderId="42" xfId="138" applyFont="1" applyFill="1" applyBorder="1" applyAlignment="1">
      <alignment vertical="center"/>
    </xf>
    <xf numFmtId="197" fontId="49" fillId="37" borderId="19" xfId="138" applyNumberFormat="1" applyFont="1" applyFill="1" applyBorder="1"/>
    <xf numFmtId="197" fontId="49" fillId="37" borderId="43" xfId="138" applyNumberFormat="1" applyFont="1" applyFill="1" applyBorder="1"/>
    <xf numFmtId="197" fontId="46" fillId="37" borderId="19" xfId="138" applyNumberFormat="1" applyFont="1" applyFill="1" applyBorder="1"/>
    <xf numFmtId="0" fontId="50" fillId="0" borderId="19" xfId="43" applyFont="1" applyBorder="1" applyAlignment="1">
      <alignment vertical="center"/>
    </xf>
    <xf numFmtId="14" fontId="49" fillId="37" borderId="44" xfId="138" applyNumberFormat="1" applyFont="1" applyFill="1" applyBorder="1" applyAlignment="1">
      <alignment horizontal="center" vertical="center"/>
    </xf>
    <xf numFmtId="197" fontId="49" fillId="0" borderId="34" xfId="138" applyNumberFormat="1" applyFont="1" applyBorder="1"/>
    <xf numFmtId="0" fontId="49" fillId="37" borderId="45" xfId="138" applyFont="1" applyFill="1" applyBorder="1" applyAlignment="1">
      <alignment horizontal="center" wrapText="1"/>
    </xf>
    <xf numFmtId="0" fontId="36" fillId="0" borderId="20" xfId="43" applyFont="1" applyBorder="1"/>
    <xf numFmtId="0" fontId="49" fillId="36" borderId="46" xfId="138" applyFont="1" applyFill="1" applyBorder="1"/>
    <xf numFmtId="0" fontId="49" fillId="36" borderId="20" xfId="138" applyFont="1" applyFill="1" applyBorder="1"/>
    <xf numFmtId="171" fontId="49" fillId="36" borderId="20" xfId="72" applyFont="1" applyFill="1" applyBorder="1"/>
    <xf numFmtId="0" fontId="49" fillId="37" borderId="47" xfId="138" applyFont="1" applyFill="1" applyBorder="1" applyAlignment="1">
      <alignment horizontal="left"/>
    </xf>
    <xf numFmtId="0" fontId="49" fillId="37" borderId="48" xfId="138" applyFont="1" applyFill="1" applyBorder="1" applyAlignment="1">
      <alignment horizontal="left"/>
    </xf>
    <xf numFmtId="0" fontId="49" fillId="37" borderId="49" xfId="138" applyFont="1" applyFill="1" applyBorder="1"/>
    <xf numFmtId="0" fontId="49" fillId="37" borderId="12" xfId="138" applyFont="1" applyFill="1" applyBorder="1"/>
    <xf numFmtId="0" fontId="46" fillId="37" borderId="15" xfId="138" applyFont="1" applyFill="1" applyBorder="1"/>
    <xf numFmtId="2" fontId="46" fillId="37" borderId="50" xfId="138" applyNumberFormat="1" applyFont="1" applyFill="1" applyBorder="1" applyAlignment="1">
      <alignment vertical="center" wrapText="1"/>
    </xf>
    <xf numFmtId="0" fontId="46" fillId="37" borderId="50" xfId="138" applyFont="1" applyFill="1" applyBorder="1" applyAlignment="1">
      <alignment vertical="center"/>
    </xf>
    <xf numFmtId="0" fontId="46" fillId="37" borderId="49" xfId="138" applyFont="1" applyFill="1" applyBorder="1" applyAlignment="1">
      <alignment vertical="center"/>
    </xf>
    <xf numFmtId="0" fontId="46" fillId="37" borderId="49" xfId="138" applyFont="1" applyFill="1" applyBorder="1"/>
    <xf numFmtId="2" fontId="52" fillId="0" borderId="13" xfId="43" applyNumberFormat="1" applyFont="1" applyBorder="1" applyAlignment="1">
      <alignment vertical="center" wrapText="1"/>
    </xf>
    <xf numFmtId="207" fontId="46" fillId="37" borderId="18" xfId="138" applyNumberFormat="1" applyFont="1" applyFill="1" applyBorder="1"/>
    <xf numFmtId="3" fontId="55" fillId="34" borderId="0" xfId="0" applyNumberFormat="1" applyFont="1" applyFill="1" applyAlignment="1">
      <alignment vertical="center"/>
    </xf>
    <xf numFmtId="3" fontId="58" fillId="34" borderId="0" xfId="114" applyNumberFormat="1" applyFont="1" applyFill="1" applyAlignment="1">
      <alignment vertical="center"/>
    </xf>
    <xf numFmtId="3" fontId="55" fillId="34" borderId="0" xfId="100" applyNumberFormat="1" applyFont="1" applyFill="1" applyAlignment="1">
      <alignment vertical="center"/>
    </xf>
    <xf numFmtId="0" fontId="56" fillId="34" borderId="15" xfId="0" applyFont="1" applyFill="1" applyBorder="1" applyAlignment="1">
      <alignment horizontal="center" vertical="center"/>
    </xf>
    <xf numFmtId="0" fontId="54" fillId="34" borderId="15" xfId="114" applyFont="1" applyFill="1" applyBorder="1" applyAlignment="1">
      <alignment horizontal="center" vertical="center"/>
    </xf>
    <xf numFmtId="0" fontId="54" fillId="34" borderId="15" xfId="0" applyFont="1" applyFill="1" applyBorder="1" applyAlignment="1">
      <alignment horizontal="center" vertical="center"/>
    </xf>
    <xf numFmtId="170" fontId="56" fillId="34" borderId="13" xfId="1" applyFont="1" applyFill="1" applyBorder="1" applyAlignment="1">
      <alignment horizontal="center" vertical="center"/>
    </xf>
    <xf numFmtId="0" fontId="56" fillId="34" borderId="13" xfId="0" applyFont="1" applyFill="1" applyBorder="1" applyAlignment="1">
      <alignment horizontal="left" vertical="center"/>
    </xf>
    <xf numFmtId="3" fontId="54" fillId="34" borderId="13" xfId="0" applyNumberFormat="1" applyFont="1" applyFill="1" applyBorder="1" applyAlignment="1">
      <alignment horizontal="center" vertical="center"/>
    </xf>
    <xf numFmtId="190" fontId="57" fillId="34" borderId="13" xfId="136" applyNumberFormat="1" applyFont="1" applyFill="1" applyBorder="1" applyAlignment="1">
      <alignment vertical="center"/>
    </xf>
    <xf numFmtId="3" fontId="59" fillId="34" borderId="0" xfId="114" applyNumberFormat="1" applyFont="1" applyFill="1" applyAlignment="1">
      <alignment horizontal="center" vertical="center"/>
    </xf>
    <xf numFmtId="3" fontId="57" fillId="34" borderId="0" xfId="136" applyNumberFormat="1" applyFont="1" applyFill="1" applyAlignment="1">
      <alignment vertical="center"/>
    </xf>
    <xf numFmtId="0" fontId="52" fillId="0" borderId="13" xfId="43" applyFont="1" applyBorder="1" applyAlignment="1">
      <alignment vertical="center"/>
    </xf>
    <xf numFmtId="0" fontId="16" fillId="38" borderId="53" xfId="0" applyFont="1" applyFill="1" applyBorder="1" applyAlignment="1">
      <alignment horizontal="center"/>
    </xf>
    <xf numFmtId="0" fontId="0" fillId="0" borderId="53" xfId="0" applyBorder="1" applyAlignment="1">
      <alignment horizontal="center"/>
    </xf>
    <xf numFmtId="0" fontId="16" fillId="38" borderId="54" xfId="0" applyFont="1" applyFill="1" applyBorder="1" applyAlignment="1">
      <alignment horizontal="center"/>
    </xf>
    <xf numFmtId="3" fontId="0" fillId="39" borderId="54" xfId="0" applyNumberFormat="1" applyFill="1" applyBorder="1" applyAlignment="1">
      <alignment horizontal="center"/>
    </xf>
    <xf numFmtId="3" fontId="0" fillId="40" borderId="54" xfId="0" applyNumberFormat="1" applyFill="1" applyBorder="1" applyAlignment="1">
      <alignment horizontal="center" vertical="center"/>
    </xf>
    <xf numFmtId="0" fontId="0" fillId="0" borderId="54" xfId="0" applyBorder="1" applyAlignment="1">
      <alignment horizontal="center"/>
    </xf>
    <xf numFmtId="3" fontId="0" fillId="40" borderId="54" xfId="0" applyNumberFormat="1" applyFill="1" applyBorder="1" applyAlignment="1">
      <alignment horizontal="center"/>
    </xf>
    <xf numFmtId="3" fontId="16" fillId="41" borderId="54" xfId="0" applyNumberFormat="1" applyFont="1" applyFill="1" applyBorder="1" applyAlignment="1">
      <alignment horizontal="center"/>
    </xf>
    <xf numFmtId="0" fontId="0" fillId="42" borderId="54" xfId="0" applyFill="1" applyBorder="1" applyAlignment="1">
      <alignment horizontal="center"/>
    </xf>
    <xf numFmtId="0" fontId="16" fillId="38" borderId="55" xfId="0" applyFont="1" applyFill="1" applyBorder="1" applyAlignment="1">
      <alignment horizontal="center"/>
    </xf>
    <xf numFmtId="3" fontId="0" fillId="39" borderId="55" xfId="0" applyNumberFormat="1" applyFill="1" applyBorder="1" applyAlignment="1">
      <alignment horizontal="center"/>
    </xf>
    <xf numFmtId="3" fontId="0" fillId="40" borderId="55" xfId="0" applyNumberFormat="1" applyFill="1" applyBorder="1" applyAlignment="1">
      <alignment horizontal="center" vertical="center"/>
    </xf>
    <xf numFmtId="0" fontId="78" fillId="39" borderId="54" xfId="0" applyFont="1" applyFill="1" applyBorder="1" applyAlignment="1">
      <alignment horizontal="center"/>
    </xf>
    <xf numFmtId="0" fontId="78" fillId="39" borderId="55" xfId="0" applyFont="1" applyFill="1" applyBorder="1" applyAlignment="1">
      <alignment horizontal="center"/>
    </xf>
    <xf numFmtId="0" fontId="16" fillId="38" borderId="64" xfId="0" applyFont="1" applyFill="1" applyBorder="1" applyAlignment="1">
      <alignment horizontal="center" vertical="center" wrapText="1"/>
    </xf>
    <xf numFmtId="0" fontId="0" fillId="35" borderId="13" xfId="0" applyFill="1" applyBorder="1"/>
    <xf numFmtId="0" fontId="0" fillId="35" borderId="13" xfId="0" applyFill="1" applyBorder="1" applyAlignment="1">
      <alignment horizontal="center" vertical="center"/>
    </xf>
    <xf numFmtId="3" fontId="0" fillId="40" borderId="13" xfId="0" applyNumberFormat="1" applyFill="1" applyBorder="1" applyAlignment="1">
      <alignment horizontal="center"/>
    </xf>
    <xf numFmtId="3" fontId="0" fillId="35" borderId="13" xfId="0" applyNumberFormat="1" applyFill="1" applyBorder="1" applyAlignment="1">
      <alignment horizontal="center"/>
    </xf>
    <xf numFmtId="208" fontId="0" fillId="0" borderId="0" xfId="153" applyNumberFormat="1" applyFont="1" applyAlignment="1">
      <alignment horizontal="center"/>
    </xf>
    <xf numFmtId="0" fontId="0" fillId="0" borderId="13" xfId="0" applyBorder="1" applyAlignment="1">
      <alignment horizontal="center" vertical="center"/>
    </xf>
    <xf numFmtId="3" fontId="0" fillId="0" borderId="13" xfId="0" applyNumberFormat="1" applyBorder="1" applyAlignment="1">
      <alignment horizontal="center"/>
    </xf>
    <xf numFmtId="0" fontId="0" fillId="43" borderId="13" xfId="0" applyFill="1" applyBorder="1" applyAlignment="1">
      <alignment horizontal="center"/>
    </xf>
    <xf numFmtId="3" fontId="0" fillId="43" borderId="13" xfId="0" applyNumberFormat="1" applyFill="1" applyBorder="1" applyAlignment="1">
      <alignment horizontal="center"/>
    </xf>
    <xf numFmtId="3" fontId="16" fillId="40" borderId="13" xfId="0" applyNumberFormat="1" applyFont="1" applyFill="1" applyBorder="1" applyAlignment="1">
      <alignment horizontal="center"/>
    </xf>
    <xf numFmtId="0" fontId="0" fillId="0" borderId="0" xfId="0" applyAlignment="1">
      <alignment horizontal="center" vertical="center"/>
    </xf>
    <xf numFmtId="0" fontId="0" fillId="38" borderId="14" xfId="0" applyFill="1" applyBorder="1"/>
    <xf numFmtId="0" fontId="0" fillId="38" borderId="13" xfId="0" applyFill="1" applyBorder="1" applyAlignment="1">
      <alignment horizontal="center" vertical="center"/>
    </xf>
    <xf numFmtId="3" fontId="0" fillId="38" borderId="13" xfId="0" applyNumberFormat="1" applyFill="1" applyBorder="1" applyAlignment="1">
      <alignment horizontal="center"/>
    </xf>
    <xf numFmtId="0" fontId="0" fillId="0" borderId="14" xfId="0" applyBorder="1"/>
    <xf numFmtId="0" fontId="0" fillId="38" borderId="18" xfId="0" applyFill="1" applyBorder="1" applyAlignment="1">
      <alignment horizontal="center" vertical="center"/>
    </xf>
    <xf numFmtId="3" fontId="0" fillId="38" borderId="18" xfId="0" applyNumberFormat="1" applyFill="1" applyBorder="1" applyAlignment="1">
      <alignment horizontal="center"/>
    </xf>
    <xf numFmtId="3" fontId="0" fillId="0" borderId="18" xfId="0" applyNumberFormat="1" applyBorder="1" applyAlignment="1">
      <alignment horizontal="center"/>
    </xf>
    <xf numFmtId="0" fontId="0" fillId="38" borderId="13" xfId="0" applyFill="1" applyBorder="1"/>
    <xf numFmtId="0" fontId="0" fillId="43" borderId="14" xfId="0" applyFill="1" applyBorder="1" applyAlignment="1">
      <alignment horizontal="center"/>
    </xf>
    <xf numFmtId="3" fontId="0" fillId="0" borderId="13" xfId="0" applyNumberFormat="1" applyBorder="1"/>
    <xf numFmtId="0" fontId="0" fillId="34" borderId="13" xfId="0" applyFill="1" applyBorder="1"/>
    <xf numFmtId="0" fontId="0" fillId="34" borderId="13" xfId="0" applyFill="1" applyBorder="1" applyAlignment="1">
      <alignment horizontal="center" vertical="center"/>
    </xf>
    <xf numFmtId="3" fontId="0" fillId="34" borderId="13" xfId="0" applyNumberFormat="1" applyFill="1" applyBorder="1" applyAlignment="1">
      <alignment horizontal="center"/>
    </xf>
    <xf numFmtId="0" fontId="0" fillId="38" borderId="13" xfId="0" applyFill="1" applyBorder="1" applyAlignment="1">
      <alignment horizontal="center"/>
    </xf>
    <xf numFmtId="0" fontId="16" fillId="44" borderId="13" xfId="0" applyFont="1" applyFill="1" applyBorder="1" applyAlignment="1">
      <alignment horizontal="center" vertical="center" wrapText="1"/>
    </xf>
    <xf numFmtId="0" fontId="16" fillId="45" borderId="13" xfId="0" applyFont="1" applyFill="1" applyBorder="1" applyAlignment="1">
      <alignment horizontal="center" vertical="center" wrapText="1"/>
    </xf>
    <xf numFmtId="0" fontId="16" fillId="46" borderId="13" xfId="0" applyFont="1" applyFill="1" applyBorder="1" applyAlignment="1">
      <alignment horizontal="center" vertical="center" wrapText="1"/>
    </xf>
    <xf numFmtId="0" fontId="16" fillId="47" borderId="13" xfId="0" applyFont="1" applyFill="1" applyBorder="1" applyAlignment="1">
      <alignment horizontal="center" vertical="center" wrapText="1"/>
    </xf>
    <xf numFmtId="0" fontId="16" fillId="48" borderId="13" xfId="0" applyFont="1" applyFill="1" applyBorder="1" applyAlignment="1">
      <alignment horizontal="center" vertical="center" wrapText="1"/>
    </xf>
    <xf numFmtId="9" fontId="16" fillId="44" borderId="13" xfId="134" applyFont="1" applyFill="1" applyBorder="1" applyAlignment="1">
      <alignment horizontal="center"/>
    </xf>
    <xf numFmtId="9" fontId="16" fillId="45" borderId="13" xfId="0" applyNumberFormat="1" applyFont="1" applyFill="1" applyBorder="1" applyAlignment="1">
      <alignment horizontal="center"/>
    </xf>
    <xf numFmtId="9" fontId="16" fillId="46" borderId="13" xfId="0" applyNumberFormat="1" applyFont="1" applyFill="1" applyBorder="1" applyAlignment="1">
      <alignment horizontal="center"/>
    </xf>
    <xf numFmtId="9" fontId="16" fillId="47" borderId="13" xfId="0" applyNumberFormat="1" applyFont="1" applyFill="1" applyBorder="1" applyAlignment="1">
      <alignment horizontal="center"/>
    </xf>
    <xf numFmtId="9" fontId="16" fillId="48" borderId="13" xfId="0" applyNumberFormat="1" applyFont="1" applyFill="1" applyBorder="1" applyAlignment="1">
      <alignment horizontal="center"/>
    </xf>
    <xf numFmtId="208" fontId="0" fillId="0" borderId="13" xfId="153" applyNumberFormat="1" applyFont="1" applyBorder="1" applyAlignment="1">
      <alignment horizontal="center"/>
    </xf>
    <xf numFmtId="165" fontId="0" fillId="35" borderId="13" xfId="153" applyFont="1" applyFill="1" applyBorder="1" applyAlignment="1">
      <alignment vertical="center" wrapText="1"/>
    </xf>
    <xf numFmtId="3" fontId="0" fillId="44" borderId="13" xfId="0" applyNumberFormat="1" applyFill="1" applyBorder="1" applyAlignment="1">
      <alignment horizontal="center"/>
    </xf>
    <xf numFmtId="3" fontId="0" fillId="49" borderId="13" xfId="0" applyNumberFormat="1" applyFill="1" applyBorder="1" applyAlignment="1">
      <alignment horizontal="center"/>
    </xf>
    <xf numFmtId="3" fontId="0" fillId="46" borderId="13" xfId="0" applyNumberFormat="1" applyFill="1" applyBorder="1" applyAlignment="1">
      <alignment horizontal="center"/>
    </xf>
    <xf numFmtId="3" fontId="0" fillId="47" borderId="13" xfId="0" applyNumberFormat="1" applyFill="1" applyBorder="1" applyAlignment="1">
      <alignment horizontal="center"/>
    </xf>
    <xf numFmtId="3" fontId="0" fillId="48" borderId="13" xfId="0" applyNumberFormat="1" applyFill="1" applyBorder="1" applyAlignment="1">
      <alignment horizontal="center"/>
    </xf>
    <xf numFmtId="0" fontId="0" fillId="0" borderId="17" xfId="0" applyBorder="1" applyAlignment="1">
      <alignment vertical="center" wrapText="1"/>
    </xf>
    <xf numFmtId="0" fontId="55" fillId="34" borderId="0" xfId="0" applyFont="1" applyFill="1" applyAlignment="1">
      <alignment horizontal="left" vertical="center"/>
    </xf>
    <xf numFmtId="0" fontId="49" fillId="37" borderId="66" xfId="138" applyFont="1" applyFill="1" applyBorder="1" applyAlignment="1">
      <alignment vertical="center" wrapText="1"/>
    </xf>
    <xf numFmtId="0" fontId="0" fillId="0" borderId="66" xfId="0" applyBorder="1"/>
    <xf numFmtId="0" fontId="49" fillId="37" borderId="67" xfId="138" applyFont="1" applyFill="1" applyBorder="1" applyAlignment="1">
      <alignment vertical="center" wrapText="1"/>
    </xf>
    <xf numFmtId="0" fontId="0" fillId="0" borderId="39" xfId="0" applyBorder="1"/>
    <xf numFmtId="0" fontId="0" fillId="0" borderId="67" xfId="0" applyBorder="1"/>
    <xf numFmtId="0" fontId="0" fillId="0" borderId="67" xfId="0" applyBorder="1" applyAlignment="1">
      <alignment horizontal="left"/>
    </xf>
    <xf numFmtId="0" fontId="45" fillId="0" borderId="67" xfId="137" applyBorder="1" applyAlignment="1" applyProtection="1"/>
    <xf numFmtId="9" fontId="0" fillId="0" borderId="67" xfId="0" applyNumberFormat="1" applyBorder="1"/>
    <xf numFmtId="209" fontId="0" fillId="0" borderId="67" xfId="0" applyNumberFormat="1" applyBorder="1" applyAlignment="1">
      <alignment horizontal="right"/>
    </xf>
    <xf numFmtId="0" fontId="64" fillId="0" borderId="19" xfId="0" applyFont="1" applyBorder="1" applyAlignment="1">
      <alignment horizontal="center" vertical="center" wrapText="1"/>
    </xf>
    <xf numFmtId="0" fontId="81" fillId="0" borderId="20" xfId="0" applyFont="1" applyBorder="1"/>
    <xf numFmtId="0" fontId="82" fillId="0" borderId="35" xfId="0" applyFont="1" applyBorder="1" applyAlignment="1">
      <alignment vertical="center"/>
    </xf>
    <xf numFmtId="0" fontId="82" fillId="0" borderId="20" xfId="0" applyFont="1" applyBorder="1" applyAlignment="1">
      <alignment vertical="center"/>
    </xf>
    <xf numFmtId="0" fontId="82" fillId="0" borderId="12" xfId="0" applyFont="1" applyBorder="1" applyAlignment="1">
      <alignment vertical="center"/>
    </xf>
    <xf numFmtId="0" fontId="82" fillId="0" borderId="0" xfId="0" applyFont="1" applyAlignment="1">
      <alignment vertical="center"/>
    </xf>
    <xf numFmtId="0" fontId="82" fillId="0" borderId="10" xfId="0" applyFont="1" applyBorder="1" applyAlignment="1">
      <alignment vertical="center"/>
    </xf>
    <xf numFmtId="0" fontId="82" fillId="0" borderId="11" xfId="0" applyFont="1" applyBorder="1" applyAlignment="1">
      <alignment vertical="center"/>
    </xf>
    <xf numFmtId="0" fontId="82" fillId="0" borderId="20" xfId="0" applyFont="1" applyBorder="1"/>
    <xf numFmtId="0" fontId="86" fillId="0" borderId="12" xfId="0" applyFont="1" applyBorder="1" applyAlignment="1">
      <alignment vertical="center"/>
    </xf>
    <xf numFmtId="200" fontId="89" fillId="0" borderId="19" xfId="0" applyNumberFormat="1" applyFont="1" applyBorder="1" applyAlignment="1" applyProtection="1">
      <alignment horizontal="left" vertical="center"/>
      <protection locked="0"/>
    </xf>
    <xf numFmtId="0" fontId="89" fillId="0" borderId="19" xfId="0" applyFont="1" applyBorder="1" applyAlignment="1">
      <alignment vertical="center"/>
    </xf>
    <xf numFmtId="0" fontId="90" fillId="0" borderId="19" xfId="154" applyFont="1" applyBorder="1" applyAlignment="1" applyProtection="1">
      <alignment vertical="center"/>
    </xf>
    <xf numFmtId="0" fontId="91" fillId="0" borderId="19" xfId="0" applyFont="1" applyBorder="1" applyAlignment="1">
      <alignment vertical="center"/>
    </xf>
    <xf numFmtId="0" fontId="86" fillId="0" borderId="12" xfId="0" applyFont="1" applyBorder="1"/>
    <xf numFmtId="0" fontId="94" fillId="0" borderId="19" xfId="0" applyFont="1" applyBorder="1" applyAlignment="1">
      <alignment horizontal="center" vertical="center" wrapText="1"/>
    </xf>
    <xf numFmtId="0" fontId="95" fillId="0" borderId="65" xfId="0" applyFont="1" applyBorder="1" applyAlignment="1">
      <alignment horizontal="center" vertical="center"/>
    </xf>
    <xf numFmtId="0" fontId="88" fillId="0" borderId="17" xfId="0" applyFont="1" applyBorder="1" applyAlignment="1">
      <alignment horizontal="center" vertical="center" wrapText="1"/>
    </xf>
    <xf numFmtId="192" fontId="96" fillId="0" borderId="17" xfId="0" applyNumberFormat="1" applyFont="1" applyBorder="1" applyAlignment="1">
      <alignment horizontal="right" vertical="center" wrapText="1"/>
    </xf>
    <xf numFmtId="192" fontId="96" fillId="0" borderId="17" xfId="0" applyNumberFormat="1" applyFont="1" applyBorder="1" applyAlignment="1">
      <alignment horizontal="right" vertical="center"/>
    </xf>
    <xf numFmtId="192" fontId="91" fillId="0" borderId="19" xfId="0" applyNumberFormat="1" applyFont="1" applyBorder="1" applyAlignment="1">
      <alignment vertical="center"/>
    </xf>
    <xf numFmtId="193" fontId="97" fillId="0" borderId="13" xfId="95" applyNumberFormat="1" applyFont="1" applyBorder="1" applyAlignment="1">
      <alignment horizontal="right" vertical="center" wrapText="1"/>
    </xf>
    <xf numFmtId="193" fontId="94" fillId="0" borderId="19" xfId="95" applyNumberFormat="1" applyFont="1" applyBorder="1" applyAlignment="1">
      <alignment horizontal="right" vertical="center" wrapText="1"/>
    </xf>
    <xf numFmtId="0" fontId="88" fillId="0" borderId="0" xfId="0" applyFont="1" applyAlignment="1">
      <alignment horizontal="center" vertical="center"/>
    </xf>
    <xf numFmtId="0" fontId="89" fillId="0" borderId="19" xfId="0" applyFont="1" applyBorder="1" applyAlignment="1">
      <alignment horizontal="center" vertical="center"/>
    </xf>
    <xf numFmtId="0" fontId="89" fillId="0" borderId="19" xfId="0" applyFont="1" applyBorder="1" applyAlignment="1">
      <alignment horizontal="left" vertical="top" wrapText="1"/>
    </xf>
    <xf numFmtId="0" fontId="89" fillId="0" borderId="19" xfId="0" applyFont="1" applyBorder="1" applyAlignment="1">
      <alignment horizontal="left" vertical="center"/>
    </xf>
    <xf numFmtId="0" fontId="92" fillId="0" borderId="0" xfId="0" applyFont="1" applyAlignment="1">
      <alignment horizontal="left" vertical="center"/>
    </xf>
    <xf numFmtId="0" fontId="68" fillId="0" borderId="19" xfId="0" applyFont="1" applyBorder="1" applyAlignment="1">
      <alignment horizontal="left" vertical="center"/>
    </xf>
    <xf numFmtId="0" fontId="99" fillId="0" borderId="0" xfId="0" applyFont="1"/>
    <xf numFmtId="0" fontId="70" fillId="0" borderId="19" xfId="0" applyFont="1" applyBorder="1"/>
    <xf numFmtId="0" fontId="36" fillId="0" borderId="19" xfId="0" applyFont="1" applyBorder="1"/>
    <xf numFmtId="0" fontId="0" fillId="50" borderId="12" xfId="0" applyFill="1" applyBorder="1"/>
    <xf numFmtId="0" fontId="81" fillId="50" borderId="0" xfId="0" applyFont="1" applyFill="1"/>
    <xf numFmtId="0" fontId="100" fillId="50" borderId="0" xfId="0" applyFont="1" applyFill="1"/>
    <xf numFmtId="0" fontId="16" fillId="50" borderId="19" xfId="0" applyFont="1" applyFill="1" applyBorder="1"/>
    <xf numFmtId="0" fontId="92" fillId="0" borderId="16" xfId="0" applyFont="1" applyBorder="1"/>
    <xf numFmtId="0" fontId="88" fillId="0" borderId="16" xfId="0" applyFont="1" applyBorder="1" applyAlignment="1">
      <alignment horizontal="center" vertical="center"/>
    </xf>
    <xf numFmtId="0" fontId="83" fillId="0" borderId="20" xfId="0" applyFont="1" applyBorder="1" applyAlignment="1">
      <alignment vertical="center"/>
    </xf>
    <xf numFmtId="0" fontId="83" fillId="0" borderId="0" xfId="0" applyFont="1" applyAlignment="1">
      <alignment vertical="center"/>
    </xf>
    <xf numFmtId="0" fontId="83" fillId="0" borderId="11" xfId="0" applyFont="1" applyBorder="1" applyAlignment="1">
      <alignment vertical="center"/>
    </xf>
    <xf numFmtId="0" fontId="49" fillId="37" borderId="76" xfId="138" applyFont="1" applyFill="1" applyBorder="1" applyAlignment="1">
      <alignment horizontal="center" vertical="center" wrapText="1"/>
    </xf>
    <xf numFmtId="0" fontId="0" fillId="0" borderId="78" xfId="0" applyBorder="1"/>
    <xf numFmtId="0" fontId="0" fillId="0" borderId="79" xfId="0" applyBorder="1"/>
    <xf numFmtId="0" fontId="0" fillId="0" borderId="79" xfId="0" applyBorder="1" applyAlignment="1">
      <alignment horizontal="left"/>
    </xf>
    <xf numFmtId="0" fontId="45" fillId="0" borderId="0" xfId="137" applyAlignment="1" applyProtection="1"/>
    <xf numFmtId="0" fontId="22" fillId="0" borderId="81" xfId="0" applyFont="1" applyBorder="1" applyAlignment="1">
      <alignment horizontal="center" vertical="center"/>
    </xf>
    <xf numFmtId="1" fontId="21" fillId="0" borderId="81" xfId="0" applyNumberFormat="1" applyFont="1" applyBorder="1" applyAlignment="1">
      <alignment horizontal="center" vertical="center"/>
    </xf>
    <xf numFmtId="1" fontId="22" fillId="0" borderId="81" xfId="0" applyNumberFormat="1" applyFont="1" applyBorder="1" applyAlignment="1">
      <alignment horizontal="center" vertical="center"/>
    </xf>
    <xf numFmtId="0" fontId="83" fillId="0" borderId="20" xfId="0" applyFont="1" applyBorder="1" applyAlignment="1">
      <alignment horizontal="center" vertical="center"/>
    </xf>
    <xf numFmtId="0" fontId="83" fillId="0" borderId="0" xfId="0" applyFont="1" applyAlignment="1">
      <alignment horizontal="center" vertical="center"/>
    </xf>
    <xf numFmtId="0" fontId="83" fillId="0" borderId="11" xfId="0" applyFont="1" applyBorder="1" applyAlignment="1">
      <alignment horizontal="center" vertical="center"/>
    </xf>
    <xf numFmtId="0" fontId="101" fillId="52" borderId="80" xfId="0" applyFont="1" applyFill="1" applyBorder="1" applyAlignment="1">
      <alignment horizontal="center" vertical="center"/>
    </xf>
    <xf numFmtId="0" fontId="22" fillId="52" borderId="80" xfId="0" applyFont="1" applyFill="1" applyBorder="1" applyAlignment="1">
      <alignment horizontal="center" vertical="center"/>
    </xf>
    <xf numFmtId="1" fontId="22" fillId="52" borderId="80" xfId="0" applyNumberFormat="1" applyFont="1" applyFill="1" applyBorder="1" applyAlignment="1">
      <alignment horizontal="center" vertical="center"/>
    </xf>
    <xf numFmtId="0" fontId="87" fillId="51" borderId="13" xfId="0" applyFont="1" applyFill="1" applyBorder="1" applyAlignment="1">
      <alignment horizontal="center" vertical="center" wrapText="1"/>
    </xf>
    <xf numFmtId="0" fontId="87" fillId="51" borderId="13" xfId="0" applyFont="1" applyFill="1" applyBorder="1" applyAlignment="1">
      <alignment horizontal="center" vertical="center"/>
    </xf>
    <xf numFmtId="192" fontId="87" fillId="51" borderId="13" xfId="0" applyNumberFormat="1" applyFont="1" applyFill="1" applyBorder="1" applyAlignment="1">
      <alignment horizontal="center" vertical="center" wrapText="1"/>
    </xf>
    <xf numFmtId="0" fontId="81" fillId="51" borderId="0" xfId="0" applyFont="1" applyFill="1"/>
    <xf numFmtId="0" fontId="100" fillId="51" borderId="0" xfId="0" applyFont="1" applyFill="1"/>
    <xf numFmtId="0" fontId="0" fillId="51" borderId="12" xfId="0" applyFill="1" applyBorder="1"/>
    <xf numFmtId="0" fontId="16" fillId="51" borderId="19" xfId="0" applyFont="1" applyFill="1" applyBorder="1"/>
    <xf numFmtId="0" fontId="81" fillId="51" borderId="11" xfId="0" applyFont="1" applyFill="1" applyBorder="1"/>
    <xf numFmtId="0" fontId="0" fillId="51" borderId="21" xfId="0" applyFill="1" applyBorder="1"/>
    <xf numFmtId="0" fontId="0" fillId="51" borderId="10" xfId="0" applyFill="1" applyBorder="1"/>
    <xf numFmtId="0" fontId="53" fillId="34" borderId="45" xfId="43" applyFont="1" applyFill="1" applyBorder="1" applyAlignment="1">
      <alignment horizontal="center" vertical="center"/>
    </xf>
    <xf numFmtId="0" fontId="51" fillId="0" borderId="19" xfId="0" applyFont="1" applyBorder="1"/>
    <xf numFmtId="0" fontId="0" fillId="0" borderId="13" xfId="0" applyBorder="1" applyAlignment="1">
      <alignment horizontal="left" vertical="center"/>
    </xf>
    <xf numFmtId="0" fontId="103" fillId="53" borderId="13" xfId="0" applyFont="1" applyFill="1" applyBorder="1" applyAlignment="1" applyProtection="1">
      <alignment horizontal="center" vertical="center"/>
      <protection locked="0"/>
    </xf>
    <xf numFmtId="0" fontId="102" fillId="0" borderId="13" xfId="0" applyFont="1" applyBorder="1" applyAlignment="1">
      <alignment vertical="center"/>
    </xf>
    <xf numFmtId="0" fontId="103" fillId="36" borderId="13" xfId="0" applyFont="1" applyFill="1" applyBorder="1" applyAlignment="1" applyProtection="1">
      <alignment horizontal="center" vertical="center"/>
      <protection locked="0"/>
    </xf>
    <xf numFmtId="0" fontId="102" fillId="42" borderId="13" xfId="0" applyFont="1" applyFill="1" applyBorder="1" applyAlignment="1">
      <alignment vertical="center"/>
    </xf>
    <xf numFmtId="206" fontId="49" fillId="37" borderId="44" xfId="138" applyNumberFormat="1" applyFont="1" applyFill="1" applyBorder="1" applyAlignment="1">
      <alignment horizontal="left" vertical="center"/>
    </xf>
    <xf numFmtId="197" fontId="46" fillId="37" borderId="0" xfId="138" applyNumberFormat="1" applyFont="1" applyFill="1" applyAlignment="1">
      <alignment vertical="center"/>
    </xf>
    <xf numFmtId="197" fontId="46" fillId="37" borderId="0" xfId="138" applyNumberFormat="1" applyFont="1" applyFill="1" applyAlignment="1">
      <alignment horizontal="center" vertical="center"/>
    </xf>
    <xf numFmtId="207" fontId="46" fillId="37" borderId="0" xfId="138" applyNumberFormat="1" applyFont="1" applyFill="1"/>
    <xf numFmtId="4" fontId="49" fillId="37" borderId="44" xfId="138" applyNumberFormat="1" applyFont="1" applyFill="1" applyBorder="1" applyAlignment="1">
      <alignment horizontal="left" vertical="center"/>
    </xf>
    <xf numFmtId="0" fontId="104" fillId="0" borderId="0" xfId="0" applyFont="1"/>
    <xf numFmtId="0" fontId="21" fillId="34" borderId="13" xfId="0" applyFont="1" applyFill="1" applyBorder="1" applyAlignment="1">
      <alignment horizontal="left" vertical="center"/>
    </xf>
    <xf numFmtId="0" fontId="104" fillId="0" borderId="13" xfId="0" applyFont="1" applyBorder="1"/>
    <xf numFmtId="0" fontId="104" fillId="0" borderId="13" xfId="0" applyFont="1" applyBorder="1" applyAlignment="1">
      <alignment horizontal="center"/>
    </xf>
    <xf numFmtId="43" fontId="105" fillId="0" borderId="13" xfId="0" applyNumberFormat="1" applyFont="1" applyBorder="1" applyAlignment="1">
      <alignment horizontal="center"/>
    </xf>
    <xf numFmtId="210" fontId="0" fillId="0" borderId="0" xfId="155" applyNumberFormat="1" applyFont="1"/>
    <xf numFmtId="3" fontId="22" fillId="34" borderId="0" xfId="114" applyNumberFormat="1" applyFill="1" applyAlignment="1">
      <alignment vertical="center"/>
    </xf>
    <xf numFmtId="0" fontId="104" fillId="0" borderId="87" xfId="0" applyFont="1" applyBorder="1" applyAlignment="1">
      <alignment vertical="center"/>
    </xf>
    <xf numFmtId="0" fontId="104" fillId="0" borderId="88" xfId="0" applyFont="1" applyBorder="1" applyAlignment="1">
      <alignment vertical="center"/>
    </xf>
    <xf numFmtId="0" fontId="104" fillId="0" borderId="89" xfId="0" applyFont="1" applyBorder="1" applyAlignment="1">
      <alignment vertical="center"/>
    </xf>
    <xf numFmtId="207" fontId="46" fillId="37" borderId="19" xfId="138" applyNumberFormat="1" applyFont="1" applyFill="1" applyBorder="1"/>
    <xf numFmtId="0" fontId="104" fillId="0" borderId="38" xfId="0" applyFont="1" applyBorder="1"/>
    <xf numFmtId="9" fontId="75" fillId="0" borderId="0" xfId="134" applyFont="1" applyAlignment="1">
      <alignment vertical="center"/>
    </xf>
    <xf numFmtId="9" fontId="75" fillId="0" borderId="0" xfId="134" applyFont="1" applyAlignment="1">
      <alignment horizontal="center" vertical="center" wrapText="1"/>
    </xf>
    <xf numFmtId="9" fontId="67" fillId="0" borderId="0" xfId="134" applyFont="1"/>
    <xf numFmtId="0" fontId="67" fillId="0" borderId="0" xfId="0" applyFont="1" applyAlignment="1">
      <alignment wrapText="1"/>
    </xf>
    <xf numFmtId="0" fontId="106" fillId="0" borderId="0" xfId="0" applyFont="1" applyAlignment="1">
      <alignment horizontal="center"/>
    </xf>
    <xf numFmtId="0" fontId="78" fillId="0" borderId="0" xfId="0" applyFont="1"/>
    <xf numFmtId="9" fontId="108" fillId="0" borderId="0" xfId="0" applyNumberFormat="1" applyFont="1" applyAlignment="1">
      <alignment vertical="center"/>
    </xf>
    <xf numFmtId="0" fontId="109" fillId="0" borderId="0" xfId="0" applyFont="1" applyAlignment="1">
      <alignment vertical="center"/>
    </xf>
    <xf numFmtId="0" fontId="108" fillId="0" borderId="0" xfId="0" applyFont="1" applyAlignment="1">
      <alignment vertical="center"/>
    </xf>
    <xf numFmtId="193" fontId="107" fillId="0" borderId="0" xfId="0" applyNumberFormat="1" applyFont="1" applyAlignment="1">
      <alignment vertical="center"/>
    </xf>
    <xf numFmtId="0" fontId="110" fillId="0" borderId="0" xfId="0" applyFont="1"/>
    <xf numFmtId="0" fontId="110" fillId="0" borderId="0" xfId="0" applyFont="1" applyAlignment="1">
      <alignment horizontal="center"/>
    </xf>
    <xf numFmtId="0" fontId="106" fillId="0" borderId="0" xfId="0" applyFont="1"/>
    <xf numFmtId="10" fontId="106" fillId="0" borderId="0" xfId="134" applyNumberFormat="1" applyFont="1" applyAlignment="1">
      <alignment horizontal="center"/>
    </xf>
    <xf numFmtId="10" fontId="111" fillId="0" borderId="0" xfId="134" applyNumberFormat="1" applyFont="1" applyAlignment="1">
      <alignment horizontal="center"/>
    </xf>
    <xf numFmtId="10" fontId="111" fillId="0" borderId="0" xfId="0" applyNumberFormat="1" applyFont="1" applyAlignment="1">
      <alignment horizontal="center"/>
    </xf>
    <xf numFmtId="10" fontId="106" fillId="0" borderId="0" xfId="0" applyNumberFormat="1" applyFont="1" applyAlignment="1">
      <alignment horizontal="center"/>
    </xf>
    <xf numFmtId="10" fontId="106" fillId="0" borderId="0" xfId="134" applyNumberFormat="1" applyFont="1"/>
    <xf numFmtId="0" fontId="112" fillId="51" borderId="13" xfId="0" applyFont="1" applyFill="1" applyBorder="1" applyAlignment="1">
      <alignment horizontal="center" vertical="center" wrapText="1"/>
    </xf>
    <xf numFmtId="9" fontId="67" fillId="0" borderId="0" xfId="134" applyFont="1" applyAlignment="1">
      <alignment horizontal="center"/>
    </xf>
    <xf numFmtId="0" fontId="67" fillId="0" borderId="0" xfId="0" applyFont="1" applyAlignment="1">
      <alignment horizontal="center"/>
    </xf>
    <xf numFmtId="9" fontId="67" fillId="0" borderId="0" xfId="0" applyNumberFormat="1" applyFont="1" applyAlignment="1">
      <alignment horizontal="center"/>
    </xf>
    <xf numFmtId="0" fontId="64" fillId="0" borderId="38" xfId="0" applyFont="1" applyBorder="1" applyAlignment="1">
      <alignment horizontal="center" vertical="center" wrapText="1"/>
    </xf>
    <xf numFmtId="0" fontId="110" fillId="34" borderId="90" xfId="0" applyFont="1" applyFill="1" applyBorder="1" applyAlignment="1">
      <alignment horizontal="center" vertical="center"/>
    </xf>
    <xf numFmtId="0" fontId="106" fillId="34" borderId="90" xfId="0" applyFont="1" applyFill="1" applyBorder="1" applyAlignment="1">
      <alignment horizontal="left" vertical="center" wrapText="1"/>
    </xf>
    <xf numFmtId="0" fontId="116" fillId="54" borderId="90" xfId="0" applyFont="1" applyFill="1" applyBorder="1" applyAlignment="1">
      <alignment horizontal="center" vertical="center"/>
    </xf>
    <xf numFmtId="0" fontId="117" fillId="54" borderId="90" xfId="0" applyFont="1" applyFill="1" applyBorder="1" applyAlignment="1">
      <alignment horizontal="center" vertical="center"/>
    </xf>
    <xf numFmtId="0" fontId="114" fillId="55" borderId="90" xfId="0" applyFont="1" applyFill="1" applyBorder="1" applyAlignment="1">
      <alignment horizontal="center" vertical="center"/>
    </xf>
    <xf numFmtId="0" fontId="114" fillId="55" borderId="90" xfId="0" applyFont="1" applyFill="1" applyBorder="1" applyAlignment="1">
      <alignment vertical="center"/>
    </xf>
    <xf numFmtId="0" fontId="118" fillId="55" borderId="90" xfId="0" applyFont="1" applyFill="1" applyBorder="1" applyAlignment="1">
      <alignment vertical="center"/>
    </xf>
    <xf numFmtId="0" fontId="119" fillId="34" borderId="90" xfId="0" applyFont="1" applyFill="1" applyBorder="1" applyAlignment="1">
      <alignment horizontal="center" vertical="center"/>
    </xf>
    <xf numFmtId="0" fontId="120" fillId="34" borderId="90" xfId="0" applyFont="1" applyFill="1" applyBorder="1" applyAlignment="1">
      <alignment vertical="center"/>
    </xf>
    <xf numFmtId="0" fontId="106" fillId="34" borderId="90" xfId="0" applyFont="1" applyFill="1" applyBorder="1" applyAlignment="1">
      <alignment horizontal="center" vertical="center"/>
    </xf>
    <xf numFmtId="43" fontId="106" fillId="34" borderId="90" xfId="0" applyNumberFormat="1" applyFont="1" applyFill="1" applyBorder="1" applyAlignment="1">
      <alignment vertical="center"/>
    </xf>
    <xf numFmtId="0" fontId="120" fillId="34" borderId="90" xfId="0" applyFont="1" applyFill="1" applyBorder="1" applyAlignment="1">
      <alignment vertical="center" wrapText="1"/>
    </xf>
    <xf numFmtId="43" fontId="121" fillId="0" borderId="90" xfId="156" applyFont="1" applyFill="1" applyBorder="1" applyAlignment="1">
      <alignment vertical="center"/>
    </xf>
    <xf numFmtId="43" fontId="110" fillId="0" borderId="0" xfId="0" applyNumberFormat="1" applyFont="1"/>
    <xf numFmtId="43" fontId="115" fillId="0" borderId="90" xfId="156" applyFont="1" applyFill="1" applyBorder="1" applyAlignment="1">
      <alignment vertical="center"/>
    </xf>
    <xf numFmtId="43" fontId="114" fillId="0" borderId="90" xfId="156" applyFont="1" applyFill="1" applyBorder="1" applyAlignment="1">
      <alignment vertical="center"/>
    </xf>
    <xf numFmtId="0" fontId="110" fillId="0" borderId="13" xfId="0" applyFont="1" applyBorder="1" applyAlignment="1">
      <alignment horizontal="center" vertical="center" wrapText="1"/>
    </xf>
    <xf numFmtId="10" fontId="106" fillId="0" borderId="13" xfId="134" applyNumberFormat="1" applyFont="1" applyBorder="1" applyAlignment="1">
      <alignment horizontal="center"/>
    </xf>
    <xf numFmtId="10" fontId="111" fillId="0" borderId="13" xfId="134" applyNumberFormat="1" applyFont="1" applyBorder="1" applyAlignment="1">
      <alignment horizontal="center"/>
    </xf>
    <xf numFmtId="10" fontId="111" fillId="0" borderId="13" xfId="0" applyNumberFormat="1" applyFont="1" applyBorder="1" applyAlignment="1">
      <alignment horizontal="center"/>
    </xf>
    <xf numFmtId="43" fontId="106" fillId="0" borderId="13" xfId="156" applyFont="1" applyBorder="1" applyAlignment="1">
      <alignment vertical="center"/>
    </xf>
    <xf numFmtId="0" fontId="124" fillId="0" borderId="13" xfId="0" applyFont="1" applyBorder="1" applyAlignment="1">
      <alignment horizontal="center" vertical="center" wrapText="1"/>
    </xf>
    <xf numFmtId="0" fontId="110" fillId="0" borderId="0" xfId="0" applyFont="1" applyAlignment="1">
      <alignment horizontal="center" vertical="center" wrapText="1"/>
    </xf>
    <xf numFmtId="10" fontId="106" fillId="0" borderId="0" xfId="134" applyNumberFormat="1" applyFont="1" applyBorder="1" applyAlignment="1">
      <alignment horizontal="center"/>
    </xf>
    <xf numFmtId="10" fontId="111" fillId="0" borderId="0" xfId="134" applyNumberFormat="1" applyFont="1" applyBorder="1" applyAlignment="1">
      <alignment horizontal="center"/>
    </xf>
    <xf numFmtId="43" fontId="106" fillId="0" borderId="0" xfId="156" applyFont="1" applyBorder="1" applyAlignment="1">
      <alignment vertical="center"/>
    </xf>
    <xf numFmtId="17" fontId="122" fillId="34" borderId="96" xfId="3" applyNumberFormat="1" applyFont="1" applyFill="1" applyBorder="1"/>
    <xf numFmtId="0" fontId="123" fillId="34" borderId="96" xfId="0" applyFont="1" applyFill="1" applyBorder="1" applyAlignment="1">
      <alignment horizontal="center"/>
    </xf>
    <xf numFmtId="0" fontId="123" fillId="34" borderId="96" xfId="0" applyFont="1" applyFill="1" applyBorder="1"/>
    <xf numFmtId="10" fontId="106" fillId="34" borderId="96" xfId="0" applyNumberFormat="1" applyFont="1" applyFill="1" applyBorder="1" applyAlignment="1">
      <alignment horizontal="center"/>
    </xf>
    <xf numFmtId="10" fontId="106" fillId="34" borderId="96" xfId="134" applyNumberFormat="1" applyFont="1" applyFill="1" applyBorder="1" applyAlignment="1">
      <alignment horizontal="center"/>
    </xf>
    <xf numFmtId="0" fontId="106" fillId="34" borderId="96" xfId="0" applyFont="1" applyFill="1" applyBorder="1"/>
    <xf numFmtId="43" fontId="106" fillId="34" borderId="96" xfId="156" applyFont="1" applyFill="1" applyBorder="1"/>
    <xf numFmtId="0" fontId="119" fillId="34" borderId="96" xfId="0" applyFont="1" applyFill="1" applyBorder="1" applyAlignment="1">
      <alignment horizontal="center" vertical="center"/>
    </xf>
    <xf numFmtId="0" fontId="120" fillId="34" borderId="96" xfId="0" applyFont="1" applyFill="1" applyBorder="1" applyAlignment="1">
      <alignment vertical="center"/>
    </xf>
    <xf numFmtId="0" fontId="106" fillId="34" borderId="96" xfId="0" applyFont="1" applyFill="1" applyBorder="1" applyAlignment="1">
      <alignment horizontal="center" vertical="center"/>
    </xf>
    <xf numFmtId="43" fontId="106" fillId="34" borderId="96" xfId="0" applyNumberFormat="1" applyFont="1" applyFill="1" applyBorder="1" applyAlignment="1">
      <alignment vertical="center"/>
    </xf>
    <xf numFmtId="43" fontId="115" fillId="34" borderId="96" xfId="156" applyFont="1" applyFill="1" applyBorder="1" applyAlignment="1">
      <alignment vertical="center"/>
    </xf>
    <xf numFmtId="43" fontId="114" fillId="0" borderId="96" xfId="156" applyFont="1" applyFill="1" applyBorder="1" applyAlignment="1">
      <alignment vertical="center"/>
    </xf>
    <xf numFmtId="0" fontId="106" fillId="0" borderId="96" xfId="0" applyFont="1" applyBorder="1"/>
    <xf numFmtId="43" fontId="106" fillId="56" borderId="96" xfId="156" applyFont="1" applyFill="1" applyBorder="1"/>
    <xf numFmtId="190" fontId="19" fillId="34" borderId="0" xfId="1" applyNumberFormat="1" applyFont="1" applyFill="1"/>
    <xf numFmtId="0" fontId="115" fillId="0" borderId="91" xfId="0" applyFont="1" applyBorder="1" applyAlignment="1">
      <alignment horizontal="right" vertical="center"/>
    </xf>
    <xf numFmtId="0" fontId="115" fillId="0" borderId="75" xfId="0" applyFont="1" applyBorder="1" applyAlignment="1">
      <alignment horizontal="right" vertical="center"/>
    </xf>
    <xf numFmtId="0" fontId="115" fillId="0" borderId="92" xfId="0" applyFont="1" applyBorder="1" applyAlignment="1">
      <alignment horizontal="right" vertical="center"/>
    </xf>
    <xf numFmtId="0" fontId="114" fillId="0" borderId="91" xfId="0" applyFont="1" applyBorder="1" applyAlignment="1">
      <alignment horizontal="right" vertical="center"/>
    </xf>
    <xf numFmtId="0" fontId="114" fillId="0" borderId="75" xfId="0" applyFont="1" applyBorder="1" applyAlignment="1">
      <alignment horizontal="right" vertical="center"/>
    </xf>
    <xf numFmtId="0" fontId="114" fillId="0" borderId="92" xfId="0" applyFont="1" applyBorder="1" applyAlignment="1">
      <alignment horizontal="right" vertical="center"/>
    </xf>
    <xf numFmtId="0" fontId="113" fillId="34" borderId="90" xfId="0" applyFont="1" applyFill="1" applyBorder="1" applyAlignment="1">
      <alignment horizontal="center" vertical="center"/>
    </xf>
    <xf numFmtId="0" fontId="114" fillId="34" borderId="90" xfId="0" applyFont="1" applyFill="1" applyBorder="1" applyAlignment="1">
      <alignment horizontal="left" vertical="center"/>
    </xf>
    <xf numFmtId="0" fontId="115" fillId="34" borderId="91" xfId="0" applyFont="1" applyFill="1" applyBorder="1" applyAlignment="1">
      <alignment horizontal="center" vertical="center"/>
    </xf>
    <xf numFmtId="0" fontId="115" fillId="34" borderId="92" xfId="0" applyFont="1" applyFill="1" applyBorder="1" applyAlignment="1">
      <alignment horizontal="center" vertical="center"/>
    </xf>
    <xf numFmtId="14" fontId="114" fillId="34" borderId="91" xfId="0" applyNumberFormat="1" applyFont="1" applyFill="1" applyBorder="1" applyAlignment="1">
      <alignment horizontal="center" vertical="center"/>
    </xf>
    <xf numFmtId="14" fontId="114" fillId="34" borderId="92" xfId="0" applyNumberFormat="1" applyFont="1" applyFill="1" applyBorder="1" applyAlignment="1">
      <alignment horizontal="center" vertical="center"/>
    </xf>
    <xf numFmtId="0" fontId="106" fillId="34" borderId="90" xfId="0" applyFont="1" applyFill="1" applyBorder="1" applyAlignment="1">
      <alignment horizontal="left" vertical="center"/>
    </xf>
    <xf numFmtId="0" fontId="121" fillId="0" borderId="91" xfId="0" applyFont="1" applyBorder="1" applyAlignment="1">
      <alignment horizontal="right" vertical="center"/>
    </xf>
    <xf numFmtId="0" fontId="121" fillId="0" borderId="75" xfId="0" applyFont="1" applyBorder="1" applyAlignment="1">
      <alignment horizontal="right" vertical="center"/>
    </xf>
    <xf numFmtId="0" fontId="121" fillId="0" borderId="92" xfId="0" applyFont="1" applyBorder="1" applyAlignment="1">
      <alignment horizontal="right" vertical="center"/>
    </xf>
    <xf numFmtId="0" fontId="104" fillId="0" borderId="87" xfId="0" applyFont="1" applyBorder="1" applyAlignment="1">
      <alignment horizontal="left" vertical="center" wrapText="1"/>
    </xf>
    <xf numFmtId="0" fontId="104" fillId="0" borderId="88" xfId="0" applyFont="1" applyBorder="1" applyAlignment="1">
      <alignment horizontal="left" vertical="center" wrapText="1"/>
    </xf>
    <xf numFmtId="0" fontId="104" fillId="0" borderId="89" xfId="0" applyFont="1" applyBorder="1" applyAlignment="1">
      <alignment horizontal="left" vertical="center" wrapText="1"/>
    </xf>
    <xf numFmtId="0" fontId="104" fillId="0" borderId="87" xfId="0" applyFont="1" applyBorder="1" applyAlignment="1">
      <alignment horizontal="left" vertical="center"/>
    </xf>
    <xf numFmtId="0" fontId="104" fillId="0" borderId="88" xfId="0" applyFont="1" applyBorder="1" applyAlignment="1">
      <alignment horizontal="left" vertical="center"/>
    </xf>
    <xf numFmtId="0" fontId="104" fillId="0" borderId="89" xfId="0" applyFont="1" applyBorder="1" applyAlignment="1">
      <alignment horizontal="left" vertical="center"/>
    </xf>
    <xf numFmtId="0" fontId="84" fillId="0" borderId="22" xfId="0" applyFont="1" applyBorder="1" applyAlignment="1">
      <alignment horizontal="center" vertical="center" wrapText="1"/>
    </xf>
    <xf numFmtId="0" fontId="84" fillId="0" borderId="19" xfId="0" applyFont="1" applyBorder="1" applyAlignment="1">
      <alignment horizontal="center" vertical="center" wrapText="1"/>
    </xf>
    <xf numFmtId="0" fontId="84" fillId="0" borderId="21" xfId="0" applyFont="1" applyBorder="1" applyAlignment="1">
      <alignment horizontal="center" vertical="center" wrapText="1"/>
    </xf>
    <xf numFmtId="0" fontId="87" fillId="51" borderId="13" xfId="0" applyFont="1" applyFill="1" applyBorder="1" applyAlignment="1">
      <alignment horizontal="center" vertical="center" wrapText="1"/>
    </xf>
    <xf numFmtId="0" fontId="33" fillId="35" borderId="82" xfId="0" applyFont="1" applyFill="1" applyBorder="1" applyAlignment="1">
      <alignment horizontal="left" vertical="center" wrapText="1"/>
    </xf>
    <xf numFmtId="0" fontId="33" fillId="35" borderId="83" xfId="0" applyFont="1" applyFill="1" applyBorder="1" applyAlignment="1">
      <alignment horizontal="left" vertical="center" wrapText="1"/>
    </xf>
    <xf numFmtId="0" fontId="33" fillId="35" borderId="84" xfId="0" applyFont="1" applyFill="1" applyBorder="1" applyAlignment="1">
      <alignment horizontal="left" vertical="center" wrapText="1"/>
    </xf>
    <xf numFmtId="0" fontId="87" fillId="0" borderId="38" xfId="0" applyFont="1" applyBorder="1" applyAlignment="1">
      <alignment horizontal="left" vertical="center"/>
    </xf>
    <xf numFmtId="0" fontId="87" fillId="0" borderId="12" xfId="0" applyFont="1" applyBorder="1" applyAlignment="1">
      <alignment horizontal="left" vertical="center"/>
    </xf>
    <xf numFmtId="0" fontId="87" fillId="0" borderId="70" xfId="0" applyFont="1" applyBorder="1" applyAlignment="1">
      <alignment horizontal="left" vertical="center"/>
    </xf>
    <xf numFmtId="0" fontId="87" fillId="0" borderId="71" xfId="0" applyFont="1" applyBorder="1" applyAlignment="1">
      <alignment horizontal="left" vertical="center"/>
    </xf>
    <xf numFmtId="0" fontId="88" fillId="0" borderId="86" xfId="0" applyFont="1" applyBorder="1" applyAlignment="1">
      <alignment horizontal="left" vertical="center"/>
    </xf>
    <xf numFmtId="0" fontId="88" fillId="0" borderId="85" xfId="0" applyFont="1" applyBorder="1" applyAlignment="1">
      <alignment horizontal="left" vertical="center"/>
    </xf>
    <xf numFmtId="0" fontId="88" fillId="0" borderId="0" xfId="0" applyFont="1" applyAlignment="1">
      <alignment horizontal="left" vertical="center"/>
    </xf>
    <xf numFmtId="0" fontId="88" fillId="0" borderId="19" xfId="0" applyFont="1" applyBorder="1" applyAlignment="1">
      <alignment horizontal="left" vertical="center"/>
    </xf>
    <xf numFmtId="200" fontId="88" fillId="0" borderId="75" xfId="0" applyNumberFormat="1" applyFont="1" applyBorder="1" applyAlignment="1">
      <alignment horizontal="left" vertical="center"/>
    </xf>
    <xf numFmtId="200" fontId="88" fillId="0" borderId="74" xfId="0" applyNumberFormat="1" applyFont="1" applyBorder="1" applyAlignment="1">
      <alignment horizontal="left" vertical="center"/>
    </xf>
    <xf numFmtId="0" fontId="88" fillId="0" borderId="75" xfId="0" applyFont="1" applyBorder="1" applyAlignment="1">
      <alignment horizontal="left" vertical="center"/>
    </xf>
    <xf numFmtId="0" fontId="88" fillId="0" borderId="74" xfId="0" applyFont="1" applyBorder="1" applyAlignment="1">
      <alignment horizontal="left" vertical="center"/>
    </xf>
    <xf numFmtId="0" fontId="83" fillId="0" borderId="20" xfId="0" applyFont="1" applyBorder="1" applyAlignment="1">
      <alignment horizontal="center" vertical="center"/>
    </xf>
    <xf numFmtId="0" fontId="83" fillId="0" borderId="0" xfId="0" applyFont="1" applyAlignment="1">
      <alignment horizontal="center" vertical="center"/>
    </xf>
    <xf numFmtId="0" fontId="83" fillId="0" borderId="11" xfId="0" applyFont="1" applyBorder="1" applyAlignment="1">
      <alignment horizontal="center" vertical="center"/>
    </xf>
    <xf numFmtId="0" fontId="87" fillId="0" borderId="73" xfId="0" applyFont="1" applyBorder="1" applyAlignment="1">
      <alignment horizontal="left" vertical="center"/>
    </xf>
    <xf numFmtId="0" fontId="87" fillId="0" borderId="72" xfId="0" applyFont="1" applyBorder="1" applyAlignment="1">
      <alignment horizontal="left" vertical="center"/>
    </xf>
    <xf numFmtId="0" fontId="88" fillId="0" borderId="0" xfId="0" applyFont="1" applyAlignment="1">
      <alignment horizontal="left" vertical="top" wrapText="1"/>
    </xf>
    <xf numFmtId="0" fontId="85" fillId="51" borderId="15" xfId="0" applyFont="1" applyFill="1" applyBorder="1" applyAlignment="1">
      <alignment horizontal="center" vertical="center"/>
    </xf>
    <xf numFmtId="0" fontId="85" fillId="51" borderId="16" xfId="0" applyFont="1" applyFill="1" applyBorder="1" applyAlignment="1">
      <alignment horizontal="center" vertical="center"/>
    </xf>
    <xf numFmtId="0" fontId="85" fillId="51" borderId="14" xfId="0" applyFont="1" applyFill="1" applyBorder="1" applyAlignment="1">
      <alignment horizontal="center" vertical="center"/>
    </xf>
    <xf numFmtId="0" fontId="87" fillId="0" borderId="69" xfId="0" applyFont="1" applyBorder="1" applyAlignment="1">
      <alignment horizontal="left" vertical="center"/>
    </xf>
    <xf numFmtId="0" fontId="87" fillId="0" borderId="68" xfId="0" applyFont="1" applyBorder="1" applyAlignment="1">
      <alignment horizontal="left" vertical="center"/>
    </xf>
    <xf numFmtId="204" fontId="77" fillId="0" borderId="0" xfId="0" applyNumberFormat="1" applyFont="1" applyAlignment="1">
      <alignment horizontal="right" vertical="center"/>
    </xf>
    <xf numFmtId="0" fontId="70" fillId="0" borderId="0" xfId="0" applyFont="1" applyAlignment="1">
      <alignment horizontal="left" vertical="center"/>
    </xf>
    <xf numFmtId="0" fontId="93" fillId="50" borderId="15" xfId="0" applyFont="1" applyFill="1" applyBorder="1" applyAlignment="1">
      <alignment horizontal="center" vertical="center"/>
    </xf>
    <xf numFmtId="0" fontId="93" fillId="50" borderId="16" xfId="0" applyFont="1" applyFill="1" applyBorder="1" applyAlignment="1">
      <alignment horizontal="center" vertical="center"/>
    </xf>
    <xf numFmtId="0" fontId="93" fillId="50" borderId="14" xfId="0" applyFont="1" applyFill="1" applyBorder="1" applyAlignment="1">
      <alignment horizontal="center" vertical="center"/>
    </xf>
    <xf numFmtId="0" fontId="98" fillId="50" borderId="13" xfId="0" applyFont="1" applyFill="1" applyBorder="1" applyAlignment="1">
      <alignment horizontal="center" vertical="center"/>
    </xf>
    <xf numFmtId="0" fontId="87" fillId="51" borderId="15" xfId="0" applyFont="1" applyFill="1" applyBorder="1" applyAlignment="1">
      <alignment horizontal="center" vertical="center"/>
    </xf>
    <xf numFmtId="0" fontId="87" fillId="51" borderId="16" xfId="0" applyFont="1" applyFill="1" applyBorder="1" applyAlignment="1">
      <alignment horizontal="center" vertical="center"/>
    </xf>
    <xf numFmtId="0" fontId="87" fillId="51" borderId="14" xfId="0" applyFont="1" applyFill="1" applyBorder="1" applyAlignment="1">
      <alignment horizontal="center" vertical="center"/>
    </xf>
    <xf numFmtId="0" fontId="104" fillId="0" borderId="93" xfId="0" applyFont="1" applyBorder="1" applyAlignment="1">
      <alignment horizontal="left" vertical="center" wrapText="1"/>
    </xf>
    <xf numFmtId="0" fontId="104" fillId="0" borderId="94" xfId="0" applyFont="1" applyBorder="1" applyAlignment="1">
      <alignment horizontal="left" vertical="center" wrapText="1"/>
    </xf>
    <xf numFmtId="0" fontId="104" fillId="0" borderId="95" xfId="0" applyFont="1" applyBorder="1" applyAlignment="1">
      <alignment horizontal="left" vertical="center" wrapText="1"/>
    </xf>
    <xf numFmtId="0" fontId="115" fillId="34" borderId="96" xfId="0" applyFont="1" applyFill="1" applyBorder="1" applyAlignment="1">
      <alignment horizontal="right" vertical="center"/>
    </xf>
    <xf numFmtId="0" fontId="114" fillId="0" borderId="96" xfId="0" applyFont="1" applyBorder="1" applyAlignment="1">
      <alignment horizontal="right" vertical="center"/>
    </xf>
    <xf numFmtId="0" fontId="113" fillId="34" borderId="97" xfId="0" applyFont="1" applyFill="1" applyBorder="1" applyAlignment="1">
      <alignment horizontal="center" vertical="center"/>
    </xf>
    <xf numFmtId="0" fontId="52" fillId="0" borderId="15" xfId="43" applyFont="1" applyBorder="1" applyAlignment="1">
      <alignment horizontal="center" vertical="center" wrapText="1"/>
    </xf>
    <xf numFmtId="0" fontId="52" fillId="0" borderId="14" xfId="43" applyFont="1" applyBorder="1" applyAlignment="1">
      <alignment horizontal="center" vertical="center" wrapText="1"/>
    </xf>
    <xf numFmtId="189" fontId="52" fillId="0" borderId="15" xfId="43" applyNumberFormat="1" applyFont="1" applyBorder="1" applyAlignment="1">
      <alignment horizontal="center" vertical="center"/>
    </xf>
    <xf numFmtId="189" fontId="52" fillId="0" borderId="14" xfId="43" applyNumberFormat="1" applyFont="1" applyBorder="1" applyAlignment="1">
      <alignment horizontal="center" vertical="center"/>
    </xf>
    <xf numFmtId="0" fontId="48" fillId="0" borderId="15" xfId="43" applyFont="1" applyBorder="1" applyAlignment="1">
      <alignment horizontal="right" vertical="center"/>
    </xf>
    <xf numFmtId="0" fontId="48" fillId="0" borderId="16" xfId="43" applyFont="1" applyBorder="1" applyAlignment="1">
      <alignment horizontal="right" vertical="center"/>
    </xf>
    <xf numFmtId="0" fontId="48" fillId="0" borderId="14" xfId="43" applyFont="1" applyBorder="1" applyAlignment="1">
      <alignment horizontal="right" vertical="center"/>
    </xf>
    <xf numFmtId="0" fontId="48" fillId="0" borderId="15" xfId="43" applyFont="1" applyBorder="1" applyAlignment="1">
      <alignment horizontal="left" vertical="center"/>
    </xf>
    <xf numFmtId="0" fontId="48" fillId="0" borderId="16" xfId="43" applyFont="1" applyBorder="1" applyAlignment="1">
      <alignment horizontal="left" vertical="center"/>
    </xf>
    <xf numFmtId="0" fontId="48" fillId="0" borderId="20" xfId="43" applyFont="1" applyBorder="1" applyAlignment="1">
      <alignment horizontal="left" vertical="center"/>
    </xf>
    <xf numFmtId="0" fontId="48" fillId="0" borderId="22" xfId="43" applyFont="1" applyBorder="1" applyAlignment="1">
      <alignment horizontal="left" vertical="center"/>
    </xf>
    <xf numFmtId="0" fontId="47" fillId="0" borderId="15" xfId="43" applyFont="1" applyBorder="1" applyAlignment="1">
      <alignment horizontal="center" vertical="center"/>
    </xf>
    <xf numFmtId="0" fontId="47" fillId="0" borderId="14" xfId="43" applyFont="1" applyBorder="1" applyAlignment="1">
      <alignment horizontal="center" vertical="center"/>
    </xf>
    <xf numFmtId="0" fontId="47" fillId="0" borderId="13" xfId="43" applyFont="1" applyBorder="1" applyAlignment="1">
      <alignment horizontal="center" vertical="center"/>
    </xf>
    <xf numFmtId="0" fontId="47" fillId="0" borderId="15" xfId="43" applyFont="1" applyBorder="1" applyAlignment="1">
      <alignment horizontal="left" vertical="center" wrapText="1"/>
    </xf>
    <xf numFmtId="0" fontId="47" fillId="0" borderId="14" xfId="43" applyFont="1" applyBorder="1" applyAlignment="1">
      <alignment horizontal="left" vertical="center" wrapText="1"/>
    </xf>
    <xf numFmtId="2" fontId="52" fillId="0" borderId="15" xfId="1" applyNumberFormat="1" applyFont="1" applyBorder="1" applyAlignment="1">
      <alignment horizontal="center" vertical="center"/>
    </xf>
    <xf numFmtId="2" fontId="52" fillId="0" borderId="14" xfId="1" applyNumberFormat="1" applyFont="1" applyBorder="1" applyAlignment="1">
      <alignment horizontal="center" vertical="center"/>
    </xf>
    <xf numFmtId="0" fontId="48" fillId="0" borderId="35" xfId="43" applyFont="1" applyBorder="1" applyAlignment="1">
      <alignment horizontal="right" vertical="center"/>
    </xf>
    <xf numFmtId="0" fontId="48" fillId="0" borderId="20" xfId="43" applyFont="1" applyBorder="1" applyAlignment="1">
      <alignment horizontal="right" vertical="center"/>
    </xf>
    <xf numFmtId="0" fontId="47" fillId="0" borderId="16" xfId="43" applyFont="1" applyBorder="1" applyAlignment="1">
      <alignment horizontal="center" vertical="center"/>
    </xf>
    <xf numFmtId="189" fontId="52" fillId="0" borderId="16" xfId="43" applyNumberFormat="1" applyFont="1" applyBorder="1" applyAlignment="1">
      <alignment horizontal="center" vertical="center"/>
    </xf>
    <xf numFmtId="0" fontId="52" fillId="0" borderId="15" xfId="43" applyFont="1" applyBorder="1" applyAlignment="1">
      <alignment horizontal="left" vertical="center" wrapText="1"/>
    </xf>
    <xf numFmtId="0" fontId="52" fillId="0" borderId="14" xfId="43" applyFont="1" applyBorder="1" applyAlignment="1">
      <alignment horizontal="left" vertical="center" wrapText="1"/>
    </xf>
    <xf numFmtId="0" fontId="48" fillId="34" borderId="13" xfId="43" applyFont="1" applyFill="1" applyBorder="1" applyAlignment="1">
      <alignment horizontal="right" vertical="center"/>
    </xf>
    <xf numFmtId="0" fontId="49" fillId="37" borderId="24" xfId="138" applyFont="1" applyFill="1" applyBorder="1" applyAlignment="1">
      <alignment horizontal="center"/>
    </xf>
    <xf numFmtId="0" fontId="49" fillId="37" borderId="29" xfId="138" applyFont="1" applyFill="1" applyBorder="1" applyAlignment="1">
      <alignment horizontal="center"/>
    </xf>
    <xf numFmtId="197" fontId="46" fillId="37" borderId="35" xfId="138" applyNumberFormat="1" applyFont="1" applyFill="1" applyBorder="1" applyAlignment="1">
      <alignment horizontal="center" vertical="center"/>
    </xf>
    <xf numFmtId="197" fontId="46" fillId="37" borderId="16" xfId="138" applyNumberFormat="1" applyFont="1" applyFill="1" applyBorder="1" applyAlignment="1">
      <alignment horizontal="center" vertical="center"/>
    </xf>
    <xf numFmtId="0" fontId="49" fillId="37" borderId="25" xfId="138" applyFont="1" applyFill="1" applyBorder="1" applyAlignment="1">
      <alignment horizontal="left" vertical="center" wrapText="1"/>
    </xf>
    <xf numFmtId="0" fontId="49" fillId="37" borderId="76" xfId="138" applyFont="1" applyFill="1" applyBorder="1" applyAlignment="1">
      <alignment horizontal="center" vertical="center" wrapText="1"/>
    </xf>
    <xf numFmtId="0" fontId="49" fillId="37" borderId="31" xfId="138" applyFont="1" applyFill="1" applyBorder="1" applyAlignment="1">
      <alignment horizontal="center" vertical="center" wrapText="1"/>
    </xf>
    <xf numFmtId="0" fontId="49" fillId="37" borderId="77" xfId="138" applyFont="1" applyFill="1" applyBorder="1" applyAlignment="1">
      <alignment horizontal="center" vertical="center" wrapText="1"/>
    </xf>
    <xf numFmtId="0" fontId="49" fillId="37" borderId="13" xfId="138" applyFont="1" applyFill="1" applyBorder="1" applyAlignment="1">
      <alignment horizontal="center" vertical="center"/>
    </xf>
    <xf numFmtId="0" fontId="52" fillId="0" borderId="16" xfId="43" applyFont="1" applyBorder="1" applyAlignment="1">
      <alignment horizontal="center" vertical="center" wrapText="1"/>
    </xf>
    <xf numFmtId="0" fontId="48" fillId="0" borderId="10" xfId="43" applyFont="1" applyBorder="1" applyAlignment="1">
      <alignment horizontal="left" vertical="center"/>
    </xf>
    <xf numFmtId="0" fontId="48" fillId="0" borderId="11" xfId="43" applyFont="1" applyBorder="1" applyAlignment="1">
      <alignment horizontal="left" vertical="center"/>
    </xf>
    <xf numFmtId="0" fontId="48" fillId="0" borderId="19" xfId="43" applyFont="1" applyBorder="1" applyAlignment="1">
      <alignment horizontal="left" vertical="center"/>
    </xf>
    <xf numFmtId="0" fontId="49" fillId="0" borderId="15" xfId="43" applyFont="1" applyBorder="1" applyAlignment="1">
      <alignment horizontal="center" vertical="center"/>
    </xf>
    <xf numFmtId="0" fontId="49" fillId="0" borderId="14" xfId="43" applyFont="1" applyBorder="1" applyAlignment="1">
      <alignment horizontal="center" vertical="center"/>
    </xf>
    <xf numFmtId="0" fontId="49" fillId="0" borderId="13" xfId="43" applyFont="1" applyBorder="1" applyAlignment="1">
      <alignment horizontal="center" vertical="center" wrapText="1"/>
    </xf>
    <xf numFmtId="0" fontId="47" fillId="0" borderId="15" xfId="43" applyFont="1" applyBorder="1" applyAlignment="1">
      <alignment horizontal="center" vertical="center" wrapText="1"/>
    </xf>
    <xf numFmtId="0" fontId="47" fillId="0" borderId="14" xfId="43" applyFont="1" applyBorder="1" applyAlignment="1">
      <alignment horizontal="center" vertical="center" wrapText="1"/>
    </xf>
    <xf numFmtId="0" fontId="46" fillId="37" borderId="27" xfId="138" applyFont="1" applyFill="1" applyBorder="1" applyAlignment="1">
      <alignment horizontal="center" vertical="center"/>
    </xf>
    <xf numFmtId="0" fontId="46" fillId="37" borderId="28" xfId="138" applyFont="1" applyFill="1" applyBorder="1" applyAlignment="1">
      <alignment horizontal="center" vertical="center"/>
    </xf>
    <xf numFmtId="0" fontId="46" fillId="37" borderId="29" xfId="138" applyFont="1" applyFill="1" applyBorder="1" applyAlignment="1">
      <alignment horizontal="center" vertical="center"/>
    </xf>
    <xf numFmtId="2" fontId="46" fillId="37" borderId="50" xfId="138" applyNumberFormat="1" applyFont="1" applyFill="1" applyBorder="1" applyAlignment="1">
      <alignment horizontal="left" vertical="center" wrapText="1"/>
    </xf>
    <xf numFmtId="2" fontId="46" fillId="37" borderId="50" xfId="138" applyNumberFormat="1" applyFont="1" applyFill="1" applyBorder="1" applyAlignment="1">
      <alignment horizontal="left" vertical="center"/>
    </xf>
    <xf numFmtId="0" fontId="48" fillId="37" borderId="25" xfId="138" applyFont="1" applyFill="1" applyBorder="1" applyAlignment="1">
      <alignment horizontal="left" vertical="center" wrapText="1"/>
    </xf>
    <xf numFmtId="0" fontId="46" fillId="37" borderId="44" xfId="138" applyFont="1" applyFill="1" applyBorder="1" applyAlignment="1">
      <alignment horizontal="center" vertical="center"/>
    </xf>
    <xf numFmtId="0" fontId="78" fillId="38" borderId="18" xfId="0" applyFont="1" applyFill="1" applyBorder="1" applyAlignment="1">
      <alignment horizontal="center" vertical="center"/>
    </xf>
    <xf numFmtId="0" fontId="78" fillId="38" borderId="38" xfId="0" applyFont="1" applyFill="1" applyBorder="1" applyAlignment="1">
      <alignment horizontal="center" vertical="center"/>
    </xf>
    <xf numFmtId="0" fontId="78" fillId="38" borderId="17" xfId="0" applyFont="1" applyFill="1" applyBorder="1" applyAlignment="1">
      <alignment horizontal="center" vertical="center"/>
    </xf>
    <xf numFmtId="0" fontId="0" fillId="43" borderId="15" xfId="0" applyFill="1" applyBorder="1" applyAlignment="1">
      <alignment horizontal="center"/>
    </xf>
    <xf numFmtId="0" fontId="0" fillId="43" borderId="14" xfId="0" applyFill="1" applyBorder="1" applyAlignment="1">
      <alignment horizontal="center"/>
    </xf>
    <xf numFmtId="0" fontId="16" fillId="40" borderId="13" xfId="0" applyFont="1" applyFill="1" applyBorder="1" applyAlignment="1">
      <alignment horizontal="center"/>
    </xf>
    <xf numFmtId="0" fontId="78" fillId="38" borderId="13" xfId="0" applyFont="1" applyFill="1" applyBorder="1" applyAlignment="1">
      <alignment horizontal="center" vertical="center"/>
    </xf>
    <xf numFmtId="0" fontId="0" fillId="43" borderId="13" xfId="0" applyFill="1" applyBorder="1" applyAlignment="1">
      <alignment horizontal="center"/>
    </xf>
    <xf numFmtId="0" fontId="16" fillId="38" borderId="51" xfId="0" applyFont="1" applyFill="1" applyBorder="1" applyAlignment="1">
      <alignment horizontal="center"/>
    </xf>
    <xf numFmtId="0" fontId="16" fillId="38" borderId="52" xfId="0" applyFont="1" applyFill="1" applyBorder="1" applyAlignment="1">
      <alignment horizontal="center"/>
    </xf>
    <xf numFmtId="0" fontId="16" fillId="41" borderId="56" xfId="0" applyFont="1" applyFill="1" applyBorder="1" applyAlignment="1">
      <alignment horizontal="center" vertical="center"/>
    </xf>
    <xf numFmtId="0" fontId="16" fillId="41" borderId="57" xfId="0" applyFont="1" applyFill="1" applyBorder="1" applyAlignment="1">
      <alignment horizontal="center" vertical="center"/>
    </xf>
    <xf numFmtId="0" fontId="16" fillId="41" borderId="58" xfId="0" applyFont="1" applyFill="1" applyBorder="1" applyAlignment="1">
      <alignment horizontal="center" vertical="center"/>
    </xf>
    <xf numFmtId="0" fontId="16" fillId="41" borderId="60" xfId="0" applyFont="1" applyFill="1" applyBorder="1" applyAlignment="1">
      <alignment horizontal="center" vertical="center"/>
    </xf>
    <xf numFmtId="0" fontId="16" fillId="41" borderId="61" xfId="0" applyFont="1" applyFill="1" applyBorder="1" applyAlignment="1">
      <alignment horizontal="center" vertical="center"/>
    </xf>
    <xf numFmtId="0" fontId="16" fillId="41" borderId="62" xfId="0" applyFont="1" applyFill="1" applyBorder="1" applyAlignment="1">
      <alignment horizontal="center" vertical="center"/>
    </xf>
    <xf numFmtId="3" fontId="79" fillId="41" borderId="59" xfId="0" applyNumberFormat="1" applyFont="1" applyFill="1" applyBorder="1" applyAlignment="1">
      <alignment horizontal="center" vertical="center"/>
    </xf>
    <xf numFmtId="3" fontId="79" fillId="41" borderId="63" xfId="0" applyNumberFormat="1" applyFont="1" applyFill="1" applyBorder="1" applyAlignment="1">
      <alignment horizontal="center" vertical="center"/>
    </xf>
    <xf numFmtId="0" fontId="0" fillId="0" borderId="13" xfId="0" applyBorder="1" applyAlignment="1">
      <alignment horizontal="left" wrapText="1"/>
    </xf>
    <xf numFmtId="0" fontId="16" fillId="44" borderId="13" xfId="0" applyFont="1" applyFill="1" applyBorder="1" applyAlignment="1">
      <alignment horizontal="center" vertical="center" wrapText="1"/>
    </xf>
    <xf numFmtId="0" fontId="16" fillId="45" borderId="13" xfId="0" applyFont="1" applyFill="1" applyBorder="1" applyAlignment="1">
      <alignment horizontal="center" vertical="center" wrapText="1"/>
    </xf>
    <xf numFmtId="0" fontId="16" fillId="48" borderId="18" xfId="0" applyFont="1" applyFill="1" applyBorder="1" applyAlignment="1">
      <alignment horizontal="center" vertical="center" wrapText="1"/>
    </xf>
    <xf numFmtId="0" fontId="16" fillId="48" borderId="17" xfId="0" applyFont="1" applyFill="1" applyBorder="1" applyAlignment="1">
      <alignment horizontal="center" vertical="center" wrapText="1"/>
    </xf>
    <xf numFmtId="0" fontId="80" fillId="35" borderId="13" xfId="0" applyFont="1" applyFill="1" applyBorder="1" applyAlignment="1">
      <alignment horizontal="center" vertical="center"/>
    </xf>
    <xf numFmtId="0" fontId="16" fillId="35" borderId="18" xfId="0" applyFont="1" applyFill="1" applyBorder="1" applyAlignment="1">
      <alignment horizontal="center" vertical="center"/>
    </xf>
    <xf numFmtId="0" fontId="16" fillId="35" borderId="17" xfId="0" applyFont="1" applyFill="1" applyBorder="1" applyAlignment="1">
      <alignment horizontal="center" vertical="center"/>
    </xf>
    <xf numFmtId="0" fontId="16" fillId="35" borderId="18" xfId="0" applyFont="1" applyFill="1" applyBorder="1" applyAlignment="1">
      <alignment horizontal="center" vertical="center" wrapText="1"/>
    </xf>
    <xf numFmtId="0" fontId="16" fillId="35" borderId="17" xfId="0" applyFont="1" applyFill="1" applyBorder="1" applyAlignment="1">
      <alignment horizontal="center" vertical="center" wrapText="1"/>
    </xf>
    <xf numFmtId="0" fontId="16" fillId="44" borderId="18" xfId="0" applyFont="1" applyFill="1" applyBorder="1" applyAlignment="1">
      <alignment horizontal="center" vertical="center" wrapText="1"/>
    </xf>
    <xf numFmtId="0" fontId="16" fillId="44" borderId="17" xfId="0" applyFont="1" applyFill="1" applyBorder="1" applyAlignment="1">
      <alignment horizontal="center" vertical="center" wrapText="1"/>
    </xf>
    <xf numFmtId="0" fontId="16" fillId="45" borderId="18" xfId="0" applyFont="1" applyFill="1" applyBorder="1" applyAlignment="1">
      <alignment horizontal="center" vertical="center" wrapText="1"/>
    </xf>
    <xf numFmtId="0" fontId="16" fillId="45" borderId="17" xfId="0" applyFont="1" applyFill="1" applyBorder="1" applyAlignment="1">
      <alignment horizontal="center" vertical="center" wrapText="1"/>
    </xf>
    <xf numFmtId="0" fontId="16" fillId="46" borderId="18" xfId="0" applyFont="1" applyFill="1" applyBorder="1" applyAlignment="1">
      <alignment horizontal="center" vertical="center" wrapText="1"/>
    </xf>
    <xf numFmtId="0" fontId="16" fillId="46" borderId="17" xfId="0" applyFont="1" applyFill="1" applyBorder="1" applyAlignment="1">
      <alignment horizontal="center" vertical="center" wrapText="1"/>
    </xf>
    <xf numFmtId="0" fontId="16" fillId="47" borderId="18" xfId="0" applyFont="1" applyFill="1" applyBorder="1" applyAlignment="1">
      <alignment horizontal="center" vertical="center" wrapText="1"/>
    </xf>
    <xf numFmtId="0" fontId="16" fillId="47" borderId="17" xfId="0" applyFont="1" applyFill="1" applyBorder="1" applyAlignment="1">
      <alignment horizontal="center" vertical="center" wrapText="1"/>
    </xf>
    <xf numFmtId="0" fontId="0" fillId="0" borderId="67" xfId="0" applyBorder="1" applyAlignment="1">
      <alignment horizontal="center"/>
    </xf>
  </cellXfs>
  <cellStyles count="157">
    <cellStyle name="0,0_x000d__x000a_NA_x000d__x000a_" xfId="71" xr:uid="{00000000-0005-0000-0000-000000000000}"/>
    <cellStyle name="0,0_x000d__x000a_NA_x000d__x000a_ 2" xfId="70" xr:uid="{00000000-0005-0000-0000-000001000000}"/>
    <cellStyle name="0,0_x000d__x000a_NA_x000d__x000a__270309 PRESUPUESTO MONIQUIRA CONS" xfId="69" xr:uid="{00000000-0005-0000-0000-000002000000}"/>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7" builtinId="26" customBuiltin="1"/>
    <cellStyle name="Cálculo" xfId="12" builtinId="22" customBuiltin="1"/>
    <cellStyle name="Celda de comprobación" xfId="14" builtinId="23" customBuiltin="1"/>
    <cellStyle name="Celda vinculada" xfId="13" builtinId="24" customBuiltin="1"/>
    <cellStyle name="Comma" xfId="68" xr:uid="{00000000-0005-0000-0000-000019000000}"/>
    <cellStyle name="Comma0" xfId="67" xr:uid="{00000000-0005-0000-0000-00001A000000}"/>
    <cellStyle name="Currency" xfId="66" xr:uid="{00000000-0005-0000-0000-00001B000000}"/>
    <cellStyle name="Currency0" xfId="65" xr:uid="{00000000-0005-0000-0000-00001C000000}"/>
    <cellStyle name="Date" xfId="64" xr:uid="{00000000-0005-0000-0000-00001D000000}"/>
    <cellStyle name="Encabezado 1" xfId="3" xr:uid="{00000000-0005-0000-0000-00001E000000}"/>
    <cellStyle name="Encabezado 2" xfId="63" xr:uid="{00000000-0005-0000-0000-00001F000000}"/>
    <cellStyle name="Encabezado 4" xfId="6"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10" builtinId="20" customBuiltin="1"/>
    <cellStyle name="Euro" xfId="62" xr:uid="{00000000-0005-0000-0000-000028000000}"/>
    <cellStyle name="Fecha" xfId="61" xr:uid="{00000000-0005-0000-0000-000029000000}"/>
    <cellStyle name="Fijo" xfId="60" xr:uid="{00000000-0005-0000-0000-00002A000000}"/>
    <cellStyle name="Fixed" xfId="59" xr:uid="{00000000-0005-0000-0000-00002B000000}"/>
    <cellStyle name="Heading 1" xfId="58" xr:uid="{00000000-0005-0000-0000-00002C000000}"/>
    <cellStyle name="Heading 2" xfId="57" xr:uid="{00000000-0005-0000-0000-00002D000000}"/>
    <cellStyle name="Heading1" xfId="56" xr:uid="{00000000-0005-0000-0000-00002E000000}"/>
    <cellStyle name="Heading2" xfId="55" xr:uid="{00000000-0005-0000-0000-00002F000000}"/>
    <cellStyle name="Hipervínculo" xfId="137" builtinId="8"/>
    <cellStyle name="Hipervínculo 2" xfId="154" xr:uid="{00000000-0005-0000-0000-000031000000}"/>
    <cellStyle name="Incorrecto" xfId="8" builtinId="27" customBuiltin="1"/>
    <cellStyle name="Millares" xfId="156" builtinId="3"/>
    <cellStyle name="Millares [0] 2" xfId="54" xr:uid="{00000000-0005-0000-0000-000034000000}"/>
    <cellStyle name="Millares [0] 2 2" xfId="53" xr:uid="{00000000-0005-0000-0000-000035000000}"/>
    <cellStyle name="Millares [0] 3" xfId="52" xr:uid="{00000000-0005-0000-0000-000036000000}"/>
    <cellStyle name="Millares [0] 3 2" xfId="51" xr:uid="{00000000-0005-0000-0000-000037000000}"/>
    <cellStyle name="Millares [0] 4" xfId="50" xr:uid="{00000000-0005-0000-0000-000038000000}"/>
    <cellStyle name="Millares 10" xfId="49" xr:uid="{00000000-0005-0000-0000-000039000000}"/>
    <cellStyle name="Millares 11" xfId="48" xr:uid="{00000000-0005-0000-0000-00003A000000}"/>
    <cellStyle name="Millares 12" xfId="47" xr:uid="{00000000-0005-0000-0000-00003B000000}"/>
    <cellStyle name="Millares 13" xfId="151" xr:uid="{00000000-0005-0000-0000-00003C000000}"/>
    <cellStyle name="Millares 2" xfId="44" xr:uid="{00000000-0005-0000-0000-00003D000000}"/>
    <cellStyle name="Millares 2 2" xfId="45" xr:uid="{00000000-0005-0000-0000-00003E000000}"/>
    <cellStyle name="Millares 2 2 2" xfId="74" xr:uid="{00000000-0005-0000-0000-00003F000000}"/>
    <cellStyle name="Millares 2 3" xfId="75" xr:uid="{00000000-0005-0000-0000-000040000000}"/>
    <cellStyle name="Millares 2 4" xfId="76" xr:uid="{00000000-0005-0000-0000-000041000000}"/>
    <cellStyle name="Millares 2 4 2" xfId="77" xr:uid="{00000000-0005-0000-0000-000042000000}"/>
    <cellStyle name="Millares 2 5" xfId="46" xr:uid="{00000000-0005-0000-0000-000043000000}"/>
    <cellStyle name="Millares 2 6" xfId="132" xr:uid="{00000000-0005-0000-0000-000044000000}"/>
    <cellStyle name="Millares 3" xfId="72" xr:uid="{00000000-0005-0000-0000-000045000000}"/>
    <cellStyle name="Millares 3 2" xfId="79" xr:uid="{00000000-0005-0000-0000-000046000000}"/>
    <cellStyle name="Millares 3 2 2" xfId="139" xr:uid="{00000000-0005-0000-0000-000047000000}"/>
    <cellStyle name="Millares 3 2 3" xfId="144" xr:uid="{00000000-0005-0000-0000-000048000000}"/>
    <cellStyle name="Millares 3 3" xfId="78" xr:uid="{00000000-0005-0000-0000-000049000000}"/>
    <cellStyle name="Millares 3 3 2" xfId="143" xr:uid="{00000000-0005-0000-0000-00004A000000}"/>
    <cellStyle name="Millares 3 4" xfId="133" xr:uid="{00000000-0005-0000-0000-00004B000000}"/>
    <cellStyle name="Millares 3 4 2" xfId="150" xr:uid="{00000000-0005-0000-0000-00004C000000}"/>
    <cellStyle name="Millares 3 5" xfId="142" xr:uid="{00000000-0005-0000-0000-00004D000000}"/>
    <cellStyle name="Millares 35" xfId="80" xr:uid="{00000000-0005-0000-0000-00004E000000}"/>
    <cellStyle name="Millares 35 2" xfId="145" xr:uid="{00000000-0005-0000-0000-00004F000000}"/>
    <cellStyle name="Millares 4" xfId="81" xr:uid="{00000000-0005-0000-0000-000050000000}"/>
    <cellStyle name="Millares 4 2" xfId="82" xr:uid="{00000000-0005-0000-0000-000051000000}"/>
    <cellStyle name="Millares 5" xfId="83" xr:uid="{00000000-0005-0000-0000-000052000000}"/>
    <cellStyle name="Millares 5 2" xfId="84" xr:uid="{00000000-0005-0000-0000-000053000000}"/>
    <cellStyle name="Millares 6" xfId="85" xr:uid="{00000000-0005-0000-0000-000054000000}"/>
    <cellStyle name="Millares 6 2" xfId="146" xr:uid="{00000000-0005-0000-0000-000055000000}"/>
    <cellStyle name="Millares 7" xfId="86" xr:uid="{00000000-0005-0000-0000-000056000000}"/>
    <cellStyle name="Millares 7 2" xfId="87" xr:uid="{00000000-0005-0000-0000-000057000000}"/>
    <cellStyle name="Millares 7 2 2" xfId="88" xr:uid="{00000000-0005-0000-0000-000058000000}"/>
    <cellStyle name="Millares 7 3" xfId="89" xr:uid="{00000000-0005-0000-0000-000059000000}"/>
    <cellStyle name="Millares 8" xfId="90" xr:uid="{00000000-0005-0000-0000-00005A000000}"/>
    <cellStyle name="Millares 8 2" xfId="91" xr:uid="{00000000-0005-0000-0000-00005B000000}"/>
    <cellStyle name="Millares 8 2 2" xfId="148" xr:uid="{00000000-0005-0000-0000-00005C000000}"/>
    <cellStyle name="Millares 8 3" xfId="147" xr:uid="{00000000-0005-0000-0000-00005D000000}"/>
    <cellStyle name="Millares 9" xfId="92" xr:uid="{00000000-0005-0000-0000-00005E000000}"/>
    <cellStyle name="Millares 9 2" xfId="93" xr:uid="{00000000-0005-0000-0000-00005F000000}"/>
    <cellStyle name="Moneda" xfId="1" builtinId="4"/>
    <cellStyle name="Moneda [0] 2" xfId="152" xr:uid="{00000000-0005-0000-0000-000061000000}"/>
    <cellStyle name="Moneda 10" xfId="153" xr:uid="{00000000-0005-0000-0000-000062000000}"/>
    <cellStyle name="Moneda 11" xfId="155" xr:uid="{00000000-0005-0000-0000-000063000000}"/>
    <cellStyle name="Moneda 2" xfId="94" xr:uid="{00000000-0005-0000-0000-000064000000}"/>
    <cellStyle name="Moneda 2 2" xfId="95" xr:uid="{00000000-0005-0000-0000-000065000000}"/>
    <cellStyle name="Moneda 2 3" xfId="96" xr:uid="{00000000-0005-0000-0000-000066000000}"/>
    <cellStyle name="Moneda 3" xfId="97" xr:uid="{00000000-0005-0000-0000-000067000000}"/>
    <cellStyle name="Moneda 3 2" xfId="98" xr:uid="{00000000-0005-0000-0000-000068000000}"/>
    <cellStyle name="Moneda 4" xfId="99" xr:uid="{00000000-0005-0000-0000-000069000000}"/>
    <cellStyle name="Moneda 5" xfId="100" xr:uid="{00000000-0005-0000-0000-00006A000000}"/>
    <cellStyle name="Moneda 5 2" xfId="101" xr:uid="{00000000-0005-0000-0000-00006B000000}"/>
    <cellStyle name="Moneda 5 3" xfId="102" xr:uid="{00000000-0005-0000-0000-00006C000000}"/>
    <cellStyle name="Moneda 6" xfId="103" xr:uid="{00000000-0005-0000-0000-00006D000000}"/>
    <cellStyle name="Moneda 7" xfId="104" xr:uid="{00000000-0005-0000-0000-00006E000000}"/>
    <cellStyle name="Moneda 8" xfId="105" xr:uid="{00000000-0005-0000-0000-00006F000000}"/>
    <cellStyle name="Moneda 9" xfId="136" xr:uid="{00000000-0005-0000-0000-000070000000}"/>
    <cellStyle name="Moneda0" xfId="106" xr:uid="{00000000-0005-0000-0000-000071000000}"/>
    <cellStyle name="Moneda0 2" xfId="149" xr:uid="{00000000-0005-0000-0000-000072000000}"/>
    <cellStyle name="Neutral" xfId="9" builtinId="28" customBuiltin="1"/>
    <cellStyle name="Normal" xfId="0" builtinId="0"/>
    <cellStyle name="Normal 2" xfId="42" xr:uid="{00000000-0005-0000-0000-000075000000}"/>
    <cellStyle name="Normal 2 2" xfId="43" xr:uid="{00000000-0005-0000-0000-000076000000}"/>
    <cellStyle name="Normal 2 2 2" xfId="138" xr:uid="{00000000-0005-0000-0000-000077000000}"/>
    <cellStyle name="Normal 2 2 2 2" xfId="140" xr:uid="{00000000-0005-0000-0000-000078000000}"/>
    <cellStyle name="Normal 3" xfId="107" xr:uid="{00000000-0005-0000-0000-000079000000}"/>
    <cellStyle name="Normal 3 2" xfId="108" xr:uid="{00000000-0005-0000-0000-00007A000000}"/>
    <cellStyle name="Normal 3 3" xfId="109" xr:uid="{00000000-0005-0000-0000-00007B000000}"/>
    <cellStyle name="Normal 4" xfId="110" xr:uid="{00000000-0005-0000-0000-00007C000000}"/>
    <cellStyle name="Normal 5" xfId="111" xr:uid="{00000000-0005-0000-0000-00007D000000}"/>
    <cellStyle name="Normal 50" xfId="112" xr:uid="{00000000-0005-0000-0000-00007E000000}"/>
    <cellStyle name="Normal 6" xfId="113" xr:uid="{00000000-0005-0000-0000-00007F000000}"/>
    <cellStyle name="Normal 7" xfId="114" xr:uid="{00000000-0005-0000-0000-000080000000}"/>
    <cellStyle name="Normal 8" xfId="115" xr:uid="{00000000-0005-0000-0000-000081000000}"/>
    <cellStyle name="Normal 9" xfId="135" xr:uid="{00000000-0005-0000-0000-000082000000}"/>
    <cellStyle name="Normal_APUS-HEYMOCOL 2" xfId="131" xr:uid="{00000000-0005-0000-0000-000083000000}"/>
    <cellStyle name="Normal_Hoja1" xfId="130" xr:uid="{00000000-0005-0000-0000-000084000000}"/>
    <cellStyle name="Notas 2" xfId="73" xr:uid="{00000000-0005-0000-0000-000085000000}"/>
    <cellStyle name="Percent" xfId="116" xr:uid="{00000000-0005-0000-0000-000086000000}"/>
    <cellStyle name="Pesos" xfId="117" xr:uid="{00000000-0005-0000-0000-000087000000}"/>
    <cellStyle name="Porcentaje" xfId="134" builtinId="5"/>
    <cellStyle name="Porcentaje 3" xfId="141" xr:uid="{00000000-0005-0000-0000-000089000000}"/>
    <cellStyle name="Porcentual 2" xfId="118" xr:uid="{00000000-0005-0000-0000-00008A000000}"/>
    <cellStyle name="Porcentual 2 2" xfId="119" xr:uid="{00000000-0005-0000-0000-00008B000000}"/>
    <cellStyle name="Porcentual 2 3" xfId="120" xr:uid="{00000000-0005-0000-0000-00008C000000}"/>
    <cellStyle name="Porcentual 3" xfId="121" xr:uid="{00000000-0005-0000-0000-00008D000000}"/>
    <cellStyle name="Porcentual 4" xfId="122" xr:uid="{00000000-0005-0000-0000-00008E000000}"/>
    <cellStyle name="Porcentual 4 2" xfId="123" xr:uid="{00000000-0005-0000-0000-00008F000000}"/>
    <cellStyle name="Porcentual 5" xfId="124" xr:uid="{00000000-0005-0000-0000-000090000000}"/>
    <cellStyle name="Porcentual 5 2" xfId="125" xr:uid="{00000000-0005-0000-0000-000091000000}"/>
    <cellStyle name="Porcentual 6" xfId="126" xr:uid="{00000000-0005-0000-0000-000092000000}"/>
    <cellStyle name="Porcentual 6 2" xfId="127" xr:uid="{00000000-0005-0000-0000-000093000000}"/>
    <cellStyle name="Porcentual 7" xfId="128" xr:uid="{00000000-0005-0000-0000-000094000000}"/>
    <cellStyle name="Punto0" xfId="129" xr:uid="{00000000-0005-0000-0000-000095000000}"/>
    <cellStyle name="Salida" xfId="11" builtinId="21" customBuiltin="1"/>
    <cellStyle name="Texto de advertencia" xfId="15" builtinId="11" customBuiltin="1"/>
    <cellStyle name="Texto explicativo" xfId="16" builtinId="53" customBuiltin="1"/>
    <cellStyle name="Título" xfId="2" builtinId="15" customBuiltin="1"/>
    <cellStyle name="Título 2" xfId="4" builtinId="17" customBuiltin="1"/>
    <cellStyle name="Título 3" xfId="5" builtinId="18" customBuiltin="1"/>
    <cellStyle name="Total" xfId="17" builtinId="25" customBuiltin="1"/>
  </cellStyles>
  <dxfs count="142">
    <dxf>
      <fill>
        <patternFill>
          <bgColor rgb="FFFF0000"/>
        </patternFill>
      </fill>
    </dxf>
    <dxf>
      <border>
        <left style="thin">
          <color indexed="64"/>
        </left>
        <right style="thin">
          <color indexed="64"/>
        </right>
        <top style="thin">
          <color indexed="64"/>
        </top>
        <bottom style="thin">
          <color indexed="64"/>
        </bottom>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hair">
          <color indexed="64"/>
        </left>
        <right style="hair">
          <color indexed="64"/>
        </right>
        <top style="hair">
          <color indexed="64"/>
        </top>
        <bottom style="hair">
          <color indexed="64"/>
        </bottom>
      </border>
    </dxf>
    <dxf>
      <border>
        <left style="thin">
          <color indexed="64"/>
        </left>
        <right style="thin">
          <color indexed="64"/>
        </right>
        <top style="thin">
          <color indexed="64"/>
        </top>
        <bottom style="thin">
          <color indexed="64"/>
        </bottom>
      </border>
    </dxf>
    <dxf>
      <fill>
        <patternFill>
          <bgColor rgb="FFFF0000"/>
        </patternFill>
      </fill>
    </dxf>
    <dxf>
      <border>
        <left style="thin">
          <color indexed="64"/>
        </left>
        <right style="thin">
          <color indexed="64"/>
        </right>
        <top style="thin">
          <color indexed="64"/>
        </top>
        <bottom style="thin">
          <color indexed="64"/>
        </bottom>
      </border>
    </dxf>
  </dxfs>
  <tableStyles count="0" defaultTableStyle="TableStyleMedium9" defaultPivotStyle="PivotStyleLight16"/>
  <colors>
    <mruColors>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7.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2</xdr:col>
      <xdr:colOff>44823</xdr:colOff>
      <xdr:row>220</xdr:row>
      <xdr:rowOff>89648</xdr:rowOff>
    </xdr:from>
    <xdr:to>
      <xdr:col>4</xdr:col>
      <xdr:colOff>837773</xdr:colOff>
      <xdr:row>223</xdr:row>
      <xdr:rowOff>202171</xdr:rowOff>
    </xdr:to>
    <xdr:pic>
      <xdr:nvPicPr>
        <xdr:cNvPr id="4" name="1 Imagen">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694764" y="11116236"/>
          <a:ext cx="2267644" cy="818494"/>
        </a:xfrm>
        <a:prstGeom prst="rect">
          <a:avLst/>
        </a:prstGeom>
      </xdr:spPr>
    </xdr:pic>
    <xdr:clientData/>
  </xdr:twoCellAnchor>
  <xdr:twoCellAnchor editAs="oneCell">
    <xdr:from>
      <xdr:col>2</xdr:col>
      <xdr:colOff>333375</xdr:colOff>
      <xdr:row>1</xdr:row>
      <xdr:rowOff>45590</xdr:rowOff>
    </xdr:from>
    <xdr:to>
      <xdr:col>4</xdr:col>
      <xdr:colOff>285750</xdr:colOff>
      <xdr:row>4</xdr:row>
      <xdr:rowOff>148933</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988219" y="247996"/>
          <a:ext cx="1428750" cy="11034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4319</xdr:row>
          <xdr:rowOff>0</xdr:rowOff>
        </xdr:from>
        <xdr:to>
          <xdr:col>2</xdr:col>
          <xdr:colOff>63500</xdr:colOff>
          <xdr:row>4320</xdr:row>
          <xdr:rowOff>63500</xdr:rowOff>
        </xdr:to>
        <xdr:sp macro="" textlink="">
          <xdr:nvSpPr>
            <xdr:cNvPr id="2051" name="Tempcombo"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66676</xdr:colOff>
      <xdr:row>2</xdr:row>
      <xdr:rowOff>28574</xdr:rowOff>
    </xdr:from>
    <xdr:to>
      <xdr:col>0</xdr:col>
      <xdr:colOff>1099834</xdr:colOff>
      <xdr:row>4</xdr:row>
      <xdr:rowOff>205617</xdr:rowOff>
    </xdr:to>
    <xdr:pic>
      <xdr:nvPicPr>
        <xdr:cNvPr id="124" name="Imagen 123">
          <a:extLst>
            <a:ext uri="{FF2B5EF4-FFF2-40B4-BE49-F238E27FC236}">
              <a16:creationId xmlns:a16="http://schemas.microsoft.com/office/drawing/2014/main" id="{00000000-0008-0000-0300-00007C000000}"/>
            </a:ext>
          </a:extLst>
        </xdr:cNvPr>
        <xdr:cNvPicPr>
          <a:picLocks noChangeAspect="1"/>
        </xdr:cNvPicPr>
      </xdr:nvPicPr>
      <xdr:blipFill>
        <a:blip xmlns:r="http://schemas.openxmlformats.org/officeDocument/2006/relationships" r:embed="rId1"/>
        <a:stretch>
          <a:fillRect/>
        </a:stretch>
      </xdr:blipFill>
      <xdr:spPr>
        <a:xfrm>
          <a:off x="66676" y="447674"/>
          <a:ext cx="1033158" cy="577093"/>
        </a:xfrm>
        <a:prstGeom prst="rect">
          <a:avLst/>
        </a:prstGeom>
      </xdr:spPr>
    </xdr:pic>
    <xdr:clientData/>
  </xdr:twoCellAnchor>
  <xdr:oneCellAnchor>
    <xdr:from>
      <xdr:col>0</xdr:col>
      <xdr:colOff>66676</xdr:colOff>
      <xdr:row>54</xdr:row>
      <xdr:rowOff>28574</xdr:rowOff>
    </xdr:from>
    <xdr:ext cx="1033158" cy="577093"/>
    <xdr:pic>
      <xdr:nvPicPr>
        <xdr:cNvPr id="125" name="Imagen 124">
          <a:extLst>
            <a:ext uri="{FF2B5EF4-FFF2-40B4-BE49-F238E27FC236}">
              <a16:creationId xmlns:a16="http://schemas.microsoft.com/office/drawing/2014/main" id="{00000000-0008-0000-0300-00007D000000}"/>
            </a:ext>
          </a:extLst>
        </xdr:cNvPr>
        <xdr:cNvPicPr>
          <a:picLocks noChangeAspect="1"/>
        </xdr:cNvPicPr>
      </xdr:nvPicPr>
      <xdr:blipFill>
        <a:blip xmlns:r="http://schemas.openxmlformats.org/officeDocument/2006/relationships" r:embed="rId1"/>
        <a:stretch>
          <a:fillRect/>
        </a:stretch>
      </xdr:blipFill>
      <xdr:spPr>
        <a:xfrm>
          <a:off x="66676" y="447674"/>
          <a:ext cx="1033158" cy="577093"/>
        </a:xfrm>
        <a:prstGeom prst="rect">
          <a:avLst/>
        </a:prstGeom>
      </xdr:spPr>
    </xdr:pic>
    <xdr:clientData/>
  </xdr:oneCellAnchor>
  <xdr:oneCellAnchor>
    <xdr:from>
      <xdr:col>0</xdr:col>
      <xdr:colOff>66676</xdr:colOff>
      <xdr:row>105</xdr:row>
      <xdr:rowOff>28574</xdr:rowOff>
    </xdr:from>
    <xdr:ext cx="1033158" cy="577093"/>
    <xdr:pic>
      <xdr:nvPicPr>
        <xdr:cNvPr id="126" name="Imagen 125">
          <a:extLst>
            <a:ext uri="{FF2B5EF4-FFF2-40B4-BE49-F238E27FC236}">
              <a16:creationId xmlns:a16="http://schemas.microsoft.com/office/drawing/2014/main" id="{00000000-0008-0000-0300-00007E000000}"/>
            </a:ext>
          </a:extLst>
        </xdr:cNvPr>
        <xdr:cNvPicPr>
          <a:picLocks noChangeAspect="1"/>
        </xdr:cNvPicPr>
      </xdr:nvPicPr>
      <xdr:blipFill>
        <a:blip xmlns:r="http://schemas.openxmlformats.org/officeDocument/2006/relationships" r:embed="rId1"/>
        <a:stretch>
          <a:fillRect/>
        </a:stretch>
      </xdr:blipFill>
      <xdr:spPr>
        <a:xfrm>
          <a:off x="66676" y="12077699"/>
          <a:ext cx="1033158" cy="577093"/>
        </a:xfrm>
        <a:prstGeom prst="rect">
          <a:avLst/>
        </a:prstGeom>
      </xdr:spPr>
    </xdr:pic>
    <xdr:clientData/>
  </xdr:oneCellAnchor>
  <xdr:oneCellAnchor>
    <xdr:from>
      <xdr:col>0</xdr:col>
      <xdr:colOff>66676</xdr:colOff>
      <xdr:row>156</xdr:row>
      <xdr:rowOff>28574</xdr:rowOff>
    </xdr:from>
    <xdr:ext cx="1033158" cy="577093"/>
    <xdr:pic>
      <xdr:nvPicPr>
        <xdr:cNvPr id="127" name="Imagen 126">
          <a:extLst>
            <a:ext uri="{FF2B5EF4-FFF2-40B4-BE49-F238E27FC236}">
              <a16:creationId xmlns:a16="http://schemas.microsoft.com/office/drawing/2014/main" id="{00000000-0008-0000-0300-00007F000000}"/>
            </a:ext>
          </a:extLst>
        </xdr:cNvPr>
        <xdr:cNvPicPr>
          <a:picLocks noChangeAspect="1"/>
        </xdr:cNvPicPr>
      </xdr:nvPicPr>
      <xdr:blipFill>
        <a:blip xmlns:r="http://schemas.openxmlformats.org/officeDocument/2006/relationships" r:embed="rId1"/>
        <a:stretch>
          <a:fillRect/>
        </a:stretch>
      </xdr:blipFill>
      <xdr:spPr>
        <a:xfrm>
          <a:off x="66676" y="23498174"/>
          <a:ext cx="1033158" cy="577093"/>
        </a:xfrm>
        <a:prstGeom prst="rect">
          <a:avLst/>
        </a:prstGeom>
      </xdr:spPr>
    </xdr:pic>
    <xdr:clientData/>
  </xdr:oneCellAnchor>
  <xdr:oneCellAnchor>
    <xdr:from>
      <xdr:col>0</xdr:col>
      <xdr:colOff>66676</xdr:colOff>
      <xdr:row>207</xdr:row>
      <xdr:rowOff>28574</xdr:rowOff>
    </xdr:from>
    <xdr:ext cx="1033158" cy="577093"/>
    <xdr:pic>
      <xdr:nvPicPr>
        <xdr:cNvPr id="128" name="Imagen 127">
          <a:extLst>
            <a:ext uri="{FF2B5EF4-FFF2-40B4-BE49-F238E27FC236}">
              <a16:creationId xmlns:a16="http://schemas.microsoft.com/office/drawing/2014/main" id="{00000000-0008-0000-0300-000080000000}"/>
            </a:ext>
          </a:extLst>
        </xdr:cNvPr>
        <xdr:cNvPicPr>
          <a:picLocks noChangeAspect="1"/>
        </xdr:cNvPicPr>
      </xdr:nvPicPr>
      <xdr:blipFill>
        <a:blip xmlns:r="http://schemas.openxmlformats.org/officeDocument/2006/relationships" r:embed="rId1"/>
        <a:stretch>
          <a:fillRect/>
        </a:stretch>
      </xdr:blipFill>
      <xdr:spPr>
        <a:xfrm>
          <a:off x="66676" y="34918649"/>
          <a:ext cx="1033158" cy="577093"/>
        </a:xfrm>
        <a:prstGeom prst="rect">
          <a:avLst/>
        </a:prstGeom>
      </xdr:spPr>
    </xdr:pic>
    <xdr:clientData/>
  </xdr:oneCellAnchor>
  <xdr:oneCellAnchor>
    <xdr:from>
      <xdr:col>0</xdr:col>
      <xdr:colOff>66676</xdr:colOff>
      <xdr:row>258</xdr:row>
      <xdr:rowOff>28574</xdr:rowOff>
    </xdr:from>
    <xdr:ext cx="1033158" cy="577093"/>
    <xdr:pic>
      <xdr:nvPicPr>
        <xdr:cNvPr id="129" name="Imagen 128">
          <a:extLst>
            <a:ext uri="{FF2B5EF4-FFF2-40B4-BE49-F238E27FC236}">
              <a16:creationId xmlns:a16="http://schemas.microsoft.com/office/drawing/2014/main" id="{00000000-0008-0000-0300-000081000000}"/>
            </a:ext>
          </a:extLst>
        </xdr:cNvPr>
        <xdr:cNvPicPr>
          <a:picLocks noChangeAspect="1"/>
        </xdr:cNvPicPr>
      </xdr:nvPicPr>
      <xdr:blipFill>
        <a:blip xmlns:r="http://schemas.openxmlformats.org/officeDocument/2006/relationships" r:embed="rId1"/>
        <a:stretch>
          <a:fillRect/>
        </a:stretch>
      </xdr:blipFill>
      <xdr:spPr>
        <a:xfrm>
          <a:off x="66676" y="46339124"/>
          <a:ext cx="1033158" cy="577093"/>
        </a:xfrm>
        <a:prstGeom prst="rect">
          <a:avLst/>
        </a:prstGeom>
      </xdr:spPr>
    </xdr:pic>
    <xdr:clientData/>
  </xdr:oneCellAnchor>
  <xdr:oneCellAnchor>
    <xdr:from>
      <xdr:col>0</xdr:col>
      <xdr:colOff>66676</xdr:colOff>
      <xdr:row>309</xdr:row>
      <xdr:rowOff>28574</xdr:rowOff>
    </xdr:from>
    <xdr:ext cx="1033158" cy="577093"/>
    <xdr:pic>
      <xdr:nvPicPr>
        <xdr:cNvPr id="130" name="Imagen 129">
          <a:extLst>
            <a:ext uri="{FF2B5EF4-FFF2-40B4-BE49-F238E27FC236}">
              <a16:creationId xmlns:a16="http://schemas.microsoft.com/office/drawing/2014/main" id="{00000000-0008-0000-0300-000082000000}"/>
            </a:ext>
          </a:extLst>
        </xdr:cNvPr>
        <xdr:cNvPicPr>
          <a:picLocks noChangeAspect="1"/>
        </xdr:cNvPicPr>
      </xdr:nvPicPr>
      <xdr:blipFill>
        <a:blip xmlns:r="http://schemas.openxmlformats.org/officeDocument/2006/relationships" r:embed="rId1"/>
        <a:stretch>
          <a:fillRect/>
        </a:stretch>
      </xdr:blipFill>
      <xdr:spPr>
        <a:xfrm>
          <a:off x="66676" y="57759599"/>
          <a:ext cx="1033158" cy="577093"/>
        </a:xfrm>
        <a:prstGeom prst="rect">
          <a:avLst/>
        </a:prstGeom>
      </xdr:spPr>
    </xdr:pic>
    <xdr:clientData/>
  </xdr:oneCellAnchor>
  <xdr:oneCellAnchor>
    <xdr:from>
      <xdr:col>0</xdr:col>
      <xdr:colOff>66676</xdr:colOff>
      <xdr:row>360</xdr:row>
      <xdr:rowOff>28574</xdr:rowOff>
    </xdr:from>
    <xdr:ext cx="1033158" cy="577093"/>
    <xdr:pic>
      <xdr:nvPicPr>
        <xdr:cNvPr id="131" name="Imagen 130">
          <a:extLst>
            <a:ext uri="{FF2B5EF4-FFF2-40B4-BE49-F238E27FC236}">
              <a16:creationId xmlns:a16="http://schemas.microsoft.com/office/drawing/2014/main" id="{00000000-0008-0000-0300-000083000000}"/>
            </a:ext>
          </a:extLst>
        </xdr:cNvPr>
        <xdr:cNvPicPr>
          <a:picLocks noChangeAspect="1"/>
        </xdr:cNvPicPr>
      </xdr:nvPicPr>
      <xdr:blipFill>
        <a:blip xmlns:r="http://schemas.openxmlformats.org/officeDocument/2006/relationships" r:embed="rId1"/>
        <a:stretch>
          <a:fillRect/>
        </a:stretch>
      </xdr:blipFill>
      <xdr:spPr>
        <a:xfrm>
          <a:off x="66676" y="69180074"/>
          <a:ext cx="1033158" cy="577093"/>
        </a:xfrm>
        <a:prstGeom prst="rect">
          <a:avLst/>
        </a:prstGeom>
      </xdr:spPr>
    </xdr:pic>
    <xdr:clientData/>
  </xdr:oneCellAnchor>
  <xdr:oneCellAnchor>
    <xdr:from>
      <xdr:col>0</xdr:col>
      <xdr:colOff>66676</xdr:colOff>
      <xdr:row>411</xdr:row>
      <xdr:rowOff>28574</xdr:rowOff>
    </xdr:from>
    <xdr:ext cx="1033158" cy="577093"/>
    <xdr:pic>
      <xdr:nvPicPr>
        <xdr:cNvPr id="132" name="Imagen 131">
          <a:extLst>
            <a:ext uri="{FF2B5EF4-FFF2-40B4-BE49-F238E27FC236}">
              <a16:creationId xmlns:a16="http://schemas.microsoft.com/office/drawing/2014/main" id="{00000000-0008-0000-0300-000084000000}"/>
            </a:ext>
          </a:extLst>
        </xdr:cNvPr>
        <xdr:cNvPicPr>
          <a:picLocks noChangeAspect="1"/>
        </xdr:cNvPicPr>
      </xdr:nvPicPr>
      <xdr:blipFill>
        <a:blip xmlns:r="http://schemas.openxmlformats.org/officeDocument/2006/relationships" r:embed="rId1"/>
        <a:stretch>
          <a:fillRect/>
        </a:stretch>
      </xdr:blipFill>
      <xdr:spPr>
        <a:xfrm>
          <a:off x="66676" y="80600549"/>
          <a:ext cx="1033158" cy="577093"/>
        </a:xfrm>
        <a:prstGeom prst="rect">
          <a:avLst/>
        </a:prstGeom>
      </xdr:spPr>
    </xdr:pic>
    <xdr:clientData/>
  </xdr:oneCellAnchor>
  <xdr:oneCellAnchor>
    <xdr:from>
      <xdr:col>0</xdr:col>
      <xdr:colOff>66676</xdr:colOff>
      <xdr:row>462</xdr:row>
      <xdr:rowOff>28574</xdr:rowOff>
    </xdr:from>
    <xdr:ext cx="1033158" cy="577093"/>
    <xdr:pic>
      <xdr:nvPicPr>
        <xdr:cNvPr id="133" name="Imagen 132">
          <a:extLst>
            <a:ext uri="{FF2B5EF4-FFF2-40B4-BE49-F238E27FC236}">
              <a16:creationId xmlns:a16="http://schemas.microsoft.com/office/drawing/2014/main" id="{00000000-0008-0000-0300-000085000000}"/>
            </a:ext>
          </a:extLst>
        </xdr:cNvPr>
        <xdr:cNvPicPr>
          <a:picLocks noChangeAspect="1"/>
        </xdr:cNvPicPr>
      </xdr:nvPicPr>
      <xdr:blipFill>
        <a:blip xmlns:r="http://schemas.openxmlformats.org/officeDocument/2006/relationships" r:embed="rId1"/>
        <a:stretch>
          <a:fillRect/>
        </a:stretch>
      </xdr:blipFill>
      <xdr:spPr>
        <a:xfrm>
          <a:off x="66676" y="92021024"/>
          <a:ext cx="1033158" cy="577093"/>
        </a:xfrm>
        <a:prstGeom prst="rect">
          <a:avLst/>
        </a:prstGeom>
      </xdr:spPr>
    </xdr:pic>
    <xdr:clientData/>
  </xdr:oneCellAnchor>
  <xdr:oneCellAnchor>
    <xdr:from>
      <xdr:col>0</xdr:col>
      <xdr:colOff>66676</xdr:colOff>
      <xdr:row>4348</xdr:row>
      <xdr:rowOff>28574</xdr:rowOff>
    </xdr:from>
    <xdr:ext cx="1033158" cy="577093"/>
    <xdr:pic>
      <xdr:nvPicPr>
        <xdr:cNvPr id="134" name="Imagen 133">
          <a:extLst>
            <a:ext uri="{FF2B5EF4-FFF2-40B4-BE49-F238E27FC236}">
              <a16:creationId xmlns:a16="http://schemas.microsoft.com/office/drawing/2014/main" id="{00000000-0008-0000-0300-000086000000}"/>
            </a:ext>
          </a:extLst>
        </xdr:cNvPr>
        <xdr:cNvPicPr>
          <a:picLocks noChangeAspect="1"/>
        </xdr:cNvPicPr>
      </xdr:nvPicPr>
      <xdr:blipFill>
        <a:blip xmlns:r="http://schemas.openxmlformats.org/officeDocument/2006/relationships" r:embed="rId1"/>
        <a:stretch>
          <a:fillRect/>
        </a:stretch>
      </xdr:blipFill>
      <xdr:spPr>
        <a:xfrm>
          <a:off x="66676" y="103441499"/>
          <a:ext cx="1033158" cy="577093"/>
        </a:xfrm>
        <a:prstGeom prst="rect">
          <a:avLst/>
        </a:prstGeom>
      </xdr:spPr>
    </xdr:pic>
    <xdr:clientData/>
  </xdr:oneCellAnchor>
  <xdr:oneCellAnchor>
    <xdr:from>
      <xdr:col>0</xdr:col>
      <xdr:colOff>66676</xdr:colOff>
      <xdr:row>4399</xdr:row>
      <xdr:rowOff>28574</xdr:rowOff>
    </xdr:from>
    <xdr:ext cx="1033158" cy="577093"/>
    <xdr:pic>
      <xdr:nvPicPr>
        <xdr:cNvPr id="135" name="Imagen 134">
          <a:extLst>
            <a:ext uri="{FF2B5EF4-FFF2-40B4-BE49-F238E27FC236}">
              <a16:creationId xmlns:a16="http://schemas.microsoft.com/office/drawing/2014/main" id="{00000000-0008-0000-0300-000087000000}"/>
            </a:ext>
          </a:extLst>
        </xdr:cNvPr>
        <xdr:cNvPicPr>
          <a:picLocks noChangeAspect="1"/>
        </xdr:cNvPicPr>
      </xdr:nvPicPr>
      <xdr:blipFill>
        <a:blip xmlns:r="http://schemas.openxmlformats.org/officeDocument/2006/relationships" r:embed="rId1"/>
        <a:stretch>
          <a:fillRect/>
        </a:stretch>
      </xdr:blipFill>
      <xdr:spPr>
        <a:xfrm>
          <a:off x="66676" y="114861974"/>
          <a:ext cx="1033158" cy="577093"/>
        </a:xfrm>
        <a:prstGeom prst="rect">
          <a:avLst/>
        </a:prstGeom>
      </xdr:spPr>
    </xdr:pic>
    <xdr:clientData/>
  </xdr:oneCellAnchor>
  <xdr:oneCellAnchor>
    <xdr:from>
      <xdr:col>0</xdr:col>
      <xdr:colOff>66676</xdr:colOff>
      <xdr:row>4450</xdr:row>
      <xdr:rowOff>28574</xdr:rowOff>
    </xdr:from>
    <xdr:ext cx="1033158" cy="577093"/>
    <xdr:pic>
      <xdr:nvPicPr>
        <xdr:cNvPr id="136" name="Imagen 135">
          <a:extLst>
            <a:ext uri="{FF2B5EF4-FFF2-40B4-BE49-F238E27FC236}">
              <a16:creationId xmlns:a16="http://schemas.microsoft.com/office/drawing/2014/main" id="{00000000-0008-0000-0300-000088000000}"/>
            </a:ext>
          </a:extLst>
        </xdr:cNvPr>
        <xdr:cNvPicPr>
          <a:picLocks noChangeAspect="1"/>
        </xdr:cNvPicPr>
      </xdr:nvPicPr>
      <xdr:blipFill>
        <a:blip xmlns:r="http://schemas.openxmlformats.org/officeDocument/2006/relationships" r:embed="rId1"/>
        <a:stretch>
          <a:fillRect/>
        </a:stretch>
      </xdr:blipFill>
      <xdr:spPr>
        <a:xfrm>
          <a:off x="66676" y="126282449"/>
          <a:ext cx="1033158" cy="577093"/>
        </a:xfrm>
        <a:prstGeom prst="rect">
          <a:avLst/>
        </a:prstGeom>
      </xdr:spPr>
    </xdr:pic>
    <xdr:clientData/>
  </xdr:oneCellAnchor>
  <xdr:oneCellAnchor>
    <xdr:from>
      <xdr:col>0</xdr:col>
      <xdr:colOff>66676</xdr:colOff>
      <xdr:row>514</xdr:row>
      <xdr:rowOff>28574</xdr:rowOff>
    </xdr:from>
    <xdr:ext cx="1033158" cy="577093"/>
    <xdr:pic>
      <xdr:nvPicPr>
        <xdr:cNvPr id="16" name="Imagen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1"/>
        <a:stretch>
          <a:fillRect/>
        </a:stretch>
      </xdr:blipFill>
      <xdr:spPr>
        <a:xfrm>
          <a:off x="66676" y="103441499"/>
          <a:ext cx="1033158" cy="577093"/>
        </a:xfrm>
        <a:prstGeom prst="rect">
          <a:avLst/>
        </a:prstGeom>
      </xdr:spPr>
    </xdr:pic>
    <xdr:clientData/>
  </xdr:oneCellAnchor>
  <xdr:oneCellAnchor>
    <xdr:from>
      <xdr:col>0</xdr:col>
      <xdr:colOff>66676</xdr:colOff>
      <xdr:row>565</xdr:row>
      <xdr:rowOff>28574</xdr:rowOff>
    </xdr:from>
    <xdr:ext cx="1033158" cy="577093"/>
    <xdr:pic>
      <xdr:nvPicPr>
        <xdr:cNvPr id="17" name="Imagen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1"/>
        <a:stretch>
          <a:fillRect/>
        </a:stretch>
      </xdr:blipFill>
      <xdr:spPr>
        <a:xfrm>
          <a:off x="66676" y="115052474"/>
          <a:ext cx="1033158" cy="577093"/>
        </a:xfrm>
        <a:prstGeom prst="rect">
          <a:avLst/>
        </a:prstGeom>
      </xdr:spPr>
    </xdr:pic>
    <xdr:clientData/>
  </xdr:oneCellAnchor>
  <xdr:oneCellAnchor>
    <xdr:from>
      <xdr:col>0</xdr:col>
      <xdr:colOff>66676</xdr:colOff>
      <xdr:row>616</xdr:row>
      <xdr:rowOff>28574</xdr:rowOff>
    </xdr:from>
    <xdr:ext cx="1033158" cy="577093"/>
    <xdr:pic>
      <xdr:nvPicPr>
        <xdr:cNvPr id="18" name="Imagen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1"/>
        <a:stretch>
          <a:fillRect/>
        </a:stretch>
      </xdr:blipFill>
      <xdr:spPr>
        <a:xfrm>
          <a:off x="66676" y="126472949"/>
          <a:ext cx="1033158" cy="577093"/>
        </a:xfrm>
        <a:prstGeom prst="rect">
          <a:avLst/>
        </a:prstGeom>
      </xdr:spPr>
    </xdr:pic>
    <xdr:clientData/>
  </xdr:oneCellAnchor>
  <xdr:oneCellAnchor>
    <xdr:from>
      <xdr:col>0</xdr:col>
      <xdr:colOff>66676</xdr:colOff>
      <xdr:row>667</xdr:row>
      <xdr:rowOff>28574</xdr:rowOff>
    </xdr:from>
    <xdr:ext cx="1033158" cy="577093"/>
    <xdr:pic>
      <xdr:nvPicPr>
        <xdr:cNvPr id="19" name="Imagen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66676" y="137893424"/>
          <a:ext cx="1033158" cy="577093"/>
        </a:xfrm>
        <a:prstGeom prst="rect">
          <a:avLst/>
        </a:prstGeom>
      </xdr:spPr>
    </xdr:pic>
    <xdr:clientData/>
  </xdr:oneCellAnchor>
  <xdr:oneCellAnchor>
    <xdr:from>
      <xdr:col>0</xdr:col>
      <xdr:colOff>66676</xdr:colOff>
      <xdr:row>718</xdr:row>
      <xdr:rowOff>28574</xdr:rowOff>
    </xdr:from>
    <xdr:ext cx="1033158" cy="577093"/>
    <xdr:pic>
      <xdr:nvPicPr>
        <xdr:cNvPr id="20" name="Imagen 19">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1"/>
        <a:stretch>
          <a:fillRect/>
        </a:stretch>
      </xdr:blipFill>
      <xdr:spPr>
        <a:xfrm>
          <a:off x="66676" y="149313899"/>
          <a:ext cx="1033158" cy="577093"/>
        </a:xfrm>
        <a:prstGeom prst="rect">
          <a:avLst/>
        </a:prstGeom>
      </xdr:spPr>
    </xdr:pic>
    <xdr:clientData/>
  </xdr:oneCellAnchor>
  <xdr:oneCellAnchor>
    <xdr:from>
      <xdr:col>0</xdr:col>
      <xdr:colOff>66676</xdr:colOff>
      <xdr:row>769</xdr:row>
      <xdr:rowOff>28574</xdr:rowOff>
    </xdr:from>
    <xdr:ext cx="1033158" cy="577093"/>
    <xdr:pic>
      <xdr:nvPicPr>
        <xdr:cNvPr id="21" name="Imagen 20">
          <a:extLst>
            <a:ext uri="{FF2B5EF4-FFF2-40B4-BE49-F238E27FC236}">
              <a16:creationId xmlns:a16="http://schemas.microsoft.com/office/drawing/2014/main" id="{00000000-0008-0000-0300-000015000000}"/>
            </a:ext>
          </a:extLst>
        </xdr:cNvPr>
        <xdr:cNvPicPr>
          <a:picLocks noChangeAspect="1"/>
        </xdr:cNvPicPr>
      </xdr:nvPicPr>
      <xdr:blipFill>
        <a:blip xmlns:r="http://schemas.openxmlformats.org/officeDocument/2006/relationships" r:embed="rId1"/>
        <a:stretch>
          <a:fillRect/>
        </a:stretch>
      </xdr:blipFill>
      <xdr:spPr>
        <a:xfrm>
          <a:off x="66676" y="160734374"/>
          <a:ext cx="1033158" cy="577093"/>
        </a:xfrm>
        <a:prstGeom prst="rect">
          <a:avLst/>
        </a:prstGeom>
      </xdr:spPr>
    </xdr:pic>
    <xdr:clientData/>
  </xdr:oneCellAnchor>
  <xdr:oneCellAnchor>
    <xdr:from>
      <xdr:col>0</xdr:col>
      <xdr:colOff>66676</xdr:colOff>
      <xdr:row>4501</xdr:row>
      <xdr:rowOff>28574</xdr:rowOff>
    </xdr:from>
    <xdr:ext cx="1033158" cy="577093"/>
    <xdr:pic>
      <xdr:nvPicPr>
        <xdr:cNvPr id="22" name="Imagen 21">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1"/>
        <a:stretch>
          <a:fillRect/>
        </a:stretch>
      </xdr:blipFill>
      <xdr:spPr>
        <a:xfrm>
          <a:off x="66676" y="206797274"/>
          <a:ext cx="1033158" cy="577093"/>
        </a:xfrm>
        <a:prstGeom prst="rect">
          <a:avLst/>
        </a:prstGeom>
      </xdr:spPr>
    </xdr:pic>
    <xdr:clientData/>
  </xdr:oneCellAnchor>
  <xdr:oneCellAnchor>
    <xdr:from>
      <xdr:col>0</xdr:col>
      <xdr:colOff>66676</xdr:colOff>
      <xdr:row>4552</xdr:row>
      <xdr:rowOff>28574</xdr:rowOff>
    </xdr:from>
    <xdr:ext cx="1033158" cy="577093"/>
    <xdr:pic>
      <xdr:nvPicPr>
        <xdr:cNvPr id="23" name="Imagen 22">
          <a:extLst>
            <a:ext uri="{FF2B5EF4-FFF2-40B4-BE49-F238E27FC236}">
              <a16:creationId xmlns:a16="http://schemas.microsoft.com/office/drawing/2014/main" id="{00000000-0008-0000-0300-000017000000}"/>
            </a:ext>
          </a:extLst>
        </xdr:cNvPr>
        <xdr:cNvPicPr>
          <a:picLocks noChangeAspect="1"/>
        </xdr:cNvPicPr>
      </xdr:nvPicPr>
      <xdr:blipFill>
        <a:blip xmlns:r="http://schemas.openxmlformats.org/officeDocument/2006/relationships" r:embed="rId1"/>
        <a:stretch>
          <a:fillRect/>
        </a:stretch>
      </xdr:blipFill>
      <xdr:spPr>
        <a:xfrm>
          <a:off x="66676" y="218217749"/>
          <a:ext cx="1033158" cy="577093"/>
        </a:xfrm>
        <a:prstGeom prst="rect">
          <a:avLst/>
        </a:prstGeom>
      </xdr:spPr>
    </xdr:pic>
    <xdr:clientData/>
  </xdr:oneCellAnchor>
  <xdr:oneCellAnchor>
    <xdr:from>
      <xdr:col>0</xdr:col>
      <xdr:colOff>66676</xdr:colOff>
      <xdr:row>4604</xdr:row>
      <xdr:rowOff>28574</xdr:rowOff>
    </xdr:from>
    <xdr:ext cx="1033158" cy="577093"/>
    <xdr:pic>
      <xdr:nvPicPr>
        <xdr:cNvPr id="25" name="Imagen 24">
          <a:extLst>
            <a:ext uri="{FF2B5EF4-FFF2-40B4-BE49-F238E27FC236}">
              <a16:creationId xmlns:a16="http://schemas.microsoft.com/office/drawing/2014/main" id="{00000000-0008-0000-0300-000019000000}"/>
            </a:ext>
          </a:extLst>
        </xdr:cNvPr>
        <xdr:cNvPicPr>
          <a:picLocks noChangeAspect="1"/>
        </xdr:cNvPicPr>
      </xdr:nvPicPr>
      <xdr:blipFill>
        <a:blip xmlns:r="http://schemas.openxmlformats.org/officeDocument/2006/relationships" r:embed="rId1"/>
        <a:stretch>
          <a:fillRect/>
        </a:stretch>
      </xdr:blipFill>
      <xdr:spPr>
        <a:xfrm>
          <a:off x="66676" y="183956324"/>
          <a:ext cx="1033158" cy="577093"/>
        </a:xfrm>
        <a:prstGeom prst="rect">
          <a:avLst/>
        </a:prstGeom>
      </xdr:spPr>
    </xdr:pic>
    <xdr:clientData/>
  </xdr:oneCellAnchor>
  <xdr:oneCellAnchor>
    <xdr:from>
      <xdr:col>0</xdr:col>
      <xdr:colOff>66676</xdr:colOff>
      <xdr:row>5884</xdr:row>
      <xdr:rowOff>28574</xdr:rowOff>
    </xdr:from>
    <xdr:ext cx="1033158" cy="577093"/>
    <xdr:pic>
      <xdr:nvPicPr>
        <xdr:cNvPr id="26" name="Imagen 25">
          <a:extLst>
            <a:ext uri="{FF2B5EF4-FFF2-40B4-BE49-F238E27FC236}">
              <a16:creationId xmlns:a16="http://schemas.microsoft.com/office/drawing/2014/main" id="{00000000-0008-0000-0300-00001A000000}"/>
            </a:ext>
          </a:extLst>
        </xdr:cNvPr>
        <xdr:cNvPicPr>
          <a:picLocks noChangeAspect="1"/>
        </xdr:cNvPicPr>
      </xdr:nvPicPr>
      <xdr:blipFill>
        <a:blip xmlns:r="http://schemas.openxmlformats.org/officeDocument/2006/relationships" r:embed="rId1"/>
        <a:stretch>
          <a:fillRect/>
        </a:stretch>
      </xdr:blipFill>
      <xdr:spPr>
        <a:xfrm>
          <a:off x="66676" y="241249199"/>
          <a:ext cx="1033158" cy="577093"/>
        </a:xfrm>
        <a:prstGeom prst="rect">
          <a:avLst/>
        </a:prstGeom>
      </xdr:spPr>
    </xdr:pic>
    <xdr:clientData/>
  </xdr:oneCellAnchor>
  <xdr:oneCellAnchor>
    <xdr:from>
      <xdr:col>0</xdr:col>
      <xdr:colOff>66676</xdr:colOff>
      <xdr:row>5936</xdr:row>
      <xdr:rowOff>28574</xdr:rowOff>
    </xdr:from>
    <xdr:ext cx="1033158" cy="577093"/>
    <xdr:pic>
      <xdr:nvPicPr>
        <xdr:cNvPr id="27" name="Imagen 26">
          <a:extLst>
            <a:ext uri="{FF2B5EF4-FFF2-40B4-BE49-F238E27FC236}">
              <a16:creationId xmlns:a16="http://schemas.microsoft.com/office/drawing/2014/main" id="{00000000-0008-0000-0300-00001B000000}"/>
            </a:ext>
          </a:extLst>
        </xdr:cNvPr>
        <xdr:cNvPicPr>
          <a:picLocks noChangeAspect="1"/>
        </xdr:cNvPicPr>
      </xdr:nvPicPr>
      <xdr:blipFill>
        <a:blip xmlns:r="http://schemas.openxmlformats.org/officeDocument/2006/relationships" r:embed="rId1"/>
        <a:stretch>
          <a:fillRect/>
        </a:stretch>
      </xdr:blipFill>
      <xdr:spPr>
        <a:xfrm>
          <a:off x="66676" y="252669674"/>
          <a:ext cx="1033158" cy="577093"/>
        </a:xfrm>
        <a:prstGeom prst="rect">
          <a:avLst/>
        </a:prstGeom>
      </xdr:spPr>
    </xdr:pic>
    <xdr:clientData/>
  </xdr:oneCellAnchor>
  <xdr:oneCellAnchor>
    <xdr:from>
      <xdr:col>0</xdr:col>
      <xdr:colOff>66676</xdr:colOff>
      <xdr:row>5988</xdr:row>
      <xdr:rowOff>28574</xdr:rowOff>
    </xdr:from>
    <xdr:ext cx="1033158" cy="577093"/>
    <xdr:pic>
      <xdr:nvPicPr>
        <xdr:cNvPr id="28" name="Imagen 27">
          <a:extLst>
            <a:ext uri="{FF2B5EF4-FFF2-40B4-BE49-F238E27FC236}">
              <a16:creationId xmlns:a16="http://schemas.microsoft.com/office/drawing/2014/main" id="{00000000-0008-0000-0300-00001C000000}"/>
            </a:ext>
          </a:extLst>
        </xdr:cNvPr>
        <xdr:cNvPicPr>
          <a:picLocks noChangeAspect="1"/>
        </xdr:cNvPicPr>
      </xdr:nvPicPr>
      <xdr:blipFill>
        <a:blip xmlns:r="http://schemas.openxmlformats.org/officeDocument/2006/relationships" r:embed="rId1"/>
        <a:stretch>
          <a:fillRect/>
        </a:stretch>
      </xdr:blipFill>
      <xdr:spPr>
        <a:xfrm>
          <a:off x="66676" y="264280649"/>
          <a:ext cx="1033158" cy="577093"/>
        </a:xfrm>
        <a:prstGeom prst="rect">
          <a:avLst/>
        </a:prstGeom>
      </xdr:spPr>
    </xdr:pic>
    <xdr:clientData/>
  </xdr:oneCellAnchor>
  <xdr:oneCellAnchor>
    <xdr:from>
      <xdr:col>0</xdr:col>
      <xdr:colOff>66676</xdr:colOff>
      <xdr:row>6040</xdr:row>
      <xdr:rowOff>28574</xdr:rowOff>
    </xdr:from>
    <xdr:ext cx="1033158" cy="577093"/>
    <xdr:pic>
      <xdr:nvPicPr>
        <xdr:cNvPr id="29" name="Imagen 28">
          <a:extLst>
            <a:ext uri="{FF2B5EF4-FFF2-40B4-BE49-F238E27FC236}">
              <a16:creationId xmlns:a16="http://schemas.microsoft.com/office/drawing/2014/main" id="{00000000-0008-0000-0300-00001D000000}"/>
            </a:ext>
          </a:extLst>
        </xdr:cNvPr>
        <xdr:cNvPicPr>
          <a:picLocks noChangeAspect="1"/>
        </xdr:cNvPicPr>
      </xdr:nvPicPr>
      <xdr:blipFill>
        <a:blip xmlns:r="http://schemas.openxmlformats.org/officeDocument/2006/relationships" r:embed="rId1"/>
        <a:stretch>
          <a:fillRect/>
        </a:stretch>
      </xdr:blipFill>
      <xdr:spPr>
        <a:xfrm>
          <a:off x="66676" y="275891624"/>
          <a:ext cx="1033158" cy="577093"/>
        </a:xfrm>
        <a:prstGeom prst="rect">
          <a:avLst/>
        </a:prstGeom>
      </xdr:spPr>
    </xdr:pic>
    <xdr:clientData/>
  </xdr:oneCellAnchor>
  <xdr:oneCellAnchor>
    <xdr:from>
      <xdr:col>0</xdr:col>
      <xdr:colOff>66676</xdr:colOff>
      <xdr:row>6092</xdr:row>
      <xdr:rowOff>28574</xdr:rowOff>
    </xdr:from>
    <xdr:ext cx="1033158" cy="577093"/>
    <xdr:pic>
      <xdr:nvPicPr>
        <xdr:cNvPr id="30" name="Imagen 29">
          <a:extLst>
            <a:ext uri="{FF2B5EF4-FFF2-40B4-BE49-F238E27FC236}">
              <a16:creationId xmlns:a16="http://schemas.microsoft.com/office/drawing/2014/main" id="{00000000-0008-0000-0300-00001E000000}"/>
            </a:ext>
          </a:extLst>
        </xdr:cNvPr>
        <xdr:cNvPicPr>
          <a:picLocks noChangeAspect="1"/>
        </xdr:cNvPicPr>
      </xdr:nvPicPr>
      <xdr:blipFill>
        <a:blip xmlns:r="http://schemas.openxmlformats.org/officeDocument/2006/relationships" r:embed="rId1"/>
        <a:stretch>
          <a:fillRect/>
        </a:stretch>
      </xdr:blipFill>
      <xdr:spPr>
        <a:xfrm>
          <a:off x="66676" y="287502599"/>
          <a:ext cx="1033158" cy="577093"/>
        </a:xfrm>
        <a:prstGeom prst="rect">
          <a:avLst/>
        </a:prstGeom>
      </xdr:spPr>
    </xdr:pic>
    <xdr:clientData/>
  </xdr:oneCellAnchor>
  <xdr:oneCellAnchor>
    <xdr:from>
      <xdr:col>0</xdr:col>
      <xdr:colOff>66676</xdr:colOff>
      <xdr:row>6144</xdr:row>
      <xdr:rowOff>28574</xdr:rowOff>
    </xdr:from>
    <xdr:ext cx="1033158" cy="577093"/>
    <xdr:pic>
      <xdr:nvPicPr>
        <xdr:cNvPr id="31" name="Imagen 30">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1"/>
        <a:stretch>
          <a:fillRect/>
        </a:stretch>
      </xdr:blipFill>
      <xdr:spPr>
        <a:xfrm>
          <a:off x="66676" y="299113574"/>
          <a:ext cx="1033158" cy="577093"/>
        </a:xfrm>
        <a:prstGeom prst="rect">
          <a:avLst/>
        </a:prstGeom>
      </xdr:spPr>
    </xdr:pic>
    <xdr:clientData/>
  </xdr:oneCellAnchor>
  <xdr:oneCellAnchor>
    <xdr:from>
      <xdr:col>0</xdr:col>
      <xdr:colOff>66676</xdr:colOff>
      <xdr:row>6196</xdr:row>
      <xdr:rowOff>28574</xdr:rowOff>
    </xdr:from>
    <xdr:ext cx="1033158" cy="577093"/>
    <xdr:pic>
      <xdr:nvPicPr>
        <xdr:cNvPr id="32" name="Imagen 31">
          <a:extLst>
            <a:ext uri="{FF2B5EF4-FFF2-40B4-BE49-F238E27FC236}">
              <a16:creationId xmlns:a16="http://schemas.microsoft.com/office/drawing/2014/main" id="{00000000-0008-0000-0300-000020000000}"/>
            </a:ext>
          </a:extLst>
        </xdr:cNvPr>
        <xdr:cNvPicPr>
          <a:picLocks noChangeAspect="1"/>
        </xdr:cNvPicPr>
      </xdr:nvPicPr>
      <xdr:blipFill>
        <a:blip xmlns:r="http://schemas.openxmlformats.org/officeDocument/2006/relationships" r:embed="rId1"/>
        <a:stretch>
          <a:fillRect/>
        </a:stretch>
      </xdr:blipFill>
      <xdr:spPr>
        <a:xfrm>
          <a:off x="66676" y="310724549"/>
          <a:ext cx="1033158" cy="577093"/>
        </a:xfrm>
        <a:prstGeom prst="rect">
          <a:avLst/>
        </a:prstGeom>
      </xdr:spPr>
    </xdr:pic>
    <xdr:clientData/>
  </xdr:oneCellAnchor>
  <xdr:oneCellAnchor>
    <xdr:from>
      <xdr:col>0</xdr:col>
      <xdr:colOff>66676</xdr:colOff>
      <xdr:row>6248</xdr:row>
      <xdr:rowOff>28574</xdr:rowOff>
    </xdr:from>
    <xdr:ext cx="1033158" cy="577093"/>
    <xdr:pic>
      <xdr:nvPicPr>
        <xdr:cNvPr id="33" name="Imagen 32">
          <a:extLst>
            <a:ext uri="{FF2B5EF4-FFF2-40B4-BE49-F238E27FC236}">
              <a16:creationId xmlns:a16="http://schemas.microsoft.com/office/drawing/2014/main" id="{00000000-0008-0000-0300-000021000000}"/>
            </a:ext>
          </a:extLst>
        </xdr:cNvPr>
        <xdr:cNvPicPr>
          <a:picLocks noChangeAspect="1"/>
        </xdr:cNvPicPr>
      </xdr:nvPicPr>
      <xdr:blipFill>
        <a:blip xmlns:r="http://schemas.openxmlformats.org/officeDocument/2006/relationships" r:embed="rId1"/>
        <a:stretch>
          <a:fillRect/>
        </a:stretch>
      </xdr:blipFill>
      <xdr:spPr>
        <a:xfrm>
          <a:off x="66676" y="322335524"/>
          <a:ext cx="1033158" cy="577093"/>
        </a:xfrm>
        <a:prstGeom prst="rect">
          <a:avLst/>
        </a:prstGeom>
      </xdr:spPr>
    </xdr:pic>
    <xdr:clientData/>
  </xdr:oneCellAnchor>
  <xdr:oneCellAnchor>
    <xdr:from>
      <xdr:col>0</xdr:col>
      <xdr:colOff>66676</xdr:colOff>
      <xdr:row>8336</xdr:row>
      <xdr:rowOff>28574</xdr:rowOff>
    </xdr:from>
    <xdr:ext cx="1033158" cy="577093"/>
    <xdr:pic>
      <xdr:nvPicPr>
        <xdr:cNvPr id="34" name="Imagen 33">
          <a:extLst>
            <a:ext uri="{FF2B5EF4-FFF2-40B4-BE49-F238E27FC236}">
              <a16:creationId xmlns:a16="http://schemas.microsoft.com/office/drawing/2014/main" id="{00000000-0008-0000-0300-000022000000}"/>
            </a:ext>
          </a:extLst>
        </xdr:cNvPr>
        <xdr:cNvPicPr>
          <a:picLocks noChangeAspect="1"/>
        </xdr:cNvPicPr>
      </xdr:nvPicPr>
      <xdr:blipFill>
        <a:blip xmlns:r="http://schemas.openxmlformats.org/officeDocument/2006/relationships" r:embed="rId1"/>
        <a:stretch>
          <a:fillRect/>
        </a:stretch>
      </xdr:blipFill>
      <xdr:spPr>
        <a:xfrm>
          <a:off x="66676" y="333946499"/>
          <a:ext cx="1033158" cy="577093"/>
        </a:xfrm>
        <a:prstGeom prst="rect">
          <a:avLst/>
        </a:prstGeom>
      </xdr:spPr>
    </xdr:pic>
    <xdr:clientData/>
  </xdr:oneCellAnchor>
  <xdr:oneCellAnchor>
    <xdr:from>
      <xdr:col>0</xdr:col>
      <xdr:colOff>66676</xdr:colOff>
      <xdr:row>8918</xdr:row>
      <xdr:rowOff>28574</xdr:rowOff>
    </xdr:from>
    <xdr:ext cx="1033158" cy="577093"/>
    <xdr:pic>
      <xdr:nvPicPr>
        <xdr:cNvPr id="35" name="Imagen 34">
          <a:extLst>
            <a:ext uri="{FF2B5EF4-FFF2-40B4-BE49-F238E27FC236}">
              <a16:creationId xmlns:a16="http://schemas.microsoft.com/office/drawing/2014/main" id="{00000000-0008-0000-0300-000023000000}"/>
            </a:ext>
          </a:extLst>
        </xdr:cNvPr>
        <xdr:cNvPicPr>
          <a:picLocks noChangeAspect="1"/>
        </xdr:cNvPicPr>
      </xdr:nvPicPr>
      <xdr:blipFill>
        <a:blip xmlns:r="http://schemas.openxmlformats.org/officeDocument/2006/relationships" r:embed="rId1"/>
        <a:stretch>
          <a:fillRect/>
        </a:stretch>
      </xdr:blipFill>
      <xdr:spPr>
        <a:xfrm>
          <a:off x="66676" y="345557474"/>
          <a:ext cx="1033158" cy="577093"/>
        </a:xfrm>
        <a:prstGeom prst="rect">
          <a:avLst/>
        </a:prstGeom>
      </xdr:spPr>
    </xdr:pic>
    <xdr:clientData/>
  </xdr:oneCellAnchor>
  <xdr:oneCellAnchor>
    <xdr:from>
      <xdr:col>0</xdr:col>
      <xdr:colOff>66676</xdr:colOff>
      <xdr:row>9086</xdr:row>
      <xdr:rowOff>28574</xdr:rowOff>
    </xdr:from>
    <xdr:ext cx="1033158" cy="577093"/>
    <xdr:pic>
      <xdr:nvPicPr>
        <xdr:cNvPr id="36" name="Imagen 35">
          <a:extLst>
            <a:ext uri="{FF2B5EF4-FFF2-40B4-BE49-F238E27FC236}">
              <a16:creationId xmlns:a16="http://schemas.microsoft.com/office/drawing/2014/main" id="{00000000-0008-0000-0300-000024000000}"/>
            </a:ext>
          </a:extLst>
        </xdr:cNvPr>
        <xdr:cNvPicPr>
          <a:picLocks noChangeAspect="1"/>
        </xdr:cNvPicPr>
      </xdr:nvPicPr>
      <xdr:blipFill>
        <a:blip xmlns:r="http://schemas.openxmlformats.org/officeDocument/2006/relationships" r:embed="rId1"/>
        <a:stretch>
          <a:fillRect/>
        </a:stretch>
      </xdr:blipFill>
      <xdr:spPr>
        <a:xfrm>
          <a:off x="66676" y="357739949"/>
          <a:ext cx="1033158" cy="577093"/>
        </a:xfrm>
        <a:prstGeom prst="rect">
          <a:avLst/>
        </a:prstGeom>
      </xdr:spPr>
    </xdr:pic>
    <xdr:clientData/>
  </xdr:oneCellAnchor>
  <xdr:oneCellAnchor>
    <xdr:from>
      <xdr:col>0</xdr:col>
      <xdr:colOff>66676</xdr:colOff>
      <xdr:row>9138</xdr:row>
      <xdr:rowOff>28574</xdr:rowOff>
    </xdr:from>
    <xdr:ext cx="1033158" cy="577093"/>
    <xdr:pic>
      <xdr:nvPicPr>
        <xdr:cNvPr id="37" name="Imagen 36">
          <a:extLst>
            <a:ext uri="{FF2B5EF4-FFF2-40B4-BE49-F238E27FC236}">
              <a16:creationId xmlns:a16="http://schemas.microsoft.com/office/drawing/2014/main" id="{00000000-0008-0000-0300-000025000000}"/>
            </a:ext>
          </a:extLst>
        </xdr:cNvPr>
        <xdr:cNvPicPr>
          <a:picLocks noChangeAspect="1"/>
        </xdr:cNvPicPr>
      </xdr:nvPicPr>
      <xdr:blipFill>
        <a:blip xmlns:r="http://schemas.openxmlformats.org/officeDocument/2006/relationships" r:embed="rId1"/>
        <a:stretch>
          <a:fillRect/>
        </a:stretch>
      </xdr:blipFill>
      <xdr:spPr>
        <a:xfrm>
          <a:off x="66676" y="369922424"/>
          <a:ext cx="1033158" cy="577093"/>
        </a:xfrm>
        <a:prstGeom prst="rect">
          <a:avLst/>
        </a:prstGeom>
      </xdr:spPr>
    </xdr:pic>
    <xdr:clientData/>
  </xdr:oneCellAnchor>
  <xdr:oneCellAnchor>
    <xdr:from>
      <xdr:col>0</xdr:col>
      <xdr:colOff>66676</xdr:colOff>
      <xdr:row>8973</xdr:row>
      <xdr:rowOff>28574</xdr:rowOff>
    </xdr:from>
    <xdr:ext cx="1033158" cy="577093"/>
    <xdr:pic>
      <xdr:nvPicPr>
        <xdr:cNvPr id="38" name="Imagen 37">
          <a:extLst>
            <a:ext uri="{FF2B5EF4-FFF2-40B4-BE49-F238E27FC236}">
              <a16:creationId xmlns:a16="http://schemas.microsoft.com/office/drawing/2014/main" id="{00000000-0008-0000-0300-000026000000}"/>
            </a:ext>
          </a:extLst>
        </xdr:cNvPr>
        <xdr:cNvPicPr>
          <a:picLocks noChangeAspect="1"/>
        </xdr:cNvPicPr>
      </xdr:nvPicPr>
      <xdr:blipFill>
        <a:blip xmlns:r="http://schemas.openxmlformats.org/officeDocument/2006/relationships" r:embed="rId1"/>
        <a:stretch>
          <a:fillRect/>
        </a:stretch>
      </xdr:blipFill>
      <xdr:spPr>
        <a:xfrm>
          <a:off x="66676" y="357739949"/>
          <a:ext cx="1033158" cy="577093"/>
        </a:xfrm>
        <a:prstGeom prst="rect">
          <a:avLst/>
        </a:prstGeom>
      </xdr:spPr>
    </xdr:pic>
    <xdr:clientData/>
  </xdr:oneCellAnchor>
  <xdr:oneCellAnchor>
    <xdr:from>
      <xdr:col>0</xdr:col>
      <xdr:colOff>66676</xdr:colOff>
      <xdr:row>821</xdr:row>
      <xdr:rowOff>28574</xdr:rowOff>
    </xdr:from>
    <xdr:ext cx="1033158" cy="577093"/>
    <xdr:pic>
      <xdr:nvPicPr>
        <xdr:cNvPr id="40" name="Imagen 39">
          <a:extLst>
            <a:ext uri="{FF2B5EF4-FFF2-40B4-BE49-F238E27FC236}">
              <a16:creationId xmlns:a16="http://schemas.microsoft.com/office/drawing/2014/main" id="{00000000-0008-0000-0300-000028000000}"/>
            </a:ext>
          </a:extLst>
        </xdr:cNvPr>
        <xdr:cNvPicPr>
          <a:picLocks noChangeAspect="1"/>
        </xdr:cNvPicPr>
      </xdr:nvPicPr>
      <xdr:blipFill>
        <a:blip xmlns:r="http://schemas.openxmlformats.org/officeDocument/2006/relationships" r:embed="rId1"/>
        <a:stretch>
          <a:fillRect/>
        </a:stretch>
      </xdr:blipFill>
      <xdr:spPr>
        <a:xfrm>
          <a:off x="66676" y="57759599"/>
          <a:ext cx="1033158" cy="577093"/>
        </a:xfrm>
        <a:prstGeom prst="rect">
          <a:avLst/>
        </a:prstGeom>
      </xdr:spPr>
    </xdr:pic>
    <xdr:clientData/>
  </xdr:oneCellAnchor>
  <xdr:oneCellAnchor>
    <xdr:from>
      <xdr:col>0</xdr:col>
      <xdr:colOff>66676</xdr:colOff>
      <xdr:row>1080</xdr:row>
      <xdr:rowOff>28574</xdr:rowOff>
    </xdr:from>
    <xdr:ext cx="1033158" cy="577093"/>
    <xdr:pic>
      <xdr:nvPicPr>
        <xdr:cNvPr id="41" name="Imagen 40">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1"/>
        <a:stretch>
          <a:fillRect/>
        </a:stretch>
      </xdr:blipFill>
      <xdr:spPr>
        <a:xfrm>
          <a:off x="66676" y="183575324"/>
          <a:ext cx="1033158" cy="577093"/>
        </a:xfrm>
        <a:prstGeom prst="rect">
          <a:avLst/>
        </a:prstGeom>
      </xdr:spPr>
    </xdr:pic>
    <xdr:clientData/>
  </xdr:oneCellAnchor>
  <xdr:oneCellAnchor>
    <xdr:from>
      <xdr:col>0</xdr:col>
      <xdr:colOff>66676</xdr:colOff>
      <xdr:row>872</xdr:row>
      <xdr:rowOff>28574</xdr:rowOff>
    </xdr:from>
    <xdr:ext cx="1033158" cy="577093"/>
    <xdr:pic>
      <xdr:nvPicPr>
        <xdr:cNvPr id="42" name="Imagen 41">
          <a:extLst>
            <a:ext uri="{FF2B5EF4-FFF2-40B4-BE49-F238E27FC236}">
              <a16:creationId xmlns:a16="http://schemas.microsoft.com/office/drawing/2014/main" id="{00000000-0008-0000-0300-00002A000000}"/>
            </a:ext>
          </a:extLst>
        </xdr:cNvPr>
        <xdr:cNvPicPr>
          <a:picLocks noChangeAspect="1"/>
        </xdr:cNvPicPr>
      </xdr:nvPicPr>
      <xdr:blipFill>
        <a:blip xmlns:r="http://schemas.openxmlformats.org/officeDocument/2006/relationships" r:embed="rId1"/>
        <a:stretch>
          <a:fillRect/>
        </a:stretch>
      </xdr:blipFill>
      <xdr:spPr>
        <a:xfrm>
          <a:off x="66676" y="183765824"/>
          <a:ext cx="1033158" cy="577093"/>
        </a:xfrm>
        <a:prstGeom prst="rect">
          <a:avLst/>
        </a:prstGeom>
      </xdr:spPr>
    </xdr:pic>
    <xdr:clientData/>
  </xdr:oneCellAnchor>
  <xdr:oneCellAnchor>
    <xdr:from>
      <xdr:col>0</xdr:col>
      <xdr:colOff>66676</xdr:colOff>
      <xdr:row>923</xdr:row>
      <xdr:rowOff>28574</xdr:rowOff>
    </xdr:from>
    <xdr:ext cx="1033158" cy="577093"/>
    <xdr:pic>
      <xdr:nvPicPr>
        <xdr:cNvPr id="43" name="Imagen 42">
          <a:extLst>
            <a:ext uri="{FF2B5EF4-FFF2-40B4-BE49-F238E27FC236}">
              <a16:creationId xmlns:a16="http://schemas.microsoft.com/office/drawing/2014/main" id="{00000000-0008-0000-0300-00002B000000}"/>
            </a:ext>
          </a:extLst>
        </xdr:cNvPr>
        <xdr:cNvPicPr>
          <a:picLocks noChangeAspect="1"/>
        </xdr:cNvPicPr>
      </xdr:nvPicPr>
      <xdr:blipFill>
        <a:blip xmlns:r="http://schemas.openxmlformats.org/officeDocument/2006/relationships" r:embed="rId1"/>
        <a:stretch>
          <a:fillRect/>
        </a:stretch>
      </xdr:blipFill>
      <xdr:spPr>
        <a:xfrm>
          <a:off x="66676" y="195186299"/>
          <a:ext cx="1033158" cy="577093"/>
        </a:xfrm>
        <a:prstGeom prst="rect">
          <a:avLst/>
        </a:prstGeom>
      </xdr:spPr>
    </xdr:pic>
    <xdr:clientData/>
  </xdr:oneCellAnchor>
  <xdr:oneCellAnchor>
    <xdr:from>
      <xdr:col>0</xdr:col>
      <xdr:colOff>66676</xdr:colOff>
      <xdr:row>974</xdr:row>
      <xdr:rowOff>28574</xdr:rowOff>
    </xdr:from>
    <xdr:ext cx="1033158" cy="577093"/>
    <xdr:pic>
      <xdr:nvPicPr>
        <xdr:cNvPr id="44" name="Imagen 43">
          <a:extLst>
            <a:ext uri="{FF2B5EF4-FFF2-40B4-BE49-F238E27FC236}">
              <a16:creationId xmlns:a16="http://schemas.microsoft.com/office/drawing/2014/main" id="{00000000-0008-0000-0300-00002C000000}"/>
            </a:ext>
          </a:extLst>
        </xdr:cNvPr>
        <xdr:cNvPicPr>
          <a:picLocks noChangeAspect="1"/>
        </xdr:cNvPicPr>
      </xdr:nvPicPr>
      <xdr:blipFill>
        <a:blip xmlns:r="http://schemas.openxmlformats.org/officeDocument/2006/relationships" r:embed="rId1"/>
        <a:stretch>
          <a:fillRect/>
        </a:stretch>
      </xdr:blipFill>
      <xdr:spPr>
        <a:xfrm>
          <a:off x="66676" y="206606774"/>
          <a:ext cx="1033158" cy="577093"/>
        </a:xfrm>
        <a:prstGeom prst="rect">
          <a:avLst/>
        </a:prstGeom>
      </xdr:spPr>
    </xdr:pic>
    <xdr:clientData/>
  </xdr:oneCellAnchor>
  <xdr:oneCellAnchor>
    <xdr:from>
      <xdr:col>0</xdr:col>
      <xdr:colOff>66676</xdr:colOff>
      <xdr:row>1025</xdr:row>
      <xdr:rowOff>28574</xdr:rowOff>
    </xdr:from>
    <xdr:ext cx="1033158" cy="577093"/>
    <xdr:pic>
      <xdr:nvPicPr>
        <xdr:cNvPr id="45" name="Imagen 44">
          <a:extLst>
            <a:ext uri="{FF2B5EF4-FFF2-40B4-BE49-F238E27FC236}">
              <a16:creationId xmlns:a16="http://schemas.microsoft.com/office/drawing/2014/main" id="{00000000-0008-0000-0300-00002D000000}"/>
            </a:ext>
          </a:extLst>
        </xdr:cNvPr>
        <xdr:cNvPicPr>
          <a:picLocks noChangeAspect="1"/>
        </xdr:cNvPicPr>
      </xdr:nvPicPr>
      <xdr:blipFill>
        <a:blip xmlns:r="http://schemas.openxmlformats.org/officeDocument/2006/relationships" r:embed="rId1"/>
        <a:stretch>
          <a:fillRect/>
        </a:stretch>
      </xdr:blipFill>
      <xdr:spPr>
        <a:xfrm>
          <a:off x="66676" y="218036774"/>
          <a:ext cx="1033158" cy="577093"/>
        </a:xfrm>
        <a:prstGeom prst="rect">
          <a:avLst/>
        </a:prstGeom>
      </xdr:spPr>
    </xdr:pic>
    <xdr:clientData/>
  </xdr:oneCellAnchor>
  <xdr:oneCellAnchor>
    <xdr:from>
      <xdr:col>0</xdr:col>
      <xdr:colOff>66676</xdr:colOff>
      <xdr:row>1131</xdr:row>
      <xdr:rowOff>28574</xdr:rowOff>
    </xdr:from>
    <xdr:ext cx="1033158" cy="577093"/>
    <xdr:pic>
      <xdr:nvPicPr>
        <xdr:cNvPr id="46" name="Imagen 45">
          <a:extLst>
            <a:ext uri="{FF2B5EF4-FFF2-40B4-BE49-F238E27FC236}">
              <a16:creationId xmlns:a16="http://schemas.microsoft.com/office/drawing/2014/main" id="{00000000-0008-0000-0300-00002E000000}"/>
            </a:ext>
          </a:extLst>
        </xdr:cNvPr>
        <xdr:cNvPicPr>
          <a:picLocks noChangeAspect="1"/>
        </xdr:cNvPicPr>
      </xdr:nvPicPr>
      <xdr:blipFill>
        <a:blip xmlns:r="http://schemas.openxmlformats.org/officeDocument/2006/relationships" r:embed="rId1"/>
        <a:stretch>
          <a:fillRect/>
        </a:stretch>
      </xdr:blipFill>
      <xdr:spPr>
        <a:xfrm>
          <a:off x="66676" y="241687349"/>
          <a:ext cx="1033158" cy="577093"/>
        </a:xfrm>
        <a:prstGeom prst="rect">
          <a:avLst/>
        </a:prstGeom>
      </xdr:spPr>
    </xdr:pic>
    <xdr:clientData/>
  </xdr:oneCellAnchor>
  <xdr:oneCellAnchor>
    <xdr:from>
      <xdr:col>0</xdr:col>
      <xdr:colOff>66676</xdr:colOff>
      <xdr:row>1182</xdr:row>
      <xdr:rowOff>28574</xdr:rowOff>
    </xdr:from>
    <xdr:ext cx="1033158" cy="577093"/>
    <xdr:pic>
      <xdr:nvPicPr>
        <xdr:cNvPr id="47" name="Imagen 46">
          <a:extLst>
            <a:ext uri="{FF2B5EF4-FFF2-40B4-BE49-F238E27FC236}">
              <a16:creationId xmlns:a16="http://schemas.microsoft.com/office/drawing/2014/main" id="{00000000-0008-0000-0300-00002F000000}"/>
            </a:ext>
          </a:extLst>
        </xdr:cNvPr>
        <xdr:cNvPicPr>
          <a:picLocks noChangeAspect="1"/>
        </xdr:cNvPicPr>
      </xdr:nvPicPr>
      <xdr:blipFill>
        <a:blip xmlns:r="http://schemas.openxmlformats.org/officeDocument/2006/relationships" r:embed="rId1"/>
        <a:stretch>
          <a:fillRect/>
        </a:stretch>
      </xdr:blipFill>
      <xdr:spPr>
        <a:xfrm>
          <a:off x="66676" y="253107824"/>
          <a:ext cx="1033158" cy="577093"/>
        </a:xfrm>
        <a:prstGeom prst="rect">
          <a:avLst/>
        </a:prstGeom>
      </xdr:spPr>
    </xdr:pic>
    <xdr:clientData/>
  </xdr:oneCellAnchor>
  <xdr:oneCellAnchor>
    <xdr:from>
      <xdr:col>0</xdr:col>
      <xdr:colOff>66676</xdr:colOff>
      <xdr:row>1233</xdr:row>
      <xdr:rowOff>28574</xdr:rowOff>
    </xdr:from>
    <xdr:ext cx="1033158" cy="577093"/>
    <xdr:pic>
      <xdr:nvPicPr>
        <xdr:cNvPr id="48" name="Imagen 47">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1"/>
        <a:stretch>
          <a:fillRect/>
        </a:stretch>
      </xdr:blipFill>
      <xdr:spPr>
        <a:xfrm>
          <a:off x="66676" y="264528299"/>
          <a:ext cx="1033158" cy="577093"/>
        </a:xfrm>
        <a:prstGeom prst="rect">
          <a:avLst/>
        </a:prstGeom>
      </xdr:spPr>
    </xdr:pic>
    <xdr:clientData/>
  </xdr:oneCellAnchor>
  <xdr:oneCellAnchor>
    <xdr:from>
      <xdr:col>0</xdr:col>
      <xdr:colOff>66676</xdr:colOff>
      <xdr:row>1284</xdr:row>
      <xdr:rowOff>28574</xdr:rowOff>
    </xdr:from>
    <xdr:ext cx="1033158" cy="577093"/>
    <xdr:pic>
      <xdr:nvPicPr>
        <xdr:cNvPr id="50" name="Imagen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
        <a:stretch>
          <a:fillRect/>
        </a:stretch>
      </xdr:blipFill>
      <xdr:spPr>
        <a:xfrm>
          <a:off x="66676" y="92021024"/>
          <a:ext cx="1033158" cy="577093"/>
        </a:xfrm>
        <a:prstGeom prst="rect">
          <a:avLst/>
        </a:prstGeom>
      </xdr:spPr>
    </xdr:pic>
    <xdr:clientData/>
  </xdr:oneCellAnchor>
  <xdr:oneCellAnchor>
    <xdr:from>
      <xdr:col>0</xdr:col>
      <xdr:colOff>66676</xdr:colOff>
      <xdr:row>1335</xdr:row>
      <xdr:rowOff>28574</xdr:rowOff>
    </xdr:from>
    <xdr:ext cx="1033158" cy="577093"/>
    <xdr:pic>
      <xdr:nvPicPr>
        <xdr:cNvPr id="51" name="Imagen 50">
          <a:extLst>
            <a:ext uri="{FF2B5EF4-FFF2-40B4-BE49-F238E27FC236}">
              <a16:creationId xmlns:a16="http://schemas.microsoft.com/office/drawing/2014/main" id="{00000000-0008-0000-0300-000033000000}"/>
            </a:ext>
          </a:extLst>
        </xdr:cNvPr>
        <xdr:cNvPicPr>
          <a:picLocks noChangeAspect="1"/>
        </xdr:cNvPicPr>
      </xdr:nvPicPr>
      <xdr:blipFill>
        <a:blip xmlns:r="http://schemas.openxmlformats.org/officeDocument/2006/relationships" r:embed="rId1"/>
        <a:stretch>
          <a:fillRect/>
        </a:stretch>
      </xdr:blipFill>
      <xdr:spPr>
        <a:xfrm>
          <a:off x="66676" y="287369249"/>
          <a:ext cx="1033158" cy="577093"/>
        </a:xfrm>
        <a:prstGeom prst="rect">
          <a:avLst/>
        </a:prstGeom>
      </xdr:spPr>
    </xdr:pic>
    <xdr:clientData/>
  </xdr:oneCellAnchor>
  <xdr:oneCellAnchor>
    <xdr:from>
      <xdr:col>0</xdr:col>
      <xdr:colOff>66676</xdr:colOff>
      <xdr:row>1386</xdr:row>
      <xdr:rowOff>28574</xdr:rowOff>
    </xdr:from>
    <xdr:ext cx="1033158" cy="577093"/>
    <xdr:pic>
      <xdr:nvPicPr>
        <xdr:cNvPr id="52" name="Imagen 51">
          <a:extLst>
            <a:ext uri="{FF2B5EF4-FFF2-40B4-BE49-F238E27FC236}">
              <a16:creationId xmlns:a16="http://schemas.microsoft.com/office/drawing/2014/main" id="{00000000-0008-0000-0300-000034000000}"/>
            </a:ext>
          </a:extLst>
        </xdr:cNvPr>
        <xdr:cNvPicPr>
          <a:picLocks noChangeAspect="1"/>
        </xdr:cNvPicPr>
      </xdr:nvPicPr>
      <xdr:blipFill>
        <a:blip xmlns:r="http://schemas.openxmlformats.org/officeDocument/2006/relationships" r:embed="rId1"/>
        <a:stretch>
          <a:fillRect/>
        </a:stretch>
      </xdr:blipFill>
      <xdr:spPr>
        <a:xfrm>
          <a:off x="66676" y="298789724"/>
          <a:ext cx="1033158" cy="577093"/>
        </a:xfrm>
        <a:prstGeom prst="rect">
          <a:avLst/>
        </a:prstGeom>
      </xdr:spPr>
    </xdr:pic>
    <xdr:clientData/>
  </xdr:oneCellAnchor>
  <xdr:oneCellAnchor>
    <xdr:from>
      <xdr:col>0</xdr:col>
      <xdr:colOff>66676</xdr:colOff>
      <xdr:row>1437</xdr:row>
      <xdr:rowOff>28574</xdr:rowOff>
    </xdr:from>
    <xdr:ext cx="1033158" cy="577093"/>
    <xdr:pic>
      <xdr:nvPicPr>
        <xdr:cNvPr id="54" name="Imagen 53">
          <a:extLst>
            <a:ext uri="{FF2B5EF4-FFF2-40B4-BE49-F238E27FC236}">
              <a16:creationId xmlns:a16="http://schemas.microsoft.com/office/drawing/2014/main" id="{00000000-0008-0000-0300-000036000000}"/>
            </a:ext>
          </a:extLst>
        </xdr:cNvPr>
        <xdr:cNvPicPr>
          <a:picLocks noChangeAspect="1"/>
        </xdr:cNvPicPr>
      </xdr:nvPicPr>
      <xdr:blipFill>
        <a:blip xmlns:r="http://schemas.openxmlformats.org/officeDocument/2006/relationships" r:embed="rId1"/>
        <a:stretch>
          <a:fillRect/>
        </a:stretch>
      </xdr:blipFill>
      <xdr:spPr>
        <a:xfrm>
          <a:off x="66676" y="253107824"/>
          <a:ext cx="1033158" cy="577093"/>
        </a:xfrm>
        <a:prstGeom prst="rect">
          <a:avLst/>
        </a:prstGeom>
      </xdr:spPr>
    </xdr:pic>
    <xdr:clientData/>
  </xdr:oneCellAnchor>
  <xdr:oneCellAnchor>
    <xdr:from>
      <xdr:col>0</xdr:col>
      <xdr:colOff>66676</xdr:colOff>
      <xdr:row>1488</xdr:row>
      <xdr:rowOff>28574</xdr:rowOff>
    </xdr:from>
    <xdr:ext cx="1033158" cy="577093"/>
    <xdr:pic>
      <xdr:nvPicPr>
        <xdr:cNvPr id="55" name="Imagen 54">
          <a:extLst>
            <a:ext uri="{FF2B5EF4-FFF2-40B4-BE49-F238E27FC236}">
              <a16:creationId xmlns:a16="http://schemas.microsoft.com/office/drawing/2014/main" id="{00000000-0008-0000-0300-000037000000}"/>
            </a:ext>
          </a:extLst>
        </xdr:cNvPr>
        <xdr:cNvPicPr>
          <a:picLocks noChangeAspect="1"/>
        </xdr:cNvPicPr>
      </xdr:nvPicPr>
      <xdr:blipFill>
        <a:blip xmlns:r="http://schemas.openxmlformats.org/officeDocument/2006/relationships" r:embed="rId1"/>
        <a:stretch>
          <a:fillRect/>
        </a:stretch>
      </xdr:blipFill>
      <xdr:spPr>
        <a:xfrm>
          <a:off x="66676" y="321630674"/>
          <a:ext cx="1033158" cy="577093"/>
        </a:xfrm>
        <a:prstGeom prst="rect">
          <a:avLst/>
        </a:prstGeom>
      </xdr:spPr>
    </xdr:pic>
    <xdr:clientData/>
  </xdr:oneCellAnchor>
  <xdr:oneCellAnchor>
    <xdr:from>
      <xdr:col>0</xdr:col>
      <xdr:colOff>66676</xdr:colOff>
      <xdr:row>1539</xdr:row>
      <xdr:rowOff>28574</xdr:rowOff>
    </xdr:from>
    <xdr:ext cx="1033158" cy="577093"/>
    <xdr:pic>
      <xdr:nvPicPr>
        <xdr:cNvPr id="56" name="Imagen 55">
          <a:extLst>
            <a:ext uri="{FF2B5EF4-FFF2-40B4-BE49-F238E27FC236}">
              <a16:creationId xmlns:a16="http://schemas.microsoft.com/office/drawing/2014/main" id="{00000000-0008-0000-0300-000038000000}"/>
            </a:ext>
          </a:extLst>
        </xdr:cNvPr>
        <xdr:cNvPicPr>
          <a:picLocks noChangeAspect="1"/>
        </xdr:cNvPicPr>
      </xdr:nvPicPr>
      <xdr:blipFill>
        <a:blip xmlns:r="http://schemas.openxmlformats.org/officeDocument/2006/relationships" r:embed="rId1"/>
        <a:stretch>
          <a:fillRect/>
        </a:stretch>
      </xdr:blipFill>
      <xdr:spPr>
        <a:xfrm>
          <a:off x="66676" y="333051149"/>
          <a:ext cx="1033158" cy="577093"/>
        </a:xfrm>
        <a:prstGeom prst="rect">
          <a:avLst/>
        </a:prstGeom>
      </xdr:spPr>
    </xdr:pic>
    <xdr:clientData/>
  </xdr:oneCellAnchor>
  <xdr:oneCellAnchor>
    <xdr:from>
      <xdr:col>0</xdr:col>
      <xdr:colOff>66676</xdr:colOff>
      <xdr:row>1590</xdr:row>
      <xdr:rowOff>28574</xdr:rowOff>
    </xdr:from>
    <xdr:ext cx="1033158" cy="577093"/>
    <xdr:pic>
      <xdr:nvPicPr>
        <xdr:cNvPr id="57" name="Imagen 56">
          <a:extLst>
            <a:ext uri="{FF2B5EF4-FFF2-40B4-BE49-F238E27FC236}">
              <a16:creationId xmlns:a16="http://schemas.microsoft.com/office/drawing/2014/main" id="{00000000-0008-0000-0300-000039000000}"/>
            </a:ext>
          </a:extLst>
        </xdr:cNvPr>
        <xdr:cNvPicPr>
          <a:picLocks noChangeAspect="1"/>
        </xdr:cNvPicPr>
      </xdr:nvPicPr>
      <xdr:blipFill>
        <a:blip xmlns:r="http://schemas.openxmlformats.org/officeDocument/2006/relationships" r:embed="rId1"/>
        <a:stretch>
          <a:fillRect/>
        </a:stretch>
      </xdr:blipFill>
      <xdr:spPr>
        <a:xfrm>
          <a:off x="66676" y="344471624"/>
          <a:ext cx="1033158" cy="577093"/>
        </a:xfrm>
        <a:prstGeom prst="rect">
          <a:avLst/>
        </a:prstGeom>
      </xdr:spPr>
    </xdr:pic>
    <xdr:clientData/>
  </xdr:oneCellAnchor>
  <xdr:oneCellAnchor>
    <xdr:from>
      <xdr:col>0</xdr:col>
      <xdr:colOff>66676</xdr:colOff>
      <xdr:row>1641</xdr:row>
      <xdr:rowOff>28574</xdr:rowOff>
    </xdr:from>
    <xdr:ext cx="1033158" cy="577093"/>
    <xdr:pic>
      <xdr:nvPicPr>
        <xdr:cNvPr id="58" name="Imagen 57">
          <a:extLst>
            <a:ext uri="{FF2B5EF4-FFF2-40B4-BE49-F238E27FC236}">
              <a16:creationId xmlns:a16="http://schemas.microsoft.com/office/drawing/2014/main" id="{00000000-0008-0000-0300-00003A000000}"/>
            </a:ext>
          </a:extLst>
        </xdr:cNvPr>
        <xdr:cNvPicPr>
          <a:picLocks noChangeAspect="1"/>
        </xdr:cNvPicPr>
      </xdr:nvPicPr>
      <xdr:blipFill>
        <a:blip xmlns:r="http://schemas.openxmlformats.org/officeDocument/2006/relationships" r:embed="rId1"/>
        <a:stretch>
          <a:fillRect/>
        </a:stretch>
      </xdr:blipFill>
      <xdr:spPr>
        <a:xfrm>
          <a:off x="66676" y="355892099"/>
          <a:ext cx="1033158" cy="577093"/>
        </a:xfrm>
        <a:prstGeom prst="rect">
          <a:avLst/>
        </a:prstGeom>
      </xdr:spPr>
    </xdr:pic>
    <xdr:clientData/>
  </xdr:oneCellAnchor>
  <xdr:oneCellAnchor>
    <xdr:from>
      <xdr:col>0</xdr:col>
      <xdr:colOff>66676</xdr:colOff>
      <xdr:row>1693</xdr:row>
      <xdr:rowOff>28574</xdr:rowOff>
    </xdr:from>
    <xdr:ext cx="1033158" cy="577093"/>
    <xdr:pic>
      <xdr:nvPicPr>
        <xdr:cNvPr id="59" name="Imagen 58">
          <a:extLst>
            <a:ext uri="{FF2B5EF4-FFF2-40B4-BE49-F238E27FC236}">
              <a16:creationId xmlns:a16="http://schemas.microsoft.com/office/drawing/2014/main" id="{00000000-0008-0000-0300-00003B000000}"/>
            </a:ext>
          </a:extLst>
        </xdr:cNvPr>
        <xdr:cNvPicPr>
          <a:picLocks noChangeAspect="1"/>
        </xdr:cNvPicPr>
      </xdr:nvPicPr>
      <xdr:blipFill>
        <a:blip xmlns:r="http://schemas.openxmlformats.org/officeDocument/2006/relationships" r:embed="rId1"/>
        <a:stretch>
          <a:fillRect/>
        </a:stretch>
      </xdr:blipFill>
      <xdr:spPr>
        <a:xfrm>
          <a:off x="66676" y="367312574"/>
          <a:ext cx="1033158" cy="577093"/>
        </a:xfrm>
        <a:prstGeom prst="rect">
          <a:avLst/>
        </a:prstGeom>
      </xdr:spPr>
    </xdr:pic>
    <xdr:clientData/>
  </xdr:oneCellAnchor>
  <xdr:oneCellAnchor>
    <xdr:from>
      <xdr:col>0</xdr:col>
      <xdr:colOff>66676</xdr:colOff>
      <xdr:row>1744</xdr:row>
      <xdr:rowOff>28574</xdr:rowOff>
    </xdr:from>
    <xdr:ext cx="1033158" cy="577093"/>
    <xdr:pic>
      <xdr:nvPicPr>
        <xdr:cNvPr id="60" name="Imagen 59">
          <a:extLst>
            <a:ext uri="{FF2B5EF4-FFF2-40B4-BE49-F238E27FC236}">
              <a16:creationId xmlns:a16="http://schemas.microsoft.com/office/drawing/2014/main" id="{00000000-0008-0000-0300-00003C000000}"/>
            </a:ext>
          </a:extLst>
        </xdr:cNvPr>
        <xdr:cNvPicPr>
          <a:picLocks noChangeAspect="1"/>
        </xdr:cNvPicPr>
      </xdr:nvPicPr>
      <xdr:blipFill>
        <a:blip xmlns:r="http://schemas.openxmlformats.org/officeDocument/2006/relationships" r:embed="rId1"/>
        <a:stretch>
          <a:fillRect/>
        </a:stretch>
      </xdr:blipFill>
      <xdr:spPr>
        <a:xfrm>
          <a:off x="66676" y="378923549"/>
          <a:ext cx="1033158" cy="577093"/>
        </a:xfrm>
        <a:prstGeom prst="rect">
          <a:avLst/>
        </a:prstGeom>
      </xdr:spPr>
    </xdr:pic>
    <xdr:clientData/>
  </xdr:oneCellAnchor>
  <xdr:oneCellAnchor>
    <xdr:from>
      <xdr:col>0</xdr:col>
      <xdr:colOff>66676</xdr:colOff>
      <xdr:row>4655</xdr:row>
      <xdr:rowOff>28574</xdr:rowOff>
    </xdr:from>
    <xdr:ext cx="1033158" cy="577093"/>
    <xdr:pic>
      <xdr:nvPicPr>
        <xdr:cNvPr id="61" name="Imagen 60">
          <a:extLst>
            <a:ext uri="{FF2B5EF4-FFF2-40B4-BE49-F238E27FC236}">
              <a16:creationId xmlns:a16="http://schemas.microsoft.com/office/drawing/2014/main" id="{00000000-0008-0000-0300-00003D000000}"/>
            </a:ext>
          </a:extLst>
        </xdr:cNvPr>
        <xdr:cNvPicPr>
          <a:picLocks noChangeAspect="1"/>
        </xdr:cNvPicPr>
      </xdr:nvPicPr>
      <xdr:blipFill>
        <a:blip xmlns:r="http://schemas.openxmlformats.org/officeDocument/2006/relationships" r:embed="rId1"/>
        <a:stretch>
          <a:fillRect/>
        </a:stretch>
      </xdr:blipFill>
      <xdr:spPr>
        <a:xfrm>
          <a:off x="66676" y="459438374"/>
          <a:ext cx="1033158" cy="577093"/>
        </a:xfrm>
        <a:prstGeom prst="rect">
          <a:avLst/>
        </a:prstGeom>
      </xdr:spPr>
    </xdr:pic>
    <xdr:clientData/>
  </xdr:oneCellAnchor>
  <xdr:oneCellAnchor>
    <xdr:from>
      <xdr:col>0</xdr:col>
      <xdr:colOff>66676</xdr:colOff>
      <xdr:row>4706</xdr:row>
      <xdr:rowOff>28574</xdr:rowOff>
    </xdr:from>
    <xdr:ext cx="1033158" cy="577093"/>
    <xdr:pic>
      <xdr:nvPicPr>
        <xdr:cNvPr id="62" name="Imagen 61">
          <a:extLst>
            <a:ext uri="{FF2B5EF4-FFF2-40B4-BE49-F238E27FC236}">
              <a16:creationId xmlns:a16="http://schemas.microsoft.com/office/drawing/2014/main" id="{00000000-0008-0000-0300-00003E000000}"/>
            </a:ext>
          </a:extLst>
        </xdr:cNvPr>
        <xdr:cNvPicPr>
          <a:picLocks noChangeAspect="1"/>
        </xdr:cNvPicPr>
      </xdr:nvPicPr>
      <xdr:blipFill>
        <a:blip xmlns:r="http://schemas.openxmlformats.org/officeDocument/2006/relationships" r:embed="rId1"/>
        <a:stretch>
          <a:fillRect/>
        </a:stretch>
      </xdr:blipFill>
      <xdr:spPr>
        <a:xfrm>
          <a:off x="66676" y="470858849"/>
          <a:ext cx="1033158" cy="577093"/>
        </a:xfrm>
        <a:prstGeom prst="rect">
          <a:avLst/>
        </a:prstGeom>
      </xdr:spPr>
    </xdr:pic>
    <xdr:clientData/>
  </xdr:oneCellAnchor>
  <xdr:oneCellAnchor>
    <xdr:from>
      <xdr:col>0</xdr:col>
      <xdr:colOff>66676</xdr:colOff>
      <xdr:row>4757</xdr:row>
      <xdr:rowOff>28574</xdr:rowOff>
    </xdr:from>
    <xdr:ext cx="1033158" cy="577093"/>
    <xdr:pic>
      <xdr:nvPicPr>
        <xdr:cNvPr id="63" name="Imagen 62">
          <a:extLst>
            <a:ext uri="{FF2B5EF4-FFF2-40B4-BE49-F238E27FC236}">
              <a16:creationId xmlns:a16="http://schemas.microsoft.com/office/drawing/2014/main" id="{00000000-0008-0000-0300-00003F000000}"/>
            </a:ext>
          </a:extLst>
        </xdr:cNvPr>
        <xdr:cNvPicPr>
          <a:picLocks noChangeAspect="1"/>
        </xdr:cNvPicPr>
      </xdr:nvPicPr>
      <xdr:blipFill>
        <a:blip xmlns:r="http://schemas.openxmlformats.org/officeDocument/2006/relationships" r:embed="rId1"/>
        <a:stretch>
          <a:fillRect/>
        </a:stretch>
      </xdr:blipFill>
      <xdr:spPr>
        <a:xfrm>
          <a:off x="66676" y="482279324"/>
          <a:ext cx="1033158" cy="577093"/>
        </a:xfrm>
        <a:prstGeom prst="rect">
          <a:avLst/>
        </a:prstGeom>
      </xdr:spPr>
    </xdr:pic>
    <xdr:clientData/>
  </xdr:oneCellAnchor>
  <xdr:oneCellAnchor>
    <xdr:from>
      <xdr:col>0</xdr:col>
      <xdr:colOff>66676</xdr:colOff>
      <xdr:row>6300</xdr:row>
      <xdr:rowOff>28574</xdr:rowOff>
    </xdr:from>
    <xdr:ext cx="1033158" cy="577093"/>
    <xdr:pic>
      <xdr:nvPicPr>
        <xdr:cNvPr id="64" name="Imagen 63">
          <a:extLst>
            <a:ext uri="{FF2B5EF4-FFF2-40B4-BE49-F238E27FC236}">
              <a16:creationId xmlns:a16="http://schemas.microsoft.com/office/drawing/2014/main" id="{00000000-0008-0000-0300-000040000000}"/>
            </a:ext>
          </a:extLst>
        </xdr:cNvPr>
        <xdr:cNvPicPr>
          <a:picLocks noChangeAspect="1"/>
        </xdr:cNvPicPr>
      </xdr:nvPicPr>
      <xdr:blipFill>
        <a:blip xmlns:r="http://schemas.openxmlformats.org/officeDocument/2006/relationships" r:embed="rId1"/>
        <a:stretch>
          <a:fillRect/>
        </a:stretch>
      </xdr:blipFill>
      <xdr:spPr>
        <a:xfrm>
          <a:off x="66676" y="586968599"/>
          <a:ext cx="1033158" cy="577093"/>
        </a:xfrm>
        <a:prstGeom prst="rect">
          <a:avLst/>
        </a:prstGeom>
      </xdr:spPr>
    </xdr:pic>
    <xdr:clientData/>
  </xdr:oneCellAnchor>
  <xdr:oneCellAnchor>
    <xdr:from>
      <xdr:col>0</xdr:col>
      <xdr:colOff>66676</xdr:colOff>
      <xdr:row>6351</xdr:row>
      <xdr:rowOff>28574</xdr:rowOff>
    </xdr:from>
    <xdr:ext cx="1033158" cy="577093"/>
    <xdr:pic>
      <xdr:nvPicPr>
        <xdr:cNvPr id="65" name="Imagen 64">
          <a:extLst>
            <a:ext uri="{FF2B5EF4-FFF2-40B4-BE49-F238E27FC236}">
              <a16:creationId xmlns:a16="http://schemas.microsoft.com/office/drawing/2014/main" id="{00000000-0008-0000-0300-000041000000}"/>
            </a:ext>
          </a:extLst>
        </xdr:cNvPr>
        <xdr:cNvPicPr>
          <a:picLocks noChangeAspect="1"/>
        </xdr:cNvPicPr>
      </xdr:nvPicPr>
      <xdr:blipFill>
        <a:blip xmlns:r="http://schemas.openxmlformats.org/officeDocument/2006/relationships" r:embed="rId1"/>
        <a:stretch>
          <a:fillRect/>
        </a:stretch>
      </xdr:blipFill>
      <xdr:spPr>
        <a:xfrm>
          <a:off x="66676" y="598579574"/>
          <a:ext cx="1033158" cy="577093"/>
        </a:xfrm>
        <a:prstGeom prst="rect">
          <a:avLst/>
        </a:prstGeom>
      </xdr:spPr>
    </xdr:pic>
    <xdr:clientData/>
  </xdr:oneCellAnchor>
  <xdr:oneCellAnchor>
    <xdr:from>
      <xdr:col>0</xdr:col>
      <xdr:colOff>66676</xdr:colOff>
      <xdr:row>6403</xdr:row>
      <xdr:rowOff>28574</xdr:rowOff>
    </xdr:from>
    <xdr:ext cx="1033158" cy="577093"/>
    <xdr:pic>
      <xdr:nvPicPr>
        <xdr:cNvPr id="66" name="Imagen 65">
          <a:extLst>
            <a:ext uri="{FF2B5EF4-FFF2-40B4-BE49-F238E27FC236}">
              <a16:creationId xmlns:a16="http://schemas.microsoft.com/office/drawing/2014/main" id="{00000000-0008-0000-0300-000042000000}"/>
            </a:ext>
          </a:extLst>
        </xdr:cNvPr>
        <xdr:cNvPicPr>
          <a:picLocks noChangeAspect="1"/>
        </xdr:cNvPicPr>
      </xdr:nvPicPr>
      <xdr:blipFill>
        <a:blip xmlns:r="http://schemas.openxmlformats.org/officeDocument/2006/relationships" r:embed="rId1"/>
        <a:stretch>
          <a:fillRect/>
        </a:stretch>
      </xdr:blipFill>
      <xdr:spPr>
        <a:xfrm>
          <a:off x="66676" y="610000049"/>
          <a:ext cx="1033158" cy="577093"/>
        </a:xfrm>
        <a:prstGeom prst="rect">
          <a:avLst/>
        </a:prstGeom>
      </xdr:spPr>
    </xdr:pic>
    <xdr:clientData/>
  </xdr:oneCellAnchor>
  <xdr:oneCellAnchor>
    <xdr:from>
      <xdr:col>0</xdr:col>
      <xdr:colOff>66676</xdr:colOff>
      <xdr:row>6455</xdr:row>
      <xdr:rowOff>28574</xdr:rowOff>
    </xdr:from>
    <xdr:ext cx="1033158" cy="577093"/>
    <xdr:pic>
      <xdr:nvPicPr>
        <xdr:cNvPr id="67" name="Imagen 66">
          <a:extLst>
            <a:ext uri="{FF2B5EF4-FFF2-40B4-BE49-F238E27FC236}">
              <a16:creationId xmlns:a16="http://schemas.microsoft.com/office/drawing/2014/main" id="{00000000-0008-0000-0300-000043000000}"/>
            </a:ext>
          </a:extLst>
        </xdr:cNvPr>
        <xdr:cNvPicPr>
          <a:picLocks noChangeAspect="1"/>
        </xdr:cNvPicPr>
      </xdr:nvPicPr>
      <xdr:blipFill>
        <a:blip xmlns:r="http://schemas.openxmlformats.org/officeDocument/2006/relationships" r:embed="rId1"/>
        <a:stretch>
          <a:fillRect/>
        </a:stretch>
      </xdr:blipFill>
      <xdr:spPr>
        <a:xfrm>
          <a:off x="66676" y="621591974"/>
          <a:ext cx="1033158" cy="577093"/>
        </a:xfrm>
        <a:prstGeom prst="rect">
          <a:avLst/>
        </a:prstGeom>
      </xdr:spPr>
    </xdr:pic>
    <xdr:clientData/>
  </xdr:oneCellAnchor>
  <xdr:oneCellAnchor>
    <xdr:from>
      <xdr:col>0</xdr:col>
      <xdr:colOff>66676</xdr:colOff>
      <xdr:row>6507</xdr:row>
      <xdr:rowOff>28574</xdr:rowOff>
    </xdr:from>
    <xdr:ext cx="1033158" cy="577093"/>
    <xdr:pic>
      <xdr:nvPicPr>
        <xdr:cNvPr id="68" name="Imagen 67">
          <a:extLst>
            <a:ext uri="{FF2B5EF4-FFF2-40B4-BE49-F238E27FC236}">
              <a16:creationId xmlns:a16="http://schemas.microsoft.com/office/drawing/2014/main" id="{00000000-0008-0000-0300-000044000000}"/>
            </a:ext>
          </a:extLst>
        </xdr:cNvPr>
        <xdr:cNvPicPr>
          <a:picLocks noChangeAspect="1"/>
        </xdr:cNvPicPr>
      </xdr:nvPicPr>
      <xdr:blipFill>
        <a:blip xmlns:r="http://schemas.openxmlformats.org/officeDocument/2006/relationships" r:embed="rId1"/>
        <a:stretch>
          <a:fillRect/>
        </a:stretch>
      </xdr:blipFill>
      <xdr:spPr>
        <a:xfrm>
          <a:off x="66676" y="633183899"/>
          <a:ext cx="1033158" cy="577093"/>
        </a:xfrm>
        <a:prstGeom prst="rect">
          <a:avLst/>
        </a:prstGeom>
      </xdr:spPr>
    </xdr:pic>
    <xdr:clientData/>
  </xdr:oneCellAnchor>
  <xdr:oneCellAnchor>
    <xdr:from>
      <xdr:col>0</xdr:col>
      <xdr:colOff>66676</xdr:colOff>
      <xdr:row>9245</xdr:row>
      <xdr:rowOff>28574</xdr:rowOff>
    </xdr:from>
    <xdr:ext cx="1033158" cy="577093"/>
    <xdr:pic>
      <xdr:nvPicPr>
        <xdr:cNvPr id="69" name="Imagen 68">
          <a:extLst>
            <a:ext uri="{FF2B5EF4-FFF2-40B4-BE49-F238E27FC236}">
              <a16:creationId xmlns:a16="http://schemas.microsoft.com/office/drawing/2014/main" id="{00000000-0008-0000-0300-000045000000}"/>
            </a:ext>
          </a:extLst>
        </xdr:cNvPr>
        <xdr:cNvPicPr>
          <a:picLocks noChangeAspect="1"/>
        </xdr:cNvPicPr>
      </xdr:nvPicPr>
      <xdr:blipFill>
        <a:blip xmlns:r="http://schemas.openxmlformats.org/officeDocument/2006/relationships" r:embed="rId1"/>
        <a:stretch>
          <a:fillRect/>
        </a:stretch>
      </xdr:blipFill>
      <xdr:spPr>
        <a:xfrm>
          <a:off x="66676" y="706050149"/>
          <a:ext cx="1033158" cy="577093"/>
        </a:xfrm>
        <a:prstGeom prst="rect">
          <a:avLst/>
        </a:prstGeom>
      </xdr:spPr>
    </xdr:pic>
    <xdr:clientData/>
  </xdr:oneCellAnchor>
  <xdr:oneCellAnchor>
    <xdr:from>
      <xdr:col>0</xdr:col>
      <xdr:colOff>66676</xdr:colOff>
      <xdr:row>9297</xdr:row>
      <xdr:rowOff>28574</xdr:rowOff>
    </xdr:from>
    <xdr:ext cx="1033158" cy="577093"/>
    <xdr:pic>
      <xdr:nvPicPr>
        <xdr:cNvPr id="70" name="Imagen 69">
          <a:extLst>
            <a:ext uri="{FF2B5EF4-FFF2-40B4-BE49-F238E27FC236}">
              <a16:creationId xmlns:a16="http://schemas.microsoft.com/office/drawing/2014/main" id="{00000000-0008-0000-0300-000046000000}"/>
            </a:ext>
          </a:extLst>
        </xdr:cNvPr>
        <xdr:cNvPicPr>
          <a:picLocks noChangeAspect="1"/>
        </xdr:cNvPicPr>
      </xdr:nvPicPr>
      <xdr:blipFill>
        <a:blip xmlns:r="http://schemas.openxmlformats.org/officeDocument/2006/relationships" r:embed="rId1"/>
        <a:stretch>
          <a:fillRect/>
        </a:stretch>
      </xdr:blipFill>
      <xdr:spPr>
        <a:xfrm>
          <a:off x="66676" y="718423124"/>
          <a:ext cx="1033158" cy="577093"/>
        </a:xfrm>
        <a:prstGeom prst="rect">
          <a:avLst/>
        </a:prstGeom>
      </xdr:spPr>
    </xdr:pic>
    <xdr:clientData/>
  </xdr:oneCellAnchor>
  <xdr:oneCellAnchor>
    <xdr:from>
      <xdr:col>0</xdr:col>
      <xdr:colOff>66676</xdr:colOff>
      <xdr:row>9349</xdr:row>
      <xdr:rowOff>28574</xdr:rowOff>
    </xdr:from>
    <xdr:ext cx="1033158" cy="577093"/>
    <xdr:pic>
      <xdr:nvPicPr>
        <xdr:cNvPr id="71" name="Imagen 70">
          <a:extLst>
            <a:ext uri="{FF2B5EF4-FFF2-40B4-BE49-F238E27FC236}">
              <a16:creationId xmlns:a16="http://schemas.microsoft.com/office/drawing/2014/main" id="{00000000-0008-0000-0300-000047000000}"/>
            </a:ext>
          </a:extLst>
        </xdr:cNvPr>
        <xdr:cNvPicPr>
          <a:picLocks noChangeAspect="1"/>
        </xdr:cNvPicPr>
      </xdr:nvPicPr>
      <xdr:blipFill>
        <a:blip xmlns:r="http://schemas.openxmlformats.org/officeDocument/2006/relationships" r:embed="rId1"/>
        <a:stretch>
          <a:fillRect/>
        </a:stretch>
      </xdr:blipFill>
      <xdr:spPr>
        <a:xfrm>
          <a:off x="66676" y="730034099"/>
          <a:ext cx="1033158" cy="577093"/>
        </a:xfrm>
        <a:prstGeom prst="rect">
          <a:avLst/>
        </a:prstGeom>
      </xdr:spPr>
    </xdr:pic>
    <xdr:clientData/>
  </xdr:oneCellAnchor>
  <xdr:oneCellAnchor>
    <xdr:from>
      <xdr:col>0</xdr:col>
      <xdr:colOff>66676</xdr:colOff>
      <xdr:row>9402</xdr:row>
      <xdr:rowOff>28574</xdr:rowOff>
    </xdr:from>
    <xdr:ext cx="1033158" cy="577093"/>
    <xdr:pic>
      <xdr:nvPicPr>
        <xdr:cNvPr id="72" name="Imagen 71">
          <a:extLst>
            <a:ext uri="{FF2B5EF4-FFF2-40B4-BE49-F238E27FC236}">
              <a16:creationId xmlns:a16="http://schemas.microsoft.com/office/drawing/2014/main" id="{00000000-0008-0000-0300-000048000000}"/>
            </a:ext>
          </a:extLst>
        </xdr:cNvPr>
        <xdr:cNvPicPr>
          <a:picLocks noChangeAspect="1"/>
        </xdr:cNvPicPr>
      </xdr:nvPicPr>
      <xdr:blipFill>
        <a:blip xmlns:r="http://schemas.openxmlformats.org/officeDocument/2006/relationships" r:embed="rId1"/>
        <a:stretch>
          <a:fillRect/>
        </a:stretch>
      </xdr:blipFill>
      <xdr:spPr>
        <a:xfrm>
          <a:off x="66676" y="741645074"/>
          <a:ext cx="1033158" cy="577093"/>
        </a:xfrm>
        <a:prstGeom prst="rect">
          <a:avLst/>
        </a:prstGeom>
      </xdr:spPr>
    </xdr:pic>
    <xdr:clientData/>
  </xdr:oneCellAnchor>
  <xdr:oneCellAnchor>
    <xdr:from>
      <xdr:col>0</xdr:col>
      <xdr:colOff>66676</xdr:colOff>
      <xdr:row>9454</xdr:row>
      <xdr:rowOff>28574</xdr:rowOff>
    </xdr:from>
    <xdr:ext cx="1033158" cy="577093"/>
    <xdr:pic>
      <xdr:nvPicPr>
        <xdr:cNvPr id="73" name="Imagen 72">
          <a:extLst>
            <a:ext uri="{FF2B5EF4-FFF2-40B4-BE49-F238E27FC236}">
              <a16:creationId xmlns:a16="http://schemas.microsoft.com/office/drawing/2014/main" id="{00000000-0008-0000-0300-000049000000}"/>
            </a:ext>
          </a:extLst>
        </xdr:cNvPr>
        <xdr:cNvPicPr>
          <a:picLocks noChangeAspect="1"/>
        </xdr:cNvPicPr>
      </xdr:nvPicPr>
      <xdr:blipFill>
        <a:blip xmlns:r="http://schemas.openxmlformats.org/officeDocument/2006/relationships" r:embed="rId1"/>
        <a:stretch>
          <a:fillRect/>
        </a:stretch>
      </xdr:blipFill>
      <xdr:spPr>
        <a:xfrm>
          <a:off x="66676" y="753446549"/>
          <a:ext cx="1033158" cy="577093"/>
        </a:xfrm>
        <a:prstGeom prst="rect">
          <a:avLst/>
        </a:prstGeom>
      </xdr:spPr>
    </xdr:pic>
    <xdr:clientData/>
  </xdr:oneCellAnchor>
  <xdr:oneCellAnchor>
    <xdr:from>
      <xdr:col>0</xdr:col>
      <xdr:colOff>66676</xdr:colOff>
      <xdr:row>9506</xdr:row>
      <xdr:rowOff>28574</xdr:rowOff>
    </xdr:from>
    <xdr:ext cx="1033158" cy="577093"/>
    <xdr:pic>
      <xdr:nvPicPr>
        <xdr:cNvPr id="74" name="Imagen 73">
          <a:extLst>
            <a:ext uri="{FF2B5EF4-FFF2-40B4-BE49-F238E27FC236}">
              <a16:creationId xmlns:a16="http://schemas.microsoft.com/office/drawing/2014/main" id="{00000000-0008-0000-0300-00004A000000}"/>
            </a:ext>
          </a:extLst>
        </xdr:cNvPr>
        <xdr:cNvPicPr>
          <a:picLocks noChangeAspect="1"/>
        </xdr:cNvPicPr>
      </xdr:nvPicPr>
      <xdr:blipFill>
        <a:blip xmlns:r="http://schemas.openxmlformats.org/officeDocument/2006/relationships" r:embed="rId1"/>
        <a:stretch>
          <a:fillRect/>
        </a:stretch>
      </xdr:blipFill>
      <xdr:spPr>
        <a:xfrm>
          <a:off x="66676" y="765057524"/>
          <a:ext cx="1033158" cy="577093"/>
        </a:xfrm>
        <a:prstGeom prst="rect">
          <a:avLst/>
        </a:prstGeom>
      </xdr:spPr>
    </xdr:pic>
    <xdr:clientData/>
  </xdr:oneCellAnchor>
  <xdr:oneCellAnchor>
    <xdr:from>
      <xdr:col>0</xdr:col>
      <xdr:colOff>66676</xdr:colOff>
      <xdr:row>1795</xdr:row>
      <xdr:rowOff>28574</xdr:rowOff>
    </xdr:from>
    <xdr:ext cx="1033158" cy="577093"/>
    <xdr:pic>
      <xdr:nvPicPr>
        <xdr:cNvPr id="75" name="Imagen 74">
          <a:extLst>
            <a:ext uri="{FF2B5EF4-FFF2-40B4-BE49-F238E27FC236}">
              <a16:creationId xmlns:a16="http://schemas.microsoft.com/office/drawing/2014/main" id="{00000000-0008-0000-0300-00004B000000}"/>
            </a:ext>
          </a:extLst>
        </xdr:cNvPr>
        <xdr:cNvPicPr>
          <a:picLocks noChangeAspect="1"/>
        </xdr:cNvPicPr>
      </xdr:nvPicPr>
      <xdr:blipFill>
        <a:blip xmlns:r="http://schemas.openxmlformats.org/officeDocument/2006/relationships" r:embed="rId1"/>
        <a:stretch>
          <a:fillRect/>
        </a:stretch>
      </xdr:blipFill>
      <xdr:spPr>
        <a:xfrm>
          <a:off x="66676" y="390344024"/>
          <a:ext cx="1033158" cy="577093"/>
        </a:xfrm>
        <a:prstGeom prst="rect">
          <a:avLst/>
        </a:prstGeom>
      </xdr:spPr>
    </xdr:pic>
    <xdr:clientData/>
  </xdr:oneCellAnchor>
  <xdr:oneCellAnchor>
    <xdr:from>
      <xdr:col>0</xdr:col>
      <xdr:colOff>66676</xdr:colOff>
      <xdr:row>1846</xdr:row>
      <xdr:rowOff>28574</xdr:rowOff>
    </xdr:from>
    <xdr:ext cx="1033158" cy="577093"/>
    <xdr:pic>
      <xdr:nvPicPr>
        <xdr:cNvPr id="76" name="Imagen 75">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1"/>
        <a:stretch>
          <a:fillRect/>
        </a:stretch>
      </xdr:blipFill>
      <xdr:spPr>
        <a:xfrm>
          <a:off x="66676" y="401764499"/>
          <a:ext cx="1033158" cy="577093"/>
        </a:xfrm>
        <a:prstGeom prst="rect">
          <a:avLst/>
        </a:prstGeom>
      </xdr:spPr>
    </xdr:pic>
    <xdr:clientData/>
  </xdr:oneCellAnchor>
  <xdr:oneCellAnchor>
    <xdr:from>
      <xdr:col>0</xdr:col>
      <xdr:colOff>66676</xdr:colOff>
      <xdr:row>1897</xdr:row>
      <xdr:rowOff>28574</xdr:rowOff>
    </xdr:from>
    <xdr:ext cx="1033158" cy="577093"/>
    <xdr:pic>
      <xdr:nvPicPr>
        <xdr:cNvPr id="77" name="Imagen 76">
          <a:extLst>
            <a:ext uri="{FF2B5EF4-FFF2-40B4-BE49-F238E27FC236}">
              <a16:creationId xmlns:a16="http://schemas.microsoft.com/office/drawing/2014/main" id="{00000000-0008-0000-0300-00004D000000}"/>
            </a:ext>
          </a:extLst>
        </xdr:cNvPr>
        <xdr:cNvPicPr>
          <a:picLocks noChangeAspect="1"/>
        </xdr:cNvPicPr>
      </xdr:nvPicPr>
      <xdr:blipFill>
        <a:blip xmlns:r="http://schemas.openxmlformats.org/officeDocument/2006/relationships" r:embed="rId1"/>
        <a:stretch>
          <a:fillRect/>
        </a:stretch>
      </xdr:blipFill>
      <xdr:spPr>
        <a:xfrm>
          <a:off x="66676" y="413184974"/>
          <a:ext cx="1033158" cy="577093"/>
        </a:xfrm>
        <a:prstGeom prst="rect">
          <a:avLst/>
        </a:prstGeom>
      </xdr:spPr>
    </xdr:pic>
    <xdr:clientData/>
  </xdr:oneCellAnchor>
  <xdr:oneCellAnchor>
    <xdr:from>
      <xdr:col>0</xdr:col>
      <xdr:colOff>66676</xdr:colOff>
      <xdr:row>1948</xdr:row>
      <xdr:rowOff>28574</xdr:rowOff>
    </xdr:from>
    <xdr:ext cx="1033158" cy="577093"/>
    <xdr:pic>
      <xdr:nvPicPr>
        <xdr:cNvPr id="78" name="Imagen 77">
          <a:extLst>
            <a:ext uri="{FF2B5EF4-FFF2-40B4-BE49-F238E27FC236}">
              <a16:creationId xmlns:a16="http://schemas.microsoft.com/office/drawing/2014/main" id="{00000000-0008-0000-0300-00004E000000}"/>
            </a:ext>
          </a:extLst>
        </xdr:cNvPr>
        <xdr:cNvPicPr>
          <a:picLocks noChangeAspect="1"/>
        </xdr:cNvPicPr>
      </xdr:nvPicPr>
      <xdr:blipFill>
        <a:blip xmlns:r="http://schemas.openxmlformats.org/officeDocument/2006/relationships" r:embed="rId1"/>
        <a:stretch>
          <a:fillRect/>
        </a:stretch>
      </xdr:blipFill>
      <xdr:spPr>
        <a:xfrm>
          <a:off x="66676" y="424605449"/>
          <a:ext cx="1033158" cy="577093"/>
        </a:xfrm>
        <a:prstGeom prst="rect">
          <a:avLst/>
        </a:prstGeom>
      </xdr:spPr>
    </xdr:pic>
    <xdr:clientData/>
  </xdr:oneCellAnchor>
  <xdr:oneCellAnchor>
    <xdr:from>
      <xdr:col>0</xdr:col>
      <xdr:colOff>66676</xdr:colOff>
      <xdr:row>1999</xdr:row>
      <xdr:rowOff>28574</xdr:rowOff>
    </xdr:from>
    <xdr:ext cx="1033158" cy="577093"/>
    <xdr:pic>
      <xdr:nvPicPr>
        <xdr:cNvPr id="79" name="Imagen 78">
          <a:extLst>
            <a:ext uri="{FF2B5EF4-FFF2-40B4-BE49-F238E27FC236}">
              <a16:creationId xmlns:a16="http://schemas.microsoft.com/office/drawing/2014/main" id="{00000000-0008-0000-0300-00004F000000}"/>
            </a:ext>
          </a:extLst>
        </xdr:cNvPr>
        <xdr:cNvPicPr>
          <a:picLocks noChangeAspect="1"/>
        </xdr:cNvPicPr>
      </xdr:nvPicPr>
      <xdr:blipFill>
        <a:blip xmlns:r="http://schemas.openxmlformats.org/officeDocument/2006/relationships" r:embed="rId1"/>
        <a:stretch>
          <a:fillRect/>
        </a:stretch>
      </xdr:blipFill>
      <xdr:spPr>
        <a:xfrm>
          <a:off x="66676" y="390344024"/>
          <a:ext cx="1033158" cy="577093"/>
        </a:xfrm>
        <a:prstGeom prst="rect">
          <a:avLst/>
        </a:prstGeom>
      </xdr:spPr>
    </xdr:pic>
    <xdr:clientData/>
  </xdr:oneCellAnchor>
  <xdr:oneCellAnchor>
    <xdr:from>
      <xdr:col>0</xdr:col>
      <xdr:colOff>66676</xdr:colOff>
      <xdr:row>2050</xdr:row>
      <xdr:rowOff>28574</xdr:rowOff>
    </xdr:from>
    <xdr:ext cx="1033158" cy="577093"/>
    <xdr:pic>
      <xdr:nvPicPr>
        <xdr:cNvPr id="80" name="Imagen 79">
          <a:extLst>
            <a:ext uri="{FF2B5EF4-FFF2-40B4-BE49-F238E27FC236}">
              <a16:creationId xmlns:a16="http://schemas.microsoft.com/office/drawing/2014/main" id="{00000000-0008-0000-0300-000050000000}"/>
            </a:ext>
          </a:extLst>
        </xdr:cNvPr>
        <xdr:cNvPicPr>
          <a:picLocks noChangeAspect="1"/>
        </xdr:cNvPicPr>
      </xdr:nvPicPr>
      <xdr:blipFill>
        <a:blip xmlns:r="http://schemas.openxmlformats.org/officeDocument/2006/relationships" r:embed="rId1"/>
        <a:stretch>
          <a:fillRect/>
        </a:stretch>
      </xdr:blipFill>
      <xdr:spPr>
        <a:xfrm>
          <a:off x="66676" y="447446399"/>
          <a:ext cx="1033158" cy="577093"/>
        </a:xfrm>
        <a:prstGeom prst="rect">
          <a:avLst/>
        </a:prstGeom>
      </xdr:spPr>
    </xdr:pic>
    <xdr:clientData/>
  </xdr:oneCellAnchor>
  <xdr:oneCellAnchor>
    <xdr:from>
      <xdr:col>0</xdr:col>
      <xdr:colOff>66676</xdr:colOff>
      <xdr:row>2101</xdr:row>
      <xdr:rowOff>28574</xdr:rowOff>
    </xdr:from>
    <xdr:ext cx="1033158" cy="577093"/>
    <xdr:pic>
      <xdr:nvPicPr>
        <xdr:cNvPr id="81" name="Imagen 80">
          <a:extLst>
            <a:ext uri="{FF2B5EF4-FFF2-40B4-BE49-F238E27FC236}">
              <a16:creationId xmlns:a16="http://schemas.microsoft.com/office/drawing/2014/main" id="{00000000-0008-0000-0300-000051000000}"/>
            </a:ext>
          </a:extLst>
        </xdr:cNvPr>
        <xdr:cNvPicPr>
          <a:picLocks noChangeAspect="1"/>
        </xdr:cNvPicPr>
      </xdr:nvPicPr>
      <xdr:blipFill>
        <a:blip xmlns:r="http://schemas.openxmlformats.org/officeDocument/2006/relationships" r:embed="rId1"/>
        <a:stretch>
          <a:fillRect/>
        </a:stretch>
      </xdr:blipFill>
      <xdr:spPr>
        <a:xfrm>
          <a:off x="66676" y="458866874"/>
          <a:ext cx="1033158" cy="577093"/>
        </a:xfrm>
        <a:prstGeom prst="rect">
          <a:avLst/>
        </a:prstGeom>
      </xdr:spPr>
    </xdr:pic>
    <xdr:clientData/>
  </xdr:oneCellAnchor>
  <xdr:oneCellAnchor>
    <xdr:from>
      <xdr:col>0</xdr:col>
      <xdr:colOff>66676</xdr:colOff>
      <xdr:row>2152</xdr:row>
      <xdr:rowOff>28574</xdr:rowOff>
    </xdr:from>
    <xdr:ext cx="1033158" cy="577093"/>
    <xdr:pic>
      <xdr:nvPicPr>
        <xdr:cNvPr id="82" name="Imagen 81">
          <a:extLst>
            <a:ext uri="{FF2B5EF4-FFF2-40B4-BE49-F238E27FC236}">
              <a16:creationId xmlns:a16="http://schemas.microsoft.com/office/drawing/2014/main" id="{00000000-0008-0000-0300-000052000000}"/>
            </a:ext>
          </a:extLst>
        </xdr:cNvPr>
        <xdr:cNvPicPr>
          <a:picLocks noChangeAspect="1"/>
        </xdr:cNvPicPr>
      </xdr:nvPicPr>
      <xdr:blipFill>
        <a:blip xmlns:r="http://schemas.openxmlformats.org/officeDocument/2006/relationships" r:embed="rId1"/>
        <a:stretch>
          <a:fillRect/>
        </a:stretch>
      </xdr:blipFill>
      <xdr:spPr>
        <a:xfrm>
          <a:off x="66676" y="115052474"/>
          <a:ext cx="1033158" cy="577093"/>
        </a:xfrm>
        <a:prstGeom prst="rect">
          <a:avLst/>
        </a:prstGeom>
      </xdr:spPr>
    </xdr:pic>
    <xdr:clientData/>
  </xdr:oneCellAnchor>
  <xdr:oneCellAnchor>
    <xdr:from>
      <xdr:col>0</xdr:col>
      <xdr:colOff>66676</xdr:colOff>
      <xdr:row>2204</xdr:row>
      <xdr:rowOff>28574</xdr:rowOff>
    </xdr:from>
    <xdr:ext cx="1033158" cy="577093"/>
    <xdr:pic>
      <xdr:nvPicPr>
        <xdr:cNvPr id="84" name="Imagen 83">
          <a:extLst>
            <a:ext uri="{FF2B5EF4-FFF2-40B4-BE49-F238E27FC236}">
              <a16:creationId xmlns:a16="http://schemas.microsoft.com/office/drawing/2014/main" id="{00000000-0008-0000-0300-000054000000}"/>
            </a:ext>
          </a:extLst>
        </xdr:cNvPr>
        <xdr:cNvPicPr>
          <a:picLocks noChangeAspect="1"/>
        </xdr:cNvPicPr>
      </xdr:nvPicPr>
      <xdr:blipFill>
        <a:blip xmlns:r="http://schemas.openxmlformats.org/officeDocument/2006/relationships" r:embed="rId1"/>
        <a:stretch>
          <a:fillRect/>
        </a:stretch>
      </xdr:blipFill>
      <xdr:spPr>
        <a:xfrm>
          <a:off x="66676" y="137893424"/>
          <a:ext cx="1033158" cy="577093"/>
        </a:xfrm>
        <a:prstGeom prst="rect">
          <a:avLst/>
        </a:prstGeom>
      </xdr:spPr>
    </xdr:pic>
    <xdr:clientData/>
  </xdr:oneCellAnchor>
  <xdr:oneCellAnchor>
    <xdr:from>
      <xdr:col>0</xdr:col>
      <xdr:colOff>66676</xdr:colOff>
      <xdr:row>9190</xdr:row>
      <xdr:rowOff>28574</xdr:rowOff>
    </xdr:from>
    <xdr:ext cx="1033158" cy="577093"/>
    <xdr:pic>
      <xdr:nvPicPr>
        <xdr:cNvPr id="85" name="Imagen 84">
          <a:extLst>
            <a:ext uri="{FF2B5EF4-FFF2-40B4-BE49-F238E27FC236}">
              <a16:creationId xmlns:a16="http://schemas.microsoft.com/office/drawing/2014/main" id="{00000000-0008-0000-0300-000055000000}"/>
            </a:ext>
          </a:extLst>
        </xdr:cNvPr>
        <xdr:cNvPicPr>
          <a:picLocks noChangeAspect="1"/>
        </xdr:cNvPicPr>
      </xdr:nvPicPr>
      <xdr:blipFill>
        <a:blip xmlns:r="http://schemas.openxmlformats.org/officeDocument/2006/relationships" r:embed="rId1"/>
        <a:stretch>
          <a:fillRect/>
        </a:stretch>
      </xdr:blipFill>
      <xdr:spPr>
        <a:xfrm>
          <a:off x="66676" y="809405924"/>
          <a:ext cx="1033158" cy="577093"/>
        </a:xfrm>
        <a:prstGeom prst="rect">
          <a:avLst/>
        </a:prstGeom>
      </xdr:spPr>
    </xdr:pic>
    <xdr:clientData/>
  </xdr:oneCellAnchor>
  <xdr:oneCellAnchor>
    <xdr:from>
      <xdr:col>0</xdr:col>
      <xdr:colOff>66676</xdr:colOff>
      <xdr:row>8391</xdr:row>
      <xdr:rowOff>28574</xdr:rowOff>
    </xdr:from>
    <xdr:ext cx="1033158" cy="577093"/>
    <xdr:pic>
      <xdr:nvPicPr>
        <xdr:cNvPr id="83" name="Imagen 82">
          <a:extLst>
            <a:ext uri="{FF2B5EF4-FFF2-40B4-BE49-F238E27FC236}">
              <a16:creationId xmlns:a16="http://schemas.microsoft.com/office/drawing/2014/main" id="{00000000-0008-0000-0300-000053000000}"/>
            </a:ext>
          </a:extLst>
        </xdr:cNvPr>
        <xdr:cNvPicPr>
          <a:picLocks noChangeAspect="1"/>
        </xdr:cNvPicPr>
      </xdr:nvPicPr>
      <xdr:blipFill>
        <a:blip xmlns:r="http://schemas.openxmlformats.org/officeDocument/2006/relationships" r:embed="rId1"/>
        <a:stretch>
          <a:fillRect/>
        </a:stretch>
      </xdr:blipFill>
      <xdr:spPr>
        <a:xfrm>
          <a:off x="66676" y="760485524"/>
          <a:ext cx="1033158" cy="577093"/>
        </a:xfrm>
        <a:prstGeom prst="rect">
          <a:avLst/>
        </a:prstGeom>
      </xdr:spPr>
    </xdr:pic>
    <xdr:clientData/>
  </xdr:oneCellAnchor>
  <xdr:oneCellAnchor>
    <xdr:from>
      <xdr:col>0</xdr:col>
      <xdr:colOff>66676</xdr:colOff>
      <xdr:row>8438</xdr:row>
      <xdr:rowOff>28574</xdr:rowOff>
    </xdr:from>
    <xdr:ext cx="1033158" cy="577093"/>
    <xdr:pic>
      <xdr:nvPicPr>
        <xdr:cNvPr id="86" name="Imagen 85">
          <a:extLst>
            <a:ext uri="{FF2B5EF4-FFF2-40B4-BE49-F238E27FC236}">
              <a16:creationId xmlns:a16="http://schemas.microsoft.com/office/drawing/2014/main" id="{00000000-0008-0000-0300-000056000000}"/>
            </a:ext>
          </a:extLst>
        </xdr:cNvPr>
        <xdr:cNvPicPr>
          <a:picLocks noChangeAspect="1"/>
        </xdr:cNvPicPr>
      </xdr:nvPicPr>
      <xdr:blipFill>
        <a:blip xmlns:r="http://schemas.openxmlformats.org/officeDocument/2006/relationships" r:embed="rId1"/>
        <a:stretch>
          <a:fillRect/>
        </a:stretch>
      </xdr:blipFill>
      <xdr:spPr>
        <a:xfrm>
          <a:off x="66676" y="772667999"/>
          <a:ext cx="1033158" cy="577093"/>
        </a:xfrm>
        <a:prstGeom prst="rect">
          <a:avLst/>
        </a:prstGeom>
      </xdr:spPr>
    </xdr:pic>
    <xdr:clientData/>
  </xdr:oneCellAnchor>
  <xdr:oneCellAnchor>
    <xdr:from>
      <xdr:col>0</xdr:col>
      <xdr:colOff>66676</xdr:colOff>
      <xdr:row>2255</xdr:row>
      <xdr:rowOff>28574</xdr:rowOff>
    </xdr:from>
    <xdr:ext cx="1033158" cy="577093"/>
    <xdr:pic>
      <xdr:nvPicPr>
        <xdr:cNvPr id="87" name="Imagen 86">
          <a:extLst>
            <a:ext uri="{FF2B5EF4-FFF2-40B4-BE49-F238E27FC236}">
              <a16:creationId xmlns:a16="http://schemas.microsoft.com/office/drawing/2014/main" id="{00000000-0008-0000-0300-000057000000}"/>
            </a:ext>
          </a:extLst>
        </xdr:cNvPr>
        <xdr:cNvPicPr>
          <a:picLocks noChangeAspect="1"/>
        </xdr:cNvPicPr>
      </xdr:nvPicPr>
      <xdr:blipFill>
        <a:blip xmlns:r="http://schemas.openxmlformats.org/officeDocument/2006/relationships" r:embed="rId1"/>
        <a:stretch>
          <a:fillRect/>
        </a:stretch>
      </xdr:blipFill>
      <xdr:spPr>
        <a:xfrm>
          <a:off x="66676" y="493318799"/>
          <a:ext cx="1033158" cy="577093"/>
        </a:xfrm>
        <a:prstGeom prst="rect">
          <a:avLst/>
        </a:prstGeom>
      </xdr:spPr>
    </xdr:pic>
    <xdr:clientData/>
  </xdr:oneCellAnchor>
  <xdr:oneCellAnchor>
    <xdr:from>
      <xdr:col>0</xdr:col>
      <xdr:colOff>66676</xdr:colOff>
      <xdr:row>2306</xdr:row>
      <xdr:rowOff>28574</xdr:rowOff>
    </xdr:from>
    <xdr:ext cx="1033158" cy="577093"/>
    <xdr:pic>
      <xdr:nvPicPr>
        <xdr:cNvPr id="88" name="Imagen 87">
          <a:extLst>
            <a:ext uri="{FF2B5EF4-FFF2-40B4-BE49-F238E27FC236}">
              <a16:creationId xmlns:a16="http://schemas.microsoft.com/office/drawing/2014/main" id="{00000000-0008-0000-0300-000058000000}"/>
            </a:ext>
          </a:extLst>
        </xdr:cNvPr>
        <xdr:cNvPicPr>
          <a:picLocks noChangeAspect="1"/>
        </xdr:cNvPicPr>
      </xdr:nvPicPr>
      <xdr:blipFill>
        <a:blip xmlns:r="http://schemas.openxmlformats.org/officeDocument/2006/relationships" r:embed="rId1"/>
        <a:stretch>
          <a:fillRect/>
        </a:stretch>
      </xdr:blipFill>
      <xdr:spPr>
        <a:xfrm>
          <a:off x="66676" y="504739274"/>
          <a:ext cx="1033158" cy="577093"/>
        </a:xfrm>
        <a:prstGeom prst="rect">
          <a:avLst/>
        </a:prstGeom>
      </xdr:spPr>
    </xdr:pic>
    <xdr:clientData/>
  </xdr:oneCellAnchor>
  <xdr:oneCellAnchor>
    <xdr:from>
      <xdr:col>0</xdr:col>
      <xdr:colOff>66676</xdr:colOff>
      <xdr:row>2357</xdr:row>
      <xdr:rowOff>28574</xdr:rowOff>
    </xdr:from>
    <xdr:ext cx="1033158" cy="577093"/>
    <xdr:pic>
      <xdr:nvPicPr>
        <xdr:cNvPr id="89" name="Imagen 88">
          <a:extLst>
            <a:ext uri="{FF2B5EF4-FFF2-40B4-BE49-F238E27FC236}">
              <a16:creationId xmlns:a16="http://schemas.microsoft.com/office/drawing/2014/main" id="{00000000-0008-0000-0300-000059000000}"/>
            </a:ext>
          </a:extLst>
        </xdr:cNvPr>
        <xdr:cNvPicPr>
          <a:picLocks noChangeAspect="1"/>
        </xdr:cNvPicPr>
      </xdr:nvPicPr>
      <xdr:blipFill>
        <a:blip xmlns:r="http://schemas.openxmlformats.org/officeDocument/2006/relationships" r:embed="rId1"/>
        <a:stretch>
          <a:fillRect/>
        </a:stretch>
      </xdr:blipFill>
      <xdr:spPr>
        <a:xfrm>
          <a:off x="66676" y="516159749"/>
          <a:ext cx="1033158" cy="577093"/>
        </a:xfrm>
        <a:prstGeom prst="rect">
          <a:avLst/>
        </a:prstGeom>
      </xdr:spPr>
    </xdr:pic>
    <xdr:clientData/>
  </xdr:oneCellAnchor>
  <xdr:oneCellAnchor>
    <xdr:from>
      <xdr:col>0</xdr:col>
      <xdr:colOff>66676</xdr:colOff>
      <xdr:row>2408</xdr:row>
      <xdr:rowOff>28574</xdr:rowOff>
    </xdr:from>
    <xdr:ext cx="1033158" cy="577093"/>
    <xdr:pic>
      <xdr:nvPicPr>
        <xdr:cNvPr id="90" name="Imagen 89">
          <a:extLst>
            <a:ext uri="{FF2B5EF4-FFF2-40B4-BE49-F238E27FC236}">
              <a16:creationId xmlns:a16="http://schemas.microsoft.com/office/drawing/2014/main" id="{00000000-0008-0000-0300-00005A000000}"/>
            </a:ext>
          </a:extLst>
        </xdr:cNvPr>
        <xdr:cNvPicPr>
          <a:picLocks noChangeAspect="1"/>
        </xdr:cNvPicPr>
      </xdr:nvPicPr>
      <xdr:blipFill>
        <a:blip xmlns:r="http://schemas.openxmlformats.org/officeDocument/2006/relationships" r:embed="rId1"/>
        <a:stretch>
          <a:fillRect/>
        </a:stretch>
      </xdr:blipFill>
      <xdr:spPr>
        <a:xfrm>
          <a:off x="66676" y="527580224"/>
          <a:ext cx="1033158" cy="577093"/>
        </a:xfrm>
        <a:prstGeom prst="rect">
          <a:avLst/>
        </a:prstGeom>
      </xdr:spPr>
    </xdr:pic>
    <xdr:clientData/>
  </xdr:oneCellAnchor>
  <xdr:oneCellAnchor>
    <xdr:from>
      <xdr:col>0</xdr:col>
      <xdr:colOff>66676</xdr:colOff>
      <xdr:row>4808</xdr:row>
      <xdr:rowOff>28574</xdr:rowOff>
    </xdr:from>
    <xdr:ext cx="1033158" cy="577093"/>
    <xdr:pic>
      <xdr:nvPicPr>
        <xdr:cNvPr id="91" name="Imagen 90">
          <a:extLst>
            <a:ext uri="{FF2B5EF4-FFF2-40B4-BE49-F238E27FC236}">
              <a16:creationId xmlns:a16="http://schemas.microsoft.com/office/drawing/2014/main" id="{00000000-0008-0000-0300-00005B000000}"/>
            </a:ext>
          </a:extLst>
        </xdr:cNvPr>
        <xdr:cNvPicPr>
          <a:picLocks noChangeAspect="1"/>
        </xdr:cNvPicPr>
      </xdr:nvPicPr>
      <xdr:blipFill>
        <a:blip xmlns:r="http://schemas.openxmlformats.org/officeDocument/2006/relationships" r:embed="rId1"/>
        <a:stretch>
          <a:fillRect/>
        </a:stretch>
      </xdr:blipFill>
      <xdr:spPr>
        <a:xfrm>
          <a:off x="66676" y="642356474"/>
          <a:ext cx="1033158" cy="577093"/>
        </a:xfrm>
        <a:prstGeom prst="rect">
          <a:avLst/>
        </a:prstGeom>
      </xdr:spPr>
    </xdr:pic>
    <xdr:clientData/>
  </xdr:oneCellAnchor>
  <xdr:oneCellAnchor>
    <xdr:from>
      <xdr:col>0</xdr:col>
      <xdr:colOff>66676</xdr:colOff>
      <xdr:row>4859</xdr:row>
      <xdr:rowOff>28574</xdr:rowOff>
    </xdr:from>
    <xdr:ext cx="1033158" cy="577093"/>
    <xdr:pic>
      <xdr:nvPicPr>
        <xdr:cNvPr id="92" name="Imagen 91">
          <a:extLst>
            <a:ext uri="{FF2B5EF4-FFF2-40B4-BE49-F238E27FC236}">
              <a16:creationId xmlns:a16="http://schemas.microsoft.com/office/drawing/2014/main" id="{00000000-0008-0000-0300-00005C000000}"/>
            </a:ext>
          </a:extLst>
        </xdr:cNvPr>
        <xdr:cNvPicPr>
          <a:picLocks noChangeAspect="1"/>
        </xdr:cNvPicPr>
      </xdr:nvPicPr>
      <xdr:blipFill>
        <a:blip xmlns:r="http://schemas.openxmlformats.org/officeDocument/2006/relationships" r:embed="rId1"/>
        <a:stretch>
          <a:fillRect/>
        </a:stretch>
      </xdr:blipFill>
      <xdr:spPr>
        <a:xfrm>
          <a:off x="66676" y="596484074"/>
          <a:ext cx="1033158" cy="577093"/>
        </a:xfrm>
        <a:prstGeom prst="rect">
          <a:avLst/>
        </a:prstGeom>
      </xdr:spPr>
    </xdr:pic>
    <xdr:clientData/>
  </xdr:oneCellAnchor>
  <xdr:oneCellAnchor>
    <xdr:from>
      <xdr:col>0</xdr:col>
      <xdr:colOff>66676</xdr:colOff>
      <xdr:row>4910</xdr:row>
      <xdr:rowOff>28574</xdr:rowOff>
    </xdr:from>
    <xdr:ext cx="1033158" cy="577093"/>
    <xdr:pic>
      <xdr:nvPicPr>
        <xdr:cNvPr id="93" name="Imagen 92">
          <a:extLst>
            <a:ext uri="{FF2B5EF4-FFF2-40B4-BE49-F238E27FC236}">
              <a16:creationId xmlns:a16="http://schemas.microsoft.com/office/drawing/2014/main" id="{00000000-0008-0000-0300-00005D000000}"/>
            </a:ext>
          </a:extLst>
        </xdr:cNvPr>
        <xdr:cNvPicPr>
          <a:picLocks noChangeAspect="1"/>
        </xdr:cNvPicPr>
      </xdr:nvPicPr>
      <xdr:blipFill>
        <a:blip xmlns:r="http://schemas.openxmlformats.org/officeDocument/2006/relationships" r:embed="rId1"/>
        <a:stretch>
          <a:fillRect/>
        </a:stretch>
      </xdr:blipFill>
      <xdr:spPr>
        <a:xfrm>
          <a:off x="66676" y="665197424"/>
          <a:ext cx="1033158" cy="577093"/>
        </a:xfrm>
        <a:prstGeom prst="rect">
          <a:avLst/>
        </a:prstGeom>
      </xdr:spPr>
    </xdr:pic>
    <xdr:clientData/>
  </xdr:oneCellAnchor>
  <xdr:oneCellAnchor>
    <xdr:from>
      <xdr:col>0</xdr:col>
      <xdr:colOff>66676</xdr:colOff>
      <xdr:row>6559</xdr:row>
      <xdr:rowOff>28574</xdr:rowOff>
    </xdr:from>
    <xdr:ext cx="1033158" cy="577093"/>
    <xdr:pic>
      <xdr:nvPicPr>
        <xdr:cNvPr id="94" name="Imagen 93">
          <a:extLst>
            <a:ext uri="{FF2B5EF4-FFF2-40B4-BE49-F238E27FC236}">
              <a16:creationId xmlns:a16="http://schemas.microsoft.com/office/drawing/2014/main" id="{00000000-0008-0000-0300-00005E000000}"/>
            </a:ext>
          </a:extLst>
        </xdr:cNvPr>
        <xdr:cNvPicPr>
          <a:picLocks noChangeAspect="1"/>
        </xdr:cNvPicPr>
      </xdr:nvPicPr>
      <xdr:blipFill>
        <a:blip xmlns:r="http://schemas.openxmlformats.org/officeDocument/2006/relationships" r:embed="rId1"/>
        <a:stretch>
          <a:fillRect/>
        </a:stretch>
      </xdr:blipFill>
      <xdr:spPr>
        <a:xfrm>
          <a:off x="66676" y="746474249"/>
          <a:ext cx="1033158" cy="577093"/>
        </a:xfrm>
        <a:prstGeom prst="rect">
          <a:avLst/>
        </a:prstGeom>
      </xdr:spPr>
    </xdr:pic>
    <xdr:clientData/>
  </xdr:oneCellAnchor>
  <xdr:oneCellAnchor>
    <xdr:from>
      <xdr:col>0</xdr:col>
      <xdr:colOff>66676</xdr:colOff>
      <xdr:row>6611</xdr:row>
      <xdr:rowOff>28574</xdr:rowOff>
    </xdr:from>
    <xdr:ext cx="1033158" cy="577093"/>
    <xdr:pic>
      <xdr:nvPicPr>
        <xdr:cNvPr id="95" name="Imagen 94">
          <a:extLst>
            <a:ext uri="{FF2B5EF4-FFF2-40B4-BE49-F238E27FC236}">
              <a16:creationId xmlns:a16="http://schemas.microsoft.com/office/drawing/2014/main" id="{00000000-0008-0000-0300-00005F000000}"/>
            </a:ext>
          </a:extLst>
        </xdr:cNvPr>
        <xdr:cNvPicPr>
          <a:picLocks noChangeAspect="1"/>
        </xdr:cNvPicPr>
      </xdr:nvPicPr>
      <xdr:blipFill>
        <a:blip xmlns:r="http://schemas.openxmlformats.org/officeDocument/2006/relationships" r:embed="rId1"/>
        <a:stretch>
          <a:fillRect/>
        </a:stretch>
      </xdr:blipFill>
      <xdr:spPr>
        <a:xfrm>
          <a:off x="66676" y="839095349"/>
          <a:ext cx="1033158" cy="577093"/>
        </a:xfrm>
        <a:prstGeom prst="rect">
          <a:avLst/>
        </a:prstGeom>
      </xdr:spPr>
    </xdr:pic>
    <xdr:clientData/>
  </xdr:oneCellAnchor>
  <xdr:oneCellAnchor>
    <xdr:from>
      <xdr:col>0</xdr:col>
      <xdr:colOff>66676</xdr:colOff>
      <xdr:row>6663</xdr:row>
      <xdr:rowOff>28574</xdr:rowOff>
    </xdr:from>
    <xdr:ext cx="1033158" cy="577093"/>
    <xdr:pic>
      <xdr:nvPicPr>
        <xdr:cNvPr id="96" name="Imagen 95">
          <a:extLst>
            <a:ext uri="{FF2B5EF4-FFF2-40B4-BE49-F238E27FC236}">
              <a16:creationId xmlns:a16="http://schemas.microsoft.com/office/drawing/2014/main" id="{00000000-0008-0000-0300-000060000000}"/>
            </a:ext>
          </a:extLst>
        </xdr:cNvPr>
        <xdr:cNvPicPr>
          <a:picLocks noChangeAspect="1"/>
        </xdr:cNvPicPr>
      </xdr:nvPicPr>
      <xdr:blipFill>
        <a:blip xmlns:r="http://schemas.openxmlformats.org/officeDocument/2006/relationships" r:embed="rId1"/>
        <a:stretch>
          <a:fillRect/>
        </a:stretch>
      </xdr:blipFill>
      <xdr:spPr>
        <a:xfrm>
          <a:off x="66676" y="850706324"/>
          <a:ext cx="1033158" cy="577093"/>
        </a:xfrm>
        <a:prstGeom prst="rect">
          <a:avLst/>
        </a:prstGeom>
      </xdr:spPr>
    </xdr:pic>
    <xdr:clientData/>
  </xdr:oneCellAnchor>
  <xdr:oneCellAnchor>
    <xdr:from>
      <xdr:col>0</xdr:col>
      <xdr:colOff>66676</xdr:colOff>
      <xdr:row>8485</xdr:row>
      <xdr:rowOff>28574</xdr:rowOff>
    </xdr:from>
    <xdr:ext cx="1033158" cy="577093"/>
    <xdr:pic>
      <xdr:nvPicPr>
        <xdr:cNvPr id="97" name="Imagen 96">
          <a:extLst>
            <a:ext uri="{FF2B5EF4-FFF2-40B4-BE49-F238E27FC236}">
              <a16:creationId xmlns:a16="http://schemas.microsoft.com/office/drawing/2014/main" id="{00000000-0008-0000-0300-000061000000}"/>
            </a:ext>
          </a:extLst>
        </xdr:cNvPr>
        <xdr:cNvPicPr>
          <a:picLocks noChangeAspect="1"/>
        </xdr:cNvPicPr>
      </xdr:nvPicPr>
      <xdr:blipFill>
        <a:blip xmlns:r="http://schemas.openxmlformats.org/officeDocument/2006/relationships" r:embed="rId1"/>
        <a:stretch>
          <a:fillRect/>
        </a:stretch>
      </xdr:blipFill>
      <xdr:spPr>
        <a:xfrm>
          <a:off x="66676" y="874118774"/>
          <a:ext cx="1033158" cy="577093"/>
        </a:xfrm>
        <a:prstGeom prst="rect">
          <a:avLst/>
        </a:prstGeom>
      </xdr:spPr>
    </xdr:pic>
    <xdr:clientData/>
  </xdr:oneCellAnchor>
  <xdr:oneCellAnchor>
    <xdr:from>
      <xdr:col>0</xdr:col>
      <xdr:colOff>66676</xdr:colOff>
      <xdr:row>8540</xdr:row>
      <xdr:rowOff>28574</xdr:rowOff>
    </xdr:from>
    <xdr:ext cx="1033158" cy="577093"/>
    <xdr:pic>
      <xdr:nvPicPr>
        <xdr:cNvPr id="98" name="Imagen 97">
          <a:extLst>
            <a:ext uri="{FF2B5EF4-FFF2-40B4-BE49-F238E27FC236}">
              <a16:creationId xmlns:a16="http://schemas.microsoft.com/office/drawing/2014/main" id="{00000000-0008-0000-0300-000062000000}"/>
            </a:ext>
          </a:extLst>
        </xdr:cNvPr>
        <xdr:cNvPicPr>
          <a:picLocks noChangeAspect="1"/>
        </xdr:cNvPicPr>
      </xdr:nvPicPr>
      <xdr:blipFill>
        <a:blip xmlns:r="http://schemas.openxmlformats.org/officeDocument/2006/relationships" r:embed="rId1"/>
        <a:stretch>
          <a:fillRect/>
        </a:stretch>
      </xdr:blipFill>
      <xdr:spPr>
        <a:xfrm>
          <a:off x="66676" y="907446749"/>
          <a:ext cx="1033158" cy="577093"/>
        </a:xfrm>
        <a:prstGeom prst="rect">
          <a:avLst/>
        </a:prstGeom>
      </xdr:spPr>
    </xdr:pic>
    <xdr:clientData/>
  </xdr:oneCellAnchor>
  <xdr:oneCellAnchor>
    <xdr:from>
      <xdr:col>0</xdr:col>
      <xdr:colOff>66676</xdr:colOff>
      <xdr:row>8595</xdr:row>
      <xdr:rowOff>28574</xdr:rowOff>
    </xdr:from>
    <xdr:ext cx="1033158" cy="577093"/>
    <xdr:pic>
      <xdr:nvPicPr>
        <xdr:cNvPr id="99" name="Imagen 98">
          <a:extLst>
            <a:ext uri="{FF2B5EF4-FFF2-40B4-BE49-F238E27FC236}">
              <a16:creationId xmlns:a16="http://schemas.microsoft.com/office/drawing/2014/main" id="{00000000-0008-0000-0300-000063000000}"/>
            </a:ext>
          </a:extLst>
        </xdr:cNvPr>
        <xdr:cNvPicPr>
          <a:picLocks noChangeAspect="1"/>
        </xdr:cNvPicPr>
      </xdr:nvPicPr>
      <xdr:blipFill>
        <a:blip xmlns:r="http://schemas.openxmlformats.org/officeDocument/2006/relationships" r:embed="rId1"/>
        <a:stretch>
          <a:fillRect/>
        </a:stretch>
      </xdr:blipFill>
      <xdr:spPr>
        <a:xfrm>
          <a:off x="66676" y="919629224"/>
          <a:ext cx="1033158" cy="577093"/>
        </a:xfrm>
        <a:prstGeom prst="rect">
          <a:avLst/>
        </a:prstGeom>
      </xdr:spPr>
    </xdr:pic>
    <xdr:clientData/>
  </xdr:oneCellAnchor>
  <xdr:oneCellAnchor>
    <xdr:from>
      <xdr:col>0</xdr:col>
      <xdr:colOff>66676</xdr:colOff>
      <xdr:row>2459</xdr:row>
      <xdr:rowOff>28574</xdr:rowOff>
    </xdr:from>
    <xdr:ext cx="1033158" cy="577093"/>
    <xdr:pic>
      <xdr:nvPicPr>
        <xdr:cNvPr id="100" name="Imagen 99">
          <a:extLst>
            <a:ext uri="{FF2B5EF4-FFF2-40B4-BE49-F238E27FC236}">
              <a16:creationId xmlns:a16="http://schemas.microsoft.com/office/drawing/2014/main" id="{00000000-0008-0000-0300-000064000000}"/>
            </a:ext>
          </a:extLst>
        </xdr:cNvPr>
        <xdr:cNvPicPr>
          <a:picLocks noChangeAspect="1"/>
        </xdr:cNvPicPr>
      </xdr:nvPicPr>
      <xdr:blipFill>
        <a:blip xmlns:r="http://schemas.openxmlformats.org/officeDocument/2006/relationships" r:embed="rId1"/>
        <a:stretch>
          <a:fillRect/>
        </a:stretch>
      </xdr:blipFill>
      <xdr:spPr>
        <a:xfrm>
          <a:off x="66676" y="539000699"/>
          <a:ext cx="1033158" cy="577093"/>
        </a:xfrm>
        <a:prstGeom prst="rect">
          <a:avLst/>
        </a:prstGeom>
      </xdr:spPr>
    </xdr:pic>
    <xdr:clientData/>
  </xdr:oneCellAnchor>
  <xdr:oneCellAnchor>
    <xdr:from>
      <xdr:col>0</xdr:col>
      <xdr:colOff>66676</xdr:colOff>
      <xdr:row>2510</xdr:row>
      <xdr:rowOff>28574</xdr:rowOff>
    </xdr:from>
    <xdr:ext cx="1033158" cy="577093"/>
    <xdr:pic>
      <xdr:nvPicPr>
        <xdr:cNvPr id="101" name="Imagen 100">
          <a:extLst>
            <a:ext uri="{FF2B5EF4-FFF2-40B4-BE49-F238E27FC236}">
              <a16:creationId xmlns:a16="http://schemas.microsoft.com/office/drawing/2014/main" id="{00000000-0008-0000-0300-000065000000}"/>
            </a:ext>
          </a:extLst>
        </xdr:cNvPr>
        <xdr:cNvPicPr>
          <a:picLocks noChangeAspect="1"/>
        </xdr:cNvPicPr>
      </xdr:nvPicPr>
      <xdr:blipFill>
        <a:blip xmlns:r="http://schemas.openxmlformats.org/officeDocument/2006/relationships" r:embed="rId1"/>
        <a:stretch>
          <a:fillRect/>
        </a:stretch>
      </xdr:blipFill>
      <xdr:spPr>
        <a:xfrm>
          <a:off x="66676" y="424605449"/>
          <a:ext cx="1033158" cy="577093"/>
        </a:xfrm>
        <a:prstGeom prst="rect">
          <a:avLst/>
        </a:prstGeom>
      </xdr:spPr>
    </xdr:pic>
    <xdr:clientData/>
  </xdr:oneCellAnchor>
  <xdr:oneCellAnchor>
    <xdr:from>
      <xdr:col>0</xdr:col>
      <xdr:colOff>66676</xdr:colOff>
      <xdr:row>4961</xdr:row>
      <xdr:rowOff>28574</xdr:rowOff>
    </xdr:from>
    <xdr:ext cx="1033158" cy="577093"/>
    <xdr:pic>
      <xdr:nvPicPr>
        <xdr:cNvPr id="102" name="Imagen 101">
          <a:extLst>
            <a:ext uri="{FF2B5EF4-FFF2-40B4-BE49-F238E27FC236}">
              <a16:creationId xmlns:a16="http://schemas.microsoft.com/office/drawing/2014/main" id="{00000000-0008-0000-0300-000066000000}"/>
            </a:ext>
          </a:extLst>
        </xdr:cNvPr>
        <xdr:cNvPicPr>
          <a:picLocks noChangeAspect="1"/>
        </xdr:cNvPicPr>
      </xdr:nvPicPr>
      <xdr:blipFill>
        <a:blip xmlns:r="http://schemas.openxmlformats.org/officeDocument/2006/relationships" r:embed="rId1"/>
        <a:stretch>
          <a:fillRect/>
        </a:stretch>
      </xdr:blipFill>
      <xdr:spPr>
        <a:xfrm>
          <a:off x="66676" y="699839849"/>
          <a:ext cx="1033158" cy="577093"/>
        </a:xfrm>
        <a:prstGeom prst="rect">
          <a:avLst/>
        </a:prstGeom>
      </xdr:spPr>
    </xdr:pic>
    <xdr:clientData/>
  </xdr:oneCellAnchor>
  <xdr:oneCellAnchor>
    <xdr:from>
      <xdr:col>0</xdr:col>
      <xdr:colOff>66676</xdr:colOff>
      <xdr:row>5012</xdr:row>
      <xdr:rowOff>28574</xdr:rowOff>
    </xdr:from>
    <xdr:ext cx="1033158" cy="577093"/>
    <xdr:pic>
      <xdr:nvPicPr>
        <xdr:cNvPr id="103" name="Imagen 102">
          <a:extLst>
            <a:ext uri="{FF2B5EF4-FFF2-40B4-BE49-F238E27FC236}">
              <a16:creationId xmlns:a16="http://schemas.microsoft.com/office/drawing/2014/main" id="{00000000-0008-0000-0300-000067000000}"/>
            </a:ext>
          </a:extLst>
        </xdr:cNvPr>
        <xdr:cNvPicPr>
          <a:picLocks noChangeAspect="1"/>
        </xdr:cNvPicPr>
      </xdr:nvPicPr>
      <xdr:blipFill>
        <a:blip xmlns:r="http://schemas.openxmlformats.org/officeDocument/2006/relationships" r:embed="rId1"/>
        <a:stretch>
          <a:fillRect/>
        </a:stretch>
      </xdr:blipFill>
      <xdr:spPr>
        <a:xfrm>
          <a:off x="66676" y="665578424"/>
          <a:ext cx="1033158" cy="577093"/>
        </a:xfrm>
        <a:prstGeom prst="rect">
          <a:avLst/>
        </a:prstGeom>
      </xdr:spPr>
    </xdr:pic>
    <xdr:clientData/>
  </xdr:oneCellAnchor>
  <xdr:oneCellAnchor>
    <xdr:from>
      <xdr:col>0</xdr:col>
      <xdr:colOff>66676</xdr:colOff>
      <xdr:row>6715</xdr:row>
      <xdr:rowOff>28574</xdr:rowOff>
    </xdr:from>
    <xdr:ext cx="1033158" cy="577093"/>
    <xdr:pic>
      <xdr:nvPicPr>
        <xdr:cNvPr id="104" name="Imagen 103">
          <a:extLst>
            <a:ext uri="{FF2B5EF4-FFF2-40B4-BE49-F238E27FC236}">
              <a16:creationId xmlns:a16="http://schemas.microsoft.com/office/drawing/2014/main" id="{00000000-0008-0000-0300-000068000000}"/>
            </a:ext>
          </a:extLst>
        </xdr:cNvPr>
        <xdr:cNvPicPr>
          <a:picLocks noChangeAspect="1"/>
        </xdr:cNvPicPr>
      </xdr:nvPicPr>
      <xdr:blipFill>
        <a:blip xmlns:r="http://schemas.openxmlformats.org/officeDocument/2006/relationships" r:embed="rId1"/>
        <a:stretch>
          <a:fillRect/>
        </a:stretch>
      </xdr:blipFill>
      <xdr:spPr>
        <a:xfrm>
          <a:off x="66676" y="850001474"/>
          <a:ext cx="1033158" cy="577093"/>
        </a:xfrm>
        <a:prstGeom prst="rect">
          <a:avLst/>
        </a:prstGeom>
      </xdr:spPr>
    </xdr:pic>
    <xdr:clientData/>
  </xdr:oneCellAnchor>
  <xdr:oneCellAnchor>
    <xdr:from>
      <xdr:col>0</xdr:col>
      <xdr:colOff>66676</xdr:colOff>
      <xdr:row>6768</xdr:row>
      <xdr:rowOff>28574</xdr:rowOff>
    </xdr:from>
    <xdr:ext cx="1033158" cy="577093"/>
    <xdr:pic>
      <xdr:nvPicPr>
        <xdr:cNvPr id="105" name="Imagen 104">
          <a:extLst>
            <a:ext uri="{FF2B5EF4-FFF2-40B4-BE49-F238E27FC236}">
              <a16:creationId xmlns:a16="http://schemas.microsoft.com/office/drawing/2014/main" id="{00000000-0008-0000-0300-000069000000}"/>
            </a:ext>
          </a:extLst>
        </xdr:cNvPr>
        <xdr:cNvPicPr>
          <a:picLocks noChangeAspect="1"/>
        </xdr:cNvPicPr>
      </xdr:nvPicPr>
      <xdr:blipFill>
        <a:blip xmlns:r="http://schemas.openxmlformats.org/officeDocument/2006/relationships" r:embed="rId1"/>
        <a:stretch>
          <a:fillRect/>
        </a:stretch>
      </xdr:blipFill>
      <xdr:spPr>
        <a:xfrm>
          <a:off x="66676" y="919610174"/>
          <a:ext cx="1033158" cy="577093"/>
        </a:xfrm>
        <a:prstGeom prst="rect">
          <a:avLst/>
        </a:prstGeom>
      </xdr:spPr>
    </xdr:pic>
    <xdr:clientData/>
  </xdr:oneCellAnchor>
  <xdr:oneCellAnchor>
    <xdr:from>
      <xdr:col>0</xdr:col>
      <xdr:colOff>66676</xdr:colOff>
      <xdr:row>5063</xdr:row>
      <xdr:rowOff>28574</xdr:rowOff>
    </xdr:from>
    <xdr:ext cx="1033158" cy="577093"/>
    <xdr:pic>
      <xdr:nvPicPr>
        <xdr:cNvPr id="106" name="Imagen 105">
          <a:extLst>
            <a:ext uri="{FF2B5EF4-FFF2-40B4-BE49-F238E27FC236}">
              <a16:creationId xmlns:a16="http://schemas.microsoft.com/office/drawing/2014/main" id="{00000000-0008-0000-0300-00006A000000}"/>
            </a:ext>
          </a:extLst>
        </xdr:cNvPr>
        <xdr:cNvPicPr>
          <a:picLocks noChangeAspect="1"/>
        </xdr:cNvPicPr>
      </xdr:nvPicPr>
      <xdr:blipFill>
        <a:blip xmlns:r="http://schemas.openxmlformats.org/officeDocument/2006/relationships" r:embed="rId1"/>
        <a:stretch>
          <a:fillRect/>
        </a:stretch>
      </xdr:blipFill>
      <xdr:spPr>
        <a:xfrm>
          <a:off x="66676" y="722680799"/>
          <a:ext cx="1033158" cy="577093"/>
        </a:xfrm>
        <a:prstGeom prst="rect">
          <a:avLst/>
        </a:prstGeom>
      </xdr:spPr>
    </xdr:pic>
    <xdr:clientData/>
  </xdr:oneCellAnchor>
  <xdr:oneCellAnchor>
    <xdr:from>
      <xdr:col>0</xdr:col>
      <xdr:colOff>66676</xdr:colOff>
      <xdr:row>5114</xdr:row>
      <xdr:rowOff>28574</xdr:rowOff>
    </xdr:from>
    <xdr:ext cx="1033158" cy="577093"/>
    <xdr:pic>
      <xdr:nvPicPr>
        <xdr:cNvPr id="107" name="Imagen 106">
          <a:extLst>
            <a:ext uri="{FF2B5EF4-FFF2-40B4-BE49-F238E27FC236}">
              <a16:creationId xmlns:a16="http://schemas.microsoft.com/office/drawing/2014/main" id="{00000000-0008-0000-0300-00006B000000}"/>
            </a:ext>
          </a:extLst>
        </xdr:cNvPr>
        <xdr:cNvPicPr>
          <a:picLocks noChangeAspect="1"/>
        </xdr:cNvPicPr>
      </xdr:nvPicPr>
      <xdr:blipFill>
        <a:blip xmlns:r="http://schemas.openxmlformats.org/officeDocument/2006/relationships" r:embed="rId1"/>
        <a:stretch>
          <a:fillRect/>
        </a:stretch>
      </xdr:blipFill>
      <xdr:spPr>
        <a:xfrm>
          <a:off x="66676" y="734101274"/>
          <a:ext cx="1033158" cy="577093"/>
        </a:xfrm>
        <a:prstGeom prst="rect">
          <a:avLst/>
        </a:prstGeom>
      </xdr:spPr>
    </xdr:pic>
    <xdr:clientData/>
  </xdr:oneCellAnchor>
  <xdr:oneCellAnchor>
    <xdr:from>
      <xdr:col>0</xdr:col>
      <xdr:colOff>66676</xdr:colOff>
      <xdr:row>2561</xdr:row>
      <xdr:rowOff>28574</xdr:rowOff>
    </xdr:from>
    <xdr:ext cx="1033158" cy="577093"/>
    <xdr:pic>
      <xdr:nvPicPr>
        <xdr:cNvPr id="108" name="Imagen 107">
          <a:extLst>
            <a:ext uri="{FF2B5EF4-FFF2-40B4-BE49-F238E27FC236}">
              <a16:creationId xmlns:a16="http://schemas.microsoft.com/office/drawing/2014/main" id="{00000000-0008-0000-0300-00006C000000}"/>
            </a:ext>
          </a:extLst>
        </xdr:cNvPr>
        <xdr:cNvPicPr>
          <a:picLocks noChangeAspect="1"/>
        </xdr:cNvPicPr>
      </xdr:nvPicPr>
      <xdr:blipFill>
        <a:blip xmlns:r="http://schemas.openxmlformats.org/officeDocument/2006/relationships" r:embed="rId1"/>
        <a:stretch>
          <a:fillRect/>
        </a:stretch>
      </xdr:blipFill>
      <xdr:spPr>
        <a:xfrm>
          <a:off x="66676" y="561841649"/>
          <a:ext cx="1033158" cy="577093"/>
        </a:xfrm>
        <a:prstGeom prst="rect">
          <a:avLst/>
        </a:prstGeom>
      </xdr:spPr>
    </xdr:pic>
    <xdr:clientData/>
  </xdr:oneCellAnchor>
  <xdr:oneCellAnchor>
    <xdr:from>
      <xdr:col>0</xdr:col>
      <xdr:colOff>66676</xdr:colOff>
      <xdr:row>5165</xdr:row>
      <xdr:rowOff>28574</xdr:rowOff>
    </xdr:from>
    <xdr:ext cx="1033158" cy="577093"/>
    <xdr:pic>
      <xdr:nvPicPr>
        <xdr:cNvPr id="109" name="Imagen 108">
          <a:extLst>
            <a:ext uri="{FF2B5EF4-FFF2-40B4-BE49-F238E27FC236}">
              <a16:creationId xmlns:a16="http://schemas.microsoft.com/office/drawing/2014/main" id="{00000000-0008-0000-0300-00006D000000}"/>
            </a:ext>
          </a:extLst>
        </xdr:cNvPr>
        <xdr:cNvPicPr>
          <a:picLocks noChangeAspect="1"/>
        </xdr:cNvPicPr>
      </xdr:nvPicPr>
      <xdr:blipFill>
        <a:blip xmlns:r="http://schemas.openxmlformats.org/officeDocument/2006/relationships" r:embed="rId1"/>
        <a:stretch>
          <a:fillRect/>
        </a:stretch>
      </xdr:blipFill>
      <xdr:spPr>
        <a:xfrm>
          <a:off x="66676" y="585635099"/>
          <a:ext cx="1033158" cy="577093"/>
        </a:xfrm>
        <a:prstGeom prst="rect">
          <a:avLst/>
        </a:prstGeom>
      </xdr:spPr>
    </xdr:pic>
    <xdr:clientData/>
  </xdr:oneCellAnchor>
  <xdr:oneCellAnchor>
    <xdr:from>
      <xdr:col>0</xdr:col>
      <xdr:colOff>66676</xdr:colOff>
      <xdr:row>5216</xdr:row>
      <xdr:rowOff>28574</xdr:rowOff>
    </xdr:from>
    <xdr:ext cx="1033158" cy="577093"/>
    <xdr:pic>
      <xdr:nvPicPr>
        <xdr:cNvPr id="110" name="Imagen 109">
          <a:extLst>
            <a:ext uri="{FF2B5EF4-FFF2-40B4-BE49-F238E27FC236}">
              <a16:creationId xmlns:a16="http://schemas.microsoft.com/office/drawing/2014/main" id="{00000000-0008-0000-0300-00006E000000}"/>
            </a:ext>
          </a:extLst>
        </xdr:cNvPr>
        <xdr:cNvPicPr>
          <a:picLocks noChangeAspect="1"/>
        </xdr:cNvPicPr>
      </xdr:nvPicPr>
      <xdr:blipFill>
        <a:blip xmlns:r="http://schemas.openxmlformats.org/officeDocument/2006/relationships" r:embed="rId1"/>
        <a:stretch>
          <a:fillRect/>
        </a:stretch>
      </xdr:blipFill>
      <xdr:spPr>
        <a:xfrm>
          <a:off x="66676" y="733910774"/>
          <a:ext cx="1033158" cy="577093"/>
        </a:xfrm>
        <a:prstGeom prst="rect">
          <a:avLst/>
        </a:prstGeom>
      </xdr:spPr>
    </xdr:pic>
    <xdr:clientData/>
  </xdr:oneCellAnchor>
  <xdr:oneCellAnchor>
    <xdr:from>
      <xdr:col>0</xdr:col>
      <xdr:colOff>66676</xdr:colOff>
      <xdr:row>5267</xdr:row>
      <xdr:rowOff>28574</xdr:rowOff>
    </xdr:from>
    <xdr:ext cx="1033158" cy="577093"/>
    <xdr:pic>
      <xdr:nvPicPr>
        <xdr:cNvPr id="111" name="Imagen 110">
          <a:extLst>
            <a:ext uri="{FF2B5EF4-FFF2-40B4-BE49-F238E27FC236}">
              <a16:creationId xmlns:a16="http://schemas.microsoft.com/office/drawing/2014/main" id="{00000000-0008-0000-0300-00006F000000}"/>
            </a:ext>
          </a:extLst>
        </xdr:cNvPr>
        <xdr:cNvPicPr>
          <a:picLocks noChangeAspect="1"/>
        </xdr:cNvPicPr>
      </xdr:nvPicPr>
      <xdr:blipFill>
        <a:blip xmlns:r="http://schemas.openxmlformats.org/officeDocument/2006/relationships" r:embed="rId1"/>
        <a:stretch>
          <a:fillRect/>
        </a:stretch>
      </xdr:blipFill>
      <xdr:spPr>
        <a:xfrm>
          <a:off x="66676" y="779592674"/>
          <a:ext cx="1033158" cy="577093"/>
        </a:xfrm>
        <a:prstGeom prst="rect">
          <a:avLst/>
        </a:prstGeom>
      </xdr:spPr>
    </xdr:pic>
    <xdr:clientData/>
  </xdr:oneCellAnchor>
  <xdr:oneCellAnchor>
    <xdr:from>
      <xdr:col>0</xdr:col>
      <xdr:colOff>66676</xdr:colOff>
      <xdr:row>5318</xdr:row>
      <xdr:rowOff>28574</xdr:rowOff>
    </xdr:from>
    <xdr:ext cx="1033158" cy="577093"/>
    <xdr:pic>
      <xdr:nvPicPr>
        <xdr:cNvPr id="112" name="Imagen 111">
          <a:extLst>
            <a:ext uri="{FF2B5EF4-FFF2-40B4-BE49-F238E27FC236}">
              <a16:creationId xmlns:a16="http://schemas.microsoft.com/office/drawing/2014/main" id="{00000000-0008-0000-0300-000070000000}"/>
            </a:ext>
          </a:extLst>
        </xdr:cNvPr>
        <xdr:cNvPicPr>
          <a:picLocks noChangeAspect="1"/>
        </xdr:cNvPicPr>
      </xdr:nvPicPr>
      <xdr:blipFill>
        <a:blip xmlns:r="http://schemas.openxmlformats.org/officeDocument/2006/relationships" r:embed="rId1"/>
        <a:stretch>
          <a:fillRect/>
        </a:stretch>
      </xdr:blipFill>
      <xdr:spPr>
        <a:xfrm>
          <a:off x="66676" y="779592674"/>
          <a:ext cx="1033158" cy="577093"/>
        </a:xfrm>
        <a:prstGeom prst="rect">
          <a:avLst/>
        </a:prstGeom>
      </xdr:spPr>
    </xdr:pic>
    <xdr:clientData/>
  </xdr:oneCellAnchor>
  <xdr:oneCellAnchor>
    <xdr:from>
      <xdr:col>0</xdr:col>
      <xdr:colOff>66676</xdr:colOff>
      <xdr:row>2612</xdr:row>
      <xdr:rowOff>28574</xdr:rowOff>
    </xdr:from>
    <xdr:ext cx="1033158" cy="577093"/>
    <xdr:pic>
      <xdr:nvPicPr>
        <xdr:cNvPr id="113" name="Imagen 112">
          <a:extLst>
            <a:ext uri="{FF2B5EF4-FFF2-40B4-BE49-F238E27FC236}">
              <a16:creationId xmlns:a16="http://schemas.microsoft.com/office/drawing/2014/main" id="{00000000-0008-0000-0300-000071000000}"/>
            </a:ext>
          </a:extLst>
        </xdr:cNvPr>
        <xdr:cNvPicPr>
          <a:picLocks noChangeAspect="1"/>
        </xdr:cNvPicPr>
      </xdr:nvPicPr>
      <xdr:blipFill>
        <a:blip xmlns:r="http://schemas.openxmlformats.org/officeDocument/2006/relationships" r:embed="rId1"/>
        <a:stretch>
          <a:fillRect/>
        </a:stretch>
      </xdr:blipFill>
      <xdr:spPr>
        <a:xfrm>
          <a:off x="66676" y="573262124"/>
          <a:ext cx="1033158" cy="577093"/>
        </a:xfrm>
        <a:prstGeom prst="rect">
          <a:avLst/>
        </a:prstGeom>
      </xdr:spPr>
    </xdr:pic>
    <xdr:clientData/>
  </xdr:oneCellAnchor>
  <xdr:oneCellAnchor>
    <xdr:from>
      <xdr:col>0</xdr:col>
      <xdr:colOff>66676</xdr:colOff>
      <xdr:row>2663</xdr:row>
      <xdr:rowOff>28574</xdr:rowOff>
    </xdr:from>
    <xdr:ext cx="1033158" cy="577093"/>
    <xdr:pic>
      <xdr:nvPicPr>
        <xdr:cNvPr id="114" name="Imagen 113">
          <a:extLst>
            <a:ext uri="{FF2B5EF4-FFF2-40B4-BE49-F238E27FC236}">
              <a16:creationId xmlns:a16="http://schemas.microsoft.com/office/drawing/2014/main" id="{00000000-0008-0000-0300-000072000000}"/>
            </a:ext>
          </a:extLst>
        </xdr:cNvPr>
        <xdr:cNvPicPr>
          <a:picLocks noChangeAspect="1"/>
        </xdr:cNvPicPr>
      </xdr:nvPicPr>
      <xdr:blipFill>
        <a:blip xmlns:r="http://schemas.openxmlformats.org/officeDocument/2006/relationships" r:embed="rId1"/>
        <a:stretch>
          <a:fillRect/>
        </a:stretch>
      </xdr:blipFill>
      <xdr:spPr>
        <a:xfrm>
          <a:off x="66676" y="584682599"/>
          <a:ext cx="1033158" cy="577093"/>
        </a:xfrm>
        <a:prstGeom prst="rect">
          <a:avLst/>
        </a:prstGeom>
      </xdr:spPr>
    </xdr:pic>
    <xdr:clientData/>
  </xdr:oneCellAnchor>
  <xdr:oneCellAnchor>
    <xdr:from>
      <xdr:col>0</xdr:col>
      <xdr:colOff>66676</xdr:colOff>
      <xdr:row>2714</xdr:row>
      <xdr:rowOff>28574</xdr:rowOff>
    </xdr:from>
    <xdr:ext cx="1033158" cy="577093"/>
    <xdr:pic>
      <xdr:nvPicPr>
        <xdr:cNvPr id="115" name="Imagen 114">
          <a:extLst>
            <a:ext uri="{FF2B5EF4-FFF2-40B4-BE49-F238E27FC236}">
              <a16:creationId xmlns:a16="http://schemas.microsoft.com/office/drawing/2014/main" id="{00000000-0008-0000-0300-000073000000}"/>
            </a:ext>
          </a:extLst>
        </xdr:cNvPr>
        <xdr:cNvPicPr>
          <a:picLocks noChangeAspect="1"/>
        </xdr:cNvPicPr>
      </xdr:nvPicPr>
      <xdr:blipFill>
        <a:blip xmlns:r="http://schemas.openxmlformats.org/officeDocument/2006/relationships" r:embed="rId1"/>
        <a:stretch>
          <a:fillRect/>
        </a:stretch>
      </xdr:blipFill>
      <xdr:spPr>
        <a:xfrm>
          <a:off x="66676" y="596103074"/>
          <a:ext cx="1033158" cy="577093"/>
        </a:xfrm>
        <a:prstGeom prst="rect">
          <a:avLst/>
        </a:prstGeom>
      </xdr:spPr>
    </xdr:pic>
    <xdr:clientData/>
  </xdr:oneCellAnchor>
  <xdr:oneCellAnchor>
    <xdr:from>
      <xdr:col>0</xdr:col>
      <xdr:colOff>66676</xdr:colOff>
      <xdr:row>2765</xdr:row>
      <xdr:rowOff>28574</xdr:rowOff>
    </xdr:from>
    <xdr:ext cx="1033158" cy="577093"/>
    <xdr:pic>
      <xdr:nvPicPr>
        <xdr:cNvPr id="116" name="Imagen 115">
          <a:extLst>
            <a:ext uri="{FF2B5EF4-FFF2-40B4-BE49-F238E27FC236}">
              <a16:creationId xmlns:a16="http://schemas.microsoft.com/office/drawing/2014/main" id="{00000000-0008-0000-0300-000074000000}"/>
            </a:ext>
          </a:extLst>
        </xdr:cNvPr>
        <xdr:cNvPicPr>
          <a:picLocks noChangeAspect="1"/>
        </xdr:cNvPicPr>
      </xdr:nvPicPr>
      <xdr:blipFill>
        <a:blip xmlns:r="http://schemas.openxmlformats.org/officeDocument/2006/relationships" r:embed="rId1"/>
        <a:stretch>
          <a:fillRect/>
        </a:stretch>
      </xdr:blipFill>
      <xdr:spPr>
        <a:xfrm>
          <a:off x="66676" y="607523549"/>
          <a:ext cx="1033158" cy="577093"/>
        </a:xfrm>
        <a:prstGeom prst="rect">
          <a:avLst/>
        </a:prstGeom>
      </xdr:spPr>
    </xdr:pic>
    <xdr:clientData/>
  </xdr:oneCellAnchor>
  <xdr:oneCellAnchor>
    <xdr:from>
      <xdr:col>0</xdr:col>
      <xdr:colOff>66676</xdr:colOff>
      <xdr:row>2816</xdr:row>
      <xdr:rowOff>28574</xdr:rowOff>
    </xdr:from>
    <xdr:ext cx="1033158" cy="577093"/>
    <xdr:pic>
      <xdr:nvPicPr>
        <xdr:cNvPr id="117" name="Imagen 116">
          <a:extLst>
            <a:ext uri="{FF2B5EF4-FFF2-40B4-BE49-F238E27FC236}">
              <a16:creationId xmlns:a16="http://schemas.microsoft.com/office/drawing/2014/main" id="{00000000-0008-0000-0300-000075000000}"/>
            </a:ext>
          </a:extLst>
        </xdr:cNvPr>
        <xdr:cNvPicPr>
          <a:picLocks noChangeAspect="1"/>
        </xdr:cNvPicPr>
      </xdr:nvPicPr>
      <xdr:blipFill>
        <a:blip xmlns:r="http://schemas.openxmlformats.org/officeDocument/2006/relationships" r:embed="rId1"/>
        <a:stretch>
          <a:fillRect/>
        </a:stretch>
      </xdr:blipFill>
      <xdr:spPr>
        <a:xfrm>
          <a:off x="66676" y="618944024"/>
          <a:ext cx="1033158" cy="577093"/>
        </a:xfrm>
        <a:prstGeom prst="rect">
          <a:avLst/>
        </a:prstGeom>
      </xdr:spPr>
    </xdr:pic>
    <xdr:clientData/>
  </xdr:oneCellAnchor>
  <xdr:oneCellAnchor>
    <xdr:from>
      <xdr:col>0</xdr:col>
      <xdr:colOff>66676</xdr:colOff>
      <xdr:row>2867</xdr:row>
      <xdr:rowOff>28574</xdr:rowOff>
    </xdr:from>
    <xdr:ext cx="1033158" cy="577093"/>
    <xdr:pic>
      <xdr:nvPicPr>
        <xdr:cNvPr id="118" name="Imagen 117">
          <a:extLst>
            <a:ext uri="{FF2B5EF4-FFF2-40B4-BE49-F238E27FC236}">
              <a16:creationId xmlns:a16="http://schemas.microsoft.com/office/drawing/2014/main" id="{00000000-0008-0000-0300-000076000000}"/>
            </a:ext>
          </a:extLst>
        </xdr:cNvPr>
        <xdr:cNvPicPr>
          <a:picLocks noChangeAspect="1"/>
        </xdr:cNvPicPr>
      </xdr:nvPicPr>
      <xdr:blipFill>
        <a:blip xmlns:r="http://schemas.openxmlformats.org/officeDocument/2006/relationships" r:embed="rId1"/>
        <a:stretch>
          <a:fillRect/>
        </a:stretch>
      </xdr:blipFill>
      <xdr:spPr>
        <a:xfrm>
          <a:off x="66676" y="630364499"/>
          <a:ext cx="1033158" cy="577093"/>
        </a:xfrm>
        <a:prstGeom prst="rect">
          <a:avLst/>
        </a:prstGeom>
      </xdr:spPr>
    </xdr:pic>
    <xdr:clientData/>
  </xdr:oneCellAnchor>
  <xdr:oneCellAnchor>
    <xdr:from>
      <xdr:col>0</xdr:col>
      <xdr:colOff>66676</xdr:colOff>
      <xdr:row>2918</xdr:row>
      <xdr:rowOff>28574</xdr:rowOff>
    </xdr:from>
    <xdr:ext cx="1033158" cy="577093"/>
    <xdr:pic>
      <xdr:nvPicPr>
        <xdr:cNvPr id="119" name="Imagen 118">
          <a:extLst>
            <a:ext uri="{FF2B5EF4-FFF2-40B4-BE49-F238E27FC236}">
              <a16:creationId xmlns:a16="http://schemas.microsoft.com/office/drawing/2014/main" id="{00000000-0008-0000-0300-000077000000}"/>
            </a:ext>
          </a:extLst>
        </xdr:cNvPr>
        <xdr:cNvPicPr>
          <a:picLocks noChangeAspect="1"/>
        </xdr:cNvPicPr>
      </xdr:nvPicPr>
      <xdr:blipFill>
        <a:blip xmlns:r="http://schemas.openxmlformats.org/officeDocument/2006/relationships" r:embed="rId1"/>
        <a:stretch>
          <a:fillRect/>
        </a:stretch>
      </xdr:blipFill>
      <xdr:spPr>
        <a:xfrm>
          <a:off x="66676" y="641784974"/>
          <a:ext cx="1033158" cy="577093"/>
        </a:xfrm>
        <a:prstGeom prst="rect">
          <a:avLst/>
        </a:prstGeom>
      </xdr:spPr>
    </xdr:pic>
    <xdr:clientData/>
  </xdr:oneCellAnchor>
  <xdr:oneCellAnchor>
    <xdr:from>
      <xdr:col>0</xdr:col>
      <xdr:colOff>66676</xdr:colOff>
      <xdr:row>2969</xdr:row>
      <xdr:rowOff>28574</xdr:rowOff>
    </xdr:from>
    <xdr:ext cx="1033158" cy="577093"/>
    <xdr:pic>
      <xdr:nvPicPr>
        <xdr:cNvPr id="120" name="Imagen 119">
          <a:extLst>
            <a:ext uri="{FF2B5EF4-FFF2-40B4-BE49-F238E27FC236}">
              <a16:creationId xmlns:a16="http://schemas.microsoft.com/office/drawing/2014/main" id="{00000000-0008-0000-0300-000078000000}"/>
            </a:ext>
          </a:extLst>
        </xdr:cNvPr>
        <xdr:cNvPicPr>
          <a:picLocks noChangeAspect="1"/>
        </xdr:cNvPicPr>
      </xdr:nvPicPr>
      <xdr:blipFill>
        <a:blip xmlns:r="http://schemas.openxmlformats.org/officeDocument/2006/relationships" r:embed="rId1"/>
        <a:stretch>
          <a:fillRect/>
        </a:stretch>
      </xdr:blipFill>
      <xdr:spPr>
        <a:xfrm>
          <a:off x="66676" y="653205449"/>
          <a:ext cx="1033158" cy="577093"/>
        </a:xfrm>
        <a:prstGeom prst="rect">
          <a:avLst/>
        </a:prstGeom>
      </xdr:spPr>
    </xdr:pic>
    <xdr:clientData/>
  </xdr:oneCellAnchor>
  <xdr:oneCellAnchor>
    <xdr:from>
      <xdr:col>0</xdr:col>
      <xdr:colOff>66676</xdr:colOff>
      <xdr:row>3020</xdr:row>
      <xdr:rowOff>28574</xdr:rowOff>
    </xdr:from>
    <xdr:ext cx="1033158" cy="577093"/>
    <xdr:pic>
      <xdr:nvPicPr>
        <xdr:cNvPr id="121" name="Imagen 120">
          <a:extLst>
            <a:ext uri="{FF2B5EF4-FFF2-40B4-BE49-F238E27FC236}">
              <a16:creationId xmlns:a16="http://schemas.microsoft.com/office/drawing/2014/main" id="{00000000-0008-0000-0300-000079000000}"/>
            </a:ext>
          </a:extLst>
        </xdr:cNvPr>
        <xdr:cNvPicPr>
          <a:picLocks noChangeAspect="1"/>
        </xdr:cNvPicPr>
      </xdr:nvPicPr>
      <xdr:blipFill>
        <a:blip xmlns:r="http://schemas.openxmlformats.org/officeDocument/2006/relationships" r:embed="rId1"/>
        <a:stretch>
          <a:fillRect/>
        </a:stretch>
      </xdr:blipFill>
      <xdr:spPr>
        <a:xfrm>
          <a:off x="66676" y="664625924"/>
          <a:ext cx="1033158" cy="577093"/>
        </a:xfrm>
        <a:prstGeom prst="rect">
          <a:avLst/>
        </a:prstGeom>
      </xdr:spPr>
    </xdr:pic>
    <xdr:clientData/>
  </xdr:oneCellAnchor>
  <xdr:oneCellAnchor>
    <xdr:from>
      <xdr:col>0</xdr:col>
      <xdr:colOff>66676</xdr:colOff>
      <xdr:row>3071</xdr:row>
      <xdr:rowOff>28574</xdr:rowOff>
    </xdr:from>
    <xdr:ext cx="1033158" cy="577093"/>
    <xdr:pic>
      <xdr:nvPicPr>
        <xdr:cNvPr id="122" name="Imagen 121">
          <a:extLst>
            <a:ext uri="{FF2B5EF4-FFF2-40B4-BE49-F238E27FC236}">
              <a16:creationId xmlns:a16="http://schemas.microsoft.com/office/drawing/2014/main" id="{00000000-0008-0000-0300-00007A000000}"/>
            </a:ext>
          </a:extLst>
        </xdr:cNvPr>
        <xdr:cNvPicPr>
          <a:picLocks noChangeAspect="1"/>
        </xdr:cNvPicPr>
      </xdr:nvPicPr>
      <xdr:blipFill>
        <a:blip xmlns:r="http://schemas.openxmlformats.org/officeDocument/2006/relationships" r:embed="rId1"/>
        <a:stretch>
          <a:fillRect/>
        </a:stretch>
      </xdr:blipFill>
      <xdr:spPr>
        <a:xfrm>
          <a:off x="66676" y="676046399"/>
          <a:ext cx="1033158" cy="577093"/>
        </a:xfrm>
        <a:prstGeom prst="rect">
          <a:avLst/>
        </a:prstGeom>
      </xdr:spPr>
    </xdr:pic>
    <xdr:clientData/>
  </xdr:oneCellAnchor>
  <xdr:oneCellAnchor>
    <xdr:from>
      <xdr:col>0</xdr:col>
      <xdr:colOff>66676</xdr:colOff>
      <xdr:row>3122</xdr:row>
      <xdr:rowOff>28574</xdr:rowOff>
    </xdr:from>
    <xdr:ext cx="1033158" cy="577093"/>
    <xdr:pic>
      <xdr:nvPicPr>
        <xdr:cNvPr id="123" name="Imagen 122">
          <a:extLst>
            <a:ext uri="{FF2B5EF4-FFF2-40B4-BE49-F238E27FC236}">
              <a16:creationId xmlns:a16="http://schemas.microsoft.com/office/drawing/2014/main" id="{00000000-0008-0000-0300-00007B000000}"/>
            </a:ext>
          </a:extLst>
        </xdr:cNvPr>
        <xdr:cNvPicPr>
          <a:picLocks noChangeAspect="1"/>
        </xdr:cNvPicPr>
      </xdr:nvPicPr>
      <xdr:blipFill>
        <a:blip xmlns:r="http://schemas.openxmlformats.org/officeDocument/2006/relationships" r:embed="rId1"/>
        <a:stretch>
          <a:fillRect/>
        </a:stretch>
      </xdr:blipFill>
      <xdr:spPr>
        <a:xfrm>
          <a:off x="66676" y="687466874"/>
          <a:ext cx="1033158" cy="577093"/>
        </a:xfrm>
        <a:prstGeom prst="rect">
          <a:avLst/>
        </a:prstGeom>
      </xdr:spPr>
    </xdr:pic>
    <xdr:clientData/>
  </xdr:oneCellAnchor>
  <xdr:oneCellAnchor>
    <xdr:from>
      <xdr:col>0</xdr:col>
      <xdr:colOff>66676</xdr:colOff>
      <xdr:row>3173</xdr:row>
      <xdr:rowOff>28574</xdr:rowOff>
    </xdr:from>
    <xdr:ext cx="1033158" cy="577093"/>
    <xdr:pic>
      <xdr:nvPicPr>
        <xdr:cNvPr id="137" name="Imagen 136">
          <a:extLst>
            <a:ext uri="{FF2B5EF4-FFF2-40B4-BE49-F238E27FC236}">
              <a16:creationId xmlns:a16="http://schemas.microsoft.com/office/drawing/2014/main" id="{00000000-0008-0000-0300-000089000000}"/>
            </a:ext>
          </a:extLst>
        </xdr:cNvPr>
        <xdr:cNvPicPr>
          <a:picLocks noChangeAspect="1"/>
        </xdr:cNvPicPr>
      </xdr:nvPicPr>
      <xdr:blipFill>
        <a:blip xmlns:r="http://schemas.openxmlformats.org/officeDocument/2006/relationships" r:embed="rId1"/>
        <a:stretch>
          <a:fillRect/>
        </a:stretch>
      </xdr:blipFill>
      <xdr:spPr>
        <a:xfrm>
          <a:off x="66676" y="698887349"/>
          <a:ext cx="1033158" cy="577093"/>
        </a:xfrm>
        <a:prstGeom prst="rect">
          <a:avLst/>
        </a:prstGeom>
      </xdr:spPr>
    </xdr:pic>
    <xdr:clientData/>
  </xdr:oneCellAnchor>
  <xdr:oneCellAnchor>
    <xdr:from>
      <xdr:col>0</xdr:col>
      <xdr:colOff>66676</xdr:colOff>
      <xdr:row>3224</xdr:row>
      <xdr:rowOff>28574</xdr:rowOff>
    </xdr:from>
    <xdr:ext cx="1033158" cy="577093"/>
    <xdr:pic>
      <xdr:nvPicPr>
        <xdr:cNvPr id="138" name="Imagen 137">
          <a:extLst>
            <a:ext uri="{FF2B5EF4-FFF2-40B4-BE49-F238E27FC236}">
              <a16:creationId xmlns:a16="http://schemas.microsoft.com/office/drawing/2014/main" id="{00000000-0008-0000-0300-00008A000000}"/>
            </a:ext>
          </a:extLst>
        </xdr:cNvPr>
        <xdr:cNvPicPr>
          <a:picLocks noChangeAspect="1"/>
        </xdr:cNvPicPr>
      </xdr:nvPicPr>
      <xdr:blipFill>
        <a:blip xmlns:r="http://schemas.openxmlformats.org/officeDocument/2006/relationships" r:embed="rId1"/>
        <a:stretch>
          <a:fillRect/>
        </a:stretch>
      </xdr:blipFill>
      <xdr:spPr>
        <a:xfrm>
          <a:off x="66676" y="710307824"/>
          <a:ext cx="1033158" cy="577093"/>
        </a:xfrm>
        <a:prstGeom prst="rect">
          <a:avLst/>
        </a:prstGeom>
      </xdr:spPr>
    </xdr:pic>
    <xdr:clientData/>
  </xdr:oneCellAnchor>
  <xdr:oneCellAnchor>
    <xdr:from>
      <xdr:col>0</xdr:col>
      <xdr:colOff>66676</xdr:colOff>
      <xdr:row>3275</xdr:row>
      <xdr:rowOff>28574</xdr:rowOff>
    </xdr:from>
    <xdr:ext cx="1033158" cy="577093"/>
    <xdr:pic>
      <xdr:nvPicPr>
        <xdr:cNvPr id="139" name="Imagen 138">
          <a:extLst>
            <a:ext uri="{FF2B5EF4-FFF2-40B4-BE49-F238E27FC236}">
              <a16:creationId xmlns:a16="http://schemas.microsoft.com/office/drawing/2014/main" id="{00000000-0008-0000-0300-00008B000000}"/>
            </a:ext>
          </a:extLst>
        </xdr:cNvPr>
        <xdr:cNvPicPr>
          <a:picLocks noChangeAspect="1"/>
        </xdr:cNvPicPr>
      </xdr:nvPicPr>
      <xdr:blipFill>
        <a:blip xmlns:r="http://schemas.openxmlformats.org/officeDocument/2006/relationships" r:embed="rId1"/>
        <a:stretch>
          <a:fillRect/>
        </a:stretch>
      </xdr:blipFill>
      <xdr:spPr>
        <a:xfrm>
          <a:off x="66676" y="721728299"/>
          <a:ext cx="1033158" cy="577093"/>
        </a:xfrm>
        <a:prstGeom prst="rect">
          <a:avLst/>
        </a:prstGeom>
      </xdr:spPr>
    </xdr:pic>
    <xdr:clientData/>
  </xdr:oneCellAnchor>
  <xdr:oneCellAnchor>
    <xdr:from>
      <xdr:col>0</xdr:col>
      <xdr:colOff>66676</xdr:colOff>
      <xdr:row>5370</xdr:row>
      <xdr:rowOff>28574</xdr:rowOff>
    </xdr:from>
    <xdr:ext cx="1033158" cy="577093"/>
    <xdr:pic>
      <xdr:nvPicPr>
        <xdr:cNvPr id="140" name="Imagen 139">
          <a:extLst>
            <a:ext uri="{FF2B5EF4-FFF2-40B4-BE49-F238E27FC236}">
              <a16:creationId xmlns:a16="http://schemas.microsoft.com/office/drawing/2014/main" id="{00000000-0008-0000-0300-00008C000000}"/>
            </a:ext>
          </a:extLst>
        </xdr:cNvPr>
        <xdr:cNvPicPr>
          <a:picLocks noChangeAspect="1"/>
        </xdr:cNvPicPr>
      </xdr:nvPicPr>
      <xdr:blipFill>
        <a:blip xmlns:r="http://schemas.openxmlformats.org/officeDocument/2006/relationships" r:embed="rId1"/>
        <a:stretch>
          <a:fillRect/>
        </a:stretch>
      </xdr:blipFill>
      <xdr:spPr>
        <a:xfrm>
          <a:off x="66676" y="745140749"/>
          <a:ext cx="1033158" cy="577093"/>
        </a:xfrm>
        <a:prstGeom prst="rect">
          <a:avLst/>
        </a:prstGeom>
      </xdr:spPr>
    </xdr:pic>
    <xdr:clientData/>
  </xdr:oneCellAnchor>
  <xdr:oneCellAnchor>
    <xdr:from>
      <xdr:col>0</xdr:col>
      <xdr:colOff>66676</xdr:colOff>
      <xdr:row>5421</xdr:row>
      <xdr:rowOff>28574</xdr:rowOff>
    </xdr:from>
    <xdr:ext cx="1033158" cy="577093"/>
    <xdr:pic>
      <xdr:nvPicPr>
        <xdr:cNvPr id="141" name="Imagen 140">
          <a:extLst>
            <a:ext uri="{FF2B5EF4-FFF2-40B4-BE49-F238E27FC236}">
              <a16:creationId xmlns:a16="http://schemas.microsoft.com/office/drawing/2014/main" id="{00000000-0008-0000-0300-00008D000000}"/>
            </a:ext>
          </a:extLst>
        </xdr:cNvPr>
        <xdr:cNvPicPr>
          <a:picLocks noChangeAspect="1"/>
        </xdr:cNvPicPr>
      </xdr:nvPicPr>
      <xdr:blipFill>
        <a:blip xmlns:r="http://schemas.openxmlformats.org/officeDocument/2006/relationships" r:embed="rId1"/>
        <a:stretch>
          <a:fillRect/>
        </a:stretch>
      </xdr:blipFill>
      <xdr:spPr>
        <a:xfrm>
          <a:off x="66676" y="962320274"/>
          <a:ext cx="1033158" cy="577093"/>
        </a:xfrm>
        <a:prstGeom prst="rect">
          <a:avLst/>
        </a:prstGeom>
      </xdr:spPr>
    </xdr:pic>
    <xdr:clientData/>
  </xdr:oneCellAnchor>
  <xdr:oneCellAnchor>
    <xdr:from>
      <xdr:col>0</xdr:col>
      <xdr:colOff>66676</xdr:colOff>
      <xdr:row>6820</xdr:row>
      <xdr:rowOff>28574</xdr:rowOff>
    </xdr:from>
    <xdr:ext cx="1033158" cy="577093"/>
    <xdr:pic>
      <xdr:nvPicPr>
        <xdr:cNvPr id="142" name="Imagen 141">
          <a:extLst>
            <a:ext uri="{FF2B5EF4-FFF2-40B4-BE49-F238E27FC236}">
              <a16:creationId xmlns:a16="http://schemas.microsoft.com/office/drawing/2014/main" id="{00000000-0008-0000-0300-00008E000000}"/>
            </a:ext>
          </a:extLst>
        </xdr:cNvPr>
        <xdr:cNvPicPr>
          <a:picLocks noChangeAspect="1"/>
        </xdr:cNvPicPr>
      </xdr:nvPicPr>
      <xdr:blipFill>
        <a:blip xmlns:r="http://schemas.openxmlformats.org/officeDocument/2006/relationships" r:embed="rId1"/>
        <a:stretch>
          <a:fillRect/>
        </a:stretch>
      </xdr:blipFill>
      <xdr:spPr>
        <a:xfrm>
          <a:off x="66676" y="1067009549"/>
          <a:ext cx="1033158" cy="577093"/>
        </a:xfrm>
        <a:prstGeom prst="rect">
          <a:avLst/>
        </a:prstGeom>
      </xdr:spPr>
    </xdr:pic>
    <xdr:clientData/>
  </xdr:oneCellAnchor>
  <xdr:oneCellAnchor>
    <xdr:from>
      <xdr:col>0</xdr:col>
      <xdr:colOff>66676</xdr:colOff>
      <xdr:row>6872</xdr:row>
      <xdr:rowOff>28574</xdr:rowOff>
    </xdr:from>
    <xdr:ext cx="1033158" cy="577093"/>
    <xdr:pic>
      <xdr:nvPicPr>
        <xdr:cNvPr id="143" name="Imagen 142">
          <a:extLst>
            <a:ext uri="{FF2B5EF4-FFF2-40B4-BE49-F238E27FC236}">
              <a16:creationId xmlns:a16="http://schemas.microsoft.com/office/drawing/2014/main" id="{00000000-0008-0000-0300-00008F000000}"/>
            </a:ext>
          </a:extLst>
        </xdr:cNvPr>
        <xdr:cNvPicPr>
          <a:picLocks noChangeAspect="1"/>
        </xdr:cNvPicPr>
      </xdr:nvPicPr>
      <xdr:blipFill>
        <a:blip xmlns:r="http://schemas.openxmlformats.org/officeDocument/2006/relationships" r:embed="rId1"/>
        <a:stretch>
          <a:fillRect/>
        </a:stretch>
      </xdr:blipFill>
      <xdr:spPr>
        <a:xfrm>
          <a:off x="66676" y="1043787599"/>
          <a:ext cx="1033158" cy="577093"/>
        </a:xfrm>
        <a:prstGeom prst="rect">
          <a:avLst/>
        </a:prstGeom>
      </xdr:spPr>
    </xdr:pic>
    <xdr:clientData/>
  </xdr:oneCellAnchor>
  <xdr:oneCellAnchor>
    <xdr:from>
      <xdr:col>0</xdr:col>
      <xdr:colOff>66676</xdr:colOff>
      <xdr:row>3326</xdr:row>
      <xdr:rowOff>28574</xdr:rowOff>
    </xdr:from>
    <xdr:ext cx="1033158" cy="577093"/>
    <xdr:pic>
      <xdr:nvPicPr>
        <xdr:cNvPr id="144" name="Imagen 143">
          <a:extLst>
            <a:ext uri="{FF2B5EF4-FFF2-40B4-BE49-F238E27FC236}">
              <a16:creationId xmlns:a16="http://schemas.microsoft.com/office/drawing/2014/main" id="{00000000-0008-0000-0300-000090000000}"/>
            </a:ext>
          </a:extLst>
        </xdr:cNvPr>
        <xdr:cNvPicPr>
          <a:picLocks noChangeAspect="1"/>
        </xdr:cNvPicPr>
      </xdr:nvPicPr>
      <xdr:blipFill>
        <a:blip xmlns:r="http://schemas.openxmlformats.org/officeDocument/2006/relationships" r:embed="rId1"/>
        <a:stretch>
          <a:fillRect/>
        </a:stretch>
      </xdr:blipFill>
      <xdr:spPr>
        <a:xfrm>
          <a:off x="66676" y="733148774"/>
          <a:ext cx="1033158" cy="577093"/>
        </a:xfrm>
        <a:prstGeom prst="rect">
          <a:avLst/>
        </a:prstGeom>
      </xdr:spPr>
    </xdr:pic>
    <xdr:clientData/>
  </xdr:oneCellAnchor>
  <xdr:oneCellAnchor>
    <xdr:from>
      <xdr:col>0</xdr:col>
      <xdr:colOff>66676</xdr:colOff>
      <xdr:row>3377</xdr:row>
      <xdr:rowOff>28574</xdr:rowOff>
    </xdr:from>
    <xdr:ext cx="1033158" cy="577093"/>
    <xdr:pic>
      <xdr:nvPicPr>
        <xdr:cNvPr id="145" name="Imagen 144">
          <a:extLst>
            <a:ext uri="{FF2B5EF4-FFF2-40B4-BE49-F238E27FC236}">
              <a16:creationId xmlns:a16="http://schemas.microsoft.com/office/drawing/2014/main" id="{00000000-0008-0000-0300-000091000000}"/>
            </a:ext>
          </a:extLst>
        </xdr:cNvPr>
        <xdr:cNvPicPr>
          <a:picLocks noChangeAspect="1"/>
        </xdr:cNvPicPr>
      </xdr:nvPicPr>
      <xdr:blipFill>
        <a:blip xmlns:r="http://schemas.openxmlformats.org/officeDocument/2006/relationships" r:embed="rId1"/>
        <a:stretch>
          <a:fillRect/>
        </a:stretch>
      </xdr:blipFill>
      <xdr:spPr>
        <a:xfrm>
          <a:off x="66676" y="206606774"/>
          <a:ext cx="1033158" cy="577093"/>
        </a:xfrm>
        <a:prstGeom prst="rect">
          <a:avLst/>
        </a:prstGeom>
      </xdr:spPr>
    </xdr:pic>
    <xdr:clientData/>
  </xdr:oneCellAnchor>
  <xdr:oneCellAnchor>
    <xdr:from>
      <xdr:col>0</xdr:col>
      <xdr:colOff>66676</xdr:colOff>
      <xdr:row>3428</xdr:row>
      <xdr:rowOff>28574</xdr:rowOff>
    </xdr:from>
    <xdr:ext cx="1033158" cy="577093"/>
    <xdr:pic>
      <xdr:nvPicPr>
        <xdr:cNvPr id="146" name="Imagen 145">
          <a:extLst>
            <a:ext uri="{FF2B5EF4-FFF2-40B4-BE49-F238E27FC236}">
              <a16:creationId xmlns:a16="http://schemas.microsoft.com/office/drawing/2014/main" id="{00000000-0008-0000-0300-000092000000}"/>
            </a:ext>
          </a:extLst>
        </xdr:cNvPr>
        <xdr:cNvPicPr>
          <a:picLocks noChangeAspect="1"/>
        </xdr:cNvPicPr>
      </xdr:nvPicPr>
      <xdr:blipFill>
        <a:blip xmlns:r="http://schemas.openxmlformats.org/officeDocument/2006/relationships" r:embed="rId1"/>
        <a:stretch>
          <a:fillRect/>
        </a:stretch>
      </xdr:blipFill>
      <xdr:spPr>
        <a:xfrm>
          <a:off x="66676" y="755989724"/>
          <a:ext cx="1033158" cy="577093"/>
        </a:xfrm>
        <a:prstGeom prst="rect">
          <a:avLst/>
        </a:prstGeom>
      </xdr:spPr>
    </xdr:pic>
    <xdr:clientData/>
  </xdr:oneCellAnchor>
  <xdr:oneCellAnchor>
    <xdr:from>
      <xdr:col>0</xdr:col>
      <xdr:colOff>66676</xdr:colOff>
      <xdr:row>8650</xdr:row>
      <xdr:rowOff>28574</xdr:rowOff>
    </xdr:from>
    <xdr:ext cx="1033158" cy="577093"/>
    <xdr:pic>
      <xdr:nvPicPr>
        <xdr:cNvPr id="147" name="Imagen 146">
          <a:extLst>
            <a:ext uri="{FF2B5EF4-FFF2-40B4-BE49-F238E27FC236}">
              <a16:creationId xmlns:a16="http://schemas.microsoft.com/office/drawing/2014/main" id="{00000000-0008-0000-0300-000093000000}"/>
            </a:ext>
          </a:extLst>
        </xdr:cNvPr>
        <xdr:cNvPicPr>
          <a:picLocks noChangeAspect="1"/>
        </xdr:cNvPicPr>
      </xdr:nvPicPr>
      <xdr:blipFill>
        <a:blip xmlns:r="http://schemas.openxmlformats.org/officeDocument/2006/relationships" r:embed="rId1"/>
        <a:stretch>
          <a:fillRect/>
        </a:stretch>
      </xdr:blipFill>
      <xdr:spPr>
        <a:xfrm>
          <a:off x="66676" y="1309220774"/>
          <a:ext cx="1033158" cy="577093"/>
        </a:xfrm>
        <a:prstGeom prst="rect">
          <a:avLst/>
        </a:prstGeom>
      </xdr:spPr>
    </xdr:pic>
    <xdr:clientData/>
  </xdr:oneCellAnchor>
  <xdr:oneCellAnchor>
    <xdr:from>
      <xdr:col>0</xdr:col>
      <xdr:colOff>66676</xdr:colOff>
      <xdr:row>3479</xdr:row>
      <xdr:rowOff>28574</xdr:rowOff>
    </xdr:from>
    <xdr:ext cx="1033158" cy="577093"/>
    <xdr:pic>
      <xdr:nvPicPr>
        <xdr:cNvPr id="148" name="Imagen 147">
          <a:extLst>
            <a:ext uri="{FF2B5EF4-FFF2-40B4-BE49-F238E27FC236}">
              <a16:creationId xmlns:a16="http://schemas.microsoft.com/office/drawing/2014/main" id="{00000000-0008-0000-0300-000094000000}"/>
            </a:ext>
          </a:extLst>
        </xdr:cNvPr>
        <xdr:cNvPicPr>
          <a:picLocks noChangeAspect="1"/>
        </xdr:cNvPicPr>
      </xdr:nvPicPr>
      <xdr:blipFill>
        <a:blip xmlns:r="http://schemas.openxmlformats.org/officeDocument/2006/relationships" r:embed="rId1"/>
        <a:stretch>
          <a:fillRect/>
        </a:stretch>
      </xdr:blipFill>
      <xdr:spPr>
        <a:xfrm>
          <a:off x="66676" y="744569249"/>
          <a:ext cx="1033158" cy="577093"/>
        </a:xfrm>
        <a:prstGeom prst="rect">
          <a:avLst/>
        </a:prstGeom>
      </xdr:spPr>
    </xdr:pic>
    <xdr:clientData/>
  </xdr:oneCellAnchor>
  <xdr:oneCellAnchor>
    <xdr:from>
      <xdr:col>0</xdr:col>
      <xdr:colOff>66676</xdr:colOff>
      <xdr:row>3530</xdr:row>
      <xdr:rowOff>28574</xdr:rowOff>
    </xdr:from>
    <xdr:ext cx="1033158" cy="577093"/>
    <xdr:pic>
      <xdr:nvPicPr>
        <xdr:cNvPr id="149" name="Imagen 148">
          <a:extLst>
            <a:ext uri="{FF2B5EF4-FFF2-40B4-BE49-F238E27FC236}">
              <a16:creationId xmlns:a16="http://schemas.microsoft.com/office/drawing/2014/main" id="{00000000-0008-0000-0300-000095000000}"/>
            </a:ext>
          </a:extLst>
        </xdr:cNvPr>
        <xdr:cNvPicPr>
          <a:picLocks noChangeAspect="1"/>
        </xdr:cNvPicPr>
      </xdr:nvPicPr>
      <xdr:blipFill>
        <a:blip xmlns:r="http://schemas.openxmlformats.org/officeDocument/2006/relationships" r:embed="rId1"/>
        <a:stretch>
          <a:fillRect/>
        </a:stretch>
      </xdr:blipFill>
      <xdr:spPr>
        <a:xfrm>
          <a:off x="66676" y="778830674"/>
          <a:ext cx="1033158" cy="577093"/>
        </a:xfrm>
        <a:prstGeom prst="rect">
          <a:avLst/>
        </a:prstGeom>
      </xdr:spPr>
    </xdr:pic>
    <xdr:clientData/>
  </xdr:oneCellAnchor>
  <xdr:oneCellAnchor>
    <xdr:from>
      <xdr:col>0</xdr:col>
      <xdr:colOff>66676</xdr:colOff>
      <xdr:row>5472</xdr:row>
      <xdr:rowOff>28574</xdr:rowOff>
    </xdr:from>
    <xdr:ext cx="1033158" cy="577093"/>
    <xdr:pic>
      <xdr:nvPicPr>
        <xdr:cNvPr id="150" name="Imagen 149">
          <a:extLst>
            <a:ext uri="{FF2B5EF4-FFF2-40B4-BE49-F238E27FC236}">
              <a16:creationId xmlns:a16="http://schemas.microsoft.com/office/drawing/2014/main" id="{00000000-0008-0000-0300-000096000000}"/>
            </a:ext>
          </a:extLst>
        </xdr:cNvPr>
        <xdr:cNvPicPr>
          <a:picLocks noChangeAspect="1"/>
        </xdr:cNvPicPr>
      </xdr:nvPicPr>
      <xdr:blipFill>
        <a:blip xmlns:r="http://schemas.openxmlformats.org/officeDocument/2006/relationships" r:embed="rId1"/>
        <a:stretch>
          <a:fillRect/>
        </a:stretch>
      </xdr:blipFill>
      <xdr:spPr>
        <a:xfrm>
          <a:off x="66676" y="1042644599"/>
          <a:ext cx="1033158" cy="577093"/>
        </a:xfrm>
        <a:prstGeom prst="rect">
          <a:avLst/>
        </a:prstGeom>
      </xdr:spPr>
    </xdr:pic>
    <xdr:clientData/>
  </xdr:oneCellAnchor>
  <xdr:oneCellAnchor>
    <xdr:from>
      <xdr:col>0</xdr:col>
      <xdr:colOff>66676</xdr:colOff>
      <xdr:row>5523</xdr:row>
      <xdr:rowOff>28574</xdr:rowOff>
    </xdr:from>
    <xdr:ext cx="1033158" cy="577093"/>
    <xdr:pic>
      <xdr:nvPicPr>
        <xdr:cNvPr id="151" name="Imagen 150">
          <a:extLst>
            <a:ext uri="{FF2B5EF4-FFF2-40B4-BE49-F238E27FC236}">
              <a16:creationId xmlns:a16="http://schemas.microsoft.com/office/drawing/2014/main" id="{00000000-0008-0000-0300-000097000000}"/>
            </a:ext>
          </a:extLst>
        </xdr:cNvPr>
        <xdr:cNvPicPr>
          <a:picLocks noChangeAspect="1"/>
        </xdr:cNvPicPr>
      </xdr:nvPicPr>
      <xdr:blipFill>
        <a:blip xmlns:r="http://schemas.openxmlformats.org/officeDocument/2006/relationships" r:embed="rId1"/>
        <a:stretch>
          <a:fillRect/>
        </a:stretch>
      </xdr:blipFill>
      <xdr:spPr>
        <a:xfrm>
          <a:off x="66676" y="1054065074"/>
          <a:ext cx="1033158" cy="577093"/>
        </a:xfrm>
        <a:prstGeom prst="rect">
          <a:avLst/>
        </a:prstGeom>
      </xdr:spPr>
    </xdr:pic>
    <xdr:clientData/>
  </xdr:oneCellAnchor>
  <xdr:oneCellAnchor>
    <xdr:from>
      <xdr:col>0</xdr:col>
      <xdr:colOff>66676</xdr:colOff>
      <xdr:row>5575</xdr:row>
      <xdr:rowOff>28574</xdr:rowOff>
    </xdr:from>
    <xdr:ext cx="1033158" cy="577093"/>
    <xdr:pic>
      <xdr:nvPicPr>
        <xdr:cNvPr id="152" name="Imagen 151">
          <a:extLst>
            <a:ext uri="{FF2B5EF4-FFF2-40B4-BE49-F238E27FC236}">
              <a16:creationId xmlns:a16="http://schemas.microsoft.com/office/drawing/2014/main" id="{00000000-0008-0000-0300-000098000000}"/>
            </a:ext>
          </a:extLst>
        </xdr:cNvPr>
        <xdr:cNvPicPr>
          <a:picLocks noChangeAspect="1"/>
        </xdr:cNvPicPr>
      </xdr:nvPicPr>
      <xdr:blipFill>
        <a:blip xmlns:r="http://schemas.openxmlformats.org/officeDocument/2006/relationships" r:embed="rId1"/>
        <a:stretch>
          <a:fillRect/>
        </a:stretch>
      </xdr:blipFill>
      <xdr:spPr>
        <a:xfrm>
          <a:off x="66676" y="1065485549"/>
          <a:ext cx="1033158" cy="577093"/>
        </a:xfrm>
        <a:prstGeom prst="rect">
          <a:avLst/>
        </a:prstGeom>
      </xdr:spPr>
    </xdr:pic>
    <xdr:clientData/>
  </xdr:oneCellAnchor>
  <xdr:oneCellAnchor>
    <xdr:from>
      <xdr:col>0</xdr:col>
      <xdr:colOff>66676</xdr:colOff>
      <xdr:row>7604</xdr:row>
      <xdr:rowOff>28574</xdr:rowOff>
    </xdr:from>
    <xdr:ext cx="1033158" cy="577093"/>
    <xdr:pic>
      <xdr:nvPicPr>
        <xdr:cNvPr id="153" name="Imagen 152">
          <a:extLst>
            <a:ext uri="{FF2B5EF4-FFF2-40B4-BE49-F238E27FC236}">
              <a16:creationId xmlns:a16="http://schemas.microsoft.com/office/drawing/2014/main" id="{00000000-0008-0000-0300-000099000000}"/>
            </a:ext>
          </a:extLst>
        </xdr:cNvPr>
        <xdr:cNvPicPr>
          <a:picLocks noChangeAspect="1"/>
        </xdr:cNvPicPr>
      </xdr:nvPicPr>
      <xdr:blipFill>
        <a:blip xmlns:r="http://schemas.openxmlformats.org/officeDocument/2006/relationships" r:embed="rId1"/>
        <a:stretch>
          <a:fillRect/>
        </a:stretch>
      </xdr:blipFill>
      <xdr:spPr>
        <a:xfrm>
          <a:off x="66676" y="1309773224"/>
          <a:ext cx="1033158" cy="577093"/>
        </a:xfrm>
        <a:prstGeom prst="rect">
          <a:avLst/>
        </a:prstGeom>
      </xdr:spPr>
    </xdr:pic>
    <xdr:clientData/>
  </xdr:oneCellAnchor>
  <xdr:oneCellAnchor>
    <xdr:from>
      <xdr:col>0</xdr:col>
      <xdr:colOff>66676</xdr:colOff>
      <xdr:row>7656</xdr:row>
      <xdr:rowOff>28574</xdr:rowOff>
    </xdr:from>
    <xdr:ext cx="1033158" cy="577093"/>
    <xdr:pic>
      <xdr:nvPicPr>
        <xdr:cNvPr id="154" name="Imagen 153">
          <a:extLst>
            <a:ext uri="{FF2B5EF4-FFF2-40B4-BE49-F238E27FC236}">
              <a16:creationId xmlns:a16="http://schemas.microsoft.com/office/drawing/2014/main" id="{00000000-0008-0000-0300-00009A000000}"/>
            </a:ext>
          </a:extLst>
        </xdr:cNvPr>
        <xdr:cNvPicPr>
          <a:picLocks noChangeAspect="1"/>
        </xdr:cNvPicPr>
      </xdr:nvPicPr>
      <xdr:blipFill>
        <a:blip xmlns:r="http://schemas.openxmlformats.org/officeDocument/2006/relationships" r:embed="rId1"/>
        <a:stretch>
          <a:fillRect/>
        </a:stretch>
      </xdr:blipFill>
      <xdr:spPr>
        <a:xfrm>
          <a:off x="66676" y="1309773224"/>
          <a:ext cx="1033158" cy="577093"/>
        </a:xfrm>
        <a:prstGeom prst="rect">
          <a:avLst/>
        </a:prstGeom>
      </xdr:spPr>
    </xdr:pic>
    <xdr:clientData/>
  </xdr:oneCellAnchor>
  <xdr:oneCellAnchor>
    <xdr:from>
      <xdr:col>0</xdr:col>
      <xdr:colOff>66676</xdr:colOff>
      <xdr:row>6924</xdr:row>
      <xdr:rowOff>28574</xdr:rowOff>
    </xdr:from>
    <xdr:ext cx="1033158" cy="577093"/>
    <xdr:pic>
      <xdr:nvPicPr>
        <xdr:cNvPr id="155" name="Imagen 154">
          <a:extLst>
            <a:ext uri="{FF2B5EF4-FFF2-40B4-BE49-F238E27FC236}">
              <a16:creationId xmlns:a16="http://schemas.microsoft.com/office/drawing/2014/main" id="{00000000-0008-0000-0300-00009B000000}"/>
            </a:ext>
          </a:extLst>
        </xdr:cNvPr>
        <xdr:cNvPicPr>
          <a:picLocks noChangeAspect="1"/>
        </xdr:cNvPicPr>
      </xdr:nvPicPr>
      <xdr:blipFill>
        <a:blip xmlns:r="http://schemas.openxmlformats.org/officeDocument/2006/relationships" r:embed="rId1"/>
        <a:stretch>
          <a:fillRect/>
        </a:stretch>
      </xdr:blipFill>
      <xdr:spPr>
        <a:xfrm>
          <a:off x="66676" y="1309773224"/>
          <a:ext cx="1033158" cy="577093"/>
        </a:xfrm>
        <a:prstGeom prst="rect">
          <a:avLst/>
        </a:prstGeom>
      </xdr:spPr>
    </xdr:pic>
    <xdr:clientData/>
  </xdr:oneCellAnchor>
  <xdr:oneCellAnchor>
    <xdr:from>
      <xdr:col>0</xdr:col>
      <xdr:colOff>66676</xdr:colOff>
      <xdr:row>6976</xdr:row>
      <xdr:rowOff>28574</xdr:rowOff>
    </xdr:from>
    <xdr:ext cx="1033158" cy="577093"/>
    <xdr:pic>
      <xdr:nvPicPr>
        <xdr:cNvPr id="156" name="Imagen 155">
          <a:extLst>
            <a:ext uri="{FF2B5EF4-FFF2-40B4-BE49-F238E27FC236}">
              <a16:creationId xmlns:a16="http://schemas.microsoft.com/office/drawing/2014/main" id="{00000000-0008-0000-0300-00009C000000}"/>
            </a:ext>
          </a:extLst>
        </xdr:cNvPr>
        <xdr:cNvPicPr>
          <a:picLocks noChangeAspect="1"/>
        </xdr:cNvPicPr>
      </xdr:nvPicPr>
      <xdr:blipFill>
        <a:blip xmlns:r="http://schemas.openxmlformats.org/officeDocument/2006/relationships" r:embed="rId1"/>
        <a:stretch>
          <a:fillRect/>
        </a:stretch>
      </xdr:blipFill>
      <xdr:spPr>
        <a:xfrm>
          <a:off x="66676" y="1321384199"/>
          <a:ext cx="1033158" cy="577093"/>
        </a:xfrm>
        <a:prstGeom prst="rect">
          <a:avLst/>
        </a:prstGeom>
      </xdr:spPr>
    </xdr:pic>
    <xdr:clientData/>
  </xdr:oneCellAnchor>
  <xdr:oneCellAnchor>
    <xdr:from>
      <xdr:col>0</xdr:col>
      <xdr:colOff>66676</xdr:colOff>
      <xdr:row>7028</xdr:row>
      <xdr:rowOff>28574</xdr:rowOff>
    </xdr:from>
    <xdr:ext cx="1033158" cy="577093"/>
    <xdr:pic>
      <xdr:nvPicPr>
        <xdr:cNvPr id="157" name="Imagen 156">
          <a:extLst>
            <a:ext uri="{FF2B5EF4-FFF2-40B4-BE49-F238E27FC236}">
              <a16:creationId xmlns:a16="http://schemas.microsoft.com/office/drawing/2014/main" id="{00000000-0008-0000-0300-00009D000000}"/>
            </a:ext>
          </a:extLst>
        </xdr:cNvPr>
        <xdr:cNvPicPr>
          <a:picLocks noChangeAspect="1"/>
        </xdr:cNvPicPr>
      </xdr:nvPicPr>
      <xdr:blipFill>
        <a:blip xmlns:r="http://schemas.openxmlformats.org/officeDocument/2006/relationships" r:embed="rId1"/>
        <a:stretch>
          <a:fillRect/>
        </a:stretch>
      </xdr:blipFill>
      <xdr:spPr>
        <a:xfrm>
          <a:off x="66676" y="1332995174"/>
          <a:ext cx="1033158" cy="577093"/>
        </a:xfrm>
        <a:prstGeom prst="rect">
          <a:avLst/>
        </a:prstGeom>
      </xdr:spPr>
    </xdr:pic>
    <xdr:clientData/>
  </xdr:oneCellAnchor>
  <xdr:oneCellAnchor>
    <xdr:from>
      <xdr:col>0</xdr:col>
      <xdr:colOff>66676</xdr:colOff>
      <xdr:row>7080</xdr:row>
      <xdr:rowOff>28574</xdr:rowOff>
    </xdr:from>
    <xdr:ext cx="1033158" cy="577093"/>
    <xdr:pic>
      <xdr:nvPicPr>
        <xdr:cNvPr id="158" name="Imagen 157">
          <a:extLst>
            <a:ext uri="{FF2B5EF4-FFF2-40B4-BE49-F238E27FC236}">
              <a16:creationId xmlns:a16="http://schemas.microsoft.com/office/drawing/2014/main" id="{00000000-0008-0000-0300-00009E000000}"/>
            </a:ext>
          </a:extLst>
        </xdr:cNvPr>
        <xdr:cNvPicPr>
          <a:picLocks noChangeAspect="1"/>
        </xdr:cNvPicPr>
      </xdr:nvPicPr>
      <xdr:blipFill>
        <a:blip xmlns:r="http://schemas.openxmlformats.org/officeDocument/2006/relationships" r:embed="rId1"/>
        <a:stretch>
          <a:fillRect/>
        </a:stretch>
      </xdr:blipFill>
      <xdr:spPr>
        <a:xfrm>
          <a:off x="66676" y="1344606149"/>
          <a:ext cx="1033158" cy="577093"/>
        </a:xfrm>
        <a:prstGeom prst="rect">
          <a:avLst/>
        </a:prstGeom>
      </xdr:spPr>
    </xdr:pic>
    <xdr:clientData/>
  </xdr:oneCellAnchor>
  <xdr:oneCellAnchor>
    <xdr:from>
      <xdr:col>0</xdr:col>
      <xdr:colOff>66676</xdr:colOff>
      <xdr:row>7132</xdr:row>
      <xdr:rowOff>28574</xdr:rowOff>
    </xdr:from>
    <xdr:ext cx="1033158" cy="577093"/>
    <xdr:pic>
      <xdr:nvPicPr>
        <xdr:cNvPr id="159" name="Imagen 158">
          <a:extLst>
            <a:ext uri="{FF2B5EF4-FFF2-40B4-BE49-F238E27FC236}">
              <a16:creationId xmlns:a16="http://schemas.microsoft.com/office/drawing/2014/main" id="{00000000-0008-0000-0300-00009F000000}"/>
            </a:ext>
          </a:extLst>
        </xdr:cNvPr>
        <xdr:cNvPicPr>
          <a:picLocks noChangeAspect="1"/>
        </xdr:cNvPicPr>
      </xdr:nvPicPr>
      <xdr:blipFill>
        <a:blip xmlns:r="http://schemas.openxmlformats.org/officeDocument/2006/relationships" r:embed="rId1"/>
        <a:stretch>
          <a:fillRect/>
        </a:stretch>
      </xdr:blipFill>
      <xdr:spPr>
        <a:xfrm>
          <a:off x="66676" y="1356217124"/>
          <a:ext cx="1033158" cy="577093"/>
        </a:xfrm>
        <a:prstGeom prst="rect">
          <a:avLst/>
        </a:prstGeom>
      </xdr:spPr>
    </xdr:pic>
    <xdr:clientData/>
  </xdr:oneCellAnchor>
  <xdr:oneCellAnchor>
    <xdr:from>
      <xdr:col>0</xdr:col>
      <xdr:colOff>66676</xdr:colOff>
      <xdr:row>7184</xdr:row>
      <xdr:rowOff>28574</xdr:rowOff>
    </xdr:from>
    <xdr:ext cx="1033158" cy="577093"/>
    <xdr:pic>
      <xdr:nvPicPr>
        <xdr:cNvPr id="160" name="Imagen 159">
          <a:extLst>
            <a:ext uri="{FF2B5EF4-FFF2-40B4-BE49-F238E27FC236}">
              <a16:creationId xmlns:a16="http://schemas.microsoft.com/office/drawing/2014/main" id="{00000000-0008-0000-0300-0000A0000000}"/>
            </a:ext>
          </a:extLst>
        </xdr:cNvPr>
        <xdr:cNvPicPr>
          <a:picLocks noChangeAspect="1"/>
        </xdr:cNvPicPr>
      </xdr:nvPicPr>
      <xdr:blipFill>
        <a:blip xmlns:r="http://schemas.openxmlformats.org/officeDocument/2006/relationships" r:embed="rId1"/>
        <a:stretch>
          <a:fillRect/>
        </a:stretch>
      </xdr:blipFill>
      <xdr:spPr>
        <a:xfrm>
          <a:off x="66676" y="1367828099"/>
          <a:ext cx="1033158" cy="577093"/>
        </a:xfrm>
        <a:prstGeom prst="rect">
          <a:avLst/>
        </a:prstGeom>
      </xdr:spPr>
    </xdr:pic>
    <xdr:clientData/>
  </xdr:oneCellAnchor>
  <xdr:oneCellAnchor>
    <xdr:from>
      <xdr:col>0</xdr:col>
      <xdr:colOff>66676</xdr:colOff>
      <xdr:row>7236</xdr:row>
      <xdr:rowOff>28574</xdr:rowOff>
    </xdr:from>
    <xdr:ext cx="1033158" cy="577093"/>
    <xdr:pic>
      <xdr:nvPicPr>
        <xdr:cNvPr id="161" name="Imagen 160">
          <a:extLst>
            <a:ext uri="{FF2B5EF4-FFF2-40B4-BE49-F238E27FC236}">
              <a16:creationId xmlns:a16="http://schemas.microsoft.com/office/drawing/2014/main" id="{00000000-0008-0000-0300-0000A1000000}"/>
            </a:ext>
          </a:extLst>
        </xdr:cNvPr>
        <xdr:cNvPicPr>
          <a:picLocks noChangeAspect="1"/>
        </xdr:cNvPicPr>
      </xdr:nvPicPr>
      <xdr:blipFill>
        <a:blip xmlns:r="http://schemas.openxmlformats.org/officeDocument/2006/relationships" r:embed="rId1"/>
        <a:stretch>
          <a:fillRect/>
        </a:stretch>
      </xdr:blipFill>
      <xdr:spPr>
        <a:xfrm>
          <a:off x="66676" y="1379439074"/>
          <a:ext cx="1033158" cy="577093"/>
        </a:xfrm>
        <a:prstGeom prst="rect">
          <a:avLst/>
        </a:prstGeom>
      </xdr:spPr>
    </xdr:pic>
    <xdr:clientData/>
  </xdr:oneCellAnchor>
  <xdr:oneCellAnchor>
    <xdr:from>
      <xdr:col>0</xdr:col>
      <xdr:colOff>66676</xdr:colOff>
      <xdr:row>7288</xdr:row>
      <xdr:rowOff>28574</xdr:rowOff>
    </xdr:from>
    <xdr:ext cx="1033158" cy="577093"/>
    <xdr:pic>
      <xdr:nvPicPr>
        <xdr:cNvPr id="162" name="Imagen 161">
          <a:extLst>
            <a:ext uri="{FF2B5EF4-FFF2-40B4-BE49-F238E27FC236}">
              <a16:creationId xmlns:a16="http://schemas.microsoft.com/office/drawing/2014/main" id="{00000000-0008-0000-0300-0000A2000000}"/>
            </a:ext>
          </a:extLst>
        </xdr:cNvPr>
        <xdr:cNvPicPr>
          <a:picLocks noChangeAspect="1"/>
        </xdr:cNvPicPr>
      </xdr:nvPicPr>
      <xdr:blipFill>
        <a:blip xmlns:r="http://schemas.openxmlformats.org/officeDocument/2006/relationships" r:embed="rId1"/>
        <a:stretch>
          <a:fillRect/>
        </a:stretch>
      </xdr:blipFill>
      <xdr:spPr>
        <a:xfrm>
          <a:off x="66676" y="1391050049"/>
          <a:ext cx="1033158" cy="577093"/>
        </a:xfrm>
        <a:prstGeom prst="rect">
          <a:avLst/>
        </a:prstGeom>
      </xdr:spPr>
    </xdr:pic>
    <xdr:clientData/>
  </xdr:oneCellAnchor>
  <xdr:oneCellAnchor>
    <xdr:from>
      <xdr:col>0</xdr:col>
      <xdr:colOff>66676</xdr:colOff>
      <xdr:row>7340</xdr:row>
      <xdr:rowOff>28574</xdr:rowOff>
    </xdr:from>
    <xdr:ext cx="1033158" cy="577093"/>
    <xdr:pic>
      <xdr:nvPicPr>
        <xdr:cNvPr id="163" name="Imagen 162">
          <a:extLst>
            <a:ext uri="{FF2B5EF4-FFF2-40B4-BE49-F238E27FC236}">
              <a16:creationId xmlns:a16="http://schemas.microsoft.com/office/drawing/2014/main" id="{00000000-0008-0000-0300-0000A3000000}"/>
            </a:ext>
          </a:extLst>
        </xdr:cNvPr>
        <xdr:cNvPicPr>
          <a:picLocks noChangeAspect="1"/>
        </xdr:cNvPicPr>
      </xdr:nvPicPr>
      <xdr:blipFill>
        <a:blip xmlns:r="http://schemas.openxmlformats.org/officeDocument/2006/relationships" r:embed="rId1"/>
        <a:stretch>
          <a:fillRect/>
        </a:stretch>
      </xdr:blipFill>
      <xdr:spPr>
        <a:xfrm>
          <a:off x="66676" y="1402661024"/>
          <a:ext cx="1033158" cy="577093"/>
        </a:xfrm>
        <a:prstGeom prst="rect">
          <a:avLst/>
        </a:prstGeom>
      </xdr:spPr>
    </xdr:pic>
    <xdr:clientData/>
  </xdr:oneCellAnchor>
  <xdr:oneCellAnchor>
    <xdr:from>
      <xdr:col>0</xdr:col>
      <xdr:colOff>66676</xdr:colOff>
      <xdr:row>7392</xdr:row>
      <xdr:rowOff>28574</xdr:rowOff>
    </xdr:from>
    <xdr:ext cx="1033158" cy="577093"/>
    <xdr:pic>
      <xdr:nvPicPr>
        <xdr:cNvPr id="164" name="Imagen 163">
          <a:extLst>
            <a:ext uri="{FF2B5EF4-FFF2-40B4-BE49-F238E27FC236}">
              <a16:creationId xmlns:a16="http://schemas.microsoft.com/office/drawing/2014/main" id="{00000000-0008-0000-0300-0000A4000000}"/>
            </a:ext>
          </a:extLst>
        </xdr:cNvPr>
        <xdr:cNvPicPr>
          <a:picLocks noChangeAspect="1"/>
        </xdr:cNvPicPr>
      </xdr:nvPicPr>
      <xdr:blipFill>
        <a:blip xmlns:r="http://schemas.openxmlformats.org/officeDocument/2006/relationships" r:embed="rId1"/>
        <a:stretch>
          <a:fillRect/>
        </a:stretch>
      </xdr:blipFill>
      <xdr:spPr>
        <a:xfrm>
          <a:off x="66676" y="1414271999"/>
          <a:ext cx="1033158" cy="577093"/>
        </a:xfrm>
        <a:prstGeom prst="rect">
          <a:avLst/>
        </a:prstGeom>
      </xdr:spPr>
    </xdr:pic>
    <xdr:clientData/>
  </xdr:oneCellAnchor>
  <xdr:oneCellAnchor>
    <xdr:from>
      <xdr:col>0</xdr:col>
      <xdr:colOff>66676</xdr:colOff>
      <xdr:row>7444</xdr:row>
      <xdr:rowOff>28574</xdr:rowOff>
    </xdr:from>
    <xdr:ext cx="1033158" cy="577093"/>
    <xdr:pic>
      <xdr:nvPicPr>
        <xdr:cNvPr id="165" name="Imagen 164">
          <a:extLst>
            <a:ext uri="{FF2B5EF4-FFF2-40B4-BE49-F238E27FC236}">
              <a16:creationId xmlns:a16="http://schemas.microsoft.com/office/drawing/2014/main" id="{00000000-0008-0000-0300-0000A5000000}"/>
            </a:ext>
          </a:extLst>
        </xdr:cNvPr>
        <xdr:cNvPicPr>
          <a:picLocks noChangeAspect="1"/>
        </xdr:cNvPicPr>
      </xdr:nvPicPr>
      <xdr:blipFill>
        <a:blip xmlns:r="http://schemas.openxmlformats.org/officeDocument/2006/relationships" r:embed="rId1"/>
        <a:stretch>
          <a:fillRect/>
        </a:stretch>
      </xdr:blipFill>
      <xdr:spPr>
        <a:xfrm>
          <a:off x="66676" y="1425882974"/>
          <a:ext cx="1033158" cy="577093"/>
        </a:xfrm>
        <a:prstGeom prst="rect">
          <a:avLst/>
        </a:prstGeom>
      </xdr:spPr>
    </xdr:pic>
    <xdr:clientData/>
  </xdr:oneCellAnchor>
  <xdr:oneCellAnchor>
    <xdr:from>
      <xdr:col>0</xdr:col>
      <xdr:colOff>66676</xdr:colOff>
      <xdr:row>7551</xdr:row>
      <xdr:rowOff>28574</xdr:rowOff>
    </xdr:from>
    <xdr:ext cx="1033158" cy="577093"/>
    <xdr:pic>
      <xdr:nvPicPr>
        <xdr:cNvPr id="166" name="Imagen 165">
          <a:extLst>
            <a:ext uri="{FF2B5EF4-FFF2-40B4-BE49-F238E27FC236}">
              <a16:creationId xmlns:a16="http://schemas.microsoft.com/office/drawing/2014/main" id="{00000000-0008-0000-0300-0000A6000000}"/>
            </a:ext>
          </a:extLst>
        </xdr:cNvPr>
        <xdr:cNvPicPr>
          <a:picLocks noChangeAspect="1"/>
        </xdr:cNvPicPr>
      </xdr:nvPicPr>
      <xdr:blipFill>
        <a:blip xmlns:r="http://schemas.openxmlformats.org/officeDocument/2006/relationships" r:embed="rId1"/>
        <a:stretch>
          <a:fillRect/>
        </a:stretch>
      </xdr:blipFill>
      <xdr:spPr>
        <a:xfrm>
          <a:off x="66676" y="1437522524"/>
          <a:ext cx="1033158" cy="577093"/>
        </a:xfrm>
        <a:prstGeom prst="rect">
          <a:avLst/>
        </a:prstGeom>
      </xdr:spPr>
    </xdr:pic>
    <xdr:clientData/>
  </xdr:oneCellAnchor>
  <xdr:oneCellAnchor>
    <xdr:from>
      <xdr:col>0</xdr:col>
      <xdr:colOff>66676</xdr:colOff>
      <xdr:row>9558</xdr:row>
      <xdr:rowOff>28574</xdr:rowOff>
    </xdr:from>
    <xdr:ext cx="1033158" cy="577093"/>
    <xdr:pic>
      <xdr:nvPicPr>
        <xdr:cNvPr id="167" name="Imagen 166">
          <a:extLst>
            <a:ext uri="{FF2B5EF4-FFF2-40B4-BE49-F238E27FC236}">
              <a16:creationId xmlns:a16="http://schemas.microsoft.com/office/drawing/2014/main" id="{00000000-0008-0000-0300-0000A7000000}"/>
            </a:ext>
          </a:extLst>
        </xdr:cNvPr>
        <xdr:cNvPicPr>
          <a:picLocks noChangeAspect="1"/>
        </xdr:cNvPicPr>
      </xdr:nvPicPr>
      <xdr:blipFill>
        <a:blip xmlns:r="http://schemas.openxmlformats.org/officeDocument/2006/relationships" r:embed="rId1"/>
        <a:stretch>
          <a:fillRect/>
        </a:stretch>
      </xdr:blipFill>
      <xdr:spPr>
        <a:xfrm>
          <a:off x="66676" y="1686134549"/>
          <a:ext cx="1033158" cy="577093"/>
        </a:xfrm>
        <a:prstGeom prst="rect">
          <a:avLst/>
        </a:prstGeom>
      </xdr:spPr>
    </xdr:pic>
    <xdr:clientData/>
  </xdr:oneCellAnchor>
  <xdr:oneCellAnchor>
    <xdr:from>
      <xdr:col>0</xdr:col>
      <xdr:colOff>66676</xdr:colOff>
      <xdr:row>3581</xdr:row>
      <xdr:rowOff>28574</xdr:rowOff>
    </xdr:from>
    <xdr:ext cx="1033158" cy="577093"/>
    <xdr:pic>
      <xdr:nvPicPr>
        <xdr:cNvPr id="168" name="Imagen 167">
          <a:extLst>
            <a:ext uri="{FF2B5EF4-FFF2-40B4-BE49-F238E27FC236}">
              <a16:creationId xmlns:a16="http://schemas.microsoft.com/office/drawing/2014/main" id="{00000000-0008-0000-0300-0000A8000000}"/>
            </a:ext>
          </a:extLst>
        </xdr:cNvPr>
        <xdr:cNvPicPr>
          <a:picLocks noChangeAspect="1"/>
        </xdr:cNvPicPr>
      </xdr:nvPicPr>
      <xdr:blipFill>
        <a:blip xmlns:r="http://schemas.openxmlformats.org/officeDocument/2006/relationships" r:embed="rId1"/>
        <a:stretch>
          <a:fillRect/>
        </a:stretch>
      </xdr:blipFill>
      <xdr:spPr>
        <a:xfrm>
          <a:off x="66676" y="790251149"/>
          <a:ext cx="1033158" cy="577093"/>
        </a:xfrm>
        <a:prstGeom prst="rect">
          <a:avLst/>
        </a:prstGeom>
      </xdr:spPr>
    </xdr:pic>
    <xdr:clientData/>
  </xdr:oneCellAnchor>
  <xdr:oneCellAnchor>
    <xdr:from>
      <xdr:col>0</xdr:col>
      <xdr:colOff>66676</xdr:colOff>
      <xdr:row>3632</xdr:row>
      <xdr:rowOff>28574</xdr:rowOff>
    </xdr:from>
    <xdr:ext cx="1033158" cy="577093"/>
    <xdr:pic>
      <xdr:nvPicPr>
        <xdr:cNvPr id="169" name="Imagen 168">
          <a:extLst>
            <a:ext uri="{FF2B5EF4-FFF2-40B4-BE49-F238E27FC236}">
              <a16:creationId xmlns:a16="http://schemas.microsoft.com/office/drawing/2014/main" id="{00000000-0008-0000-0300-0000A9000000}"/>
            </a:ext>
          </a:extLst>
        </xdr:cNvPr>
        <xdr:cNvPicPr>
          <a:picLocks noChangeAspect="1"/>
        </xdr:cNvPicPr>
      </xdr:nvPicPr>
      <xdr:blipFill>
        <a:blip xmlns:r="http://schemas.openxmlformats.org/officeDocument/2006/relationships" r:embed="rId1"/>
        <a:stretch>
          <a:fillRect/>
        </a:stretch>
      </xdr:blipFill>
      <xdr:spPr>
        <a:xfrm>
          <a:off x="66676" y="801671624"/>
          <a:ext cx="1033158" cy="577093"/>
        </a:xfrm>
        <a:prstGeom prst="rect">
          <a:avLst/>
        </a:prstGeom>
      </xdr:spPr>
    </xdr:pic>
    <xdr:clientData/>
  </xdr:oneCellAnchor>
  <xdr:oneCellAnchor>
    <xdr:from>
      <xdr:col>0</xdr:col>
      <xdr:colOff>66676</xdr:colOff>
      <xdr:row>3683</xdr:row>
      <xdr:rowOff>28574</xdr:rowOff>
    </xdr:from>
    <xdr:ext cx="1033158" cy="577093"/>
    <xdr:pic>
      <xdr:nvPicPr>
        <xdr:cNvPr id="170" name="Imagen 169">
          <a:extLst>
            <a:ext uri="{FF2B5EF4-FFF2-40B4-BE49-F238E27FC236}">
              <a16:creationId xmlns:a16="http://schemas.microsoft.com/office/drawing/2014/main" id="{00000000-0008-0000-0300-0000AA000000}"/>
            </a:ext>
          </a:extLst>
        </xdr:cNvPr>
        <xdr:cNvPicPr>
          <a:picLocks noChangeAspect="1"/>
        </xdr:cNvPicPr>
      </xdr:nvPicPr>
      <xdr:blipFill>
        <a:blip xmlns:r="http://schemas.openxmlformats.org/officeDocument/2006/relationships" r:embed="rId1"/>
        <a:stretch>
          <a:fillRect/>
        </a:stretch>
      </xdr:blipFill>
      <xdr:spPr>
        <a:xfrm>
          <a:off x="66676" y="813092099"/>
          <a:ext cx="1033158" cy="577093"/>
        </a:xfrm>
        <a:prstGeom prst="rect">
          <a:avLst/>
        </a:prstGeom>
      </xdr:spPr>
    </xdr:pic>
    <xdr:clientData/>
  </xdr:oneCellAnchor>
  <xdr:oneCellAnchor>
    <xdr:from>
      <xdr:col>0</xdr:col>
      <xdr:colOff>66676</xdr:colOff>
      <xdr:row>3734</xdr:row>
      <xdr:rowOff>28574</xdr:rowOff>
    </xdr:from>
    <xdr:ext cx="1033158" cy="577093"/>
    <xdr:pic>
      <xdr:nvPicPr>
        <xdr:cNvPr id="171" name="Imagen 170">
          <a:extLst>
            <a:ext uri="{FF2B5EF4-FFF2-40B4-BE49-F238E27FC236}">
              <a16:creationId xmlns:a16="http://schemas.microsoft.com/office/drawing/2014/main" id="{00000000-0008-0000-0300-0000AB000000}"/>
            </a:ext>
          </a:extLst>
        </xdr:cNvPr>
        <xdr:cNvPicPr>
          <a:picLocks noChangeAspect="1"/>
        </xdr:cNvPicPr>
      </xdr:nvPicPr>
      <xdr:blipFill>
        <a:blip xmlns:r="http://schemas.openxmlformats.org/officeDocument/2006/relationships" r:embed="rId1"/>
        <a:stretch>
          <a:fillRect/>
        </a:stretch>
      </xdr:blipFill>
      <xdr:spPr>
        <a:xfrm>
          <a:off x="66676" y="778830674"/>
          <a:ext cx="1033158" cy="577093"/>
        </a:xfrm>
        <a:prstGeom prst="rect">
          <a:avLst/>
        </a:prstGeom>
      </xdr:spPr>
    </xdr:pic>
    <xdr:clientData/>
  </xdr:oneCellAnchor>
  <xdr:oneCellAnchor>
    <xdr:from>
      <xdr:col>0</xdr:col>
      <xdr:colOff>66676</xdr:colOff>
      <xdr:row>8705</xdr:row>
      <xdr:rowOff>28574</xdr:rowOff>
    </xdr:from>
    <xdr:ext cx="1033158" cy="577093"/>
    <xdr:pic>
      <xdr:nvPicPr>
        <xdr:cNvPr id="172" name="Imagen 171">
          <a:extLst>
            <a:ext uri="{FF2B5EF4-FFF2-40B4-BE49-F238E27FC236}">
              <a16:creationId xmlns:a16="http://schemas.microsoft.com/office/drawing/2014/main" id="{00000000-0008-0000-0300-0000AC000000}"/>
            </a:ext>
          </a:extLst>
        </xdr:cNvPr>
        <xdr:cNvPicPr>
          <a:picLocks noChangeAspect="1"/>
        </xdr:cNvPicPr>
      </xdr:nvPicPr>
      <xdr:blipFill>
        <a:blip xmlns:r="http://schemas.openxmlformats.org/officeDocument/2006/relationships" r:embed="rId1"/>
        <a:stretch>
          <a:fillRect/>
        </a:stretch>
      </xdr:blipFill>
      <xdr:spPr>
        <a:xfrm>
          <a:off x="66676" y="1600095224"/>
          <a:ext cx="1033158" cy="577093"/>
        </a:xfrm>
        <a:prstGeom prst="rect">
          <a:avLst/>
        </a:prstGeom>
      </xdr:spPr>
    </xdr:pic>
    <xdr:clientData/>
  </xdr:oneCellAnchor>
  <xdr:oneCellAnchor>
    <xdr:from>
      <xdr:col>0</xdr:col>
      <xdr:colOff>66676</xdr:colOff>
      <xdr:row>8760</xdr:row>
      <xdr:rowOff>28574</xdr:rowOff>
    </xdr:from>
    <xdr:ext cx="1033158" cy="577093"/>
    <xdr:pic>
      <xdr:nvPicPr>
        <xdr:cNvPr id="173" name="Imagen 172">
          <a:extLst>
            <a:ext uri="{FF2B5EF4-FFF2-40B4-BE49-F238E27FC236}">
              <a16:creationId xmlns:a16="http://schemas.microsoft.com/office/drawing/2014/main" id="{00000000-0008-0000-0300-0000AD000000}"/>
            </a:ext>
          </a:extLst>
        </xdr:cNvPr>
        <xdr:cNvPicPr>
          <a:picLocks noChangeAspect="1"/>
        </xdr:cNvPicPr>
      </xdr:nvPicPr>
      <xdr:blipFill>
        <a:blip xmlns:r="http://schemas.openxmlformats.org/officeDocument/2006/relationships" r:embed="rId1"/>
        <a:stretch>
          <a:fillRect/>
        </a:stretch>
      </xdr:blipFill>
      <xdr:spPr>
        <a:xfrm>
          <a:off x="66676" y="1612277699"/>
          <a:ext cx="1033158" cy="577093"/>
        </a:xfrm>
        <a:prstGeom prst="rect">
          <a:avLst/>
        </a:prstGeom>
      </xdr:spPr>
    </xdr:pic>
    <xdr:clientData/>
  </xdr:oneCellAnchor>
  <xdr:oneCellAnchor>
    <xdr:from>
      <xdr:col>0</xdr:col>
      <xdr:colOff>66676</xdr:colOff>
      <xdr:row>9028</xdr:row>
      <xdr:rowOff>28574</xdr:rowOff>
    </xdr:from>
    <xdr:ext cx="1033158" cy="577093"/>
    <xdr:pic>
      <xdr:nvPicPr>
        <xdr:cNvPr id="174" name="Imagen 173">
          <a:extLst>
            <a:ext uri="{FF2B5EF4-FFF2-40B4-BE49-F238E27FC236}">
              <a16:creationId xmlns:a16="http://schemas.microsoft.com/office/drawing/2014/main" id="{00000000-0008-0000-0300-0000AE000000}"/>
            </a:ext>
          </a:extLst>
        </xdr:cNvPr>
        <xdr:cNvPicPr>
          <a:picLocks noChangeAspect="1"/>
        </xdr:cNvPicPr>
      </xdr:nvPicPr>
      <xdr:blipFill>
        <a:blip xmlns:r="http://schemas.openxmlformats.org/officeDocument/2006/relationships" r:embed="rId1"/>
        <a:stretch>
          <a:fillRect/>
        </a:stretch>
      </xdr:blipFill>
      <xdr:spPr>
        <a:xfrm>
          <a:off x="66676" y="1649015624"/>
          <a:ext cx="1033158" cy="577093"/>
        </a:xfrm>
        <a:prstGeom prst="rect">
          <a:avLst/>
        </a:prstGeom>
      </xdr:spPr>
    </xdr:pic>
    <xdr:clientData/>
  </xdr:oneCellAnchor>
  <xdr:oneCellAnchor>
    <xdr:from>
      <xdr:col>0</xdr:col>
      <xdr:colOff>66676</xdr:colOff>
      <xdr:row>5626</xdr:row>
      <xdr:rowOff>28574</xdr:rowOff>
    </xdr:from>
    <xdr:ext cx="1033158" cy="577093"/>
    <xdr:pic>
      <xdr:nvPicPr>
        <xdr:cNvPr id="175" name="Imagen 174">
          <a:extLst>
            <a:ext uri="{FF2B5EF4-FFF2-40B4-BE49-F238E27FC236}">
              <a16:creationId xmlns:a16="http://schemas.microsoft.com/office/drawing/2014/main" id="{00000000-0008-0000-0300-0000AF000000}"/>
            </a:ext>
          </a:extLst>
        </xdr:cNvPr>
        <xdr:cNvPicPr>
          <a:picLocks noChangeAspect="1"/>
        </xdr:cNvPicPr>
      </xdr:nvPicPr>
      <xdr:blipFill>
        <a:blip xmlns:r="http://schemas.openxmlformats.org/officeDocument/2006/relationships" r:embed="rId1"/>
        <a:stretch>
          <a:fillRect/>
        </a:stretch>
      </xdr:blipFill>
      <xdr:spPr>
        <a:xfrm>
          <a:off x="66676" y="1122587924"/>
          <a:ext cx="1033158" cy="577093"/>
        </a:xfrm>
        <a:prstGeom prst="rect">
          <a:avLst/>
        </a:prstGeom>
      </xdr:spPr>
    </xdr:pic>
    <xdr:clientData/>
  </xdr:oneCellAnchor>
  <xdr:oneCellAnchor>
    <xdr:from>
      <xdr:col>0</xdr:col>
      <xdr:colOff>66676</xdr:colOff>
      <xdr:row>3785</xdr:row>
      <xdr:rowOff>28574</xdr:rowOff>
    </xdr:from>
    <xdr:ext cx="1033158" cy="577093"/>
    <xdr:pic>
      <xdr:nvPicPr>
        <xdr:cNvPr id="176" name="Imagen 175">
          <a:extLst>
            <a:ext uri="{FF2B5EF4-FFF2-40B4-BE49-F238E27FC236}">
              <a16:creationId xmlns:a16="http://schemas.microsoft.com/office/drawing/2014/main" id="{00000000-0008-0000-0300-0000B0000000}"/>
            </a:ext>
          </a:extLst>
        </xdr:cNvPr>
        <xdr:cNvPicPr>
          <a:picLocks noChangeAspect="1"/>
        </xdr:cNvPicPr>
      </xdr:nvPicPr>
      <xdr:blipFill>
        <a:blip xmlns:r="http://schemas.openxmlformats.org/officeDocument/2006/relationships" r:embed="rId1"/>
        <a:stretch>
          <a:fillRect/>
        </a:stretch>
      </xdr:blipFill>
      <xdr:spPr>
        <a:xfrm>
          <a:off x="66676" y="835933049"/>
          <a:ext cx="1033158" cy="577093"/>
        </a:xfrm>
        <a:prstGeom prst="rect">
          <a:avLst/>
        </a:prstGeom>
      </xdr:spPr>
    </xdr:pic>
    <xdr:clientData/>
  </xdr:oneCellAnchor>
  <xdr:oneCellAnchor>
    <xdr:from>
      <xdr:col>0</xdr:col>
      <xdr:colOff>66676</xdr:colOff>
      <xdr:row>3836</xdr:row>
      <xdr:rowOff>28574</xdr:rowOff>
    </xdr:from>
    <xdr:ext cx="1033158" cy="577093"/>
    <xdr:pic>
      <xdr:nvPicPr>
        <xdr:cNvPr id="177" name="Imagen 176">
          <a:extLst>
            <a:ext uri="{FF2B5EF4-FFF2-40B4-BE49-F238E27FC236}">
              <a16:creationId xmlns:a16="http://schemas.microsoft.com/office/drawing/2014/main" id="{00000000-0008-0000-0300-0000B1000000}"/>
            </a:ext>
          </a:extLst>
        </xdr:cNvPr>
        <xdr:cNvPicPr>
          <a:picLocks noChangeAspect="1"/>
        </xdr:cNvPicPr>
      </xdr:nvPicPr>
      <xdr:blipFill>
        <a:blip xmlns:r="http://schemas.openxmlformats.org/officeDocument/2006/relationships" r:embed="rId1"/>
        <a:stretch>
          <a:fillRect/>
        </a:stretch>
      </xdr:blipFill>
      <xdr:spPr>
        <a:xfrm>
          <a:off x="66676" y="847353524"/>
          <a:ext cx="1033158" cy="577093"/>
        </a:xfrm>
        <a:prstGeom prst="rect">
          <a:avLst/>
        </a:prstGeom>
      </xdr:spPr>
    </xdr:pic>
    <xdr:clientData/>
  </xdr:oneCellAnchor>
  <xdr:oneCellAnchor>
    <xdr:from>
      <xdr:col>0</xdr:col>
      <xdr:colOff>66676</xdr:colOff>
      <xdr:row>5677</xdr:row>
      <xdr:rowOff>28574</xdr:rowOff>
    </xdr:from>
    <xdr:ext cx="1033158" cy="577093"/>
    <xdr:pic>
      <xdr:nvPicPr>
        <xdr:cNvPr id="178" name="Imagen 177">
          <a:extLst>
            <a:ext uri="{FF2B5EF4-FFF2-40B4-BE49-F238E27FC236}">
              <a16:creationId xmlns:a16="http://schemas.microsoft.com/office/drawing/2014/main" id="{00000000-0008-0000-0300-0000B2000000}"/>
            </a:ext>
          </a:extLst>
        </xdr:cNvPr>
        <xdr:cNvPicPr>
          <a:picLocks noChangeAspect="1"/>
        </xdr:cNvPicPr>
      </xdr:nvPicPr>
      <xdr:blipFill>
        <a:blip xmlns:r="http://schemas.openxmlformats.org/officeDocument/2006/relationships" r:embed="rId1"/>
        <a:stretch>
          <a:fillRect/>
        </a:stretch>
      </xdr:blipFill>
      <xdr:spPr>
        <a:xfrm>
          <a:off x="66676" y="1156468349"/>
          <a:ext cx="1033158" cy="577093"/>
        </a:xfrm>
        <a:prstGeom prst="rect">
          <a:avLst/>
        </a:prstGeom>
      </xdr:spPr>
    </xdr:pic>
    <xdr:clientData/>
  </xdr:oneCellAnchor>
  <xdr:oneCellAnchor>
    <xdr:from>
      <xdr:col>0</xdr:col>
      <xdr:colOff>66676</xdr:colOff>
      <xdr:row>7496</xdr:row>
      <xdr:rowOff>28574</xdr:rowOff>
    </xdr:from>
    <xdr:ext cx="1033158" cy="577093"/>
    <xdr:pic>
      <xdr:nvPicPr>
        <xdr:cNvPr id="179" name="Imagen 178">
          <a:extLst>
            <a:ext uri="{FF2B5EF4-FFF2-40B4-BE49-F238E27FC236}">
              <a16:creationId xmlns:a16="http://schemas.microsoft.com/office/drawing/2014/main" id="{00000000-0008-0000-0300-0000B3000000}"/>
            </a:ext>
          </a:extLst>
        </xdr:cNvPr>
        <xdr:cNvPicPr>
          <a:picLocks noChangeAspect="1"/>
        </xdr:cNvPicPr>
      </xdr:nvPicPr>
      <xdr:blipFill>
        <a:blip xmlns:r="http://schemas.openxmlformats.org/officeDocument/2006/relationships" r:embed="rId1"/>
        <a:stretch>
          <a:fillRect/>
        </a:stretch>
      </xdr:blipFill>
      <xdr:spPr>
        <a:xfrm>
          <a:off x="66676" y="1527933824"/>
          <a:ext cx="1033158" cy="577093"/>
        </a:xfrm>
        <a:prstGeom prst="rect">
          <a:avLst/>
        </a:prstGeom>
      </xdr:spPr>
    </xdr:pic>
    <xdr:clientData/>
  </xdr:oneCellAnchor>
  <xdr:oneCellAnchor>
    <xdr:from>
      <xdr:col>0</xdr:col>
      <xdr:colOff>66676</xdr:colOff>
      <xdr:row>3887</xdr:row>
      <xdr:rowOff>28574</xdr:rowOff>
    </xdr:from>
    <xdr:ext cx="1033158" cy="577093"/>
    <xdr:pic>
      <xdr:nvPicPr>
        <xdr:cNvPr id="180" name="Imagen 179">
          <a:extLst>
            <a:ext uri="{FF2B5EF4-FFF2-40B4-BE49-F238E27FC236}">
              <a16:creationId xmlns:a16="http://schemas.microsoft.com/office/drawing/2014/main" id="{00000000-0008-0000-0300-0000B4000000}"/>
            </a:ext>
          </a:extLst>
        </xdr:cNvPr>
        <xdr:cNvPicPr>
          <a:picLocks noChangeAspect="1"/>
        </xdr:cNvPicPr>
      </xdr:nvPicPr>
      <xdr:blipFill>
        <a:blip xmlns:r="http://schemas.openxmlformats.org/officeDocument/2006/relationships" r:embed="rId1"/>
        <a:stretch>
          <a:fillRect/>
        </a:stretch>
      </xdr:blipFill>
      <xdr:spPr>
        <a:xfrm>
          <a:off x="66676" y="858773999"/>
          <a:ext cx="1033158" cy="577093"/>
        </a:xfrm>
        <a:prstGeom prst="rect">
          <a:avLst/>
        </a:prstGeom>
      </xdr:spPr>
    </xdr:pic>
    <xdr:clientData/>
  </xdr:oneCellAnchor>
  <xdr:oneCellAnchor>
    <xdr:from>
      <xdr:col>0</xdr:col>
      <xdr:colOff>66676</xdr:colOff>
      <xdr:row>9610</xdr:row>
      <xdr:rowOff>28574</xdr:rowOff>
    </xdr:from>
    <xdr:ext cx="1033158" cy="577093"/>
    <xdr:pic>
      <xdr:nvPicPr>
        <xdr:cNvPr id="2" name="Imagen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66676" y="1848116699"/>
          <a:ext cx="1033158" cy="577093"/>
        </a:xfrm>
        <a:prstGeom prst="rect">
          <a:avLst/>
        </a:prstGeom>
      </xdr:spPr>
    </xdr:pic>
    <xdr:clientData/>
  </xdr:oneCellAnchor>
  <xdr:oneCellAnchor>
    <xdr:from>
      <xdr:col>0</xdr:col>
      <xdr:colOff>66676</xdr:colOff>
      <xdr:row>9662</xdr:row>
      <xdr:rowOff>28574</xdr:rowOff>
    </xdr:from>
    <xdr:ext cx="1033158" cy="577093"/>
    <xdr:pic>
      <xdr:nvPicPr>
        <xdr:cNvPr id="3" name="Imagen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66676" y="1859727674"/>
          <a:ext cx="1033158" cy="577093"/>
        </a:xfrm>
        <a:prstGeom prst="rect">
          <a:avLst/>
        </a:prstGeom>
      </xdr:spPr>
    </xdr:pic>
    <xdr:clientData/>
  </xdr:oneCellAnchor>
  <xdr:oneCellAnchor>
    <xdr:from>
      <xdr:col>0</xdr:col>
      <xdr:colOff>66676</xdr:colOff>
      <xdr:row>9714</xdr:row>
      <xdr:rowOff>28574</xdr:rowOff>
    </xdr:from>
    <xdr:ext cx="1033158" cy="577093"/>
    <xdr:pic>
      <xdr:nvPicPr>
        <xdr:cNvPr id="5" name="Imagen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6676" y="1848116699"/>
          <a:ext cx="1033158" cy="577093"/>
        </a:xfrm>
        <a:prstGeom prst="rect">
          <a:avLst/>
        </a:prstGeom>
      </xdr:spPr>
    </xdr:pic>
    <xdr:clientData/>
  </xdr:oneCellAnchor>
  <xdr:oneCellAnchor>
    <xdr:from>
      <xdr:col>0</xdr:col>
      <xdr:colOff>66676</xdr:colOff>
      <xdr:row>9766</xdr:row>
      <xdr:rowOff>28574</xdr:rowOff>
    </xdr:from>
    <xdr:ext cx="1033158" cy="577093"/>
    <xdr:pic>
      <xdr:nvPicPr>
        <xdr:cNvPr id="6" name="Imagen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a:stretch>
          <a:fillRect/>
        </a:stretch>
      </xdr:blipFill>
      <xdr:spPr>
        <a:xfrm>
          <a:off x="66676" y="1882949624"/>
          <a:ext cx="1033158" cy="577093"/>
        </a:xfrm>
        <a:prstGeom prst="rect">
          <a:avLst/>
        </a:prstGeom>
      </xdr:spPr>
    </xdr:pic>
    <xdr:clientData/>
  </xdr:oneCellAnchor>
  <xdr:oneCellAnchor>
    <xdr:from>
      <xdr:col>0</xdr:col>
      <xdr:colOff>66676</xdr:colOff>
      <xdr:row>3938</xdr:row>
      <xdr:rowOff>28574</xdr:rowOff>
    </xdr:from>
    <xdr:ext cx="1033158" cy="577093"/>
    <xdr:pic>
      <xdr:nvPicPr>
        <xdr:cNvPr id="181" name="Imagen 180">
          <a:extLst>
            <a:ext uri="{FF2B5EF4-FFF2-40B4-BE49-F238E27FC236}">
              <a16:creationId xmlns:a16="http://schemas.microsoft.com/office/drawing/2014/main" id="{00000000-0008-0000-0300-0000B5000000}"/>
            </a:ext>
          </a:extLst>
        </xdr:cNvPr>
        <xdr:cNvPicPr>
          <a:picLocks noChangeAspect="1"/>
        </xdr:cNvPicPr>
      </xdr:nvPicPr>
      <xdr:blipFill>
        <a:blip xmlns:r="http://schemas.openxmlformats.org/officeDocument/2006/relationships" r:embed="rId1"/>
        <a:stretch>
          <a:fillRect/>
        </a:stretch>
      </xdr:blipFill>
      <xdr:spPr>
        <a:xfrm>
          <a:off x="66676" y="870194474"/>
          <a:ext cx="1033158" cy="577093"/>
        </a:xfrm>
        <a:prstGeom prst="rect">
          <a:avLst/>
        </a:prstGeom>
      </xdr:spPr>
    </xdr:pic>
    <xdr:clientData/>
  </xdr:oneCellAnchor>
  <xdr:oneCellAnchor>
    <xdr:from>
      <xdr:col>0</xdr:col>
      <xdr:colOff>66676</xdr:colOff>
      <xdr:row>3989</xdr:row>
      <xdr:rowOff>28574</xdr:rowOff>
    </xdr:from>
    <xdr:ext cx="1033158" cy="577093"/>
    <xdr:pic>
      <xdr:nvPicPr>
        <xdr:cNvPr id="182" name="Imagen 181">
          <a:extLst>
            <a:ext uri="{FF2B5EF4-FFF2-40B4-BE49-F238E27FC236}">
              <a16:creationId xmlns:a16="http://schemas.microsoft.com/office/drawing/2014/main" id="{00000000-0008-0000-0300-0000B6000000}"/>
            </a:ext>
          </a:extLst>
        </xdr:cNvPr>
        <xdr:cNvPicPr>
          <a:picLocks noChangeAspect="1"/>
        </xdr:cNvPicPr>
      </xdr:nvPicPr>
      <xdr:blipFill>
        <a:blip xmlns:r="http://schemas.openxmlformats.org/officeDocument/2006/relationships" r:embed="rId1"/>
        <a:stretch>
          <a:fillRect/>
        </a:stretch>
      </xdr:blipFill>
      <xdr:spPr>
        <a:xfrm>
          <a:off x="66676" y="881614949"/>
          <a:ext cx="1033158" cy="577093"/>
        </a:xfrm>
        <a:prstGeom prst="rect">
          <a:avLst/>
        </a:prstGeom>
      </xdr:spPr>
    </xdr:pic>
    <xdr:clientData/>
  </xdr:oneCellAnchor>
  <xdr:oneCellAnchor>
    <xdr:from>
      <xdr:col>0</xdr:col>
      <xdr:colOff>66676</xdr:colOff>
      <xdr:row>4040</xdr:row>
      <xdr:rowOff>28574</xdr:rowOff>
    </xdr:from>
    <xdr:ext cx="1033158" cy="577093"/>
    <xdr:pic>
      <xdr:nvPicPr>
        <xdr:cNvPr id="183" name="Imagen 182">
          <a:extLst>
            <a:ext uri="{FF2B5EF4-FFF2-40B4-BE49-F238E27FC236}">
              <a16:creationId xmlns:a16="http://schemas.microsoft.com/office/drawing/2014/main" id="{00000000-0008-0000-0300-0000B7000000}"/>
            </a:ext>
          </a:extLst>
        </xdr:cNvPr>
        <xdr:cNvPicPr>
          <a:picLocks noChangeAspect="1"/>
        </xdr:cNvPicPr>
      </xdr:nvPicPr>
      <xdr:blipFill>
        <a:blip xmlns:r="http://schemas.openxmlformats.org/officeDocument/2006/relationships" r:embed="rId1"/>
        <a:stretch>
          <a:fillRect/>
        </a:stretch>
      </xdr:blipFill>
      <xdr:spPr>
        <a:xfrm>
          <a:off x="66676" y="893035424"/>
          <a:ext cx="1033158" cy="577093"/>
        </a:xfrm>
        <a:prstGeom prst="rect">
          <a:avLst/>
        </a:prstGeom>
      </xdr:spPr>
    </xdr:pic>
    <xdr:clientData/>
  </xdr:oneCellAnchor>
  <xdr:oneCellAnchor>
    <xdr:from>
      <xdr:col>0</xdr:col>
      <xdr:colOff>66676</xdr:colOff>
      <xdr:row>4091</xdr:row>
      <xdr:rowOff>28574</xdr:rowOff>
    </xdr:from>
    <xdr:ext cx="1033158" cy="577093"/>
    <xdr:pic>
      <xdr:nvPicPr>
        <xdr:cNvPr id="184" name="Imagen 183">
          <a:extLst>
            <a:ext uri="{FF2B5EF4-FFF2-40B4-BE49-F238E27FC236}">
              <a16:creationId xmlns:a16="http://schemas.microsoft.com/office/drawing/2014/main" id="{00000000-0008-0000-0300-0000B8000000}"/>
            </a:ext>
          </a:extLst>
        </xdr:cNvPr>
        <xdr:cNvPicPr>
          <a:picLocks noChangeAspect="1"/>
        </xdr:cNvPicPr>
      </xdr:nvPicPr>
      <xdr:blipFill>
        <a:blip xmlns:r="http://schemas.openxmlformats.org/officeDocument/2006/relationships" r:embed="rId1"/>
        <a:stretch>
          <a:fillRect/>
        </a:stretch>
      </xdr:blipFill>
      <xdr:spPr>
        <a:xfrm>
          <a:off x="66676" y="80600549"/>
          <a:ext cx="1033158" cy="577093"/>
        </a:xfrm>
        <a:prstGeom prst="rect">
          <a:avLst/>
        </a:prstGeom>
      </xdr:spPr>
    </xdr:pic>
    <xdr:clientData/>
  </xdr:oneCellAnchor>
  <xdr:oneCellAnchor>
    <xdr:from>
      <xdr:col>0</xdr:col>
      <xdr:colOff>66676</xdr:colOff>
      <xdr:row>4142</xdr:row>
      <xdr:rowOff>28574</xdr:rowOff>
    </xdr:from>
    <xdr:ext cx="1033158" cy="577093"/>
    <xdr:pic>
      <xdr:nvPicPr>
        <xdr:cNvPr id="185" name="Imagen 184">
          <a:extLst>
            <a:ext uri="{FF2B5EF4-FFF2-40B4-BE49-F238E27FC236}">
              <a16:creationId xmlns:a16="http://schemas.microsoft.com/office/drawing/2014/main" id="{00000000-0008-0000-0300-0000B9000000}"/>
            </a:ext>
          </a:extLst>
        </xdr:cNvPr>
        <xdr:cNvPicPr>
          <a:picLocks noChangeAspect="1"/>
        </xdr:cNvPicPr>
      </xdr:nvPicPr>
      <xdr:blipFill>
        <a:blip xmlns:r="http://schemas.openxmlformats.org/officeDocument/2006/relationships" r:embed="rId1"/>
        <a:stretch>
          <a:fillRect/>
        </a:stretch>
      </xdr:blipFill>
      <xdr:spPr>
        <a:xfrm>
          <a:off x="66676" y="915876374"/>
          <a:ext cx="1033158" cy="577093"/>
        </a:xfrm>
        <a:prstGeom prst="rect">
          <a:avLst/>
        </a:prstGeom>
      </xdr:spPr>
    </xdr:pic>
    <xdr:clientData/>
  </xdr:oneCellAnchor>
  <xdr:oneCellAnchor>
    <xdr:from>
      <xdr:col>0</xdr:col>
      <xdr:colOff>66676</xdr:colOff>
      <xdr:row>4193</xdr:row>
      <xdr:rowOff>28574</xdr:rowOff>
    </xdr:from>
    <xdr:ext cx="1033158" cy="577093"/>
    <xdr:pic>
      <xdr:nvPicPr>
        <xdr:cNvPr id="186" name="Imagen 185">
          <a:extLst>
            <a:ext uri="{FF2B5EF4-FFF2-40B4-BE49-F238E27FC236}">
              <a16:creationId xmlns:a16="http://schemas.microsoft.com/office/drawing/2014/main" id="{00000000-0008-0000-0300-0000BA000000}"/>
            </a:ext>
          </a:extLst>
        </xdr:cNvPr>
        <xdr:cNvPicPr>
          <a:picLocks noChangeAspect="1"/>
        </xdr:cNvPicPr>
      </xdr:nvPicPr>
      <xdr:blipFill>
        <a:blip xmlns:r="http://schemas.openxmlformats.org/officeDocument/2006/relationships" r:embed="rId1"/>
        <a:stretch>
          <a:fillRect/>
        </a:stretch>
      </xdr:blipFill>
      <xdr:spPr>
        <a:xfrm>
          <a:off x="66676" y="927296849"/>
          <a:ext cx="1033158" cy="577093"/>
        </a:xfrm>
        <a:prstGeom prst="rect">
          <a:avLst/>
        </a:prstGeom>
      </xdr:spPr>
    </xdr:pic>
    <xdr:clientData/>
  </xdr:oneCellAnchor>
  <xdr:oneCellAnchor>
    <xdr:from>
      <xdr:col>0</xdr:col>
      <xdr:colOff>66676</xdr:colOff>
      <xdr:row>5728</xdr:row>
      <xdr:rowOff>28574</xdr:rowOff>
    </xdr:from>
    <xdr:ext cx="1033158" cy="577093"/>
    <xdr:pic>
      <xdr:nvPicPr>
        <xdr:cNvPr id="187" name="Imagen 186">
          <a:extLst>
            <a:ext uri="{FF2B5EF4-FFF2-40B4-BE49-F238E27FC236}">
              <a16:creationId xmlns:a16="http://schemas.microsoft.com/office/drawing/2014/main" id="{00000000-0008-0000-0300-0000BB000000}"/>
            </a:ext>
          </a:extLst>
        </xdr:cNvPr>
        <xdr:cNvPicPr>
          <a:picLocks noChangeAspect="1"/>
        </xdr:cNvPicPr>
      </xdr:nvPicPr>
      <xdr:blipFill>
        <a:blip xmlns:r="http://schemas.openxmlformats.org/officeDocument/2006/relationships" r:embed="rId1"/>
        <a:stretch>
          <a:fillRect/>
        </a:stretch>
      </xdr:blipFill>
      <xdr:spPr>
        <a:xfrm>
          <a:off x="66676" y="1248403649"/>
          <a:ext cx="1033158" cy="577093"/>
        </a:xfrm>
        <a:prstGeom prst="rect">
          <a:avLst/>
        </a:prstGeom>
      </xdr:spPr>
    </xdr:pic>
    <xdr:clientData/>
  </xdr:oneCellAnchor>
  <xdr:oneCellAnchor>
    <xdr:from>
      <xdr:col>0</xdr:col>
      <xdr:colOff>66676</xdr:colOff>
      <xdr:row>7709</xdr:row>
      <xdr:rowOff>28574</xdr:rowOff>
    </xdr:from>
    <xdr:ext cx="1033158" cy="577093"/>
    <xdr:pic>
      <xdr:nvPicPr>
        <xdr:cNvPr id="188" name="Imagen 187">
          <a:extLst>
            <a:ext uri="{FF2B5EF4-FFF2-40B4-BE49-F238E27FC236}">
              <a16:creationId xmlns:a16="http://schemas.microsoft.com/office/drawing/2014/main" id="{00000000-0008-0000-0300-0000BC000000}"/>
            </a:ext>
          </a:extLst>
        </xdr:cNvPr>
        <xdr:cNvPicPr>
          <a:picLocks noChangeAspect="1"/>
        </xdr:cNvPicPr>
      </xdr:nvPicPr>
      <xdr:blipFill>
        <a:blip xmlns:r="http://schemas.openxmlformats.org/officeDocument/2006/relationships" r:embed="rId1"/>
        <a:stretch>
          <a:fillRect/>
        </a:stretch>
      </xdr:blipFill>
      <xdr:spPr>
        <a:xfrm>
          <a:off x="66676" y="1655273549"/>
          <a:ext cx="1033158" cy="577093"/>
        </a:xfrm>
        <a:prstGeom prst="rect">
          <a:avLst/>
        </a:prstGeom>
      </xdr:spPr>
    </xdr:pic>
    <xdr:clientData/>
  </xdr:oneCellAnchor>
  <xdr:oneCellAnchor>
    <xdr:from>
      <xdr:col>0</xdr:col>
      <xdr:colOff>66676</xdr:colOff>
      <xdr:row>7762</xdr:row>
      <xdr:rowOff>28574</xdr:rowOff>
    </xdr:from>
    <xdr:ext cx="1033158" cy="577093"/>
    <xdr:pic>
      <xdr:nvPicPr>
        <xdr:cNvPr id="189" name="Imagen 188">
          <a:extLst>
            <a:ext uri="{FF2B5EF4-FFF2-40B4-BE49-F238E27FC236}">
              <a16:creationId xmlns:a16="http://schemas.microsoft.com/office/drawing/2014/main" id="{00000000-0008-0000-0300-0000BD000000}"/>
            </a:ext>
          </a:extLst>
        </xdr:cNvPr>
        <xdr:cNvPicPr>
          <a:picLocks noChangeAspect="1"/>
        </xdr:cNvPicPr>
      </xdr:nvPicPr>
      <xdr:blipFill>
        <a:blip xmlns:r="http://schemas.openxmlformats.org/officeDocument/2006/relationships" r:embed="rId1"/>
        <a:stretch>
          <a:fillRect/>
        </a:stretch>
      </xdr:blipFill>
      <xdr:spPr>
        <a:xfrm>
          <a:off x="66676" y="1678685999"/>
          <a:ext cx="1033158" cy="577093"/>
        </a:xfrm>
        <a:prstGeom prst="rect">
          <a:avLst/>
        </a:prstGeom>
      </xdr:spPr>
    </xdr:pic>
    <xdr:clientData/>
  </xdr:oneCellAnchor>
  <xdr:oneCellAnchor>
    <xdr:from>
      <xdr:col>0</xdr:col>
      <xdr:colOff>66676</xdr:colOff>
      <xdr:row>7814</xdr:row>
      <xdr:rowOff>28574</xdr:rowOff>
    </xdr:from>
    <xdr:ext cx="1033158" cy="577093"/>
    <xdr:pic>
      <xdr:nvPicPr>
        <xdr:cNvPr id="190" name="Imagen 189">
          <a:extLst>
            <a:ext uri="{FF2B5EF4-FFF2-40B4-BE49-F238E27FC236}">
              <a16:creationId xmlns:a16="http://schemas.microsoft.com/office/drawing/2014/main" id="{00000000-0008-0000-0300-0000BE000000}"/>
            </a:ext>
          </a:extLst>
        </xdr:cNvPr>
        <xdr:cNvPicPr>
          <a:picLocks noChangeAspect="1"/>
        </xdr:cNvPicPr>
      </xdr:nvPicPr>
      <xdr:blipFill>
        <a:blip xmlns:r="http://schemas.openxmlformats.org/officeDocument/2006/relationships" r:embed="rId1"/>
        <a:stretch>
          <a:fillRect/>
        </a:stretch>
      </xdr:blipFill>
      <xdr:spPr>
        <a:xfrm>
          <a:off x="66676" y="1690487474"/>
          <a:ext cx="1033158" cy="577093"/>
        </a:xfrm>
        <a:prstGeom prst="rect">
          <a:avLst/>
        </a:prstGeom>
      </xdr:spPr>
    </xdr:pic>
    <xdr:clientData/>
  </xdr:oneCellAnchor>
  <xdr:oneCellAnchor>
    <xdr:from>
      <xdr:col>0</xdr:col>
      <xdr:colOff>66676</xdr:colOff>
      <xdr:row>7866</xdr:row>
      <xdr:rowOff>28574</xdr:rowOff>
    </xdr:from>
    <xdr:ext cx="1033158" cy="577093"/>
    <xdr:pic>
      <xdr:nvPicPr>
        <xdr:cNvPr id="191" name="Imagen 190">
          <a:extLst>
            <a:ext uri="{FF2B5EF4-FFF2-40B4-BE49-F238E27FC236}">
              <a16:creationId xmlns:a16="http://schemas.microsoft.com/office/drawing/2014/main" id="{00000000-0008-0000-0300-0000BF000000}"/>
            </a:ext>
          </a:extLst>
        </xdr:cNvPr>
        <xdr:cNvPicPr>
          <a:picLocks noChangeAspect="1"/>
        </xdr:cNvPicPr>
      </xdr:nvPicPr>
      <xdr:blipFill>
        <a:blip xmlns:r="http://schemas.openxmlformats.org/officeDocument/2006/relationships" r:embed="rId1"/>
        <a:stretch>
          <a:fillRect/>
        </a:stretch>
      </xdr:blipFill>
      <xdr:spPr>
        <a:xfrm>
          <a:off x="66676" y="1702098449"/>
          <a:ext cx="1033158" cy="577093"/>
        </a:xfrm>
        <a:prstGeom prst="rect">
          <a:avLst/>
        </a:prstGeom>
      </xdr:spPr>
    </xdr:pic>
    <xdr:clientData/>
  </xdr:oneCellAnchor>
  <xdr:oneCellAnchor>
    <xdr:from>
      <xdr:col>0</xdr:col>
      <xdr:colOff>66676</xdr:colOff>
      <xdr:row>7918</xdr:row>
      <xdr:rowOff>28574</xdr:rowOff>
    </xdr:from>
    <xdr:ext cx="1033158" cy="577093"/>
    <xdr:pic>
      <xdr:nvPicPr>
        <xdr:cNvPr id="192" name="Imagen 191">
          <a:extLst>
            <a:ext uri="{FF2B5EF4-FFF2-40B4-BE49-F238E27FC236}">
              <a16:creationId xmlns:a16="http://schemas.microsoft.com/office/drawing/2014/main" id="{00000000-0008-0000-0300-0000C0000000}"/>
            </a:ext>
          </a:extLst>
        </xdr:cNvPr>
        <xdr:cNvPicPr>
          <a:picLocks noChangeAspect="1"/>
        </xdr:cNvPicPr>
      </xdr:nvPicPr>
      <xdr:blipFill>
        <a:blip xmlns:r="http://schemas.openxmlformats.org/officeDocument/2006/relationships" r:embed="rId1"/>
        <a:stretch>
          <a:fillRect/>
        </a:stretch>
      </xdr:blipFill>
      <xdr:spPr>
        <a:xfrm>
          <a:off x="66676" y="1573206149"/>
          <a:ext cx="1033158" cy="577093"/>
        </a:xfrm>
        <a:prstGeom prst="rect">
          <a:avLst/>
        </a:prstGeom>
      </xdr:spPr>
    </xdr:pic>
    <xdr:clientData/>
  </xdr:oneCellAnchor>
  <xdr:oneCellAnchor>
    <xdr:from>
      <xdr:col>0</xdr:col>
      <xdr:colOff>66676</xdr:colOff>
      <xdr:row>7970</xdr:row>
      <xdr:rowOff>28574</xdr:rowOff>
    </xdr:from>
    <xdr:ext cx="1033158" cy="577093"/>
    <xdr:pic>
      <xdr:nvPicPr>
        <xdr:cNvPr id="193" name="Imagen 192">
          <a:extLst>
            <a:ext uri="{FF2B5EF4-FFF2-40B4-BE49-F238E27FC236}">
              <a16:creationId xmlns:a16="http://schemas.microsoft.com/office/drawing/2014/main" id="{00000000-0008-0000-0300-0000C1000000}"/>
            </a:ext>
          </a:extLst>
        </xdr:cNvPr>
        <xdr:cNvPicPr>
          <a:picLocks noChangeAspect="1"/>
        </xdr:cNvPicPr>
      </xdr:nvPicPr>
      <xdr:blipFill>
        <a:blip xmlns:r="http://schemas.openxmlformats.org/officeDocument/2006/relationships" r:embed="rId1"/>
        <a:stretch>
          <a:fillRect/>
        </a:stretch>
      </xdr:blipFill>
      <xdr:spPr>
        <a:xfrm>
          <a:off x="66676" y="1725320399"/>
          <a:ext cx="1033158" cy="577093"/>
        </a:xfrm>
        <a:prstGeom prst="rect">
          <a:avLst/>
        </a:prstGeom>
      </xdr:spPr>
    </xdr:pic>
    <xdr:clientData/>
  </xdr:oneCellAnchor>
  <xdr:oneCellAnchor>
    <xdr:from>
      <xdr:col>0</xdr:col>
      <xdr:colOff>66676</xdr:colOff>
      <xdr:row>8022</xdr:row>
      <xdr:rowOff>28574</xdr:rowOff>
    </xdr:from>
    <xdr:ext cx="1033158" cy="577093"/>
    <xdr:pic>
      <xdr:nvPicPr>
        <xdr:cNvPr id="194" name="Imagen 193">
          <a:extLst>
            <a:ext uri="{FF2B5EF4-FFF2-40B4-BE49-F238E27FC236}">
              <a16:creationId xmlns:a16="http://schemas.microsoft.com/office/drawing/2014/main" id="{00000000-0008-0000-0300-0000C2000000}"/>
            </a:ext>
          </a:extLst>
        </xdr:cNvPr>
        <xdr:cNvPicPr>
          <a:picLocks noChangeAspect="1"/>
        </xdr:cNvPicPr>
      </xdr:nvPicPr>
      <xdr:blipFill>
        <a:blip xmlns:r="http://schemas.openxmlformats.org/officeDocument/2006/relationships" r:embed="rId1"/>
        <a:stretch>
          <a:fillRect/>
        </a:stretch>
      </xdr:blipFill>
      <xdr:spPr>
        <a:xfrm>
          <a:off x="66676" y="1736931374"/>
          <a:ext cx="1033158" cy="577093"/>
        </a:xfrm>
        <a:prstGeom prst="rect">
          <a:avLst/>
        </a:prstGeom>
      </xdr:spPr>
    </xdr:pic>
    <xdr:clientData/>
  </xdr:oneCellAnchor>
  <xdr:oneCellAnchor>
    <xdr:from>
      <xdr:col>0</xdr:col>
      <xdr:colOff>66676</xdr:colOff>
      <xdr:row>8074</xdr:row>
      <xdr:rowOff>28574</xdr:rowOff>
    </xdr:from>
    <xdr:ext cx="1033158" cy="577093"/>
    <xdr:pic>
      <xdr:nvPicPr>
        <xdr:cNvPr id="195" name="Imagen 194">
          <a:extLst>
            <a:ext uri="{FF2B5EF4-FFF2-40B4-BE49-F238E27FC236}">
              <a16:creationId xmlns:a16="http://schemas.microsoft.com/office/drawing/2014/main" id="{00000000-0008-0000-0300-0000C3000000}"/>
            </a:ext>
          </a:extLst>
        </xdr:cNvPr>
        <xdr:cNvPicPr>
          <a:picLocks noChangeAspect="1"/>
        </xdr:cNvPicPr>
      </xdr:nvPicPr>
      <xdr:blipFill>
        <a:blip xmlns:r="http://schemas.openxmlformats.org/officeDocument/2006/relationships" r:embed="rId1"/>
        <a:stretch>
          <a:fillRect/>
        </a:stretch>
      </xdr:blipFill>
      <xdr:spPr>
        <a:xfrm>
          <a:off x="66676" y="1748542349"/>
          <a:ext cx="1033158" cy="577093"/>
        </a:xfrm>
        <a:prstGeom prst="rect">
          <a:avLst/>
        </a:prstGeom>
      </xdr:spPr>
    </xdr:pic>
    <xdr:clientData/>
  </xdr:oneCellAnchor>
  <xdr:oneCellAnchor>
    <xdr:from>
      <xdr:col>0</xdr:col>
      <xdr:colOff>66676</xdr:colOff>
      <xdr:row>8126</xdr:row>
      <xdr:rowOff>28574</xdr:rowOff>
    </xdr:from>
    <xdr:ext cx="1033158" cy="577093"/>
    <xdr:pic>
      <xdr:nvPicPr>
        <xdr:cNvPr id="196" name="Imagen 195">
          <a:extLst>
            <a:ext uri="{FF2B5EF4-FFF2-40B4-BE49-F238E27FC236}">
              <a16:creationId xmlns:a16="http://schemas.microsoft.com/office/drawing/2014/main" id="{00000000-0008-0000-0300-0000C4000000}"/>
            </a:ext>
          </a:extLst>
        </xdr:cNvPr>
        <xdr:cNvPicPr>
          <a:picLocks noChangeAspect="1"/>
        </xdr:cNvPicPr>
      </xdr:nvPicPr>
      <xdr:blipFill>
        <a:blip xmlns:r="http://schemas.openxmlformats.org/officeDocument/2006/relationships" r:embed="rId1"/>
        <a:stretch>
          <a:fillRect/>
        </a:stretch>
      </xdr:blipFill>
      <xdr:spPr>
        <a:xfrm>
          <a:off x="66676" y="1619678624"/>
          <a:ext cx="1033158" cy="577093"/>
        </a:xfrm>
        <a:prstGeom prst="rect">
          <a:avLst/>
        </a:prstGeom>
      </xdr:spPr>
    </xdr:pic>
    <xdr:clientData/>
  </xdr:oneCellAnchor>
  <xdr:oneCellAnchor>
    <xdr:from>
      <xdr:col>0</xdr:col>
      <xdr:colOff>66676</xdr:colOff>
      <xdr:row>8178</xdr:row>
      <xdr:rowOff>28574</xdr:rowOff>
    </xdr:from>
    <xdr:ext cx="1033158" cy="577093"/>
    <xdr:pic>
      <xdr:nvPicPr>
        <xdr:cNvPr id="197" name="Imagen 196">
          <a:extLst>
            <a:ext uri="{FF2B5EF4-FFF2-40B4-BE49-F238E27FC236}">
              <a16:creationId xmlns:a16="http://schemas.microsoft.com/office/drawing/2014/main" id="{00000000-0008-0000-0300-0000C5000000}"/>
            </a:ext>
          </a:extLst>
        </xdr:cNvPr>
        <xdr:cNvPicPr>
          <a:picLocks noChangeAspect="1"/>
        </xdr:cNvPicPr>
      </xdr:nvPicPr>
      <xdr:blipFill>
        <a:blip xmlns:r="http://schemas.openxmlformats.org/officeDocument/2006/relationships" r:embed="rId1"/>
        <a:stretch>
          <a:fillRect/>
        </a:stretch>
      </xdr:blipFill>
      <xdr:spPr>
        <a:xfrm>
          <a:off x="66676" y="1666884524"/>
          <a:ext cx="1033158" cy="577093"/>
        </a:xfrm>
        <a:prstGeom prst="rect">
          <a:avLst/>
        </a:prstGeom>
      </xdr:spPr>
    </xdr:pic>
    <xdr:clientData/>
  </xdr:oneCellAnchor>
  <xdr:oneCellAnchor>
    <xdr:from>
      <xdr:col>0</xdr:col>
      <xdr:colOff>66676</xdr:colOff>
      <xdr:row>9818</xdr:row>
      <xdr:rowOff>28574</xdr:rowOff>
    </xdr:from>
    <xdr:ext cx="1033158" cy="577093"/>
    <xdr:pic>
      <xdr:nvPicPr>
        <xdr:cNvPr id="198" name="Imagen 197">
          <a:extLst>
            <a:ext uri="{FF2B5EF4-FFF2-40B4-BE49-F238E27FC236}">
              <a16:creationId xmlns:a16="http://schemas.microsoft.com/office/drawing/2014/main" id="{00000000-0008-0000-0300-0000C6000000}"/>
            </a:ext>
          </a:extLst>
        </xdr:cNvPr>
        <xdr:cNvPicPr>
          <a:picLocks noChangeAspect="1"/>
        </xdr:cNvPicPr>
      </xdr:nvPicPr>
      <xdr:blipFill>
        <a:blip xmlns:r="http://schemas.openxmlformats.org/officeDocument/2006/relationships" r:embed="rId1"/>
        <a:stretch>
          <a:fillRect/>
        </a:stretch>
      </xdr:blipFill>
      <xdr:spPr>
        <a:xfrm>
          <a:off x="66676" y="2090423174"/>
          <a:ext cx="1033158" cy="577093"/>
        </a:xfrm>
        <a:prstGeom prst="rect">
          <a:avLst/>
        </a:prstGeom>
      </xdr:spPr>
    </xdr:pic>
    <xdr:clientData/>
  </xdr:oneCellAnchor>
  <xdr:oneCellAnchor>
    <xdr:from>
      <xdr:col>0</xdr:col>
      <xdr:colOff>66676</xdr:colOff>
      <xdr:row>8815</xdr:row>
      <xdr:rowOff>28574</xdr:rowOff>
    </xdr:from>
    <xdr:ext cx="1033158" cy="577093"/>
    <xdr:pic>
      <xdr:nvPicPr>
        <xdr:cNvPr id="199" name="Imagen 198">
          <a:extLst>
            <a:ext uri="{FF2B5EF4-FFF2-40B4-BE49-F238E27FC236}">
              <a16:creationId xmlns:a16="http://schemas.microsoft.com/office/drawing/2014/main" id="{00000000-0008-0000-0300-0000C7000000}"/>
            </a:ext>
          </a:extLst>
        </xdr:cNvPr>
        <xdr:cNvPicPr>
          <a:picLocks noChangeAspect="1"/>
        </xdr:cNvPicPr>
      </xdr:nvPicPr>
      <xdr:blipFill>
        <a:blip xmlns:r="http://schemas.openxmlformats.org/officeDocument/2006/relationships" r:embed="rId1"/>
        <a:stretch>
          <a:fillRect/>
        </a:stretch>
      </xdr:blipFill>
      <xdr:spPr>
        <a:xfrm>
          <a:off x="66676" y="1889226599"/>
          <a:ext cx="1033158" cy="577093"/>
        </a:xfrm>
        <a:prstGeom prst="rect">
          <a:avLst/>
        </a:prstGeom>
      </xdr:spPr>
    </xdr:pic>
    <xdr:clientData/>
  </xdr:oneCellAnchor>
  <xdr:oneCellAnchor>
    <xdr:from>
      <xdr:col>0</xdr:col>
      <xdr:colOff>66676</xdr:colOff>
      <xdr:row>8870</xdr:row>
      <xdr:rowOff>28574</xdr:rowOff>
    </xdr:from>
    <xdr:ext cx="1033158" cy="577093"/>
    <xdr:pic>
      <xdr:nvPicPr>
        <xdr:cNvPr id="200" name="Imagen 199">
          <a:extLst>
            <a:ext uri="{FF2B5EF4-FFF2-40B4-BE49-F238E27FC236}">
              <a16:creationId xmlns:a16="http://schemas.microsoft.com/office/drawing/2014/main" id="{00000000-0008-0000-0300-0000C8000000}"/>
            </a:ext>
          </a:extLst>
        </xdr:cNvPr>
        <xdr:cNvPicPr>
          <a:picLocks noChangeAspect="1"/>
        </xdr:cNvPicPr>
      </xdr:nvPicPr>
      <xdr:blipFill>
        <a:blip xmlns:r="http://schemas.openxmlformats.org/officeDocument/2006/relationships" r:embed="rId1"/>
        <a:stretch>
          <a:fillRect/>
        </a:stretch>
      </xdr:blipFill>
      <xdr:spPr>
        <a:xfrm>
          <a:off x="66676" y="1817741474"/>
          <a:ext cx="1033158" cy="577093"/>
        </a:xfrm>
        <a:prstGeom prst="rect">
          <a:avLst/>
        </a:prstGeom>
      </xdr:spPr>
    </xdr:pic>
    <xdr:clientData/>
  </xdr:oneCellAnchor>
  <xdr:oneCellAnchor>
    <xdr:from>
      <xdr:col>0</xdr:col>
      <xdr:colOff>66676</xdr:colOff>
      <xdr:row>4244</xdr:row>
      <xdr:rowOff>28574</xdr:rowOff>
    </xdr:from>
    <xdr:ext cx="1033158" cy="577093"/>
    <xdr:pic>
      <xdr:nvPicPr>
        <xdr:cNvPr id="4" name="Imagen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66676" y="938717324"/>
          <a:ext cx="1033158" cy="577093"/>
        </a:xfrm>
        <a:prstGeom prst="rect">
          <a:avLst/>
        </a:prstGeom>
      </xdr:spPr>
    </xdr:pic>
    <xdr:clientData/>
  </xdr:oneCellAnchor>
  <xdr:oneCellAnchor>
    <xdr:from>
      <xdr:col>0</xdr:col>
      <xdr:colOff>66676</xdr:colOff>
      <xdr:row>5779</xdr:row>
      <xdr:rowOff>28574</xdr:rowOff>
    </xdr:from>
    <xdr:ext cx="1033158" cy="577093"/>
    <xdr:pic>
      <xdr:nvPicPr>
        <xdr:cNvPr id="7" name="Imagen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
        <a:stretch>
          <a:fillRect/>
        </a:stretch>
      </xdr:blipFill>
      <xdr:spPr>
        <a:xfrm>
          <a:off x="66676" y="1271054099"/>
          <a:ext cx="1033158" cy="577093"/>
        </a:xfrm>
        <a:prstGeom prst="rect">
          <a:avLst/>
        </a:prstGeom>
      </xdr:spPr>
    </xdr:pic>
    <xdr:clientData/>
  </xdr:oneCellAnchor>
  <xdr:oneCellAnchor>
    <xdr:from>
      <xdr:col>0</xdr:col>
      <xdr:colOff>66676</xdr:colOff>
      <xdr:row>5830</xdr:row>
      <xdr:rowOff>28574</xdr:rowOff>
    </xdr:from>
    <xdr:ext cx="1033158" cy="577093"/>
    <xdr:pic>
      <xdr:nvPicPr>
        <xdr:cNvPr id="8" name="Imagen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1"/>
        <a:stretch>
          <a:fillRect/>
        </a:stretch>
      </xdr:blipFill>
      <xdr:spPr>
        <a:xfrm>
          <a:off x="66676" y="1282474574"/>
          <a:ext cx="1033158" cy="577093"/>
        </a:xfrm>
        <a:prstGeom prst="rect">
          <a:avLst/>
        </a:prstGeom>
      </xdr:spPr>
    </xdr:pic>
    <xdr:clientData/>
  </xdr:oneCellAnchor>
  <xdr:oneCellAnchor>
    <xdr:from>
      <xdr:col>0</xdr:col>
      <xdr:colOff>66676</xdr:colOff>
      <xdr:row>8230</xdr:row>
      <xdr:rowOff>28574</xdr:rowOff>
    </xdr:from>
    <xdr:ext cx="1033158" cy="577093"/>
    <xdr:pic>
      <xdr:nvPicPr>
        <xdr:cNvPr id="9" name="Imagen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a:stretch>
          <a:fillRect/>
        </a:stretch>
      </xdr:blipFill>
      <xdr:spPr>
        <a:xfrm>
          <a:off x="66676" y="1806216224"/>
          <a:ext cx="1033158" cy="577093"/>
        </a:xfrm>
        <a:prstGeom prst="rect">
          <a:avLst/>
        </a:prstGeom>
      </xdr:spPr>
    </xdr:pic>
    <xdr:clientData/>
  </xdr:oneCellAnchor>
  <xdr:oneCellAnchor>
    <xdr:from>
      <xdr:col>0</xdr:col>
      <xdr:colOff>66676</xdr:colOff>
      <xdr:row>8282</xdr:row>
      <xdr:rowOff>28574</xdr:rowOff>
    </xdr:from>
    <xdr:ext cx="1033158" cy="577093"/>
    <xdr:pic>
      <xdr:nvPicPr>
        <xdr:cNvPr id="10" name="Imagen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1"/>
        <a:stretch>
          <a:fillRect/>
        </a:stretch>
      </xdr:blipFill>
      <xdr:spPr>
        <a:xfrm>
          <a:off x="66676" y="1829438174"/>
          <a:ext cx="1033158" cy="577093"/>
        </a:xfrm>
        <a:prstGeom prst="rect">
          <a:avLst/>
        </a:prstGeom>
      </xdr:spPr>
    </xdr:pic>
    <xdr:clientData/>
  </xdr:oneCellAnchor>
  <xdr:oneCellAnchor>
    <xdr:from>
      <xdr:col>0</xdr:col>
      <xdr:colOff>66676</xdr:colOff>
      <xdr:row>4295</xdr:row>
      <xdr:rowOff>28574</xdr:rowOff>
    </xdr:from>
    <xdr:ext cx="1033158" cy="577093"/>
    <xdr:pic>
      <xdr:nvPicPr>
        <xdr:cNvPr id="11" name="Imagen 10">
          <a:extLst>
            <a:ext uri="{FF2B5EF4-FFF2-40B4-BE49-F238E27FC236}">
              <a16:creationId xmlns:a16="http://schemas.microsoft.com/office/drawing/2014/main" id="{B4C97ABB-B5C7-4F3C-96AB-45D23EF15DC9}"/>
            </a:ext>
          </a:extLst>
        </xdr:cNvPr>
        <xdr:cNvPicPr>
          <a:picLocks noChangeAspect="1"/>
        </xdr:cNvPicPr>
      </xdr:nvPicPr>
      <xdr:blipFill>
        <a:blip xmlns:r="http://schemas.openxmlformats.org/officeDocument/2006/relationships" r:embed="rId1"/>
        <a:stretch>
          <a:fillRect/>
        </a:stretch>
      </xdr:blipFill>
      <xdr:spPr>
        <a:xfrm>
          <a:off x="66676" y="893035424"/>
          <a:ext cx="1033158" cy="577093"/>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J:\Cantidades%20buenavista%20con%20precios%20unitarios%20Camelec%20nuevo.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Rumbahabana\Users\Rumba%20Habana\Documents\Ing.%20Roxana%20Santiago\Proyectos%20Ing\RSantiago\APU's%20RSB.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Rumbahabana\olimpica\olimpica%20buena%20vista\Cantidades%20buenavista%20Cuadro%20camelec%20mayo%2020%202012%20rev%2001.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Users\USER\Desktop\Varios\Alvaro\Monomeros\Copia%20de%20Cotizacion%20Monomeros%20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Rumbahabana\Users\Rumba%20Habana\Documents\Listado%20electricos.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Rumbahabana\Users\Rumba%20Habana\Desktop\FORMATO.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anavarro/Desktop/AGM%20Desarrollos/Construccion/Ucaps/Mompox/PROPUESTA%20UCAPS%20MOMPOX-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rico"/>
      <sheetName val="Formulario 1"/>
      <sheetName val="Insumos"/>
      <sheetName val="materiales laum"/>
    </sheetNames>
    <sheetDataSet>
      <sheetData sheetId="0">
        <row r="3">
          <cell r="A3" t="str">
            <v>ITEM</v>
          </cell>
          <cell r="B3" t="str">
            <v>DESCRIPCION</v>
          </cell>
          <cell r="D3" t="str">
            <v>UNIDAD</v>
          </cell>
          <cell r="E3" t="str">
            <v>CANTIDAD</v>
          </cell>
          <cell r="F3" t="str">
            <v>PRECIO UNITARIO</v>
          </cell>
          <cell r="G3" t="str">
            <v>PRECIO TOTAL</v>
          </cell>
        </row>
        <row r="4">
          <cell r="A4" t="str">
            <v>Capitulo: 02</v>
          </cell>
          <cell r="B4" t="str">
            <v>CIRCUITO RAMALES ILUINACION.</v>
          </cell>
        </row>
        <row r="5">
          <cell r="A5" t="str">
            <v>Sub-Capitulo: 01</v>
          </cell>
          <cell r="B5" t="str">
            <v>ILUMINACION INTERIOR.</v>
          </cell>
        </row>
        <row r="6">
          <cell r="A6" t="str">
            <v>2427</v>
          </cell>
          <cell r="B6" t="str">
            <v>Alimentador en  2#12 alambre de cobre forrado+ 1#12 alambre de cobre desnudo ducto PVC subterraneo Ø 1/2".</v>
          </cell>
          <cell r="D6" t="str">
            <v xml:space="preserve">ML   </v>
          </cell>
          <cell r="E6">
            <v>200</v>
          </cell>
          <cell r="F6">
            <v>5916</v>
          </cell>
          <cell r="G6">
            <v>1183200</v>
          </cell>
        </row>
        <row r="7">
          <cell r="A7" t="str">
            <v>6628</v>
          </cell>
          <cell r="B7" t="str">
            <v xml:space="preserve">Alimentador sin canalizacion  en 2#12 (F) + 2#12(N) cable cobre forrado + 1#12 (T) alambre de cobre desnudo. </v>
          </cell>
          <cell r="D7" t="str">
            <v xml:space="preserve">ML   </v>
          </cell>
          <cell r="E7">
            <v>380</v>
          </cell>
          <cell r="F7">
            <v>7613</v>
          </cell>
          <cell r="G7">
            <v>2892940</v>
          </cell>
        </row>
        <row r="8">
          <cell r="A8" t="str">
            <v>6149</v>
          </cell>
          <cell r="B8" t="str">
            <v>Alimentador sin canalizacion en cable de instrumentacion 18X18 + 20 apantallado.</v>
          </cell>
          <cell r="D8" t="str">
            <v xml:space="preserve">ML   </v>
          </cell>
          <cell r="E8">
            <v>80</v>
          </cell>
          <cell r="F8">
            <v>18201</v>
          </cell>
          <cell r="G8">
            <v>1456080</v>
          </cell>
        </row>
        <row r="9">
          <cell r="A9" t="str">
            <v>4205</v>
          </cell>
          <cell r="B9" t="str">
            <v xml:space="preserve">Salida iluminación 110V (2#12 cable de cobre forrado+1#12 alambre de cobre desnudo, ø 1/2") ducto EMT sobrepuesto, rvi </v>
          </cell>
          <cell r="D9" t="str">
            <v xml:space="preserve">UNI  </v>
          </cell>
          <cell r="E9">
            <v>85</v>
          </cell>
          <cell r="F9">
            <v>100277</v>
          </cell>
          <cell r="G9">
            <v>8523545</v>
          </cell>
        </row>
        <row r="10">
          <cell r="A10" t="str">
            <v>4582</v>
          </cell>
          <cell r="B10" t="str">
            <v xml:space="preserve">Salida iluminación 110V (2#12 alambre de cobre forrado+2#12 alambre de cobre desnudo, ø 1/2") ducto pvc subterraneo o incrustado, rvi </v>
          </cell>
          <cell r="D10" t="str">
            <v xml:space="preserve">UNI  </v>
          </cell>
          <cell r="E10">
            <v>146</v>
          </cell>
          <cell r="F10">
            <v>77583</v>
          </cell>
          <cell r="G10">
            <v>11327118</v>
          </cell>
        </row>
        <row r="11">
          <cell r="A11" t="str">
            <v>6629</v>
          </cell>
          <cell r="B11" t="str">
            <v>Salida iluminación 110V (2#12 (F) + 2#12 (N) alambre de cobre forrado+1#12 alambre de cobre desnudo) sin canalizacion, rvi para lamparas en Area de venta.</v>
          </cell>
          <cell r="D11" t="str">
            <v xml:space="preserve">UNI  </v>
          </cell>
          <cell r="E11">
            <v>39</v>
          </cell>
          <cell r="F11">
            <v>39019</v>
          </cell>
          <cell r="G11">
            <v>1521741</v>
          </cell>
        </row>
        <row r="12">
          <cell r="A12" t="str">
            <v>5750</v>
          </cell>
          <cell r="B12" t="str">
            <v>Suministro e instalacion de Iluminacion decorativa de color azul, fluorescente 32 W T8 con balasto phillips advance compartido 4x32W lineal.</v>
          </cell>
          <cell r="D12" t="str">
            <v xml:space="preserve">ML   </v>
          </cell>
          <cell r="E12">
            <v>45</v>
          </cell>
          <cell r="F12">
            <v>78343</v>
          </cell>
          <cell r="G12">
            <v>3525435</v>
          </cell>
        </row>
        <row r="13">
          <cell r="A13" t="str">
            <v>6107</v>
          </cell>
          <cell r="B13" t="str">
            <v>Suministro e instalacion de Iluminacion decorativa de color rojo, fluorescente 32 W T8 con balasto phillips advance compartido 4x32W lineal.</v>
          </cell>
          <cell r="D13" t="str">
            <v xml:space="preserve">ML   </v>
          </cell>
          <cell r="E13">
            <v>15</v>
          </cell>
          <cell r="F13">
            <v>77967</v>
          </cell>
          <cell r="G13">
            <v>1169505</v>
          </cell>
        </row>
        <row r="14">
          <cell r="A14" t="str">
            <v>6108</v>
          </cell>
          <cell r="B14" t="str">
            <v>Suministro e instalacion de Iluminacion decorativa de color verde, fluorescente 32 W T8 con balasto phillips advance compartido 4x32W lineal.</v>
          </cell>
          <cell r="D14" t="str">
            <v xml:space="preserve">ML   </v>
          </cell>
          <cell r="E14">
            <v>20</v>
          </cell>
          <cell r="F14">
            <v>77967</v>
          </cell>
          <cell r="G14">
            <v>1559340</v>
          </cell>
        </row>
        <row r="15">
          <cell r="A15" t="str">
            <v>5745</v>
          </cell>
          <cell r="B15" t="str">
            <v>Guaya galvanizada de 3/16" con perros y anclajes (Doble altura).</v>
          </cell>
          <cell r="D15" t="str">
            <v xml:space="preserve">ML   </v>
          </cell>
          <cell r="E15">
            <v>300</v>
          </cell>
          <cell r="F15">
            <v>3824</v>
          </cell>
          <cell r="G15">
            <v>1147200</v>
          </cell>
        </row>
        <row r="16">
          <cell r="A16" t="str">
            <v>5746</v>
          </cell>
          <cell r="B16" t="str">
            <v>Guaya galvanizada de 1/8" con perros y anclajes (Doble altura).</v>
          </cell>
          <cell r="D16" t="str">
            <v xml:space="preserve">ML   </v>
          </cell>
          <cell r="E16">
            <v>250</v>
          </cell>
          <cell r="F16">
            <v>3676</v>
          </cell>
          <cell r="G16">
            <v>919000</v>
          </cell>
        </row>
        <row r="17">
          <cell r="A17" t="str">
            <v>2147</v>
          </cell>
          <cell r="B17" t="str">
            <v xml:space="preserve">Panel de control de Iluminacion (PCI), de 30X20X10 CM metalico, con 13 Selectores de 15A. Incluye riel omega, canaleta plastica, 28 borneras plasticas de 20A. Identificacion de interruptores, </v>
          </cell>
          <cell r="D17" t="str">
            <v xml:space="preserve">UNI  </v>
          </cell>
          <cell r="E17">
            <v>1</v>
          </cell>
          <cell r="F17">
            <v>975801</v>
          </cell>
          <cell r="G17">
            <v>975801</v>
          </cell>
        </row>
        <row r="18">
          <cell r="A18" t="str">
            <v>6109</v>
          </cell>
          <cell r="B18" t="str">
            <v xml:space="preserve">Panel de maniobra para Iluminacion (PMI), de 100X80X30 CM metalico, con 13 multinueve de 2x25A, 13 contactores de 25A en AC1. Incluye riel omega, barraje, canaleta plastica, frente muerto, 120 borneras plasticas de 20A. Identificacion. </v>
          </cell>
          <cell r="D18" t="str">
            <v xml:space="preserve">UNI  </v>
          </cell>
          <cell r="E18">
            <v>1</v>
          </cell>
          <cell r="F18">
            <v>2924905</v>
          </cell>
          <cell r="G18">
            <v>2924905</v>
          </cell>
        </row>
        <row r="19">
          <cell r="A19" t="str">
            <v>4401</v>
          </cell>
          <cell r="B19" t="str">
            <v xml:space="preserve">Salida en Interruptor Sencillo incrustar luz piloto con polo a tierra linea Decora 15A 110V (2#12 alambre de cobre forrado, ø 1/2") ducto PVC  rvi </v>
          </cell>
          <cell r="D19" t="str">
            <v xml:space="preserve">UNI  </v>
          </cell>
          <cell r="E19">
            <v>30</v>
          </cell>
          <cell r="F19">
            <v>44587</v>
          </cell>
          <cell r="G19">
            <v>1337610</v>
          </cell>
        </row>
        <row r="20">
          <cell r="A20" t="str">
            <v>5737</v>
          </cell>
          <cell r="B20" t="str">
            <v>Salida en Interruptor Doble incrustar Luz Piloto con polo a tierra linea Decora 15A 110V (3#12 acf + 1#12 acd) ducto PVC Ø 1/2"  rvi.</v>
          </cell>
          <cell r="D20" t="str">
            <v xml:space="preserve">UNI  </v>
          </cell>
          <cell r="E20">
            <v>4</v>
          </cell>
          <cell r="F20">
            <v>90021</v>
          </cell>
          <cell r="G20">
            <v>360084</v>
          </cell>
        </row>
        <row r="21">
          <cell r="A21" t="str">
            <v>6820</v>
          </cell>
          <cell r="B21" t="str">
            <v>Salida en Interruptor conmutable sencillo de incrustar  Luz Piloto con polo a tierra linea Decora 15A 110V (3#12 acf +1#12 acd) ducto PVC Ø 1/2"  rvi.</v>
          </cell>
          <cell r="D21" t="str">
            <v xml:space="preserve">UNI  </v>
          </cell>
          <cell r="E21">
            <v>8</v>
          </cell>
          <cell r="F21">
            <v>72906</v>
          </cell>
          <cell r="G21">
            <v>583248</v>
          </cell>
        </row>
        <row r="22">
          <cell r="A22" t="str">
            <v>6874</v>
          </cell>
          <cell r="B22" t="str">
            <v>Salida en Interruptor Sencillo sobreponer  Luz Piloto con polo a tierra linea Decora 15A 110V (2#12 acf +1#12 acd) ducto EMT Ø 1/2"  rvi caja de aluminio Rawelt sobrepuesta con accesorios de banda doble ala.</v>
          </cell>
          <cell r="D22" t="str">
            <v xml:space="preserve">UNI  </v>
          </cell>
          <cell r="E22">
            <v>6</v>
          </cell>
          <cell r="F22">
            <v>88079</v>
          </cell>
          <cell r="G22">
            <v>528474</v>
          </cell>
        </row>
        <row r="23">
          <cell r="A23" t="str">
            <v>7031</v>
          </cell>
          <cell r="B23" t="str">
            <v xml:space="preserve">Salida en Interruptor Doble sobreponer  Luz Piloto con polo a tierra linea Decora 15A 110V (3#12 cable de cobre forrado + 1#12 cable de cobre desnudo) ducto EMT Ø 1/2"  rvi caja de AL Rawelt sobrepuesta con accesorios de banda doble ala. </v>
          </cell>
          <cell r="D23" t="str">
            <v xml:space="preserve">UNI  </v>
          </cell>
          <cell r="E23">
            <v>6</v>
          </cell>
          <cell r="F23">
            <v>107310</v>
          </cell>
          <cell r="G23">
            <v>643860</v>
          </cell>
        </row>
        <row r="24">
          <cell r="F24" t="str">
            <v>Valor Sub-Capitulo $</v>
          </cell>
          <cell r="G24">
            <v>42579086</v>
          </cell>
        </row>
        <row r="25">
          <cell r="A25" t="str">
            <v>Sub-Capitulo: 02</v>
          </cell>
          <cell r="B25" t="str">
            <v>ILUMINACION EXTERIOR.</v>
          </cell>
        </row>
        <row r="26">
          <cell r="A26" t="str">
            <v>6647</v>
          </cell>
          <cell r="B26" t="str">
            <v>Alimentador en 2X2#10(F) cable de cobre forrado + 1#10(T) alambre de cobre desnudo ducto PVC Ø 3/4".</v>
          </cell>
          <cell r="D26" t="str">
            <v xml:space="preserve">ML   </v>
          </cell>
          <cell r="E26">
            <v>200</v>
          </cell>
          <cell r="F26">
            <v>11778</v>
          </cell>
          <cell r="G26">
            <v>2355600</v>
          </cell>
        </row>
        <row r="27">
          <cell r="A27" t="str">
            <v>2513</v>
          </cell>
          <cell r="B27" t="str">
            <v>Alimentador en 3#10 + 1#10 cable de cobre forrado+ 10t alambre de cobre desnudo ducto  PVC 3/4".  AVISO LUMINOSO.</v>
          </cell>
          <cell r="D27" t="str">
            <v xml:space="preserve">ML   </v>
          </cell>
          <cell r="E27">
            <v>100</v>
          </cell>
          <cell r="F27">
            <v>13898</v>
          </cell>
          <cell r="G27">
            <v>1389800</v>
          </cell>
        </row>
        <row r="28">
          <cell r="A28" t="str">
            <v>5756</v>
          </cell>
          <cell r="B28" t="str">
            <v>Salida para iluminación 220V (2#10 ccf+1#10 acd), ducto pvc 3/4" rix.</v>
          </cell>
          <cell r="D28" t="str">
            <v xml:space="preserve">UNI  </v>
          </cell>
          <cell r="E28">
            <v>108</v>
          </cell>
          <cell r="F28">
            <v>61418</v>
          </cell>
          <cell r="G28">
            <v>6633144</v>
          </cell>
        </row>
        <row r="29">
          <cell r="A29" t="str">
            <v>6090</v>
          </cell>
          <cell r="B29" t="str">
            <v>Fotocontrol Automatico de iluminacion en cofre plastico intemperie con un contactor y una fotocelda  220V-32A</v>
          </cell>
          <cell r="D29" t="str">
            <v xml:space="preserve">UNI  </v>
          </cell>
          <cell r="E29">
            <v>5</v>
          </cell>
          <cell r="F29">
            <v>609340</v>
          </cell>
          <cell r="G29">
            <v>3046700</v>
          </cell>
        </row>
        <row r="30">
          <cell r="A30" t="str">
            <v>Capitulo: 03</v>
          </cell>
          <cell r="B30" t="str">
            <v>MONTAJE DE LA ILUMINACION.</v>
          </cell>
          <cell r="G30">
            <v>0</v>
          </cell>
        </row>
        <row r="31">
          <cell r="A31" t="str">
            <v>6112</v>
          </cell>
          <cell r="B31" t="str">
            <v>Montaje y conexion de balasto bateria electronico como soporte para luz de emergencia</v>
          </cell>
          <cell r="C31" t="str">
            <v xml:space="preserve">UNI  </v>
          </cell>
          <cell r="D31" t="str">
            <v xml:space="preserve">UNI  </v>
          </cell>
          <cell r="E31">
            <v>45</v>
          </cell>
          <cell r="F31">
            <v>7191</v>
          </cell>
          <cell r="G31">
            <v>323595</v>
          </cell>
        </row>
        <row r="32">
          <cell r="A32" t="str">
            <v>6113</v>
          </cell>
          <cell r="B32" t="str">
            <v>Montaje y conexion de aviso para senalizacion salida de emergencia</v>
          </cell>
          <cell r="D32" t="str">
            <v xml:space="preserve">UNI  </v>
          </cell>
          <cell r="E32">
            <v>13</v>
          </cell>
          <cell r="F32">
            <v>16635</v>
          </cell>
          <cell r="G32">
            <v>216255</v>
          </cell>
        </row>
        <row r="33">
          <cell r="A33" t="str">
            <v>1572</v>
          </cell>
          <cell r="B33" t="str">
            <v>Montaje y conexion de reflector tipo RRA 250W</v>
          </cell>
          <cell r="D33" t="str">
            <v xml:space="preserve">UNI  </v>
          </cell>
          <cell r="E33">
            <v>4</v>
          </cell>
          <cell r="F33">
            <v>23319</v>
          </cell>
          <cell r="G33">
            <v>93276</v>
          </cell>
        </row>
        <row r="34">
          <cell r="A34" t="str">
            <v>1788</v>
          </cell>
          <cell r="B34" t="str">
            <v>Montaje y conexion de Reflector tipo RRA 400W.</v>
          </cell>
          <cell r="D34" t="str">
            <v xml:space="preserve">UNI  </v>
          </cell>
          <cell r="E34">
            <v>11</v>
          </cell>
          <cell r="F34">
            <v>26614</v>
          </cell>
          <cell r="G34">
            <v>292754</v>
          </cell>
        </row>
        <row r="35">
          <cell r="A35" t="str">
            <v>0858</v>
          </cell>
          <cell r="B35" t="str">
            <v xml:space="preserve">Montaje y conexion de lampara Fluorescente hermetica 2x32W, 48" T12 o T8 (2 - 3 o 4 tubos) altura normal. </v>
          </cell>
          <cell r="D35" t="str">
            <v xml:space="preserve">UNI  </v>
          </cell>
          <cell r="E35">
            <v>61</v>
          </cell>
          <cell r="F35">
            <v>14755</v>
          </cell>
          <cell r="G35">
            <v>900055</v>
          </cell>
        </row>
        <row r="36">
          <cell r="A36" t="str">
            <v>3392</v>
          </cell>
          <cell r="B36" t="str">
            <v xml:space="preserve">Montaje y conexion de lampara Fluorescente 2x32W, 48" T12 o T8 (2 - 3 o 4 tubos) altura normal. </v>
          </cell>
          <cell r="D36" t="str">
            <v xml:space="preserve">UNI  </v>
          </cell>
          <cell r="E36">
            <v>12</v>
          </cell>
          <cell r="F36">
            <v>14149</v>
          </cell>
          <cell r="G36">
            <v>169788</v>
          </cell>
        </row>
        <row r="37">
          <cell r="A37" t="str">
            <v>6733</v>
          </cell>
          <cell r="B37" t="str">
            <v>Montaje y conexion de lampara tipo industrial  hasta 70W suspendida del techo (h=5M)</v>
          </cell>
          <cell r="D37" t="str">
            <v xml:space="preserve">UNI  </v>
          </cell>
          <cell r="E37">
            <v>18</v>
          </cell>
          <cell r="F37">
            <v>19455</v>
          </cell>
          <cell r="G37">
            <v>350190</v>
          </cell>
        </row>
        <row r="38">
          <cell r="A38" t="str">
            <v>6735</v>
          </cell>
          <cell r="B38" t="str">
            <v>Montaje y conexion de lampara tipo industrial 150W suspendida del techo (h=7M)</v>
          </cell>
          <cell r="D38" t="str">
            <v xml:space="preserve">UNI  </v>
          </cell>
          <cell r="E38">
            <v>78</v>
          </cell>
          <cell r="F38">
            <v>17874</v>
          </cell>
          <cell r="G38">
            <v>1394172</v>
          </cell>
        </row>
        <row r="39">
          <cell r="A39" t="str">
            <v>7128</v>
          </cell>
          <cell r="B39" t="str">
            <v>Montaje y conexion de Luminaria fluorescente de sobreponer de 30x122 cm, triangular. 4 o 6 tubos 54W, T5 HIGH BAY o similar.</v>
          </cell>
          <cell r="D39" t="str">
            <v xml:space="preserve">UNI  </v>
          </cell>
          <cell r="E39">
            <v>39</v>
          </cell>
          <cell r="F39">
            <v>18015</v>
          </cell>
          <cell r="G39">
            <v>702585</v>
          </cell>
        </row>
        <row r="40">
          <cell r="A40" t="str">
            <v>1787</v>
          </cell>
          <cell r="B40" t="str">
            <v xml:space="preserve">Montaje y conexion de lampara tipo Ojo de buey 110V. </v>
          </cell>
          <cell r="D40" t="str">
            <v xml:space="preserve">UNI  </v>
          </cell>
          <cell r="E40">
            <v>74</v>
          </cell>
          <cell r="F40">
            <v>11235</v>
          </cell>
          <cell r="G40">
            <v>831390</v>
          </cell>
        </row>
        <row r="41">
          <cell r="A41" t="str">
            <v>5864</v>
          </cell>
          <cell r="B41" t="str">
            <v xml:space="preserve">Montaje y conexion de lampara tipo Tortuga  110V. </v>
          </cell>
          <cell r="D41" t="str">
            <v xml:space="preserve">UNI  </v>
          </cell>
          <cell r="E41">
            <v>5</v>
          </cell>
          <cell r="F41">
            <v>12375</v>
          </cell>
          <cell r="G41">
            <v>61875</v>
          </cell>
        </row>
        <row r="42">
          <cell r="A42" t="str">
            <v>6111</v>
          </cell>
          <cell r="B42" t="str">
            <v xml:space="preserve">Montaje y conexion de lampara tipo Spot en riel  110V. </v>
          </cell>
          <cell r="D42" t="str">
            <v xml:space="preserve">UNI  </v>
          </cell>
          <cell r="E42">
            <v>32</v>
          </cell>
          <cell r="F42">
            <v>12375</v>
          </cell>
          <cell r="G42">
            <v>396000</v>
          </cell>
        </row>
        <row r="43">
          <cell r="A43" t="str">
            <v>2260</v>
          </cell>
          <cell r="B43" t="str">
            <v xml:space="preserve">Montaje e instalacion de luminaria fluorescente 2x32w T8 Celdas sobrep.o incrust. </v>
          </cell>
          <cell r="D43" t="str">
            <v xml:space="preserve">UNI  </v>
          </cell>
          <cell r="E43">
            <v>8</v>
          </cell>
          <cell r="F43">
            <v>14585</v>
          </cell>
          <cell r="G43">
            <v>116680</v>
          </cell>
        </row>
        <row r="44">
          <cell r="A44" t="str">
            <v>5769</v>
          </cell>
          <cell r="B44" t="str">
            <v>Montaje y conexion de lampara Fluorescente hermeticas 2x54W, 48" T5 (2 - 3 o 4 tubos) altura normal.</v>
          </cell>
          <cell r="D44" t="str">
            <v xml:space="preserve">UNI  </v>
          </cell>
          <cell r="E44">
            <v>33</v>
          </cell>
          <cell r="F44">
            <v>16115</v>
          </cell>
          <cell r="G44">
            <v>531795</v>
          </cell>
        </row>
        <row r="45">
          <cell r="F45" t="str">
            <v>Valor Sub-Capitulo $</v>
          </cell>
          <cell r="G45">
            <v>6380410</v>
          </cell>
        </row>
        <row r="46">
          <cell r="A46" t="str">
            <v>Capitulo: 04</v>
          </cell>
          <cell r="B46" t="str">
            <v>CIRCUITO RAMALES TOMACORRIENTES.</v>
          </cell>
        </row>
        <row r="47">
          <cell r="A47" t="str">
            <v>2427</v>
          </cell>
          <cell r="B47" t="str">
            <v>Alimentador en  2#12 alambre de cobre forrado+ 1#12 alambre de cobre desnudo ducto PVC subterraneo Ø 1/2".</v>
          </cell>
          <cell r="D47" t="str">
            <v xml:space="preserve">ML   </v>
          </cell>
          <cell r="E47">
            <v>100</v>
          </cell>
          <cell r="F47">
            <v>5943</v>
          </cell>
          <cell r="G47">
            <v>594300</v>
          </cell>
        </row>
        <row r="48">
          <cell r="A48" t="str">
            <v>2491</v>
          </cell>
          <cell r="B48" t="str">
            <v xml:space="preserve">Alimentador en 3#10 alambre de cobre forrado + 1#10 (T) alambre de cobre desnudo ducto PVC 3/4". </v>
          </cell>
          <cell r="D48" t="str">
            <v xml:space="preserve">ML   </v>
          </cell>
          <cell r="E48">
            <v>50</v>
          </cell>
          <cell r="F48">
            <v>10115</v>
          </cell>
          <cell r="G48">
            <v>505750</v>
          </cell>
        </row>
        <row r="49">
          <cell r="A49" t="str">
            <v>0168</v>
          </cell>
          <cell r="B49" t="str">
            <v>Salida Toma Doble polo tierra color Crema, NORMAL (2#12 alambre de cobre forrado+1#12 alambre de cobre desnudo,  Ø 1/2"), PVC, 15A rvi</v>
          </cell>
          <cell r="D49" t="str">
            <v xml:space="preserve">UNI  </v>
          </cell>
          <cell r="E49">
            <v>110</v>
          </cell>
          <cell r="F49">
            <v>72727</v>
          </cell>
          <cell r="G49">
            <v>7999970</v>
          </cell>
        </row>
        <row r="50">
          <cell r="A50" t="str">
            <v>7251</v>
          </cell>
          <cell r="B50" t="str">
            <v>Salida para cajero automatico termina en caja conduit 4x4 PVC (2#8 (F) ccf+1#8 (N) + 1#8 (T) ccd) ducto PVC 3/4" r ix.</v>
          </cell>
          <cell r="D50" t="str">
            <v xml:space="preserve">UNI  </v>
          </cell>
          <cell r="E50">
            <v>2</v>
          </cell>
          <cell r="F50">
            <v>157958</v>
          </cell>
          <cell r="G50">
            <v>315916</v>
          </cell>
        </row>
        <row r="51">
          <cell r="A51" t="str">
            <v>4306</v>
          </cell>
          <cell r="B51" t="str">
            <v>Salida para aire acondicionado de ventana (2#10 + 1#10 alambre de cobre forrado, Ø3/4" PVC) rix</v>
          </cell>
          <cell r="D51" t="str">
            <v xml:space="preserve">UNI  </v>
          </cell>
          <cell r="E51">
            <v>7</v>
          </cell>
          <cell r="F51">
            <v>103461</v>
          </cell>
          <cell r="G51">
            <v>724227</v>
          </cell>
        </row>
        <row r="52">
          <cell r="A52" t="str">
            <v>5777</v>
          </cell>
          <cell r="B52" t="str">
            <v>Salida toma Bifasico tipo locking 2P,3H (2#10 acf+1#10(T) acd) ducto PVC 3/4" 30A nema L-6-30 r ix con el plug.</v>
          </cell>
          <cell r="D52" t="str">
            <v xml:space="preserve">UNI  </v>
          </cell>
          <cell r="E52">
            <v>8</v>
          </cell>
          <cell r="F52">
            <v>198519</v>
          </cell>
          <cell r="G52">
            <v>1588152</v>
          </cell>
        </row>
        <row r="53">
          <cell r="A53" t="str">
            <v>0172</v>
          </cell>
          <cell r="B53" t="str">
            <v>Salida toma trifasico tipo locking 3P,4H (3#10 acf+1#10(T) acd) ducto PVC 3/4" 30A nema L-15-30 r ix con el plug.</v>
          </cell>
          <cell r="D53" t="str">
            <v xml:space="preserve">UNI  </v>
          </cell>
          <cell r="E53">
            <v>17</v>
          </cell>
          <cell r="F53">
            <v>218733</v>
          </cell>
          <cell r="G53">
            <v>3718461</v>
          </cell>
        </row>
        <row r="54">
          <cell r="A54" t="str">
            <v>0500</v>
          </cell>
          <cell r="B54" t="str">
            <v>Salida toma trifasico tipo locking 3P,5H (3#10 acf+1#10(N)+1#10(T) acd) ducto PVC 3/4" 30A nema L-21-30 r ix con el plug</v>
          </cell>
          <cell r="D54" t="str">
            <v xml:space="preserve">UNI  </v>
          </cell>
          <cell r="E54">
            <v>4</v>
          </cell>
          <cell r="F54">
            <v>304561</v>
          </cell>
          <cell r="G54">
            <v>1218244</v>
          </cell>
        </row>
        <row r="55">
          <cell r="A55" t="str">
            <v>0519</v>
          </cell>
          <cell r="B55" t="str">
            <v>Salida en 3#10 acf+1#10 (T) acd) ducto PVC 3/4" termina en caja 4" X 4" 220V rix  EXTRACTORES, ARRANCADORES Y MONTACARGAS.</v>
          </cell>
          <cell r="D55" t="str">
            <v xml:space="preserve">UNI  </v>
          </cell>
          <cell r="E55">
            <v>8</v>
          </cell>
          <cell r="F55">
            <v>128869</v>
          </cell>
          <cell r="G55">
            <v>1030952</v>
          </cell>
        </row>
        <row r="56">
          <cell r="A56" t="str">
            <v>5783</v>
          </cell>
          <cell r="B56" t="str">
            <v>Suministro e Instalación de extractor para baño 6" 110V.</v>
          </cell>
          <cell r="D56" t="str">
            <v xml:space="preserve">UNI  </v>
          </cell>
          <cell r="E56">
            <v>6</v>
          </cell>
          <cell r="G56">
            <v>0</v>
          </cell>
        </row>
        <row r="57">
          <cell r="F57" t="str">
            <v>Valor Sub-Capitulo $</v>
          </cell>
          <cell r="G57">
            <v>17695972</v>
          </cell>
        </row>
        <row r="58">
          <cell r="A58" t="str">
            <v>Capitulo: 05</v>
          </cell>
          <cell r="B58" t="str">
            <v>SEGURIDAD.</v>
          </cell>
        </row>
        <row r="59">
          <cell r="A59" t="str">
            <v>0381</v>
          </cell>
          <cell r="B59" t="str">
            <v xml:space="preserve">Alimentador en 2#12 cable de cobre forrado+ 1#12 cable de cobre forrado verde ducto PVC Ø 1/2". </v>
          </cell>
          <cell r="D59" t="str">
            <v xml:space="preserve">ML   </v>
          </cell>
          <cell r="E59">
            <v>300</v>
          </cell>
          <cell r="F59">
            <v>6474</v>
          </cell>
          <cell r="G59">
            <v>1942200</v>
          </cell>
        </row>
        <row r="60">
          <cell r="A60" t="str">
            <v>5785</v>
          </cell>
          <cell r="B60" t="str">
            <v>Salida para antena sensormatic (2#12 cable de cobre forrado+1#12t cable de cobre forrado, Ø 1/2") ducto PVC. 15A rxv.</v>
          </cell>
          <cell r="D60" t="str">
            <v xml:space="preserve">UNI  </v>
          </cell>
          <cell r="E60">
            <v>10</v>
          </cell>
          <cell r="F60">
            <v>100623</v>
          </cell>
          <cell r="G60">
            <v>1006230</v>
          </cell>
        </row>
        <row r="61">
          <cell r="F61" t="str">
            <v>Valor Sub-Capitulo $</v>
          </cell>
          <cell r="G61">
            <v>2948430</v>
          </cell>
        </row>
        <row r="63">
          <cell r="A63" t="str">
            <v>Capitulo: 06</v>
          </cell>
          <cell r="B63" t="str">
            <v>TELEFONIA.</v>
          </cell>
        </row>
        <row r="64">
          <cell r="A64" t="str">
            <v>7624</v>
          </cell>
          <cell r="B64" t="str">
            <v>Suministro e instalacion de ducto PVC de ø 1" subterraneo. RADIO TELEFONOS, MUSICAR, FIBRA OPTICA, TELEFONIA.</v>
          </cell>
          <cell r="D64" t="str">
            <v xml:space="preserve">ML   </v>
          </cell>
          <cell r="E64">
            <v>60</v>
          </cell>
          <cell r="F64">
            <v>3900</v>
          </cell>
          <cell r="G64">
            <v>234000</v>
          </cell>
        </row>
        <row r="65">
          <cell r="A65" t="str">
            <v>0582</v>
          </cell>
          <cell r="B65" t="str">
            <v xml:space="preserve">Banco de (2)  ductos pvc de 2". </v>
          </cell>
          <cell r="D65" t="str">
            <v xml:space="preserve">ML   </v>
          </cell>
          <cell r="E65">
            <v>30</v>
          </cell>
          <cell r="F65">
            <v>15450</v>
          </cell>
          <cell r="G65">
            <v>463500</v>
          </cell>
        </row>
        <row r="66">
          <cell r="A66" t="str">
            <v>2407</v>
          </cell>
          <cell r="B66" t="str">
            <v xml:space="preserve">Salida toma telefónica Solo ducto pvc de 1/2", termina caja 2"x4"incrustar rix. </v>
          </cell>
          <cell r="D66" t="str">
            <v xml:space="preserve">UNI  </v>
          </cell>
          <cell r="E66">
            <v>10</v>
          </cell>
          <cell r="F66">
            <v>35263</v>
          </cell>
          <cell r="G66">
            <v>352630</v>
          </cell>
        </row>
        <row r="67">
          <cell r="A67" t="str">
            <v>7250</v>
          </cell>
          <cell r="B67" t="str">
            <v xml:space="preserve">Salida toma telefónica en ducto pvc de 1/2", termina caja 2"x4"incrustar incluye cable UTP cat 6 rix. </v>
          </cell>
          <cell r="D67" t="str">
            <v xml:space="preserve">UNI  </v>
          </cell>
          <cell r="E67">
            <v>5</v>
          </cell>
          <cell r="F67">
            <v>33730</v>
          </cell>
          <cell r="G67">
            <v>168650</v>
          </cell>
        </row>
        <row r="68">
          <cell r="A68" t="str">
            <v>2968</v>
          </cell>
          <cell r="B68" t="str">
            <v xml:space="preserve">Strip telefonico en caja de 50  X  50 X 20 CM en lamina calibre #18 con tapa atornillada y bandeja doble fondo en madera. </v>
          </cell>
          <cell r="D68" t="str">
            <v xml:space="preserve">UNI  </v>
          </cell>
          <cell r="E68">
            <v>1</v>
          </cell>
          <cell r="F68">
            <v>93280</v>
          </cell>
          <cell r="G68">
            <v>93280</v>
          </cell>
        </row>
        <row r="69">
          <cell r="F69" t="str">
            <v>Valor Sub-Capitulo $</v>
          </cell>
          <cell r="G69">
            <v>1312060</v>
          </cell>
        </row>
        <row r="71">
          <cell r="A71" t="str">
            <v>Capitulo: 07</v>
          </cell>
          <cell r="B71" t="str">
            <v>DUCTOS Y BANDEJAS PORTACABLES.</v>
          </cell>
        </row>
        <row r="72">
          <cell r="A72" t="str">
            <v>6637</v>
          </cell>
          <cell r="B72" t="str">
            <v>Suministro e instalacion de ducto metalico Calibre # 20, 12 x 5 cm con tapa atornillada pintura electrostatica. incluye accesorios de fijacion y cambio de direccion.</v>
          </cell>
          <cell r="D72" t="str">
            <v xml:space="preserve">ML   </v>
          </cell>
          <cell r="E72">
            <v>130</v>
          </cell>
          <cell r="F72">
            <v>57854</v>
          </cell>
        </row>
        <row r="73">
          <cell r="F73" t="str">
            <v>Valor Sub-Capitulo $</v>
          </cell>
          <cell r="G73">
            <v>0</v>
          </cell>
        </row>
        <row r="75">
          <cell r="A75" t="str">
            <v>Capitulo: 08</v>
          </cell>
          <cell r="B75" t="str">
            <v>PANELES DE DISTRIBUCION Y BREAKERS.</v>
          </cell>
        </row>
        <row r="76">
          <cell r="A76" t="str">
            <v>4952</v>
          </cell>
          <cell r="B76" t="str">
            <v>Tablero de Distribucion Trifásico NTQ, con barraje, puerta, llave y tarjetero, 220A 240V 24 ctos.  PD-2PISO.</v>
          </cell>
          <cell r="D76" t="str">
            <v xml:space="preserve">UNI  </v>
          </cell>
          <cell r="E76">
            <v>1</v>
          </cell>
          <cell r="F76">
            <v>268740</v>
          </cell>
          <cell r="G76">
            <v>268740</v>
          </cell>
        </row>
        <row r="77">
          <cell r="A77" t="str">
            <v>4953</v>
          </cell>
          <cell r="B77" t="str">
            <v>Tablero de Distribucion Trifásico NTQ, con barraje, puerta, llave y tarjetero, 220A 240V 30 ctos  PD-SOTANO.</v>
          </cell>
          <cell r="D77" t="str">
            <v xml:space="preserve">UNI  </v>
          </cell>
          <cell r="E77">
            <v>1</v>
          </cell>
          <cell r="F77">
            <v>285290</v>
          </cell>
          <cell r="G77">
            <v>285290</v>
          </cell>
        </row>
        <row r="78">
          <cell r="A78" t="str">
            <v>4954</v>
          </cell>
          <cell r="B78" t="str">
            <v>Tablero de Distribucion Trifásico NTQ, con barraje, puerta, llave y tarjetero, 220A 240V 36cto  PD-PROCESO DE CARNES.</v>
          </cell>
          <cell r="D78" t="str">
            <v xml:space="preserve">UNI  </v>
          </cell>
          <cell r="E78">
            <v>1</v>
          </cell>
          <cell r="F78">
            <v>357950</v>
          </cell>
          <cell r="G78">
            <v>357950</v>
          </cell>
        </row>
        <row r="79">
          <cell r="A79" t="str">
            <v>4955</v>
          </cell>
          <cell r="B79" t="str">
            <v>Tablero de Distribucion Trifasico NTQ, con barraje, puerta, llave y tarjetero, 220A 240V 42ctos.  PD-TOMAS, PD-PANADERIA, PD-BODEGA.</v>
          </cell>
          <cell r="D79" t="str">
            <v xml:space="preserve">UNI  </v>
          </cell>
          <cell r="E79">
            <v>3</v>
          </cell>
          <cell r="F79">
            <v>348200</v>
          </cell>
          <cell r="G79">
            <v>1044600</v>
          </cell>
        </row>
        <row r="80">
          <cell r="A80" t="str">
            <v>0456</v>
          </cell>
          <cell r="B80" t="str">
            <v xml:space="preserve">Interruptor enchufable Bipolar   de  20A. </v>
          </cell>
          <cell r="D80" t="str">
            <v xml:space="preserve">UNI  </v>
          </cell>
          <cell r="E80">
            <v>12</v>
          </cell>
          <cell r="F80">
            <v>25525</v>
          </cell>
          <cell r="G80">
            <v>306300</v>
          </cell>
        </row>
        <row r="81">
          <cell r="A81" t="str">
            <v>0458</v>
          </cell>
          <cell r="B81" t="str">
            <v xml:space="preserve">Interruptor enchufable Bipolar   de  40A. </v>
          </cell>
          <cell r="D81" t="str">
            <v xml:space="preserve">UNI  </v>
          </cell>
          <cell r="E81">
            <v>2</v>
          </cell>
          <cell r="F81">
            <v>25525</v>
          </cell>
          <cell r="G81">
            <v>51050</v>
          </cell>
        </row>
        <row r="82">
          <cell r="A82" t="str">
            <v>0464</v>
          </cell>
          <cell r="B82" t="str">
            <v xml:space="preserve">Interruptor enchufable Monopolar de  20A. </v>
          </cell>
          <cell r="D82" t="str">
            <v xml:space="preserve">UNI  </v>
          </cell>
          <cell r="E82">
            <v>65</v>
          </cell>
          <cell r="F82">
            <v>9325</v>
          </cell>
          <cell r="G82">
            <v>606125</v>
          </cell>
        </row>
        <row r="83">
          <cell r="A83" t="str">
            <v>0473</v>
          </cell>
          <cell r="B83" t="str">
            <v xml:space="preserve">Interruptor enchufable Tripolar  de  30A. </v>
          </cell>
          <cell r="D83" t="str">
            <v xml:space="preserve">UNI  </v>
          </cell>
          <cell r="E83">
            <v>21</v>
          </cell>
          <cell r="F83">
            <v>45105</v>
          </cell>
          <cell r="G83">
            <v>947205</v>
          </cell>
        </row>
        <row r="84">
          <cell r="A84" t="str">
            <v>4970</v>
          </cell>
          <cell r="B84" t="str">
            <v xml:space="preserve">Interruptor enchufable Monopolar HOMGFI proteccion falla a tierra clase A. de  20A </v>
          </cell>
          <cell r="D84" t="str">
            <v xml:space="preserve">UNI  </v>
          </cell>
          <cell r="E84">
            <v>6</v>
          </cell>
          <cell r="F84">
            <v>232190</v>
          </cell>
          <cell r="G84">
            <v>1393140</v>
          </cell>
        </row>
        <row r="85">
          <cell r="F85" t="str">
            <v>Valor Sub-Capitulo $</v>
          </cell>
          <cell r="G85">
            <v>5260400</v>
          </cell>
        </row>
        <row r="86">
          <cell r="F86" t="str">
            <v>Valor Capitulo $</v>
          </cell>
          <cell r="G86">
            <v>48959496</v>
          </cell>
        </row>
        <row r="154">
          <cell r="B154" t="str">
            <v>TOTAL PRESUPUESTO</v>
          </cell>
          <cell r="G154">
            <v>214737456</v>
          </cell>
        </row>
        <row r="156">
          <cell r="B156" t="str">
            <v xml:space="preserve">ADMINISTRACION </v>
          </cell>
          <cell r="D156">
            <v>0.02</v>
          </cell>
          <cell r="G156">
            <v>4294749.12</v>
          </cell>
        </row>
        <row r="157">
          <cell r="B157" t="str">
            <v>IMPREVISTOS</v>
          </cell>
          <cell r="D157">
            <v>0.01</v>
          </cell>
          <cell r="G157">
            <v>2147374.56</v>
          </cell>
        </row>
        <row r="158">
          <cell r="B158" t="str">
            <v>UTILIDAD</v>
          </cell>
          <cell r="D158">
            <v>0.02</v>
          </cell>
          <cell r="G158">
            <v>4294749.12</v>
          </cell>
        </row>
        <row r="159">
          <cell r="B159" t="str">
            <v>TOTAL A.I.U</v>
          </cell>
          <cell r="D159">
            <v>0.05</v>
          </cell>
          <cell r="G159">
            <v>10736872.800000001</v>
          </cell>
        </row>
        <row r="161">
          <cell r="B161" t="str">
            <v>COSTO TOTAL DE LA SOLICITUD</v>
          </cell>
          <cell r="G161">
            <v>225474328.80000001</v>
          </cell>
        </row>
        <row r="162">
          <cell r="B162" t="str">
            <v>IVA 16%  UTILIDAD</v>
          </cell>
          <cell r="F162">
            <v>0.16</v>
          </cell>
          <cell r="G162">
            <v>687159.85920000006</v>
          </cell>
        </row>
        <row r="163">
          <cell r="B163" t="str">
            <v xml:space="preserve">TOTAL COSTO DE LA OBRA </v>
          </cell>
          <cell r="G163">
            <v>226161488.65920001</v>
          </cell>
        </row>
      </sheetData>
      <sheetData sheetId="1" refreshError="1"/>
      <sheetData sheetId="2" refreshError="1"/>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tilla Cotización"/>
      <sheetName val="Plantilla Actividades"/>
      <sheetName val="Actividades"/>
      <sheetName val="Materiales"/>
      <sheetName val="Mano de Obra"/>
      <sheetName val="Instalación P.A.T."/>
      <sheetName val="Sum&amp;Inst. Poste 12x300"/>
      <sheetName val="Mtto. Punto de Conex"/>
    </sheetNames>
    <sheetDataSet>
      <sheetData sheetId="0"/>
      <sheetData sheetId="1"/>
      <sheetData sheetId="2">
        <row r="2">
          <cell r="B2">
            <v>5000001</v>
          </cell>
          <cell r="C2" t="str">
            <v>Suministro e Instalación de Poste 12x300</v>
          </cell>
          <cell r="D2" t="str">
            <v>UND</v>
          </cell>
          <cell r="E2">
            <v>323710</v>
          </cell>
        </row>
        <row r="3">
          <cell r="B3">
            <v>5000002</v>
          </cell>
          <cell r="C3" t="str">
            <v xml:space="preserve">Instalación de Puesta a Tierra en Poste </v>
          </cell>
          <cell r="D3" t="str">
            <v>UND</v>
          </cell>
          <cell r="E3">
            <v>1205603</v>
          </cell>
        </row>
        <row r="4">
          <cell r="B4">
            <v>5000003</v>
          </cell>
          <cell r="C4" t="str">
            <v>Mantenimiento Punto de Conexión</v>
          </cell>
          <cell r="D4" t="str">
            <v>UND</v>
          </cell>
          <cell r="E4">
            <v>7397204.3600000003</v>
          </cell>
        </row>
      </sheetData>
      <sheetData sheetId="3">
        <row r="3">
          <cell r="B3">
            <v>201205</v>
          </cell>
          <cell r="C3" t="str">
            <v>Abrazaderas de 8-9</v>
          </cell>
          <cell r="D3" t="str">
            <v>UND</v>
          </cell>
          <cell r="E3">
            <v>0</v>
          </cell>
        </row>
        <row r="4">
          <cell r="B4">
            <v>201211</v>
          </cell>
          <cell r="C4" t="str">
            <v>Aislador line post 13,2KV</v>
          </cell>
          <cell r="D4" t="str">
            <v>UND</v>
          </cell>
          <cell r="E4">
            <v>85729.8</v>
          </cell>
        </row>
        <row r="5">
          <cell r="B5">
            <v>201228</v>
          </cell>
          <cell r="C5" t="str">
            <v>Alquiler de Grúa</v>
          </cell>
          <cell r="D5" t="str">
            <v>DÍA</v>
          </cell>
          <cell r="E5">
            <v>1000000</v>
          </cell>
        </row>
        <row r="6">
          <cell r="B6">
            <v>201231</v>
          </cell>
          <cell r="C6" t="str">
            <v>Alquiler de Grúa Canasta Aislada</v>
          </cell>
          <cell r="D6" t="str">
            <v>DÍA</v>
          </cell>
          <cell r="E6">
            <v>120000</v>
          </cell>
        </row>
        <row r="7">
          <cell r="B7">
            <v>201217</v>
          </cell>
          <cell r="C7" t="str">
            <v>Arandela de presión 5/8"</v>
          </cell>
          <cell r="D7" t="str">
            <v>UND</v>
          </cell>
          <cell r="E7">
            <v>377</v>
          </cell>
        </row>
        <row r="8">
          <cell r="B8">
            <v>201215</v>
          </cell>
          <cell r="C8" t="str">
            <v>Arandela plana redonda 5/8"</v>
          </cell>
          <cell r="D8" t="str">
            <v>UND</v>
          </cell>
          <cell r="E8">
            <v>754</v>
          </cell>
        </row>
        <row r="9">
          <cell r="B9">
            <v>201226</v>
          </cell>
          <cell r="C9" t="str">
            <v>Cable 2AWG THHN/THWN</v>
          </cell>
          <cell r="D9" t="str">
            <v>UND</v>
          </cell>
          <cell r="E9">
            <v>17830.591999999997</v>
          </cell>
        </row>
        <row r="10">
          <cell r="B10">
            <v>201219</v>
          </cell>
          <cell r="C10" t="str">
            <v>Cable de cobre desnudo #2 AWG</v>
          </cell>
          <cell r="D10" t="str">
            <v>ML</v>
          </cell>
          <cell r="E10">
            <v>10709.816000000001</v>
          </cell>
        </row>
        <row r="11">
          <cell r="B11">
            <v>201206</v>
          </cell>
          <cell r="C11" t="str">
            <v>Cable mensajero 1/4"</v>
          </cell>
          <cell r="D11" t="str">
            <v>ML</v>
          </cell>
          <cell r="E11">
            <v>0</v>
          </cell>
        </row>
        <row r="12">
          <cell r="B12">
            <v>201229</v>
          </cell>
          <cell r="C12" t="str">
            <v>Cable XLPE 35KV 1/0 asilado al 133%</v>
          </cell>
          <cell r="D12" t="str">
            <v>ML</v>
          </cell>
          <cell r="E12">
            <v>7672</v>
          </cell>
        </row>
        <row r="13">
          <cell r="B13">
            <v>201207</v>
          </cell>
          <cell r="C13" t="str">
            <v>Cinta no.23</v>
          </cell>
          <cell r="D13" t="str">
            <v>UND</v>
          </cell>
          <cell r="E13">
            <v>0</v>
          </cell>
        </row>
        <row r="14">
          <cell r="B14">
            <v>201208</v>
          </cell>
          <cell r="C14" t="str">
            <v>Cinta no.33</v>
          </cell>
          <cell r="D14" t="str">
            <v>UND</v>
          </cell>
          <cell r="E14">
            <v>0</v>
          </cell>
        </row>
        <row r="15">
          <cell r="B15">
            <v>201230</v>
          </cell>
          <cell r="C15" t="str">
            <v>Codo sistema modular de 35KV 600A, con adaptador para cable 1/0</v>
          </cell>
          <cell r="D15" t="str">
            <v>UND</v>
          </cell>
          <cell r="E15">
            <v>210000</v>
          </cell>
        </row>
        <row r="16">
          <cell r="B16">
            <v>201220</v>
          </cell>
          <cell r="C16" t="str">
            <v>Cortacircuito completo</v>
          </cell>
          <cell r="D16" t="str">
            <v>UND</v>
          </cell>
          <cell r="E16">
            <v>280000</v>
          </cell>
        </row>
        <row r="17">
          <cell r="B17">
            <v>201225</v>
          </cell>
          <cell r="C17" t="str">
            <v>Cruceta angular metálica de 1,4 mt</v>
          </cell>
          <cell r="D17" t="str">
            <v>UND</v>
          </cell>
          <cell r="E17">
            <v>96512</v>
          </cell>
        </row>
        <row r="18">
          <cell r="B18">
            <v>201210</v>
          </cell>
          <cell r="C18" t="str">
            <v>Cruceta angular metálica de 2,4 mt</v>
          </cell>
          <cell r="D18" t="str">
            <v>UND</v>
          </cell>
          <cell r="E18">
            <v>323843</v>
          </cell>
        </row>
        <row r="19">
          <cell r="B19">
            <v>201222</v>
          </cell>
          <cell r="C19" t="str">
            <v>Descargador de sobretensión</v>
          </cell>
          <cell r="D19" t="str">
            <v>UND</v>
          </cell>
          <cell r="E19">
            <v>167388</v>
          </cell>
        </row>
        <row r="20">
          <cell r="B20">
            <v>201214</v>
          </cell>
          <cell r="C20" t="str">
            <v>Espárrago rosca corrida galvanizado 5/8'' x 22"</v>
          </cell>
          <cell r="D20" t="str">
            <v>UND</v>
          </cell>
          <cell r="E20">
            <v>9802</v>
          </cell>
        </row>
        <row r="21">
          <cell r="B21">
            <v>201227</v>
          </cell>
          <cell r="C21" t="str">
            <v>Fusible de 15 Amp</v>
          </cell>
          <cell r="D21" t="str">
            <v>UND</v>
          </cell>
          <cell r="E21">
            <v>20000</v>
          </cell>
        </row>
        <row r="22">
          <cell r="B22">
            <v>201221</v>
          </cell>
          <cell r="C22" t="str">
            <v>Fusible de 7 Amp</v>
          </cell>
          <cell r="D22" t="str">
            <v>UND</v>
          </cell>
          <cell r="E22">
            <v>57002.400000000001</v>
          </cell>
        </row>
        <row r="23">
          <cell r="B23">
            <v>201223</v>
          </cell>
          <cell r="C23" t="str">
            <v>Juego terminales premoldeados tipo exterior 15KV 2-4/0</v>
          </cell>
          <cell r="D23" t="str">
            <v>UND</v>
          </cell>
          <cell r="E23">
            <v>805422.8</v>
          </cell>
        </row>
        <row r="24">
          <cell r="B24">
            <v>201224</v>
          </cell>
          <cell r="C24" t="str">
            <v xml:space="preserve">Kit deTierra para Terminal Premoldeada 2-350 Kcmil </v>
          </cell>
          <cell r="D24" t="str">
            <v>UND</v>
          </cell>
          <cell r="E24">
            <v>32271.200000000001</v>
          </cell>
        </row>
        <row r="25">
          <cell r="B25">
            <v>201204</v>
          </cell>
          <cell r="C25" t="str">
            <v>Poste 12x300</v>
          </cell>
          <cell r="D25" t="str">
            <v>UND</v>
          </cell>
          <cell r="E25">
            <v>0</v>
          </cell>
        </row>
        <row r="26">
          <cell r="B26">
            <v>201201</v>
          </cell>
          <cell r="C26" t="str">
            <v>Puesta a tierra</v>
          </cell>
          <cell r="D26" t="str">
            <v>UND</v>
          </cell>
          <cell r="E26">
            <v>342241</v>
          </cell>
        </row>
        <row r="27">
          <cell r="B27">
            <v>201213</v>
          </cell>
          <cell r="C27" t="str">
            <v>Soporte vertical de chapa para aislador tipo poste</v>
          </cell>
          <cell r="D27" t="str">
            <v>UND</v>
          </cell>
          <cell r="E27">
            <v>0</v>
          </cell>
        </row>
        <row r="28">
          <cell r="B28">
            <v>201202</v>
          </cell>
          <cell r="C28" t="str">
            <v>Subida Galvanizada 1/2"</v>
          </cell>
          <cell r="D28" t="str">
            <v>UND</v>
          </cell>
          <cell r="E28">
            <v>105000</v>
          </cell>
        </row>
        <row r="29">
          <cell r="B29">
            <v>201209</v>
          </cell>
          <cell r="C29" t="str">
            <v>Tensores 3 ton</v>
          </cell>
          <cell r="D29" t="str">
            <v>UND</v>
          </cell>
          <cell r="E29">
            <v>0</v>
          </cell>
        </row>
        <row r="30">
          <cell r="B30">
            <v>201218</v>
          </cell>
          <cell r="C30" t="str">
            <v>Tuerca hexagonal acero galvanizado 5/8''</v>
          </cell>
          <cell r="D30" t="str">
            <v>UND</v>
          </cell>
          <cell r="E30">
            <v>361.91999999999996</v>
          </cell>
        </row>
        <row r="31">
          <cell r="B31">
            <v>201203</v>
          </cell>
          <cell r="C31" t="str">
            <v>Zunchada Poste</v>
          </cell>
          <cell r="D31" t="str">
            <v>UND</v>
          </cell>
          <cell r="E31">
            <v>19646</v>
          </cell>
        </row>
        <row r="32">
          <cell r="B32">
            <v>201232</v>
          </cell>
          <cell r="E32">
            <v>0</v>
          </cell>
        </row>
        <row r="33">
          <cell r="B33">
            <v>201233</v>
          </cell>
          <cell r="E33">
            <v>0</v>
          </cell>
        </row>
        <row r="34">
          <cell r="B34">
            <v>201234</v>
          </cell>
          <cell r="E34">
            <v>0</v>
          </cell>
        </row>
        <row r="35">
          <cell r="B35">
            <v>201235</v>
          </cell>
          <cell r="E35">
            <v>0</v>
          </cell>
        </row>
        <row r="36">
          <cell r="B36">
            <v>201236</v>
          </cell>
          <cell r="E36">
            <v>0</v>
          </cell>
        </row>
        <row r="37">
          <cell r="B37">
            <v>201237</v>
          </cell>
          <cell r="E37">
            <v>0</v>
          </cell>
        </row>
        <row r="38">
          <cell r="B38">
            <v>201238</v>
          </cell>
          <cell r="E38">
            <v>0</v>
          </cell>
        </row>
        <row r="39">
          <cell r="B39">
            <v>201239</v>
          </cell>
          <cell r="E39">
            <v>0</v>
          </cell>
        </row>
        <row r="40">
          <cell r="B40">
            <v>201240</v>
          </cell>
          <cell r="E40">
            <v>0</v>
          </cell>
        </row>
        <row r="41">
          <cell r="B41">
            <v>201241</v>
          </cell>
          <cell r="E41">
            <v>0</v>
          </cell>
        </row>
        <row r="42">
          <cell r="B42">
            <v>201242</v>
          </cell>
          <cell r="E42">
            <v>0</v>
          </cell>
        </row>
        <row r="43">
          <cell r="B43">
            <v>201243</v>
          </cell>
          <cell r="E43">
            <v>0</v>
          </cell>
        </row>
        <row r="44">
          <cell r="B44">
            <v>201244</v>
          </cell>
          <cell r="E44">
            <v>0</v>
          </cell>
        </row>
        <row r="45">
          <cell r="B45">
            <v>201245</v>
          </cell>
          <cell r="E45">
            <v>0</v>
          </cell>
        </row>
      </sheetData>
      <sheetData sheetId="4">
        <row r="2">
          <cell r="B2">
            <v>2000001</v>
          </cell>
          <cell r="C2" t="str">
            <v>Apertura y cierre de caja primaria</v>
          </cell>
          <cell r="D2" t="str">
            <v>UND</v>
          </cell>
          <cell r="E2">
            <v>30000</v>
          </cell>
        </row>
        <row r="3">
          <cell r="B3">
            <v>2000027</v>
          </cell>
          <cell r="C3" t="str">
            <v>Apertura y cierre de cortacircuitos</v>
          </cell>
          <cell r="D3" t="str">
            <v>UND</v>
          </cell>
          <cell r="E3">
            <v>30000</v>
          </cell>
        </row>
        <row r="4">
          <cell r="B4">
            <v>2000039</v>
          </cell>
          <cell r="C4" t="str">
            <v>Armado e instalación de premoldeados tipo exterior</v>
          </cell>
          <cell r="D4" t="str">
            <v>UND</v>
          </cell>
          <cell r="E4">
            <v>80000</v>
          </cell>
        </row>
        <row r="5">
          <cell r="B5">
            <v>2000002</v>
          </cell>
          <cell r="C5" t="str">
            <v>Cuadrilla Eléctrica</v>
          </cell>
          <cell r="D5" t="str">
            <v>UND</v>
          </cell>
          <cell r="E5">
            <v>343840</v>
          </cell>
        </row>
        <row r="6">
          <cell r="B6">
            <v>2000007</v>
          </cell>
          <cell r="C6" t="str">
            <v>Demolición concreto manual y retiro</v>
          </cell>
          <cell r="D6" t="str">
            <v>M3</v>
          </cell>
          <cell r="E6">
            <v>240643</v>
          </cell>
        </row>
        <row r="7">
          <cell r="B7">
            <v>2000008</v>
          </cell>
          <cell r="C7" t="str">
            <v>Deshincada de poste 10mts hombro</v>
          </cell>
          <cell r="D7" t="str">
            <v>UND</v>
          </cell>
          <cell r="E7">
            <v>171400</v>
          </cell>
        </row>
        <row r="8">
          <cell r="B8">
            <v>2000028</v>
          </cell>
          <cell r="C8" t="str">
            <v>Desmonte de cortacircuitos energizado</v>
          </cell>
          <cell r="D8" t="str">
            <v>UND</v>
          </cell>
          <cell r="E8">
            <v>80000</v>
          </cell>
        </row>
        <row r="9">
          <cell r="B9">
            <v>2000009</v>
          </cell>
          <cell r="C9" t="str">
            <v>Excavación alrededor del poste de concreto</v>
          </cell>
          <cell r="D9" t="str">
            <v>UND</v>
          </cell>
          <cell r="E9">
            <v>48000</v>
          </cell>
        </row>
        <row r="10">
          <cell r="B10">
            <v>2000004</v>
          </cell>
          <cell r="C10" t="str">
            <v>Excavación de hueco para poste</v>
          </cell>
          <cell r="D10" t="str">
            <v>UND</v>
          </cell>
          <cell r="E10">
            <v>20500</v>
          </cell>
        </row>
        <row r="11">
          <cell r="B11">
            <v>2000034</v>
          </cell>
          <cell r="C11" t="str">
            <v>Hincada de poste 12mts</v>
          </cell>
          <cell r="D11" t="str">
            <v>UND</v>
          </cell>
          <cell r="E11">
            <v>130000</v>
          </cell>
        </row>
        <row r="12">
          <cell r="B12">
            <v>2000005</v>
          </cell>
          <cell r="C12" t="str">
            <v>Hincada de poste 12mts a hombro</v>
          </cell>
          <cell r="D12" t="str">
            <v>UND</v>
          </cell>
          <cell r="E12">
            <v>171400</v>
          </cell>
        </row>
        <row r="13">
          <cell r="B13">
            <v>2000026</v>
          </cell>
          <cell r="C13" t="str">
            <v>Instalación cruceta auxiliar</v>
          </cell>
          <cell r="D13" t="str">
            <v>UND</v>
          </cell>
          <cell r="E13">
            <v>175000</v>
          </cell>
        </row>
        <row r="14">
          <cell r="B14">
            <v>2000031</v>
          </cell>
          <cell r="C14" t="str">
            <v>Instalación de acometida BT 4 líneas #2</v>
          </cell>
          <cell r="D14" t="str">
            <v>ML</v>
          </cell>
          <cell r="E14">
            <v>5500</v>
          </cell>
        </row>
        <row r="15">
          <cell r="B15">
            <v>2000037</v>
          </cell>
          <cell r="C15" t="str">
            <v>Instalación de caja y breaker 3x60A</v>
          </cell>
          <cell r="D15" t="str">
            <v>UND</v>
          </cell>
          <cell r="E15">
            <v>85000</v>
          </cell>
        </row>
        <row r="16">
          <cell r="B16">
            <v>2000033</v>
          </cell>
          <cell r="C16" t="str">
            <v>Instalación de cortacircuitos</v>
          </cell>
          <cell r="D16" t="str">
            <v>UND</v>
          </cell>
          <cell r="E16">
            <v>55000</v>
          </cell>
        </row>
        <row r="17">
          <cell r="B17">
            <v>2000029</v>
          </cell>
          <cell r="C17" t="str">
            <v>Instalación de cortacircuitos energizado</v>
          </cell>
          <cell r="D17" t="str">
            <v>UND</v>
          </cell>
          <cell r="E17">
            <v>125000</v>
          </cell>
        </row>
        <row r="18">
          <cell r="B18">
            <v>2000035</v>
          </cell>
          <cell r="C18" t="str">
            <v>Instalación de cruceta sencilla</v>
          </cell>
          <cell r="D18" t="str">
            <v>UND</v>
          </cell>
          <cell r="E18">
            <v>65000</v>
          </cell>
        </row>
        <row r="19">
          <cell r="B19">
            <v>2000032</v>
          </cell>
          <cell r="C19" t="str">
            <v>Instalación de descargador de sobretensión</v>
          </cell>
          <cell r="D19" t="str">
            <v>UND</v>
          </cell>
          <cell r="E19">
            <v>55000</v>
          </cell>
        </row>
        <row r="20">
          <cell r="B20">
            <v>2000036</v>
          </cell>
          <cell r="C20" t="str">
            <v>Instalación de medidor</v>
          </cell>
          <cell r="D20" t="str">
            <v>UND</v>
          </cell>
          <cell r="E20">
            <v>230000</v>
          </cell>
        </row>
        <row r="21">
          <cell r="B21">
            <v>2000003</v>
          </cell>
          <cell r="C21" t="str">
            <v>Instalación de Subida a Poste</v>
          </cell>
          <cell r="D21" t="str">
            <v>UND</v>
          </cell>
          <cell r="E21">
            <v>175584</v>
          </cell>
        </row>
        <row r="22">
          <cell r="B22">
            <v>2000038</v>
          </cell>
          <cell r="C22" t="str">
            <v>Instalación ducto de subida para acometida 35kV</v>
          </cell>
          <cell r="D22" t="str">
            <v>UND</v>
          </cell>
          <cell r="E22">
            <v>25000</v>
          </cell>
        </row>
        <row r="23">
          <cell r="B23">
            <v>2000040</v>
          </cell>
          <cell r="C23" t="str">
            <v>Maniobras de desenergización</v>
          </cell>
          <cell r="D23" t="str">
            <v>GL</v>
          </cell>
          <cell r="E23">
            <v>300000</v>
          </cell>
        </row>
        <row r="24">
          <cell r="B24">
            <v>2000030</v>
          </cell>
          <cell r="C24" t="str">
            <v>Montaje de Transformador 30KVA</v>
          </cell>
          <cell r="D24" t="str">
            <v>UND</v>
          </cell>
          <cell r="E24">
            <v>230000</v>
          </cell>
        </row>
        <row r="25">
          <cell r="B25">
            <v>2000019</v>
          </cell>
          <cell r="C25" t="str">
            <v>Montaje y conexionado de acometida 13,2KV</v>
          </cell>
          <cell r="D25" t="str">
            <v>ML</v>
          </cell>
          <cell r="E25">
            <v>27900</v>
          </cell>
        </row>
        <row r="26">
          <cell r="B26">
            <v>2000006</v>
          </cell>
          <cell r="C26" t="str">
            <v>Protección para poste</v>
          </cell>
          <cell r="D26" t="str">
            <v>UND</v>
          </cell>
          <cell r="E26">
            <v>131810</v>
          </cell>
        </row>
        <row r="27">
          <cell r="B27">
            <v>2000010</v>
          </cell>
          <cell r="C27" t="str">
            <v>Retiro e instalación cable mensajero</v>
          </cell>
          <cell r="D27" t="str">
            <v>ML</v>
          </cell>
          <cell r="E27">
            <v>1200</v>
          </cell>
        </row>
        <row r="28">
          <cell r="B28">
            <v>2000024</v>
          </cell>
          <cell r="C28" t="str">
            <v>Retiro e instalación cruceta sencilla (con grapas)</v>
          </cell>
          <cell r="D28" t="str">
            <v>UND</v>
          </cell>
          <cell r="E28">
            <v>175000</v>
          </cell>
        </row>
        <row r="29">
          <cell r="B29">
            <v>2000022</v>
          </cell>
          <cell r="C29" t="str">
            <v>Retiro e instalación de aislador line post</v>
          </cell>
          <cell r="D29" t="str">
            <v>UND</v>
          </cell>
          <cell r="E29">
            <v>115000</v>
          </cell>
        </row>
        <row r="30">
          <cell r="B30">
            <v>2000011</v>
          </cell>
          <cell r="C30" t="str">
            <v>Retiro e instalación de amarre</v>
          </cell>
          <cell r="D30" t="str">
            <v>UND</v>
          </cell>
          <cell r="E30">
            <v>750</v>
          </cell>
        </row>
        <row r="31">
          <cell r="B31">
            <v>2000023</v>
          </cell>
          <cell r="C31" t="str">
            <v>Retiro e instalación de armado cruceta doble</v>
          </cell>
          <cell r="D31" t="str">
            <v>UND</v>
          </cell>
          <cell r="E31">
            <v>290000</v>
          </cell>
        </row>
        <row r="32">
          <cell r="B32">
            <v>2000021</v>
          </cell>
          <cell r="C32" t="str">
            <v>Retiro e instalación de cortacircuitos</v>
          </cell>
          <cell r="D32" t="str">
            <v>UND</v>
          </cell>
          <cell r="E32">
            <v>190000</v>
          </cell>
        </row>
        <row r="33">
          <cell r="B33">
            <v>2000020</v>
          </cell>
          <cell r="C33" t="str">
            <v>Retiro e instalación de descargadores de sobretensión</v>
          </cell>
          <cell r="D33" t="str">
            <v>UND</v>
          </cell>
          <cell r="E33">
            <v>115000</v>
          </cell>
        </row>
        <row r="34">
          <cell r="B34">
            <v>2000012</v>
          </cell>
          <cell r="C34" t="str">
            <v>Retiro e instalación de domo completo</v>
          </cell>
          <cell r="D34" t="str">
            <v>UND</v>
          </cell>
          <cell r="E34">
            <v>85000</v>
          </cell>
        </row>
        <row r="35">
          <cell r="B35">
            <v>2000013</v>
          </cell>
          <cell r="C35" t="str">
            <v>Retiro e instalación de estructura (herraje) de fibra óptica</v>
          </cell>
          <cell r="D35" t="str">
            <v>UND</v>
          </cell>
          <cell r="E35">
            <v>48000</v>
          </cell>
        </row>
        <row r="36">
          <cell r="B36">
            <v>2000014</v>
          </cell>
          <cell r="C36" t="str">
            <v>Retiro e instalación de fibra</v>
          </cell>
          <cell r="D36" t="str">
            <v>ML</v>
          </cell>
          <cell r="E36">
            <v>3500</v>
          </cell>
        </row>
        <row r="37">
          <cell r="B37">
            <v>2000015</v>
          </cell>
          <cell r="C37" t="str">
            <v>Retiro e instalación de lámpara</v>
          </cell>
          <cell r="D37" t="str">
            <v>UND</v>
          </cell>
          <cell r="E37">
            <v>45000</v>
          </cell>
        </row>
        <row r="38">
          <cell r="B38">
            <v>2000016</v>
          </cell>
          <cell r="C38" t="str">
            <v>Retiro e instalación de líneas baja tensión y alumbrado</v>
          </cell>
          <cell r="D38" t="str">
            <v>ML</v>
          </cell>
          <cell r="E38">
            <v>2500</v>
          </cell>
        </row>
        <row r="39">
          <cell r="B39">
            <v>2000017</v>
          </cell>
          <cell r="C39" t="str">
            <v>Retiro e instalación de percha red baja tensión y alumbrado</v>
          </cell>
          <cell r="D39" t="str">
            <v>UND</v>
          </cell>
          <cell r="E39">
            <v>77500</v>
          </cell>
        </row>
        <row r="40">
          <cell r="B40">
            <v>2000025</v>
          </cell>
          <cell r="C40" t="str">
            <v>Retiro e instalación de premoldeados tipo exterior</v>
          </cell>
          <cell r="D40" t="str">
            <v>UND</v>
          </cell>
          <cell r="E40">
            <v>160000</v>
          </cell>
        </row>
        <row r="41">
          <cell r="B41">
            <v>2000018</v>
          </cell>
          <cell r="C41" t="str">
            <v>Retiro e instalación de subida a poste</v>
          </cell>
          <cell r="D41" t="str">
            <v>UND</v>
          </cell>
          <cell r="E41">
            <v>175584</v>
          </cell>
        </row>
        <row r="42">
          <cell r="B42">
            <v>2000041</v>
          </cell>
          <cell r="E42">
            <v>0</v>
          </cell>
        </row>
        <row r="43">
          <cell r="B43">
            <v>2000042</v>
          </cell>
          <cell r="E43">
            <v>0</v>
          </cell>
        </row>
      </sheetData>
      <sheetData sheetId="5"/>
      <sheetData sheetId="6"/>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rico"/>
      <sheetName val="Formulario 1"/>
      <sheetName val="Formulario2"/>
      <sheetName val="Insumos"/>
      <sheetName val="materiales laum"/>
    </sheetNames>
    <sheetDataSet>
      <sheetData sheetId="0">
        <row r="3">
          <cell r="A3" t="str">
            <v>ITEM</v>
          </cell>
          <cell r="B3" t="str">
            <v>DESCRIPCION</v>
          </cell>
          <cell r="D3" t="str">
            <v>UNIDAD</v>
          </cell>
          <cell r="E3" t="str">
            <v>CANTIDAD</v>
          </cell>
          <cell r="F3" t="str">
            <v>PRECIO UNITARIO</v>
          </cell>
          <cell r="G3" t="str">
            <v>PRECIO TOTAL</v>
          </cell>
        </row>
        <row r="4">
          <cell r="A4" t="str">
            <v>Capitulo: 02</v>
          </cell>
          <cell r="B4" t="str">
            <v>CIRCUITO RAMALES ILUINACION.</v>
          </cell>
        </row>
        <row r="5">
          <cell r="A5" t="str">
            <v>Sub-Capitulo: 01</v>
          </cell>
          <cell r="B5" t="str">
            <v>ILUMINACION INTERIOR.</v>
          </cell>
        </row>
        <row r="6">
          <cell r="A6" t="str">
            <v>2427</v>
          </cell>
          <cell r="B6" t="str">
            <v>Alimentador en  2#12 alambre de cobre forrado+ 1#12 alambre de cobre desnudo ducto PVC subterraneo Ø 1/2".</v>
          </cell>
          <cell r="D6" t="str">
            <v xml:space="preserve">ML   </v>
          </cell>
          <cell r="E6">
            <v>200</v>
          </cell>
          <cell r="F6">
            <v>5916</v>
          </cell>
          <cell r="G6">
            <v>1183200</v>
          </cell>
        </row>
        <row r="7">
          <cell r="A7" t="str">
            <v>6628</v>
          </cell>
          <cell r="B7" t="str">
            <v xml:space="preserve">Alimentador sin canalizacion  en 2#12 (F) + 2#12(N) cable cobre forrado + 1#12 (T) alambre de cobre desnudo. </v>
          </cell>
          <cell r="D7" t="str">
            <v xml:space="preserve">ML   </v>
          </cell>
          <cell r="E7">
            <v>380</v>
          </cell>
          <cell r="F7">
            <v>7613</v>
          </cell>
          <cell r="G7">
            <v>2892940</v>
          </cell>
        </row>
        <row r="8">
          <cell r="A8" t="str">
            <v>6149</v>
          </cell>
          <cell r="B8" t="str">
            <v>Alimentador sin canalizacion en cable de instrumentacion 18X18 + 20 apantallado.</v>
          </cell>
          <cell r="D8" t="str">
            <v xml:space="preserve">ML   </v>
          </cell>
          <cell r="E8">
            <v>80</v>
          </cell>
          <cell r="F8">
            <v>18201</v>
          </cell>
          <cell r="G8">
            <v>1456080</v>
          </cell>
        </row>
        <row r="9">
          <cell r="A9" t="str">
            <v>4205</v>
          </cell>
          <cell r="B9" t="str">
            <v xml:space="preserve">Salida iluminación 110V (2#12 cable de cobre forrado+1#12 alambre de cobre desnudo, ø 1/2") ducto EMT sobrepuesto, rvi </v>
          </cell>
          <cell r="D9" t="str">
            <v xml:space="preserve">UNI  </v>
          </cell>
          <cell r="E9">
            <v>85</v>
          </cell>
          <cell r="F9">
            <v>100277</v>
          </cell>
          <cell r="G9">
            <v>8523545</v>
          </cell>
        </row>
        <row r="10">
          <cell r="A10" t="str">
            <v>4582</v>
          </cell>
          <cell r="B10" t="str">
            <v xml:space="preserve">Salida iluminación 110V (2#12 alambre de cobre forrado+2#12 alambre de cobre desnudo, ø 1/2") ducto pvc subterraneo o incrustado, rvi </v>
          </cell>
          <cell r="D10" t="str">
            <v xml:space="preserve">UNI  </v>
          </cell>
          <cell r="E10">
            <v>146</v>
          </cell>
          <cell r="F10">
            <v>77583</v>
          </cell>
          <cell r="G10">
            <v>11327118</v>
          </cell>
        </row>
        <row r="11">
          <cell r="A11" t="str">
            <v>6629</v>
          </cell>
          <cell r="B11" t="str">
            <v>Salida iluminación 110V (2#12 (F) + 2#12 (N) alambre de cobre forrado+1#12 alambre de cobre desnudo) sin canalizacion, rvi para lamparas en Area de venta.</v>
          </cell>
          <cell r="D11" t="str">
            <v xml:space="preserve">UNI  </v>
          </cell>
          <cell r="E11">
            <v>39</v>
          </cell>
          <cell r="F11">
            <v>39019</v>
          </cell>
          <cell r="G11">
            <v>1521741</v>
          </cell>
        </row>
        <row r="12">
          <cell r="A12" t="str">
            <v>5750</v>
          </cell>
          <cell r="B12" t="str">
            <v>Suministro e instalacion de Iluminacion decorativa de color azul, fluorescente 32 W T8 con balasto phillips advance compartido 4x32W lineal.</v>
          </cell>
          <cell r="D12" t="str">
            <v xml:space="preserve">ML   </v>
          </cell>
          <cell r="E12">
            <v>45</v>
          </cell>
          <cell r="F12">
            <v>78343</v>
          </cell>
          <cell r="G12">
            <v>3525435</v>
          </cell>
        </row>
        <row r="13">
          <cell r="A13" t="str">
            <v>6107</v>
          </cell>
          <cell r="B13" t="str">
            <v>Suministro e instalacion de Iluminacion decorativa de color rojo, fluorescente 32 W T8 con balasto phillips advance compartido 4x32W lineal.</v>
          </cell>
          <cell r="D13" t="str">
            <v xml:space="preserve">ML   </v>
          </cell>
          <cell r="E13">
            <v>15</v>
          </cell>
          <cell r="F13">
            <v>77967</v>
          </cell>
          <cell r="G13">
            <v>1169505</v>
          </cell>
        </row>
        <row r="14">
          <cell r="A14" t="str">
            <v>6108</v>
          </cell>
          <cell r="B14" t="str">
            <v>Suministro e instalacion de Iluminacion decorativa de color verde, fluorescente 32 W T8 con balasto phillips advance compartido 4x32W lineal.</v>
          </cell>
          <cell r="D14" t="str">
            <v xml:space="preserve">ML   </v>
          </cell>
          <cell r="E14">
            <v>20</v>
          </cell>
          <cell r="F14">
            <v>77967</v>
          </cell>
          <cell r="G14">
            <v>1559340</v>
          </cell>
        </row>
        <row r="15">
          <cell r="A15" t="str">
            <v>5745</v>
          </cell>
          <cell r="B15" t="str">
            <v>Guaya galvanizada de 3/16" con perros y anclajes (Doble altura).</v>
          </cell>
          <cell r="D15" t="str">
            <v xml:space="preserve">ML   </v>
          </cell>
          <cell r="E15">
            <v>300</v>
          </cell>
          <cell r="F15">
            <v>3824</v>
          </cell>
          <cell r="G15">
            <v>1147200</v>
          </cell>
        </row>
        <row r="16">
          <cell r="A16" t="str">
            <v>5746</v>
          </cell>
          <cell r="B16" t="str">
            <v>Guaya galvanizada de 1/8" con perros y anclajes (Doble altura).</v>
          </cell>
          <cell r="D16" t="str">
            <v xml:space="preserve">ML   </v>
          </cell>
          <cell r="E16">
            <v>250</v>
          </cell>
          <cell r="F16">
            <v>3676</v>
          </cell>
          <cell r="G16">
            <v>919000</v>
          </cell>
        </row>
        <row r="17">
          <cell r="A17" t="str">
            <v>2147</v>
          </cell>
          <cell r="B17" t="str">
            <v xml:space="preserve">Panel de control de Iluminacion (PCI), de 30X20X10 CM metalico, con 13 Selectores de 15A. Incluye riel omega, canaleta plastica, 28 borneras plasticas de 20A. Identificacion de interruptores, </v>
          </cell>
          <cell r="D17" t="str">
            <v xml:space="preserve">UNI  </v>
          </cell>
          <cell r="E17">
            <v>1</v>
          </cell>
          <cell r="F17">
            <v>971387</v>
          </cell>
          <cell r="G17">
            <v>971387</v>
          </cell>
        </row>
        <row r="18">
          <cell r="A18" t="str">
            <v>6109</v>
          </cell>
          <cell r="B18" t="str">
            <v xml:space="preserve">Panel de maniobra para Iluminacion (PMI), de 100X80X30 CM metalico, con 13 multinueve de 2x25A, 13 contactores de 25A en AC1. Incluye riel omega, barraje, canaleta plastica, frente muerto, 120 borneras plasticas de 20A. Identificacion. </v>
          </cell>
          <cell r="D18" t="str">
            <v xml:space="preserve">UNI  </v>
          </cell>
          <cell r="E18">
            <v>1</v>
          </cell>
          <cell r="F18">
            <v>2910192</v>
          </cell>
          <cell r="G18">
            <v>2910192</v>
          </cell>
        </row>
        <row r="19">
          <cell r="A19" t="str">
            <v>4401</v>
          </cell>
          <cell r="B19" t="str">
            <v xml:space="preserve">Salida en Interruptor Sencillo incrustar luz piloto con polo a tierra linea Decora 15A 110V (2#12 alambre de cobre forrado, ø 1/2") ducto PVC  rvi </v>
          </cell>
          <cell r="D19" t="str">
            <v xml:space="preserve">UNI  </v>
          </cell>
          <cell r="E19">
            <v>30</v>
          </cell>
          <cell r="F19">
            <v>44587</v>
          </cell>
          <cell r="G19">
            <v>1337610</v>
          </cell>
        </row>
        <row r="20">
          <cell r="A20" t="str">
            <v>5737</v>
          </cell>
          <cell r="B20" t="str">
            <v>Salida en Interruptor Doble incrustar Luz Piloto con polo a tierra linea Decora 15A 110V (3#12 acf + 1#12 acd) ducto PVC Ø 1/2"  rvi.</v>
          </cell>
          <cell r="D20" t="str">
            <v xml:space="preserve">UNI  </v>
          </cell>
          <cell r="E20">
            <v>4</v>
          </cell>
          <cell r="F20">
            <v>90021</v>
          </cell>
          <cell r="G20">
            <v>360084</v>
          </cell>
        </row>
        <row r="21">
          <cell r="A21" t="str">
            <v>6820</v>
          </cell>
          <cell r="B21" t="str">
            <v>Salida en Interruptor conmutable sencillo de incrustar  Luz Piloto con polo a tierra linea Decora 15A 110V (3#12 acf +1#12 acd) ducto PVC Ø 1/2"  rvi.</v>
          </cell>
          <cell r="D21" t="str">
            <v xml:space="preserve">UNI  </v>
          </cell>
          <cell r="E21">
            <v>8</v>
          </cell>
          <cell r="F21">
            <v>72906</v>
          </cell>
          <cell r="G21">
            <v>583248</v>
          </cell>
        </row>
        <row r="22">
          <cell r="A22" t="str">
            <v>6874</v>
          </cell>
          <cell r="B22" t="str">
            <v>Salida en Interruptor Sencillo sobreponer  Luz Piloto con polo a tierra linea Decora 15A 110V (2#12 acf +1#12 acd) ducto EMT Ø 1/2"  rvi caja de aluminio Rawelt sobrepuesta con accesorios de banda doble ala.</v>
          </cell>
          <cell r="D22" t="str">
            <v xml:space="preserve">UNI  </v>
          </cell>
          <cell r="E22">
            <v>6</v>
          </cell>
          <cell r="F22">
            <v>88079</v>
          </cell>
          <cell r="G22">
            <v>528474</v>
          </cell>
        </row>
        <row r="23">
          <cell r="A23" t="str">
            <v>7031</v>
          </cell>
          <cell r="B23" t="str">
            <v xml:space="preserve">Salida en Interruptor Doble sobreponer  Luz Piloto con polo a tierra linea Decora 15A 110V (3#12 cable de cobre forrado + 1#12 cable de cobre desnudo) ducto EMT Ø 1/2"  rvi caja de AL Rawelt sobrepuesta con accesorios de banda doble ala. </v>
          </cell>
          <cell r="D23" t="str">
            <v xml:space="preserve">UNI  </v>
          </cell>
          <cell r="E23">
            <v>6</v>
          </cell>
          <cell r="F23">
            <v>107310</v>
          </cell>
          <cell r="G23">
            <v>643860</v>
          </cell>
        </row>
        <row r="24">
          <cell r="F24" t="str">
            <v>Valor Sub-Capitulo $</v>
          </cell>
          <cell r="G24">
            <v>42559959</v>
          </cell>
        </row>
        <row r="25">
          <cell r="A25" t="str">
            <v>Sub-Capitulo: 02</v>
          </cell>
          <cell r="B25" t="str">
            <v>ILUMINACION EXTERIOR.</v>
          </cell>
        </row>
        <row r="26">
          <cell r="A26" t="str">
            <v>6647</v>
          </cell>
          <cell r="B26" t="str">
            <v>Alimentador en 2X2#10(F) cable de cobre forrado + 1#10(T) alambre de cobre desnudo ducto PVC Ø 3/4".</v>
          </cell>
          <cell r="D26" t="str">
            <v xml:space="preserve">ML   </v>
          </cell>
          <cell r="E26">
            <v>200</v>
          </cell>
          <cell r="F26">
            <v>11778</v>
          </cell>
          <cell r="G26">
            <v>2355600</v>
          </cell>
        </row>
        <row r="27">
          <cell r="A27" t="str">
            <v>2513</v>
          </cell>
          <cell r="B27" t="str">
            <v>Alimentador en 3#10 + 1#10 cable de cobre forrado+ 10t alambre de cobre desnudo ducto  PVC 3/4".  AVISO LUMINOSO.</v>
          </cell>
          <cell r="D27" t="str">
            <v xml:space="preserve">ML   </v>
          </cell>
          <cell r="E27">
            <v>100</v>
          </cell>
          <cell r="F27">
            <v>13898</v>
          </cell>
          <cell r="G27">
            <v>1389800</v>
          </cell>
        </row>
        <row r="28">
          <cell r="A28" t="str">
            <v>5756</v>
          </cell>
          <cell r="B28" t="str">
            <v>Salida para iluminación 220V (2#10 ccf+1#10 acd), ducto pvc 3/4" rix.</v>
          </cell>
          <cell r="D28" t="str">
            <v xml:space="preserve">UNI  </v>
          </cell>
          <cell r="E28">
            <v>108</v>
          </cell>
          <cell r="F28">
            <v>61418</v>
          </cell>
          <cell r="G28">
            <v>6633144</v>
          </cell>
        </row>
        <row r="29">
          <cell r="A29" t="str">
            <v>6090</v>
          </cell>
          <cell r="B29" t="str">
            <v>Fotocontrol Automatico de iluminacion en cofre plastico intemperie con un contactor y una fotocelda  220V-32A</v>
          </cell>
          <cell r="D29" t="str">
            <v xml:space="preserve">UNI  </v>
          </cell>
          <cell r="E29">
            <v>5</v>
          </cell>
          <cell r="F29">
            <v>609296</v>
          </cell>
          <cell r="G29">
            <v>3046480</v>
          </cell>
        </row>
        <row r="30">
          <cell r="F30" t="str">
            <v>Valor Sub-Capitulo $</v>
          </cell>
          <cell r="G30">
            <v>13425024</v>
          </cell>
        </row>
        <row r="31">
          <cell r="F31" t="str">
            <v>Valor Capitulo $</v>
          </cell>
          <cell r="G31">
            <v>55984983</v>
          </cell>
        </row>
        <row r="32">
          <cell r="A32" t="str">
            <v>Capitulo: 03</v>
          </cell>
          <cell r="B32" t="str">
            <v>MONTAJE DE LA ILUMINACION.</v>
          </cell>
        </row>
        <row r="33">
          <cell r="A33" t="str">
            <v>6112</v>
          </cell>
          <cell r="B33" t="str">
            <v>Montaje y conexion de balasto bateria electronico como soporte para luz de emergencia</v>
          </cell>
          <cell r="D33" t="str">
            <v xml:space="preserve">UNI  </v>
          </cell>
          <cell r="E33">
            <v>45</v>
          </cell>
          <cell r="F33">
            <v>7195</v>
          </cell>
          <cell r="G33">
            <v>323775</v>
          </cell>
        </row>
        <row r="34">
          <cell r="A34" t="str">
            <v>6113</v>
          </cell>
          <cell r="B34" t="str">
            <v>Montaje y conexion de aviso para senalizacion salida de emergencia</v>
          </cell>
          <cell r="D34" t="str">
            <v xml:space="preserve">UNI  </v>
          </cell>
          <cell r="E34">
            <v>13</v>
          </cell>
          <cell r="F34">
            <v>16475</v>
          </cell>
          <cell r="G34">
            <v>214175</v>
          </cell>
        </row>
        <row r="35">
          <cell r="A35" t="str">
            <v>1572</v>
          </cell>
          <cell r="B35" t="str">
            <v>Montaje y conexion de reflector tipo RRA 250W</v>
          </cell>
          <cell r="D35" t="str">
            <v xml:space="preserve">UNI  </v>
          </cell>
          <cell r="E35">
            <v>4</v>
          </cell>
          <cell r="F35">
            <v>23129</v>
          </cell>
          <cell r="G35">
            <v>92516</v>
          </cell>
        </row>
        <row r="36">
          <cell r="A36" t="str">
            <v>1788</v>
          </cell>
          <cell r="B36" t="str">
            <v>Montaje y conexion de Reflector tipo RRA 400W.</v>
          </cell>
          <cell r="D36" t="str">
            <v xml:space="preserve">UNI  </v>
          </cell>
          <cell r="E36">
            <v>11</v>
          </cell>
          <cell r="F36">
            <v>26614</v>
          </cell>
          <cell r="G36">
            <v>292754</v>
          </cell>
        </row>
        <row r="37">
          <cell r="A37" t="str">
            <v>0858</v>
          </cell>
          <cell r="B37" t="str">
            <v xml:space="preserve">Montaje y conexion de lampara Fluorescente hermetica 2x32W, 48" T12 o T8 (2 - 3 o 4 tubos) altura normal. </v>
          </cell>
          <cell r="D37" t="str">
            <v xml:space="preserve">UNI  </v>
          </cell>
          <cell r="E37">
            <v>61</v>
          </cell>
          <cell r="F37">
            <v>14535</v>
          </cell>
          <cell r="G37">
            <v>886635</v>
          </cell>
        </row>
        <row r="38">
          <cell r="A38" t="str">
            <v>3392</v>
          </cell>
          <cell r="B38" t="str">
            <v xml:space="preserve">Montaje y conexion de lampara Fluorescente 2x32W, 48" T12 o T8 (2 - 3 o 4 tubos) altura normal. </v>
          </cell>
          <cell r="D38" t="str">
            <v xml:space="preserve">UNI  </v>
          </cell>
          <cell r="E38">
            <v>12</v>
          </cell>
          <cell r="F38">
            <v>14535</v>
          </cell>
          <cell r="G38">
            <v>174420</v>
          </cell>
        </row>
        <row r="39">
          <cell r="A39" t="str">
            <v>6733</v>
          </cell>
          <cell r="B39" t="str">
            <v>Montaje y conexion de lampara tipo industrial  hasta 70W suspendida del techo (h=5M)</v>
          </cell>
          <cell r="D39" t="str">
            <v xml:space="preserve">UNI  </v>
          </cell>
          <cell r="E39">
            <v>18</v>
          </cell>
          <cell r="F39">
            <v>19535</v>
          </cell>
          <cell r="G39">
            <v>351630</v>
          </cell>
        </row>
        <row r="40">
          <cell r="A40" t="str">
            <v>6735</v>
          </cell>
          <cell r="B40" t="str">
            <v>Montaje y conexion de lampara tipo industrial 150W suspendida del techo (h=7M)</v>
          </cell>
          <cell r="D40" t="str">
            <v xml:space="preserve">UNI  </v>
          </cell>
          <cell r="E40">
            <v>78</v>
          </cell>
          <cell r="F40">
            <v>17850</v>
          </cell>
          <cell r="G40">
            <v>1392300</v>
          </cell>
        </row>
        <row r="41">
          <cell r="A41" t="str">
            <v>7128</v>
          </cell>
          <cell r="B41" t="str">
            <v>Montaje y conexion de Luminaria fluorescente de sobreponer de 30x122 cm, triangular. 4 o 6 tubos 54W, T5 HIGH BAY o similar.</v>
          </cell>
          <cell r="D41" t="str">
            <v xml:space="preserve">UNI  </v>
          </cell>
          <cell r="E41">
            <v>39</v>
          </cell>
          <cell r="F41">
            <v>18055</v>
          </cell>
          <cell r="G41">
            <v>704145</v>
          </cell>
        </row>
        <row r="42">
          <cell r="A42" t="str">
            <v>1787</v>
          </cell>
          <cell r="B42" t="str">
            <v xml:space="preserve">Montaje y conexion de lampara tipo Ojo de buey 110V. </v>
          </cell>
          <cell r="D42" t="str">
            <v xml:space="preserve">UNI  </v>
          </cell>
          <cell r="E42">
            <v>74</v>
          </cell>
          <cell r="F42">
            <v>11275</v>
          </cell>
          <cell r="G42">
            <v>834350</v>
          </cell>
        </row>
        <row r="43">
          <cell r="A43" t="str">
            <v>5864</v>
          </cell>
          <cell r="B43" t="str">
            <v xml:space="preserve">Montaje y conexion de lampara tipo Tortuga  110V. </v>
          </cell>
          <cell r="D43" t="str">
            <v xml:space="preserve">UNI  </v>
          </cell>
          <cell r="E43">
            <v>5</v>
          </cell>
          <cell r="F43">
            <v>12271</v>
          </cell>
          <cell r="G43">
            <v>61355</v>
          </cell>
        </row>
        <row r="44">
          <cell r="A44" t="str">
            <v>6111</v>
          </cell>
          <cell r="B44" t="str">
            <v xml:space="preserve">Montaje y conexion de lampara tipo Spot en riel  110V. </v>
          </cell>
          <cell r="D44" t="str">
            <v xml:space="preserve">UNI  </v>
          </cell>
          <cell r="E44">
            <v>32</v>
          </cell>
          <cell r="F44">
            <v>11255</v>
          </cell>
          <cell r="G44">
            <v>360160</v>
          </cell>
        </row>
        <row r="45">
          <cell r="A45" t="str">
            <v>2260</v>
          </cell>
          <cell r="B45" t="str">
            <v xml:space="preserve">Montaje e instalacion de luminaria fluorescente 2x32w T8 Celdas sobrep.o incrust. </v>
          </cell>
          <cell r="D45" t="str">
            <v xml:space="preserve">UNI  </v>
          </cell>
          <cell r="E45">
            <v>8</v>
          </cell>
          <cell r="F45">
            <v>14579</v>
          </cell>
          <cell r="G45">
            <v>116632</v>
          </cell>
        </row>
        <row r="46">
          <cell r="A46" t="str">
            <v>5769</v>
          </cell>
          <cell r="B46" t="str">
            <v>Montaje y conexion de lampara Fluorescente hermeticas 2x54W, 48" T5 (2 - 3 o 4 tubos) altura normal.</v>
          </cell>
          <cell r="D46" t="str">
            <v xml:space="preserve">UNI  </v>
          </cell>
          <cell r="E46">
            <v>33</v>
          </cell>
          <cell r="F46">
            <v>16239</v>
          </cell>
          <cell r="G46">
            <v>535887</v>
          </cell>
        </row>
        <row r="47">
          <cell r="F47" t="str">
            <v>Valor Capitulo $</v>
          </cell>
          <cell r="G47">
            <v>6340734</v>
          </cell>
        </row>
        <row r="48">
          <cell r="A48" t="str">
            <v>Capitulo: 04</v>
          </cell>
          <cell r="B48" t="str">
            <v>CIRCUITO RAMALES TOMACORRIENTES.</v>
          </cell>
        </row>
        <row r="49">
          <cell r="A49" t="str">
            <v>2427</v>
          </cell>
          <cell r="B49" t="str">
            <v>Alimentador en  2#12 alambre de cobre forrado+ 1#12 alambre de cobre desnudo ducto PVC subterraneo Ø 1/2".</v>
          </cell>
          <cell r="D49" t="str">
            <v xml:space="preserve">ML   </v>
          </cell>
          <cell r="E49">
            <v>100</v>
          </cell>
          <cell r="F49">
            <v>5916</v>
          </cell>
          <cell r="G49">
            <v>591600</v>
          </cell>
        </row>
        <row r="50">
          <cell r="A50" t="str">
            <v>2491</v>
          </cell>
          <cell r="B50" t="str">
            <v xml:space="preserve">Alimentador en 3#10 alambre de cobre forrado + 1#10 (T) alambre de cobre desnudo ducto PVC 3/4". </v>
          </cell>
          <cell r="D50" t="str">
            <v xml:space="preserve">ML   </v>
          </cell>
          <cell r="E50">
            <v>50</v>
          </cell>
          <cell r="F50">
            <v>10157</v>
          </cell>
          <cell r="G50">
            <v>507850</v>
          </cell>
        </row>
        <row r="51">
          <cell r="A51" t="str">
            <v>0168</v>
          </cell>
          <cell r="B51" t="str">
            <v>Salida Toma Doble polo tierra color Crema, NORMAL (2#12 alambre de cobre forrado+1#12 alambre de cobre desnudo,  Ø 1/2"), PVC, 15A rvi</v>
          </cell>
          <cell r="D51" t="str">
            <v xml:space="preserve">UNI  </v>
          </cell>
          <cell r="E51">
            <v>110</v>
          </cell>
          <cell r="F51">
            <v>72712</v>
          </cell>
          <cell r="G51">
            <v>7998320</v>
          </cell>
        </row>
        <row r="52">
          <cell r="A52" t="str">
            <v>7251</v>
          </cell>
          <cell r="B52" t="str">
            <v>Salida para cajero automatico termina en caja conduit 4x4 PVC (2#8 (F) ccf+1#8 (N) + 1#8 (T) ccd) ducto PVC 3/4" r ix.</v>
          </cell>
          <cell r="D52" t="str">
            <v xml:space="preserve">UNI  </v>
          </cell>
          <cell r="E52">
            <v>2</v>
          </cell>
          <cell r="F52">
            <v>157643</v>
          </cell>
          <cell r="G52">
            <v>315286</v>
          </cell>
        </row>
        <row r="53">
          <cell r="A53" t="str">
            <v>4306</v>
          </cell>
          <cell r="B53" t="str">
            <v>Salida para aire acondicionado de ventana (2#10 + 1#10 alambre de cobre forrado, Ø3/4" PVC) rix</v>
          </cell>
          <cell r="D53" t="str">
            <v xml:space="preserve">UNI  </v>
          </cell>
          <cell r="E53">
            <v>7</v>
          </cell>
          <cell r="F53">
            <v>103176</v>
          </cell>
          <cell r="G53">
            <v>722232</v>
          </cell>
        </row>
        <row r="54">
          <cell r="A54" t="str">
            <v>5777</v>
          </cell>
          <cell r="B54" t="str">
            <v>Salida toma Bifasico tipo locking 2P,3H (2#10 acf+1#10(T) acd) ducto PVC 3/4" 30A nema L-6-30 r ix con el plug.</v>
          </cell>
          <cell r="D54" t="str">
            <v xml:space="preserve">UNI  </v>
          </cell>
          <cell r="E54">
            <v>8</v>
          </cell>
          <cell r="F54">
            <v>198413</v>
          </cell>
          <cell r="G54">
            <v>1587304</v>
          </cell>
        </row>
        <row r="55">
          <cell r="A55" t="str">
            <v>0172</v>
          </cell>
          <cell r="B55" t="str">
            <v>Salida toma trifasico tipo locking 3P,4H (3#10 acf+1#10(T) acd) ducto PVC 3/4" 30A nema L-15-30 r ix con el plug.</v>
          </cell>
          <cell r="D55" t="str">
            <v xml:space="preserve">UNI  </v>
          </cell>
          <cell r="E55">
            <v>17</v>
          </cell>
          <cell r="F55">
            <v>218814</v>
          </cell>
          <cell r="G55">
            <v>3719838</v>
          </cell>
        </row>
        <row r="56">
          <cell r="A56" t="str">
            <v>0500</v>
          </cell>
          <cell r="B56" t="str">
            <v>Salida toma trifasico tipo locking 3P,5H (3#10 acf+1#10(N)+1#10(T) acd) ducto PVC 3/4" 30A nema L-21-30 r ix con el plug</v>
          </cell>
          <cell r="D56" t="str">
            <v xml:space="preserve">UNI  </v>
          </cell>
          <cell r="E56">
            <v>4</v>
          </cell>
          <cell r="F56">
            <v>304653</v>
          </cell>
          <cell r="G56">
            <v>1218612</v>
          </cell>
        </row>
        <row r="57">
          <cell r="A57" t="str">
            <v>0519</v>
          </cell>
          <cell r="B57" t="str">
            <v>Salida en 3#10 acf+1#10 (T) acd) ducto PVC 3/4" termina en caja 4" X 4" 220V rix  EXTRACTORES, ARRANCADORES Y MONTACARGAS.</v>
          </cell>
          <cell r="D57" t="str">
            <v xml:space="preserve">UNI  </v>
          </cell>
          <cell r="E57">
            <v>8</v>
          </cell>
          <cell r="F57">
            <v>128271</v>
          </cell>
          <cell r="G57">
            <v>1026168</v>
          </cell>
        </row>
        <row r="58">
          <cell r="A58" t="str">
            <v>5783</v>
          </cell>
          <cell r="B58" t="str">
            <v>Suministro e Instalación de extractor para baño 6" 110V.</v>
          </cell>
          <cell r="D58" t="str">
            <v xml:space="preserve">UNI  </v>
          </cell>
          <cell r="E58">
            <v>6</v>
          </cell>
          <cell r="F58">
            <v>127600</v>
          </cell>
          <cell r="G58">
            <v>765600</v>
          </cell>
        </row>
        <row r="59">
          <cell r="F59" t="str">
            <v>Valor Capitulo $</v>
          </cell>
          <cell r="G59">
            <v>18452810</v>
          </cell>
        </row>
        <row r="60">
          <cell r="A60" t="str">
            <v>Capitulo: 05</v>
          </cell>
          <cell r="B60" t="str">
            <v>SEGURIDAD.</v>
          </cell>
        </row>
        <row r="61">
          <cell r="A61" t="str">
            <v>0381</v>
          </cell>
          <cell r="B61" t="str">
            <v xml:space="preserve">Alimentador en 2#12 cable de cobre forrado+ 1#12 cable de cobre forrado verde ducto PVC Ø 1/2". </v>
          </cell>
          <cell r="D61" t="str">
            <v xml:space="preserve">ML   </v>
          </cell>
          <cell r="E61">
            <v>300</v>
          </cell>
          <cell r="F61">
            <v>6436</v>
          </cell>
          <cell r="G61">
            <v>1930800</v>
          </cell>
        </row>
        <row r="62">
          <cell r="A62" t="str">
            <v>5785</v>
          </cell>
          <cell r="B62" t="str">
            <v>Salida para antena sensormatic (2#12 cable de cobre forrado+1#12t cable de cobre forrado, Ø 1/2") ducto PVC. 15A rxv.</v>
          </cell>
          <cell r="D62" t="str">
            <v xml:space="preserve">UNI  </v>
          </cell>
          <cell r="E62">
            <v>10</v>
          </cell>
          <cell r="F62">
            <v>100363</v>
          </cell>
          <cell r="G62">
            <v>1003630</v>
          </cell>
        </row>
        <row r="63">
          <cell r="F63" t="str">
            <v>Valor Capitulo $</v>
          </cell>
          <cell r="G63">
            <v>2934430</v>
          </cell>
        </row>
        <row r="64">
          <cell r="A64" t="str">
            <v>Capitulo: 06</v>
          </cell>
          <cell r="B64" t="str">
            <v>TELEFONIA.</v>
          </cell>
        </row>
        <row r="65">
          <cell r="A65" t="str">
            <v>7624</v>
          </cell>
          <cell r="B65" t="str">
            <v>Suministro e instalacion de ducto PVC de ø 1" subterraneo. RADIO TELEFONOS, MUSICAR, FIBRA OPTICA, TELEFONIA.</v>
          </cell>
          <cell r="D65" t="str">
            <v xml:space="preserve">ML   </v>
          </cell>
          <cell r="E65">
            <v>60</v>
          </cell>
          <cell r="F65">
            <v>3893</v>
          </cell>
          <cell r="G65">
            <v>233580</v>
          </cell>
        </row>
        <row r="66">
          <cell r="A66" t="str">
            <v>0582</v>
          </cell>
          <cell r="B66" t="str">
            <v xml:space="preserve">Banco de (2)  ductos pvc de 2". </v>
          </cell>
          <cell r="D66" t="str">
            <v xml:space="preserve">ML   </v>
          </cell>
          <cell r="E66">
            <v>30</v>
          </cell>
          <cell r="F66">
            <v>15310</v>
          </cell>
          <cell r="G66">
            <v>459300</v>
          </cell>
        </row>
        <row r="67">
          <cell r="A67" t="str">
            <v>2407</v>
          </cell>
          <cell r="B67" t="str">
            <v xml:space="preserve">Salida toma telefónica Solo ducto pvc de 1/2", termina caja 2"x4"incrustar rix. </v>
          </cell>
          <cell r="D67" t="str">
            <v xml:space="preserve">UNI  </v>
          </cell>
          <cell r="E67">
            <v>10</v>
          </cell>
          <cell r="F67">
            <v>35403</v>
          </cell>
          <cell r="G67">
            <v>354030</v>
          </cell>
        </row>
        <row r="68">
          <cell r="A68" t="str">
            <v>7250</v>
          </cell>
          <cell r="B68" t="str">
            <v xml:space="preserve">Salida toma telefónica en ducto pvc de 1/2", termina caja 2"x4"incrustar incluye cable UTP cat 6 rix. </v>
          </cell>
          <cell r="D68" t="str">
            <v xml:space="preserve">UNI  </v>
          </cell>
          <cell r="E68">
            <v>5</v>
          </cell>
          <cell r="F68">
            <v>32963</v>
          </cell>
          <cell r="G68">
            <v>164815</v>
          </cell>
        </row>
        <row r="69">
          <cell r="A69" t="str">
            <v>2968</v>
          </cell>
          <cell r="B69" t="str">
            <v xml:space="preserve">Strip telefonico en caja de 50  X  50 X 20 CM en lamina calibre #18 con tapa atornillada y bandeja doble fondo en madera. </v>
          </cell>
          <cell r="D69" t="str">
            <v xml:space="preserve">UNI  </v>
          </cell>
          <cell r="E69">
            <v>1</v>
          </cell>
          <cell r="F69">
            <v>93100</v>
          </cell>
          <cell r="G69">
            <v>93100</v>
          </cell>
        </row>
        <row r="70">
          <cell r="F70" t="str">
            <v>Valor Capitulo $</v>
          </cell>
          <cell r="G70">
            <v>1304825</v>
          </cell>
        </row>
        <row r="71">
          <cell r="A71" t="str">
            <v>Capitulo: 07</v>
          </cell>
          <cell r="B71" t="str">
            <v>DUCTOS Y BANDEJAS PORTACABLES.</v>
          </cell>
        </row>
        <row r="72">
          <cell r="A72" t="str">
            <v>6637</v>
          </cell>
          <cell r="B72" t="str">
            <v>Suministro e instalacion de ducto metalico Calibre # 20, 12 x 5 cm con tapa atornillada pintura electrostatica. incluye accesorios de fijacion y cambio de direccion.</v>
          </cell>
          <cell r="D72" t="str">
            <v xml:space="preserve">ML   </v>
          </cell>
          <cell r="E72">
            <v>130</v>
          </cell>
          <cell r="F72">
            <v>57977</v>
          </cell>
          <cell r="G72">
            <v>7537010</v>
          </cell>
        </row>
        <row r="73">
          <cell r="F73" t="str">
            <v>Valor Capitulo $</v>
          </cell>
          <cell r="G73">
            <v>7537010</v>
          </cell>
        </row>
        <row r="75">
          <cell r="A75" t="str">
            <v>Capitulo: 08</v>
          </cell>
          <cell r="B75" t="str">
            <v>PANELES DE DISTRIBUCION Y BREAKERS.</v>
          </cell>
        </row>
        <row r="76">
          <cell r="A76" t="str">
            <v>4952</v>
          </cell>
          <cell r="B76" t="str">
            <v>Tablero de Distribucion Trifásico NTQ, con barraje, puerta, llave y tarjetero, 220A 240V 24 ctos.  PD-2PISO.</v>
          </cell>
          <cell r="D76" t="str">
            <v xml:space="preserve">UNI  </v>
          </cell>
          <cell r="E76">
            <v>1</v>
          </cell>
          <cell r="F76">
            <v>268200</v>
          </cell>
          <cell r="G76">
            <v>268200</v>
          </cell>
        </row>
        <row r="77">
          <cell r="A77" t="str">
            <v>4953</v>
          </cell>
          <cell r="B77" t="str">
            <v>Tablero de Distribucion Trifásico NTQ, con barraje, puerta, llave y tarjetero, 220A 240V 30 ctos  PD-SOTANO.</v>
          </cell>
          <cell r="D77" t="str">
            <v xml:space="preserve">UNI  </v>
          </cell>
          <cell r="E77">
            <v>1</v>
          </cell>
          <cell r="F77">
            <v>284850</v>
          </cell>
          <cell r="G77">
            <v>284850</v>
          </cell>
        </row>
        <row r="78">
          <cell r="A78" t="str">
            <v>4954</v>
          </cell>
          <cell r="B78" t="str">
            <v>Tablero de Distribucion Trifásico NTQ, con barraje, puerta, llave y tarjetero, 220A 240V 36cto  PD-PROCESO DE CARNES.</v>
          </cell>
          <cell r="D78" t="str">
            <v xml:space="preserve">UNI  </v>
          </cell>
          <cell r="E78">
            <v>1</v>
          </cell>
          <cell r="F78">
            <v>357450</v>
          </cell>
          <cell r="G78">
            <v>357450</v>
          </cell>
        </row>
        <row r="79">
          <cell r="A79" t="str">
            <v>4955</v>
          </cell>
          <cell r="B79" t="str">
            <v>Tablero de Distribucion Trifasico NTQ, con barraje, puerta, llave y tarjetero, 220A 240V 42ctos.  PD-TOMAS, PD-PANADERIA, PD-BODEGA.</v>
          </cell>
          <cell r="D79" t="str">
            <v xml:space="preserve">UNI  </v>
          </cell>
          <cell r="E79">
            <v>3</v>
          </cell>
          <cell r="F79">
            <v>348070</v>
          </cell>
          <cell r="G79">
            <v>1044210</v>
          </cell>
        </row>
        <row r="80">
          <cell r="A80" t="str">
            <v>0456</v>
          </cell>
          <cell r="B80" t="str">
            <v xml:space="preserve">Interruptor enchufable Bipolar   de  20A. </v>
          </cell>
          <cell r="D80" t="str">
            <v xml:space="preserve">UNI  </v>
          </cell>
          <cell r="E80">
            <v>12</v>
          </cell>
          <cell r="F80">
            <v>27000</v>
          </cell>
          <cell r="G80">
            <v>324000</v>
          </cell>
        </row>
        <row r="81">
          <cell r="A81" t="str">
            <v>0458</v>
          </cell>
          <cell r="B81" t="str">
            <v xml:space="preserve">Interruptor enchufable Bipolar   de  40A. </v>
          </cell>
          <cell r="D81" t="str">
            <v xml:space="preserve">UNI  </v>
          </cell>
          <cell r="E81">
            <v>2</v>
          </cell>
          <cell r="F81">
            <v>8999</v>
          </cell>
          <cell r="G81">
            <v>17998</v>
          </cell>
        </row>
        <row r="82">
          <cell r="A82" t="str">
            <v>0464</v>
          </cell>
          <cell r="B82" t="str">
            <v xml:space="preserve">Interruptor enchufable Monopolar de  20A. </v>
          </cell>
          <cell r="D82" t="str">
            <v xml:space="preserve">UNI  </v>
          </cell>
          <cell r="E82">
            <v>65</v>
          </cell>
          <cell r="F82">
            <v>8999</v>
          </cell>
          <cell r="G82">
            <v>584935</v>
          </cell>
        </row>
        <row r="83">
          <cell r="A83" t="str">
            <v>0473</v>
          </cell>
          <cell r="B83" t="str">
            <v xml:space="preserve">Interruptor enchufable Tripolar  de  30A. </v>
          </cell>
          <cell r="D83" t="str">
            <v xml:space="preserve">UNI  </v>
          </cell>
          <cell r="E83">
            <v>21</v>
          </cell>
          <cell r="F83">
            <v>44913</v>
          </cell>
          <cell r="G83">
            <v>943173</v>
          </cell>
        </row>
        <row r="84">
          <cell r="A84" t="str">
            <v>4970</v>
          </cell>
          <cell r="B84" t="str">
            <v xml:space="preserve">Interruptor enchufable Monopolar HOMGFI proteccion falla a tierra clase A. de  20A </v>
          </cell>
          <cell r="D84" t="str">
            <v xml:space="preserve">UNI  </v>
          </cell>
          <cell r="E84">
            <v>6</v>
          </cell>
          <cell r="F84">
            <v>174080</v>
          </cell>
          <cell r="G84">
            <v>1044480</v>
          </cell>
        </row>
        <row r="85">
          <cell r="F85" t="str">
            <v>Valor Capitulo $</v>
          </cell>
          <cell r="G85">
            <v>4869296</v>
          </cell>
        </row>
        <row r="86">
          <cell r="A86" t="str">
            <v>Capitulo: 09</v>
          </cell>
          <cell r="B86" t="str">
            <v>PROTECCIONES.</v>
          </cell>
        </row>
        <row r="87">
          <cell r="A87" t="str">
            <v>6765</v>
          </cell>
          <cell r="B87" t="str">
            <v>Interruptor Industrial Termomagnético COMPAC EASYPACT 240/440V  150A,  50-30  KA, cableado con bornas terminales bimetalicas.  PD-ILUMINACION.</v>
          </cell>
          <cell r="D87" t="str">
            <v xml:space="preserve">UNI  </v>
          </cell>
          <cell r="E87">
            <v>2</v>
          </cell>
          <cell r="F87">
            <v>498996</v>
          </cell>
          <cell r="G87">
            <v>997992</v>
          </cell>
        </row>
        <row r="88">
          <cell r="A88" t="str">
            <v>5573</v>
          </cell>
          <cell r="B88" t="str">
            <v>Interruptor Industrial Termomagnetico COMPACT EASYPACT  240/440V  EZC100N 40  A,  25 ka, cableado.  ASCENSOR.</v>
          </cell>
          <cell r="D88" t="str">
            <v xml:space="preserve">UNI  </v>
          </cell>
          <cell r="E88">
            <v>1</v>
          </cell>
          <cell r="F88">
            <v>181164</v>
          </cell>
          <cell r="G88">
            <v>181164</v>
          </cell>
        </row>
        <row r="89">
          <cell r="A89" t="str">
            <v>5575</v>
          </cell>
          <cell r="B89" t="str">
            <v>Interruptor Industrial Termomagnético COMPACT EASYPACT  240/440V  EZC100N 60  A,  25 ka, cableado.  POS.</v>
          </cell>
          <cell r="D89" t="str">
            <v xml:space="preserve">UNI  </v>
          </cell>
          <cell r="E89">
            <v>1</v>
          </cell>
          <cell r="F89">
            <v>177770</v>
          </cell>
          <cell r="G89">
            <v>177770</v>
          </cell>
        </row>
        <row r="90">
          <cell r="A90" t="str">
            <v>6787</v>
          </cell>
          <cell r="B90" t="str">
            <v>Interruptor industrial Compact NSX proteccion magnetica 100 A. 100 kA 220/240 V. MOTOBOMBA CONTRAINCENDIO.</v>
          </cell>
          <cell r="D90" t="str">
            <v xml:space="preserve">UNI  </v>
          </cell>
          <cell r="E90">
            <v>1</v>
          </cell>
          <cell r="F90">
            <v>1075359</v>
          </cell>
          <cell r="G90">
            <v>1075359</v>
          </cell>
        </row>
        <row r="91">
          <cell r="A91" t="str">
            <v>6945</v>
          </cell>
          <cell r="B91" t="str">
            <v>Interruptor Industrial Termomagnetico COMPACT EASYPACT  240/440V  EZC100N 80  A,  25 ka, cableado bornas terminales bimetalicas. PD-PROCESO DE CARNES, PD-BODEGA.</v>
          </cell>
          <cell r="D91" t="str">
            <v xml:space="preserve">UNI  </v>
          </cell>
          <cell r="E91">
            <v>2</v>
          </cell>
          <cell r="F91">
            <v>268391</v>
          </cell>
          <cell r="G91">
            <v>536782</v>
          </cell>
        </row>
        <row r="92">
          <cell r="A92" t="str">
            <v>1977</v>
          </cell>
          <cell r="B92" t="str">
            <v>Interruptor Industrial Termomagnético COMPAC EASYPACT 240/440V  250A,  50-30  KA, cableado.  PD-A.A, RACK DE REFRIGERACION.</v>
          </cell>
          <cell r="D92" t="str">
            <v xml:space="preserve">UNI  </v>
          </cell>
          <cell r="E92">
            <v>4</v>
          </cell>
          <cell r="F92">
            <v>624539</v>
          </cell>
          <cell r="G92">
            <v>2498156</v>
          </cell>
        </row>
        <row r="93">
          <cell r="A93" t="str">
            <v>6772</v>
          </cell>
          <cell r="B93" t="str">
            <v>Interruptor Industrial Termomagnetico COMPACT EASYPACT  240/440V  EZC100N 50  A,  25 ka, cableado bornas terminales bimetalicas.  PD-SOTANO, PD-2PISO.</v>
          </cell>
          <cell r="D93" t="str">
            <v xml:space="preserve">UNI  </v>
          </cell>
          <cell r="E93">
            <v>2</v>
          </cell>
          <cell r="F93">
            <v>277041</v>
          </cell>
          <cell r="G93">
            <v>554082</v>
          </cell>
        </row>
        <row r="94">
          <cell r="A94" t="str">
            <v>6775</v>
          </cell>
          <cell r="B94" t="str">
            <v>Interruptor Industrial Termomagnetico COMPACT EASYPACT  240/440V  EZC100N 100  A,  25 ka, cableado con bornas terminales bimetalicas.  PD-TOMAS, PD-PANADERIA, PD-NEVERAS.</v>
          </cell>
          <cell r="D94" t="str">
            <v xml:space="preserve">UNI  </v>
          </cell>
          <cell r="E94">
            <v>4</v>
          </cell>
          <cell r="F94">
            <v>324205</v>
          </cell>
          <cell r="G94">
            <v>1296820</v>
          </cell>
        </row>
        <row r="95">
          <cell r="F95" t="str">
            <v>Valor Capitulo $</v>
          </cell>
          <cell r="G95">
            <v>7318125</v>
          </cell>
        </row>
        <row r="96">
          <cell r="A96" t="str">
            <v>Capitulo: 10</v>
          </cell>
          <cell r="B96" t="str">
            <v>ALIMENTADORES ELECTRICOS.</v>
          </cell>
        </row>
        <row r="97">
          <cell r="A97" t="str">
            <v>7175</v>
          </cell>
          <cell r="B97" t="str">
            <v>Alimentador 3#1/0 (F) cable de aluminio forrado + 1#8  (T) cable de cobre desnudo en canalizacion tipo PVC 1 1/2".  PD-MOTOBOMBA CONTRAINCENDIO.</v>
          </cell>
          <cell r="D97" t="str">
            <v xml:space="preserve">ML   </v>
          </cell>
          <cell r="E97">
            <v>45</v>
          </cell>
          <cell r="F97">
            <v>21818</v>
          </cell>
          <cell r="G97">
            <v>981810</v>
          </cell>
        </row>
        <row r="98">
          <cell r="A98" t="str">
            <v>4859</v>
          </cell>
          <cell r="B98" t="str">
            <v>Alimentador en 3#8 + 1#8 cable de cobre forrado + 1#10 alambre de cobre desnudo ducto PVC 1".  ASCENSOR.</v>
          </cell>
          <cell r="D98" t="str">
            <v xml:space="preserve">ML   </v>
          </cell>
          <cell r="E98">
            <v>35</v>
          </cell>
          <cell r="F98">
            <v>17184</v>
          </cell>
          <cell r="G98">
            <v>601440</v>
          </cell>
        </row>
        <row r="99">
          <cell r="A99" t="str">
            <v>6797</v>
          </cell>
          <cell r="B99" t="str">
            <v>Alimentador 3#2 (F) +1#2 cable de aluminio forrado + 1#8  (T) cable de cobre desnudo en canalizacion tipo PVC 1-1/4".  PD-SOTANO.</v>
          </cell>
          <cell r="D99" t="str">
            <v xml:space="preserve">ML   </v>
          </cell>
          <cell r="E99">
            <v>20</v>
          </cell>
          <cell r="F99">
            <v>18601</v>
          </cell>
          <cell r="G99">
            <v>372020</v>
          </cell>
        </row>
        <row r="100">
          <cell r="A100" t="str">
            <v>6798</v>
          </cell>
          <cell r="B100" t="str">
            <v>Alimentador 3#1/0 (F) + 1#1/0 cable de aluminio forrado + 1#8  (T) cable de cobre desnudo en canalizacion tipo PVC 2".  PD-TOMAS, PD-PROCESO DE CARNES, PD-PANADERIA Y PD-BODEGA.</v>
          </cell>
          <cell r="D100" t="str">
            <v xml:space="preserve">ML   </v>
          </cell>
          <cell r="E100">
            <v>185</v>
          </cell>
          <cell r="F100">
            <v>26899</v>
          </cell>
          <cell r="G100">
            <v>4976315</v>
          </cell>
        </row>
        <row r="101">
          <cell r="A101" t="str">
            <v>6823</v>
          </cell>
          <cell r="B101" t="str">
            <v>Alimentador 3#4/0 (F) + 1#4/0 cable de aluminio forrado + 1#6  (T) cable de cobre desnudo en canalizacion tipo PVC 3".  PD-ILUMINACION.</v>
          </cell>
          <cell r="D101" t="str">
            <v xml:space="preserve">ML   </v>
          </cell>
          <cell r="E101">
            <v>60</v>
          </cell>
          <cell r="F101">
            <v>48917</v>
          </cell>
          <cell r="G101">
            <v>2935020</v>
          </cell>
        </row>
        <row r="102">
          <cell r="A102" t="str">
            <v>6827</v>
          </cell>
          <cell r="B102" t="str">
            <v>Alimentador en 3#10 + 1#10 alambre de cobre forrado+ 10t alambre de cobre desnudo ducto  PVC 3/4".  MOTOBOMBA AGUA POTABLE.</v>
          </cell>
          <cell r="D102" t="str">
            <v xml:space="preserve">ML   </v>
          </cell>
          <cell r="E102">
            <v>40</v>
          </cell>
          <cell r="F102">
            <v>11799</v>
          </cell>
          <cell r="G102">
            <v>471960</v>
          </cell>
        </row>
        <row r="103">
          <cell r="A103" t="str">
            <v>7257</v>
          </cell>
          <cell r="B103" t="str">
            <v>Alimentador 3#4 (F) +1#4 cable de aluminio forrado + 1#8  (T) cable de cobre desnudo en canalizacion tipo PVC 1-1/4".   PD-2PISO.</v>
          </cell>
          <cell r="D103" t="str">
            <v xml:space="preserve">ML   </v>
          </cell>
          <cell r="E103">
            <v>30</v>
          </cell>
          <cell r="F103">
            <v>16344</v>
          </cell>
          <cell r="G103">
            <v>490320</v>
          </cell>
        </row>
        <row r="104">
          <cell r="A104" t="str">
            <v>7347</v>
          </cell>
          <cell r="B104" t="str">
            <v>Alimentador 3x2#4/0 (F) cable de aluminio forrado + 1#4  (T) cable de cobre desnudo en canalizacion tipo PVC 3".  PD-AIRES ACONDICIONADO, RACK DE REFRIGERACION.</v>
          </cell>
          <cell r="D104" t="str">
            <v xml:space="preserve">ML   </v>
          </cell>
          <cell r="E104">
            <v>90</v>
          </cell>
          <cell r="F104">
            <v>61219</v>
          </cell>
          <cell r="G104">
            <v>5509710</v>
          </cell>
        </row>
        <row r="105">
          <cell r="A105" t="str">
            <v>6792</v>
          </cell>
          <cell r="B105" t="str">
            <v>Alimentador sin canalización 3#1/0 (F) + 1#1/0 cable de aluminio forrado + 1#8  (T) cable de cobre desnudo.  PD-NEVERAS.</v>
          </cell>
          <cell r="D105" t="str">
            <v xml:space="preserve">ML   </v>
          </cell>
          <cell r="E105">
            <v>45</v>
          </cell>
          <cell r="F105">
            <v>20101</v>
          </cell>
          <cell r="G105">
            <v>904545</v>
          </cell>
        </row>
        <row r="106">
          <cell r="F106" t="str">
            <v>Valor Capitulo $</v>
          </cell>
          <cell r="G106">
            <v>17243140</v>
          </cell>
        </row>
        <row r="107">
          <cell r="A107" t="str">
            <v>Capitulo: 11</v>
          </cell>
          <cell r="B107" t="str">
            <v>AIRES ACONDICIONADOS.</v>
          </cell>
        </row>
        <row r="108">
          <cell r="A108" t="str">
            <v>1477</v>
          </cell>
          <cell r="B108" t="str">
            <v>Tablero de baja tensón 1.20x0.80x0.30m con bandeja metálica, chapa, barrajes 3x320A (F), 320A (N), 125A (T). Acrilico protector para frente muerto.</v>
          </cell>
          <cell r="D108" t="str">
            <v xml:space="preserve">UNI  </v>
          </cell>
          <cell r="E108">
            <v>1</v>
          </cell>
          <cell r="F108">
            <v>1279950</v>
          </cell>
          <cell r="G108">
            <v>1279950</v>
          </cell>
        </row>
        <row r="109">
          <cell r="A109" t="str">
            <v>1972</v>
          </cell>
          <cell r="B109" t="str">
            <v>Interruptor Industrial Termomagnético COMPAC EASYPACT 240/440V  125A,  50-30  KA, cableado.  UCAS.</v>
          </cell>
          <cell r="D109" t="str">
            <v xml:space="preserve">UNI  </v>
          </cell>
          <cell r="E109">
            <v>2</v>
          </cell>
          <cell r="F109">
            <v>446686</v>
          </cell>
          <cell r="G109">
            <v>893372</v>
          </cell>
        </row>
        <row r="110">
          <cell r="A110" t="str">
            <v>5572</v>
          </cell>
          <cell r="B110" t="str">
            <v>Interruptor Industrial Termomagnetico COMPACT EASYPACT  240/440V  EZC100N 30  A,  25 ka, cableado.  UMAS.</v>
          </cell>
          <cell r="D110" t="str">
            <v xml:space="preserve">UNI  </v>
          </cell>
          <cell r="E110">
            <v>2</v>
          </cell>
          <cell r="F110">
            <v>181570</v>
          </cell>
          <cell r="G110">
            <v>363140</v>
          </cell>
        </row>
        <row r="111">
          <cell r="A111" t="str">
            <v>4207</v>
          </cell>
          <cell r="B111" t="str">
            <v>Alimentador 3#10 cable de cobre forrado + 1#10 alambre de cobre desnudo en ducto EMT 3/4" UMAS.</v>
          </cell>
          <cell r="D111" t="str">
            <v xml:space="preserve">ML   </v>
          </cell>
          <cell r="E111">
            <v>40</v>
          </cell>
          <cell r="F111">
            <v>19050</v>
          </cell>
          <cell r="G111">
            <v>762000</v>
          </cell>
        </row>
        <row r="112">
          <cell r="A112" t="str">
            <v>5039</v>
          </cell>
          <cell r="B112" t="str">
            <v>Acometida en ducto EMT sobrepuesta Ø1 1/2" 3#1/0 Cable cobre forrado+ 1#6 Cable cobre desnudo THHN-THWN 90GC  UCAS.</v>
          </cell>
          <cell r="D112" t="str">
            <v xml:space="preserve">ML   </v>
          </cell>
          <cell r="E112">
            <v>40</v>
          </cell>
          <cell r="F112">
            <v>77839</v>
          </cell>
          <cell r="G112">
            <v>3113560</v>
          </cell>
        </row>
        <row r="113">
          <cell r="A113" t="str">
            <v>6699</v>
          </cell>
          <cell r="B113" t="str">
            <v xml:space="preserve">Alimentador en  4x16+20 cable de instrumentacion en ducto EMT 3/4". </v>
          </cell>
          <cell r="D113" t="str">
            <v xml:space="preserve">ML   </v>
          </cell>
          <cell r="E113">
            <v>60</v>
          </cell>
          <cell r="F113">
            <v>14895</v>
          </cell>
          <cell r="G113">
            <v>893700</v>
          </cell>
        </row>
        <row r="114">
          <cell r="A114" t="str">
            <v>3317</v>
          </cell>
          <cell r="B114" t="str">
            <v xml:space="preserve">Conexión a motor Ø 3/4" (dos conectores rectos + un metro de coraza) </v>
          </cell>
          <cell r="D114" t="str">
            <v xml:space="preserve">UNI  </v>
          </cell>
          <cell r="E114">
            <v>2</v>
          </cell>
          <cell r="F114">
            <v>32503</v>
          </cell>
          <cell r="G114">
            <v>65006</v>
          </cell>
        </row>
        <row r="115">
          <cell r="A115" t="str">
            <v>3320</v>
          </cell>
          <cell r="B115" t="str">
            <v xml:space="preserve">Conexión a motor Ø 1 1/2" (dos conectores rectos + un metro de coraza) </v>
          </cell>
          <cell r="D115" t="str">
            <v xml:space="preserve">ML   </v>
          </cell>
          <cell r="E115">
            <v>2</v>
          </cell>
          <cell r="F115">
            <v>64720</v>
          </cell>
          <cell r="G115">
            <v>129440</v>
          </cell>
        </row>
        <row r="116">
          <cell r="F116" t="str">
            <v>Valor Capitulo $</v>
          </cell>
          <cell r="G116">
            <v>7500168</v>
          </cell>
        </row>
        <row r="117">
          <cell r="A117" t="str">
            <v>Capitulo: 12</v>
          </cell>
          <cell r="B117" t="str">
            <v>REFRIGERACION.</v>
          </cell>
        </row>
        <row r="118">
          <cell r="A118" t="str">
            <v>1477</v>
          </cell>
          <cell r="B118" t="str">
            <v>Tablero de baja tensón 1.20x0.80x0.30m con bandeja metálica, chapa, barrajes 3x320A (F), 320A (N), 125A (T). Acrilico protector para frente muerto.</v>
          </cell>
          <cell r="D118" t="str">
            <v xml:space="preserve">UNI  </v>
          </cell>
          <cell r="E118">
            <v>1</v>
          </cell>
          <cell r="F118">
            <v>1279950</v>
          </cell>
          <cell r="G118">
            <v>1279950</v>
          </cell>
        </row>
        <row r="119">
          <cell r="A119" t="str">
            <v>5572</v>
          </cell>
          <cell r="B119" t="str">
            <v xml:space="preserve">Interruptor Industrial Termomagnetico COMPACT EASYPACT  240/440V  EZC100N 30  A,  25 ka, cableado. </v>
          </cell>
          <cell r="D119" t="str">
            <v xml:space="preserve">UNI  </v>
          </cell>
          <cell r="E119">
            <v>1</v>
          </cell>
          <cell r="F119">
            <v>174470</v>
          </cell>
          <cell r="G119">
            <v>174470</v>
          </cell>
        </row>
        <row r="120">
          <cell r="A120" t="str">
            <v>5525</v>
          </cell>
          <cell r="B120" t="str">
            <v>Mini-interruptor automatico multinueve 240/440V  bipolar riel omega C60N    20A</v>
          </cell>
          <cell r="D120" t="str">
            <v xml:space="preserve">UNI  </v>
          </cell>
          <cell r="E120">
            <v>12</v>
          </cell>
          <cell r="F120">
            <v>66827</v>
          </cell>
          <cell r="G120">
            <v>801924</v>
          </cell>
        </row>
        <row r="121">
          <cell r="A121" t="str">
            <v>5527</v>
          </cell>
          <cell r="B121" t="str">
            <v xml:space="preserve">Mini-interruptor automatico multinueve 240/440V  bipolar riel omega C60N    32A </v>
          </cell>
          <cell r="D121" t="str">
            <v xml:space="preserve">UNI  </v>
          </cell>
          <cell r="E121">
            <v>2</v>
          </cell>
          <cell r="F121">
            <v>74617</v>
          </cell>
          <cell r="G121">
            <v>149234</v>
          </cell>
        </row>
        <row r="122">
          <cell r="A122" t="str">
            <v>6645</v>
          </cell>
          <cell r="B122" t="str">
            <v xml:space="preserve">Alimentador en  2x16+20 cable de instrumentacion en ducto PVC 1/2". </v>
          </cell>
          <cell r="D122" t="str">
            <v xml:space="preserve">ML   </v>
          </cell>
          <cell r="E122">
            <v>630</v>
          </cell>
          <cell r="F122">
            <v>6156</v>
          </cell>
          <cell r="G122">
            <v>3878280</v>
          </cell>
        </row>
        <row r="123">
          <cell r="A123" t="str">
            <v>2612</v>
          </cell>
          <cell r="B123" t="str">
            <v xml:space="preserve">Alimentador en 2#10 + 1#10 cable de cobre forrado+ 1#10 cable de cobre desnudo ducto PVC 3/4". </v>
          </cell>
          <cell r="D123" t="str">
            <v xml:space="preserve">ML   </v>
          </cell>
          <cell r="E123">
            <v>630</v>
          </cell>
          <cell r="F123">
            <v>10609</v>
          </cell>
          <cell r="G123">
            <v>6683670</v>
          </cell>
        </row>
        <row r="124">
          <cell r="A124" t="str">
            <v>6646</v>
          </cell>
          <cell r="B124" t="str">
            <v xml:space="preserve">Alimentador en  2 # 2x16+20 cable de instrumentacion en ducto PVC 3/4". </v>
          </cell>
          <cell r="D124" t="str">
            <v xml:space="preserve">ML   </v>
          </cell>
          <cell r="E124">
            <v>150</v>
          </cell>
          <cell r="F124">
            <v>10062</v>
          </cell>
          <cell r="G124">
            <v>1509300</v>
          </cell>
        </row>
        <row r="125">
          <cell r="A125" t="str">
            <v>6647</v>
          </cell>
          <cell r="B125" t="str">
            <v>Alimentador en 2X2#10(F) cable de cobre forrado + 1#10(T) alambre de cobre desnudo ducto PVC Ø 3/4".</v>
          </cell>
          <cell r="D125" t="str">
            <v xml:space="preserve">ML   </v>
          </cell>
          <cell r="E125">
            <v>150</v>
          </cell>
          <cell r="F125">
            <v>11149</v>
          </cell>
          <cell r="G125">
            <v>1672350</v>
          </cell>
        </row>
        <row r="126">
          <cell r="A126" t="str">
            <v>6048</v>
          </cell>
          <cell r="B126" t="str">
            <v>Alimentador sin canalizacion en  3X10     cable flexible encauchetado.</v>
          </cell>
          <cell r="D126" t="str">
            <v xml:space="preserve">ML   </v>
          </cell>
          <cell r="E126">
            <v>20</v>
          </cell>
          <cell r="F126">
            <v>7471</v>
          </cell>
          <cell r="G126">
            <v>149420</v>
          </cell>
        </row>
        <row r="127">
          <cell r="A127" t="str">
            <v>4449</v>
          </cell>
          <cell r="B127" t="str">
            <v>Alimentador en 3#8 cable de cobre forrado + 1#10T alambre de cobre desnudo, ducto metalico EMT 1" .  CONDESADOR DEL RACK.</v>
          </cell>
          <cell r="D127" t="str">
            <v xml:space="preserve">ML   </v>
          </cell>
          <cell r="E127">
            <v>20</v>
          </cell>
          <cell r="F127">
            <v>21731</v>
          </cell>
          <cell r="G127">
            <v>434620</v>
          </cell>
        </row>
        <row r="128">
          <cell r="F128" t="str">
            <v>Valor Capitulo $</v>
          </cell>
          <cell r="G128">
            <v>16733218</v>
          </cell>
        </row>
        <row r="129">
          <cell r="A129" t="str">
            <v>Capitulo: 13</v>
          </cell>
          <cell r="B129" t="str">
            <v>SUBESTACION ELECTRICA.</v>
          </cell>
        </row>
        <row r="130">
          <cell r="A130" t="str">
            <v>6003</v>
          </cell>
          <cell r="B130" t="str">
            <v xml:space="preserve">Juego de tres (3) DPS 10.0KV polimericos para instalacion dentro de la subestacion. </v>
          </cell>
          <cell r="D130" t="str">
            <v>JUEGO</v>
          </cell>
          <cell r="E130">
            <v>1</v>
          </cell>
          <cell r="F130">
            <v>495004</v>
          </cell>
          <cell r="G130">
            <v>495004</v>
          </cell>
        </row>
        <row r="131">
          <cell r="A131" t="str">
            <v>1108</v>
          </cell>
          <cell r="B131" t="str">
            <v>Alimentador Trifasico (3 hilos) XLPE 100% #2    Cobre 15 KV, sin canalizacion</v>
          </cell>
          <cell r="D131" t="str">
            <v xml:space="preserve">ML   </v>
          </cell>
          <cell r="E131">
            <v>28</v>
          </cell>
          <cell r="F131">
            <v>85388</v>
          </cell>
          <cell r="G131">
            <v>2390864</v>
          </cell>
        </row>
        <row r="132">
          <cell r="A132" t="str">
            <v>1473</v>
          </cell>
          <cell r="B132" t="str">
            <v xml:space="preserve">Alimentador  subterraneo Primario Trifásico (3 hilos) XLPE 100% #2   15 KV  2 ducto PVC ø 3" </v>
          </cell>
          <cell r="D132" t="str">
            <v xml:space="preserve">ML   </v>
          </cell>
          <cell r="E132">
            <v>12</v>
          </cell>
          <cell r="F132">
            <v>107659</v>
          </cell>
          <cell r="G132">
            <v>1291908</v>
          </cell>
        </row>
        <row r="133">
          <cell r="A133" t="str">
            <v>1106</v>
          </cell>
          <cell r="B133" t="str">
            <v xml:space="preserve">Juego de tres Terminales preensanchadas o termoencibles tipo interior 4-2/0 15 KV </v>
          </cell>
          <cell r="D133" t="str">
            <v xml:space="preserve">UNI  </v>
          </cell>
          <cell r="E133">
            <v>3</v>
          </cell>
          <cell r="F133">
            <v>176217</v>
          </cell>
          <cell r="G133">
            <v>528651</v>
          </cell>
        </row>
        <row r="134">
          <cell r="A134" t="str">
            <v>1107</v>
          </cell>
          <cell r="B134" t="str">
            <v xml:space="preserve">Juego de tresTerminales termoencojibles RAYCHEM tipo exterior 2 - 3/0 15 KV </v>
          </cell>
          <cell r="D134" t="str">
            <v xml:space="preserve">UNI  </v>
          </cell>
          <cell r="E134">
            <v>1</v>
          </cell>
          <cell r="F134">
            <v>444217</v>
          </cell>
          <cell r="G134">
            <v>444217</v>
          </cell>
        </row>
        <row r="135">
          <cell r="A135" t="str">
            <v>5046</v>
          </cell>
          <cell r="B135" t="str">
            <v>Bajante metalico galvanizado conduit de Ø 3" zunchado al poste e impermeabilizado en la punta.</v>
          </cell>
          <cell r="D135" t="str">
            <v xml:space="preserve">UNI  </v>
          </cell>
          <cell r="E135">
            <v>1</v>
          </cell>
          <cell r="F135">
            <v>408100</v>
          </cell>
          <cell r="G135">
            <v>408100</v>
          </cell>
        </row>
        <row r="136">
          <cell r="A136" t="str">
            <v>7658</v>
          </cell>
          <cell r="B136" t="str">
            <v xml:space="preserve">Registro eléctrico de 0.7 x 1.2 x 1.2 m con marco y tapa en ferroconcreto. </v>
          </cell>
          <cell r="D136" t="str">
            <v xml:space="preserve">UNI  </v>
          </cell>
          <cell r="E136">
            <v>1</v>
          </cell>
          <cell r="F136">
            <v>692490</v>
          </cell>
          <cell r="G136">
            <v>692490</v>
          </cell>
        </row>
        <row r="137">
          <cell r="A137" t="str">
            <v>9001</v>
          </cell>
          <cell r="B137" t="str">
            <v xml:space="preserve">Celda con seccionador en aire, 17.5KV, 630A, disparo tripolar bajo carga y con fusibles 50A. </v>
          </cell>
          <cell r="D137" t="str">
            <v xml:space="preserve">UNI  </v>
          </cell>
          <cell r="E137">
            <v>1</v>
          </cell>
          <cell r="F137">
            <v>5576800</v>
          </cell>
          <cell r="G137">
            <v>5576800</v>
          </cell>
        </row>
        <row r="138">
          <cell r="A138" t="str">
            <v>1537</v>
          </cell>
          <cell r="B138" t="str">
            <v xml:space="preserve">Celda para transformador hasta 630 KVA 13.200/600V </v>
          </cell>
          <cell r="D138" t="str">
            <v xml:space="preserve">UNI  </v>
          </cell>
          <cell r="E138">
            <v>1</v>
          </cell>
          <cell r="F138">
            <v>2616552</v>
          </cell>
          <cell r="G138">
            <v>2616552</v>
          </cell>
        </row>
        <row r="139">
          <cell r="A139" t="str">
            <v>2270</v>
          </cell>
          <cell r="B139" t="str">
            <v xml:space="preserve">Transformador Trifásico tipo seco aislamiento clase H 13.200/220/127V (208/120V, 440/254V)  225.0 KVA. </v>
          </cell>
          <cell r="D139" t="str">
            <v xml:space="preserve">UNI  </v>
          </cell>
          <cell r="E139">
            <v>1</v>
          </cell>
          <cell r="F139">
            <v>18612000</v>
          </cell>
          <cell r="G139">
            <v>18612000</v>
          </cell>
        </row>
        <row r="140">
          <cell r="A140" t="str">
            <v>8203</v>
          </cell>
          <cell r="B140" t="str">
            <v>Cuadro de distribucion  de Baja Tensión tipo SB (2,2x1.90x0.6) M, lámina galvanizada #14 y #16, pintura electrostatica, compartimiento para barrajes vertical independiente, puerta delantera.</v>
          </cell>
          <cell r="D140" t="str">
            <v xml:space="preserve">UNI  </v>
          </cell>
          <cell r="E140">
            <v>1</v>
          </cell>
          <cell r="F140">
            <v>7104189</v>
          </cell>
          <cell r="G140">
            <v>7104189</v>
          </cell>
        </row>
        <row r="141">
          <cell r="A141" t="str">
            <v>5562</v>
          </cell>
          <cell r="B141" t="str">
            <v>Interruptor Industrial Unidad de disparo eléctrónica COMPAC NS 440V Regulable de 320 - 800 A,  65KA.</v>
          </cell>
          <cell r="D141" t="str">
            <v xml:space="preserve">UNI  </v>
          </cell>
          <cell r="E141">
            <v>1</v>
          </cell>
          <cell r="F141">
            <v>3550000</v>
          </cell>
          <cell r="G141">
            <v>3550000</v>
          </cell>
        </row>
        <row r="142">
          <cell r="A142" t="str">
            <v>5415</v>
          </cell>
          <cell r="B142" t="str">
            <v xml:space="preserve">Relé regulador del factor de potencia VARLOGIC 6 pasos. </v>
          </cell>
          <cell r="D142" t="str">
            <v xml:space="preserve">UNI  </v>
          </cell>
          <cell r="E142">
            <v>1</v>
          </cell>
          <cell r="F142">
            <v>1597249</v>
          </cell>
          <cell r="G142">
            <v>1597249</v>
          </cell>
        </row>
        <row r="143">
          <cell r="A143" t="str">
            <v>6996</v>
          </cell>
          <cell r="B143" t="str">
            <v xml:space="preserve">Banco trifásico de condensadores Tipo enerlux paso movil de 12  KVAR a 240V. </v>
          </cell>
          <cell r="D143" t="str">
            <v xml:space="preserve">UNI  </v>
          </cell>
          <cell r="E143">
            <v>2</v>
          </cell>
          <cell r="F143">
            <v>509838</v>
          </cell>
          <cell r="G143">
            <v>1019676</v>
          </cell>
        </row>
        <row r="144">
          <cell r="A144" t="str">
            <v>6997</v>
          </cell>
          <cell r="B144" t="str">
            <v xml:space="preserve">Banco trifásico de condensadores Tipo enerlux paso movil de 18 KVAR a 240V. </v>
          </cell>
          <cell r="D144" t="str">
            <v xml:space="preserve">UNI  </v>
          </cell>
          <cell r="E144">
            <v>2</v>
          </cell>
          <cell r="F144">
            <v>775607</v>
          </cell>
          <cell r="G144">
            <v>1551214</v>
          </cell>
        </row>
        <row r="145">
          <cell r="A145" t="str">
            <v>7100</v>
          </cell>
          <cell r="B145" t="str">
            <v xml:space="preserve">Banco trifásico de condensadores Tipo enerlux paso fijo de 12 KVAR a 240V. </v>
          </cell>
          <cell r="D145" t="str">
            <v xml:space="preserve">UNI  </v>
          </cell>
          <cell r="E145">
            <v>1</v>
          </cell>
          <cell r="F145">
            <v>579425</v>
          </cell>
          <cell r="G145">
            <v>579425</v>
          </cell>
        </row>
        <row r="146">
          <cell r="A146" t="str">
            <v>5762</v>
          </cell>
          <cell r="B146" t="str">
            <v>Monitor de circuito Lovato DMK32 con comunicación. Medicion corriente de fase y neutro, voltaje linea y fase, factor de potencia</v>
          </cell>
          <cell r="D146" t="str">
            <v xml:space="preserve">UNI  </v>
          </cell>
          <cell r="E146">
            <v>1</v>
          </cell>
          <cell r="F146">
            <v>2113365</v>
          </cell>
          <cell r="G146">
            <v>2113365</v>
          </cell>
        </row>
        <row r="147">
          <cell r="A147" t="str">
            <v>5199</v>
          </cell>
          <cell r="B147" t="str">
            <v xml:space="preserve">Acople de barraje trifasico 1250A a interruptor de 1250A </v>
          </cell>
          <cell r="D147" t="str">
            <v xml:space="preserve">UNI  </v>
          </cell>
          <cell r="E147">
            <v>1</v>
          </cell>
          <cell r="F147">
            <v>345350</v>
          </cell>
          <cell r="G147">
            <v>345350</v>
          </cell>
        </row>
        <row r="148">
          <cell r="A148" t="str">
            <v>5917</v>
          </cell>
          <cell r="B148" t="str">
            <v xml:space="preserve">Barraje Trifasico Vertical para tablero SB fases 1.250 A(F) X 2M, 1250 A(N), 320A(T), 2ML </v>
          </cell>
          <cell r="D148" t="str">
            <v xml:space="preserve">UNI  </v>
          </cell>
          <cell r="E148">
            <v>1</v>
          </cell>
          <cell r="F148">
            <v>1208500</v>
          </cell>
          <cell r="G148">
            <v>1208500</v>
          </cell>
        </row>
        <row r="149">
          <cell r="A149" t="str">
            <v>3597</v>
          </cell>
          <cell r="B149" t="str">
            <v>Bornas terminales 12#4/0 + 1#2/0 compresion, tipo barril largo, marca 3M certificadas y cubiertas con tubo termoencogible.</v>
          </cell>
          <cell r="D149" t="str">
            <v xml:space="preserve">GLOBAL   </v>
          </cell>
          <cell r="E149">
            <v>2</v>
          </cell>
          <cell r="F149">
            <v>254799</v>
          </cell>
          <cell r="G149">
            <v>509598</v>
          </cell>
        </row>
        <row r="150">
          <cell r="A150" t="str">
            <v>0040</v>
          </cell>
          <cell r="B150" t="str">
            <v xml:space="preserve">Servicio de prueba de pararayos en taller certificado por Electrificadora. </v>
          </cell>
          <cell r="D150" t="str">
            <v xml:space="preserve">GLOBAL   </v>
          </cell>
          <cell r="E150">
            <v>6</v>
          </cell>
          <cell r="F150">
            <v>57000</v>
          </cell>
          <cell r="G150">
            <v>342000</v>
          </cell>
        </row>
        <row r="151">
          <cell r="A151" t="str">
            <v>6118</v>
          </cell>
          <cell r="B151" t="str">
            <v>Suministro e instalacion de tapa metalica de alfajor de 1,4" X 120 CM X 30 CM para cubrir el carcamo.</v>
          </cell>
          <cell r="D151" t="str">
            <v xml:space="preserve">UNI  </v>
          </cell>
          <cell r="E151">
            <v>10</v>
          </cell>
          <cell r="F151">
            <v>21500</v>
          </cell>
          <cell r="G151">
            <v>215000</v>
          </cell>
        </row>
        <row r="152">
          <cell r="A152" t="str">
            <v>5211</v>
          </cell>
          <cell r="B152" t="str">
            <v>Canalizacion para tuberia (ancho=30cm, profundidad=50cm, concreto 2000psi, e=25cm) Tipo + cinta prevencion peligro.</v>
          </cell>
          <cell r="D152" t="str">
            <v xml:space="preserve">ML   </v>
          </cell>
          <cell r="E152">
            <v>12</v>
          </cell>
          <cell r="F152">
            <v>168175</v>
          </cell>
          <cell r="G152">
            <v>2018100</v>
          </cell>
        </row>
        <row r="153">
          <cell r="A153" t="str">
            <v>4467</v>
          </cell>
          <cell r="B153" t="str">
            <v>Alimentador sin canallizacion en 3X3#4/0 (F) + 3#4/0 (N) cable de cobre forrado + 1#4/0 cable de cobre desnudo.</v>
          </cell>
          <cell r="D153" t="str">
            <v xml:space="preserve">ML   </v>
          </cell>
          <cell r="E153">
            <v>12</v>
          </cell>
          <cell r="F153">
            <v>488470</v>
          </cell>
          <cell r="G153">
            <v>5861640</v>
          </cell>
        </row>
        <row r="154">
          <cell r="A154" t="str">
            <v>6117</v>
          </cell>
          <cell r="B154" t="str">
            <v xml:space="preserve">Ducto metálico conduit galvanizado tipo IMC Ø  3"  , sobrepuesta, con accesorios de fijacion. </v>
          </cell>
          <cell r="D154" t="str">
            <v xml:space="preserve">ML   </v>
          </cell>
          <cell r="E154">
            <v>10</v>
          </cell>
          <cell r="F154">
            <v>84884</v>
          </cell>
          <cell r="G154">
            <v>848840</v>
          </cell>
        </row>
        <row r="155">
          <cell r="A155" t="str">
            <v>7417</v>
          </cell>
          <cell r="B155" t="str">
            <v>Cofre Metalico1.20x0.80x0.30m.</v>
          </cell>
          <cell r="D155" t="str">
            <v xml:space="preserve">UNI  </v>
          </cell>
          <cell r="E155">
            <v>1</v>
          </cell>
          <cell r="F155">
            <v>875000</v>
          </cell>
          <cell r="G155">
            <v>875000</v>
          </cell>
        </row>
        <row r="156">
          <cell r="A156" t="str">
            <v>1417</v>
          </cell>
          <cell r="B156" t="str">
            <v>Malla a tierra de la subestacion con  4 Varillas cu-cu 5/8"x2.4m, 1 condensador con 90kg hidrosolta, 40.0 ml de ccd #2/0. 12 de 90 gms, 10 de 115 gms  soldadura cad welld, bornas de conexion.</v>
          </cell>
          <cell r="D156" t="str">
            <v xml:space="preserve">UNI  </v>
          </cell>
          <cell r="E156">
            <v>1</v>
          </cell>
          <cell r="F156">
            <v>2528665</v>
          </cell>
          <cell r="G156">
            <v>2528665</v>
          </cell>
        </row>
        <row r="157">
          <cell r="F157" t="str">
            <v>Valor Capitulo $</v>
          </cell>
          <cell r="G157">
            <v>65324397</v>
          </cell>
        </row>
        <row r="158">
          <cell r="A158" t="str">
            <v>Capitulo: 14</v>
          </cell>
          <cell r="B158" t="str">
            <v>PROTECCION DE LA EDIFICACION.</v>
          </cell>
        </row>
        <row r="159">
          <cell r="A159" t="str">
            <v>7099</v>
          </cell>
          <cell r="B159" t="str">
            <v>Supresor de transitorios de Voltaje DPS LEVITON 3 FASES 4 HILOS + TIERRA 120/208 VAC 4 modos de proteccion diseño modular 100 kA + (50 kA. N-G) alta capacidad de proteccion categoria C.</v>
          </cell>
          <cell r="D159" t="str">
            <v xml:space="preserve">UNI  </v>
          </cell>
          <cell r="E159">
            <v>1</v>
          </cell>
          <cell r="F159">
            <v>3676349</v>
          </cell>
          <cell r="G159">
            <v>3676349</v>
          </cell>
        </row>
        <row r="160">
          <cell r="A160" t="str">
            <v>5635</v>
          </cell>
          <cell r="B160" t="str">
            <v>Bornas terminales  3#2/0 + 1#1/0 a compresion, tipo barril largo, marca 3M certificadas y cubiertas con tubo termoencogible.</v>
          </cell>
          <cell r="D160" t="str">
            <v xml:space="preserve">UNI  </v>
          </cell>
          <cell r="E160">
            <v>10</v>
          </cell>
          <cell r="F160">
            <v>80552</v>
          </cell>
          <cell r="G160">
            <v>805520</v>
          </cell>
        </row>
        <row r="161">
          <cell r="A161" t="str">
            <v>7625</v>
          </cell>
          <cell r="B161" t="str">
            <v xml:space="preserve">Suministro e instalacion de ducto PVC de ø 3/4" subterraneo. </v>
          </cell>
          <cell r="D161" t="str">
            <v xml:space="preserve">ML   </v>
          </cell>
          <cell r="E161">
            <v>40</v>
          </cell>
          <cell r="F161">
            <v>2921</v>
          </cell>
          <cell r="G161">
            <v>116840</v>
          </cell>
        </row>
        <row r="162">
          <cell r="A162" t="str">
            <v>7652</v>
          </cell>
          <cell r="B162" t="str">
            <v>Registro electrico para acometidas secundarias de 0.5 x 0.5 x 0.7 M con marco y tapa en ferroconcreto.</v>
          </cell>
          <cell r="D162" t="str">
            <v xml:space="preserve">UNI  </v>
          </cell>
          <cell r="E162">
            <v>4</v>
          </cell>
          <cell r="F162">
            <v>332316</v>
          </cell>
          <cell r="G162">
            <v>1329264</v>
          </cell>
        </row>
        <row r="163">
          <cell r="A163" t="str">
            <v>6337</v>
          </cell>
          <cell r="B163" t="str">
            <v>Suministro e instalacion de cable de aluminio forrado 1/0 AWG</v>
          </cell>
          <cell r="D163" t="str">
            <v xml:space="preserve">ML   </v>
          </cell>
          <cell r="E163">
            <v>250</v>
          </cell>
          <cell r="F163">
            <v>4621</v>
          </cell>
          <cell r="G163">
            <v>1155250</v>
          </cell>
        </row>
        <row r="164">
          <cell r="A164" t="str">
            <v>3598</v>
          </cell>
          <cell r="B164" t="str">
            <v xml:space="preserve">Soldadura cadweld tipo TA-2G-2G cable-cable 2/0-2/0 en T. </v>
          </cell>
          <cell r="D164" t="str">
            <v xml:space="preserve">UNI  </v>
          </cell>
          <cell r="E164">
            <v>10</v>
          </cell>
          <cell r="F164">
            <v>38000</v>
          </cell>
          <cell r="G164">
            <v>380000</v>
          </cell>
        </row>
        <row r="165">
          <cell r="A165" t="str">
            <v>4785</v>
          </cell>
          <cell r="B165" t="str">
            <v xml:space="preserve">Sumin.e insta. de soldadura cadweld tipo VS-1V cable-estructura 2/0 AWG. </v>
          </cell>
          <cell r="D165" t="str">
            <v xml:space="preserve">ML   </v>
          </cell>
          <cell r="E165">
            <v>10</v>
          </cell>
          <cell r="F165">
            <v>38000</v>
          </cell>
          <cell r="G165">
            <v>380000</v>
          </cell>
        </row>
        <row r="166">
          <cell r="A166" t="str">
            <v>4502</v>
          </cell>
          <cell r="B166" t="str">
            <v xml:space="preserve">Conductor de cobre desnudo #1/0 para la descarga a tierra. </v>
          </cell>
          <cell r="D166" t="str">
            <v xml:space="preserve">ML   </v>
          </cell>
          <cell r="E166">
            <v>220</v>
          </cell>
          <cell r="F166">
            <v>16997</v>
          </cell>
          <cell r="G166">
            <v>3739340</v>
          </cell>
        </row>
        <row r="167">
          <cell r="A167" t="str">
            <v>2920</v>
          </cell>
          <cell r="B167" t="str">
            <v xml:space="preserve">Varilla de cobre puro 5/8"x2.4 m sin conector </v>
          </cell>
          <cell r="D167" t="str">
            <v xml:space="preserve">UNI  </v>
          </cell>
          <cell r="E167">
            <v>6</v>
          </cell>
          <cell r="F167">
            <v>106900</v>
          </cell>
          <cell r="G167">
            <v>641400</v>
          </cell>
        </row>
        <row r="168">
          <cell r="A168" t="str">
            <v>6570</v>
          </cell>
          <cell r="B168" t="str">
            <v>Transicion de cable de aluminio 1/0 a cobre 1/0 en caja empotrada con un conector a compresion OB1010</v>
          </cell>
          <cell r="D168" t="str">
            <v xml:space="preserve">UNI  </v>
          </cell>
          <cell r="E168">
            <v>10</v>
          </cell>
          <cell r="F168">
            <v>44980</v>
          </cell>
          <cell r="G168">
            <v>449800</v>
          </cell>
        </row>
        <row r="169">
          <cell r="A169" t="str">
            <v>6336</v>
          </cell>
          <cell r="B169" t="str">
            <v>S. e I. de Pararrayos Tipo Franklin una punta de 0,6 m, montado en ducto galvanizado de 3/4" de 1.5 m con unión y base.</v>
          </cell>
          <cell r="D169" t="str">
            <v xml:space="preserve">UNI  </v>
          </cell>
          <cell r="E169">
            <v>12</v>
          </cell>
          <cell r="F169">
            <v>315616</v>
          </cell>
          <cell r="G169">
            <v>3787392</v>
          </cell>
        </row>
        <row r="170">
          <cell r="F170" t="str">
            <v>Valor Capitulo $</v>
          </cell>
          <cell r="G170">
            <v>16461155</v>
          </cell>
        </row>
        <row r="171">
          <cell r="A171" t="str">
            <v>Capitulo: 15</v>
          </cell>
          <cell r="B171" t="str">
            <v>MEDIA TENSION.</v>
          </cell>
        </row>
        <row r="172">
          <cell r="A172" t="str">
            <v>6852</v>
          </cell>
          <cell r="B172" t="str">
            <v>Servicio de pago al operador de red descargo en caliente (segun la programacion) para el trabajo de extension de red programado.</v>
          </cell>
          <cell r="D172" t="str">
            <v xml:space="preserve">GLOBAL   </v>
          </cell>
          <cell r="E172">
            <v>1</v>
          </cell>
          <cell r="F172">
            <v>2105028</v>
          </cell>
          <cell r="G172">
            <v>2105028</v>
          </cell>
        </row>
        <row r="173">
          <cell r="A173" t="str">
            <v>1046</v>
          </cell>
          <cell r="B173" t="str">
            <v xml:space="preserve">Armado o Estructura Simple Circuito trifasica,  13,2 KV Alineacion Horizontal cable 1/0 ACSR. </v>
          </cell>
          <cell r="D173" t="str">
            <v xml:space="preserve">UNI  </v>
          </cell>
          <cell r="E173">
            <v>1</v>
          </cell>
          <cell r="F173">
            <v>1760807</v>
          </cell>
          <cell r="G173">
            <v>1760807</v>
          </cell>
        </row>
        <row r="174">
          <cell r="A174" t="str">
            <v>6789</v>
          </cell>
          <cell r="B174" t="str">
            <v xml:space="preserve">Puentes Aereos (3 hilos) #1/0 en caliente. </v>
          </cell>
          <cell r="D174" t="str">
            <v>JUEGO</v>
          </cell>
          <cell r="E174">
            <v>1</v>
          </cell>
          <cell r="F174">
            <v>566799</v>
          </cell>
          <cell r="G174">
            <v>566799</v>
          </cell>
        </row>
        <row r="175">
          <cell r="A175" t="str">
            <v>3312</v>
          </cell>
          <cell r="B175" t="str">
            <v>Protecciones en Poste para Subestacion o linea 23 KV, 3 cortacircuitos y 3 Pararrayos en 3 crucetas metalicas de 2.4 M autosoportada.</v>
          </cell>
          <cell r="D175" t="str">
            <v xml:space="preserve">UNI  </v>
          </cell>
          <cell r="E175">
            <v>1</v>
          </cell>
          <cell r="F175">
            <v>2634243</v>
          </cell>
          <cell r="G175">
            <v>2634243</v>
          </cell>
        </row>
        <row r="176">
          <cell r="A176" t="str">
            <v>6016</v>
          </cell>
          <cell r="B176" t="str">
            <v>Poste de concreto de 12m x 800 Dan incluye: Transporte, excavacion, hincada, aplomada, concreteda.</v>
          </cell>
          <cell r="D176" t="str">
            <v xml:space="preserve">UNI  </v>
          </cell>
          <cell r="E176">
            <v>1</v>
          </cell>
          <cell r="F176">
            <v>2164000</v>
          </cell>
          <cell r="G176">
            <v>2164000</v>
          </cell>
        </row>
        <row r="177">
          <cell r="A177" t="str">
            <v>6461</v>
          </cell>
          <cell r="B177" t="str">
            <v xml:space="preserve">Construccion de base de concreto para poste autosoportado de 14x1350/1500/2000 KG (acero. refuerzo 1/2" y  3/8" concreto 3000psi) </v>
          </cell>
          <cell r="D177" t="str">
            <v xml:space="preserve">UNI  </v>
          </cell>
          <cell r="E177">
            <v>1</v>
          </cell>
          <cell r="F177">
            <v>1249000</v>
          </cell>
          <cell r="G177">
            <v>1249000</v>
          </cell>
        </row>
        <row r="178">
          <cell r="A178" t="str">
            <v>5267</v>
          </cell>
          <cell r="B178" t="str">
            <v>Servicio de alquiler de grua canastilla para trabajo en caliente 13.2 KV por horas</v>
          </cell>
          <cell r="D178" t="str">
            <v xml:space="preserve">HORA </v>
          </cell>
          <cell r="E178">
            <v>10</v>
          </cell>
          <cell r="F178">
            <v>100000</v>
          </cell>
          <cell r="G178">
            <v>1000000</v>
          </cell>
        </row>
        <row r="179">
          <cell r="A179" t="str">
            <v>7080</v>
          </cell>
          <cell r="B179" t="str">
            <v>Equipo para medicion de energia tipo exterior 15KV, dos elementos montados en poste, 2 TC 15/5A, 2 TP 13.200/120V.contador electronico en gabinete independiente polifuncion.</v>
          </cell>
          <cell r="D179" t="str">
            <v xml:space="preserve">UNI  </v>
          </cell>
          <cell r="E179">
            <v>1</v>
          </cell>
          <cell r="F179">
            <v>17328029</v>
          </cell>
          <cell r="G179">
            <v>17328029</v>
          </cell>
        </row>
        <row r="180">
          <cell r="F180" t="str">
            <v>Valor Capitulo $</v>
          </cell>
          <cell r="G180">
            <v>28807906</v>
          </cell>
        </row>
        <row r="181">
          <cell r="A181" t="str">
            <v>Capitulo: 16</v>
          </cell>
          <cell r="B181" t="str">
            <v>PLANTA ELECTRICA.</v>
          </cell>
        </row>
        <row r="182">
          <cell r="A182" t="str">
            <v>6839</v>
          </cell>
          <cell r="B182" t="str">
            <v>Transferencia automatica para 35 HP trifasica a 220V sin circuito de control con contactores LC1D11540 con enclavamiento mecanico LA9D11502.</v>
          </cell>
          <cell r="D182" t="str">
            <v xml:space="preserve">UNI  </v>
          </cell>
          <cell r="E182">
            <v>1</v>
          </cell>
          <cell r="F182">
            <v>2719680</v>
          </cell>
          <cell r="G182">
            <v>2719680</v>
          </cell>
        </row>
        <row r="183">
          <cell r="A183" t="str">
            <v>7249</v>
          </cell>
          <cell r="B183" t="str">
            <v xml:space="preserve">Transferencia automática, 220V, cosphi 0.8,  612A AC1, 400A en AC3 Ref  TAL- 400 -ML. MOLLER control VORKON. </v>
          </cell>
          <cell r="D183" t="str">
            <v xml:space="preserve">UNI  </v>
          </cell>
          <cell r="E183">
            <v>1</v>
          </cell>
          <cell r="G183">
            <v>0</v>
          </cell>
        </row>
        <row r="184">
          <cell r="A184" t="str">
            <v>3597</v>
          </cell>
          <cell r="B184" t="str">
            <v>Bornas terminales 12#4/0 + 1#2/0 compresion, tipo barril largo, marca 3M certificadas y cubiertas con tubo termoencogible.</v>
          </cell>
          <cell r="D184" t="str">
            <v xml:space="preserve">GLOBAL   </v>
          </cell>
          <cell r="E184">
            <v>2</v>
          </cell>
          <cell r="F184">
            <v>255399</v>
          </cell>
          <cell r="G184">
            <v>510798</v>
          </cell>
        </row>
        <row r="185">
          <cell r="A185" t="str">
            <v>3338</v>
          </cell>
          <cell r="B185" t="str">
            <v>Alimentador sin canalizacion en 2X16 cable flexible encauchetado.</v>
          </cell>
          <cell r="D185" t="str">
            <v xml:space="preserve">ML   </v>
          </cell>
          <cell r="E185">
            <v>12</v>
          </cell>
          <cell r="F185">
            <v>2320</v>
          </cell>
          <cell r="G185">
            <v>27840</v>
          </cell>
        </row>
        <row r="186">
          <cell r="A186" t="str">
            <v>4467</v>
          </cell>
          <cell r="B186" t="str">
            <v>Alimentador sin canallizacion en 3X3#4/0 (F) + 3#4/0 (N) cable de cobre forrado + 1#4/0 cable de cobre desnudo.</v>
          </cell>
          <cell r="D186" t="str">
            <v xml:space="preserve">ML   </v>
          </cell>
          <cell r="E186">
            <v>12</v>
          </cell>
          <cell r="F186">
            <v>487785</v>
          </cell>
          <cell r="G186">
            <v>5853420</v>
          </cell>
        </row>
        <row r="187">
          <cell r="F187" t="str">
            <v>Valor Capitulo $</v>
          </cell>
          <cell r="G187">
            <v>9111738</v>
          </cell>
        </row>
        <row r="188">
          <cell r="A188" t="str">
            <v>Capitulo: 17</v>
          </cell>
          <cell r="B188" t="str">
            <v>VIATICOS.</v>
          </cell>
        </row>
        <row r="189">
          <cell r="A189" t="str">
            <v>4274</v>
          </cell>
          <cell r="B189" t="str">
            <v>Viaticos que incluyen transporte al sitio, alojamiento, alimentacion del personal, seguridad social e industrial.</v>
          </cell>
          <cell r="D189" t="str">
            <v xml:space="preserve">GLOBAL   </v>
          </cell>
          <cell r="E189">
            <v>1</v>
          </cell>
          <cell r="F189">
            <v>1526520</v>
          </cell>
          <cell r="G189">
            <v>1526520</v>
          </cell>
        </row>
        <row r="190">
          <cell r="F190" t="str">
            <v>Valor Capitulo $</v>
          </cell>
          <cell r="G190">
            <v>1526520</v>
          </cell>
        </row>
        <row r="193">
          <cell r="B193" t="str">
            <v>TOTAL PRESUPUESTO</v>
          </cell>
          <cell r="G193">
            <v>401399613</v>
          </cell>
        </row>
        <row r="195">
          <cell r="B195" t="str">
            <v xml:space="preserve">ADMINISTRACION </v>
          </cell>
          <cell r="D195">
            <v>0.02</v>
          </cell>
          <cell r="G195">
            <v>8027992.2599999998</v>
          </cell>
        </row>
        <row r="196">
          <cell r="B196" t="str">
            <v>IMPREVISTOS</v>
          </cell>
          <cell r="D196">
            <v>0.01</v>
          </cell>
          <cell r="G196">
            <v>4013996.13</v>
          </cell>
        </row>
        <row r="197">
          <cell r="B197" t="str">
            <v>UTILIDAD</v>
          </cell>
          <cell r="D197">
            <v>0.02</v>
          </cell>
          <cell r="G197">
            <v>8027992.2599999998</v>
          </cell>
        </row>
        <row r="198">
          <cell r="B198" t="str">
            <v>TOTAL A.I.U</v>
          </cell>
          <cell r="D198">
            <v>0.05</v>
          </cell>
          <cell r="G198">
            <v>20069980.649999999</v>
          </cell>
        </row>
        <row r="200">
          <cell r="B200" t="str">
            <v>COSTO TOTAL DE LA SOLICITUD</v>
          </cell>
          <cell r="G200">
            <v>421469593.64999998</v>
          </cell>
        </row>
        <row r="201">
          <cell r="B201" t="str">
            <v>IVA 16%  UTILIDAD</v>
          </cell>
          <cell r="G201">
            <v>1284478.7616000001</v>
          </cell>
        </row>
        <row r="202">
          <cell r="B202" t="str">
            <v xml:space="preserve">TOTAL COSTO DE LA OBRA </v>
          </cell>
          <cell r="F202">
            <v>0.16</v>
          </cell>
          <cell r="G202">
            <v>422754072.41159999</v>
          </cell>
        </row>
      </sheetData>
      <sheetData sheetId="1">
        <row r="10">
          <cell r="B10" t="str">
            <v>I</v>
          </cell>
        </row>
      </sheetData>
      <sheetData sheetId="2"/>
      <sheetData sheetId="3"/>
      <sheetData sheetId="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ado"/>
      <sheetName val="Apu78-153"/>
      <sheetName val="Materiales "/>
      <sheetName val="Mano Obra"/>
      <sheetName val="Equip, Herr y Transp"/>
      <sheetName val="Apu Mat"/>
      <sheetName val="Apu 1-77"/>
      <sheetName val="Lista Maestra Materiales"/>
    </sheetNames>
    <sheetDataSet>
      <sheetData sheetId="0" refreshError="1"/>
      <sheetData sheetId="1" refreshError="1"/>
      <sheetData sheetId="2" refreshError="1"/>
      <sheetData sheetId="3" refreshError="1">
        <row r="3">
          <cell r="B3" t="str">
            <v>-</v>
          </cell>
        </row>
        <row r="4">
          <cell r="B4" t="str">
            <v>Ayudante</v>
          </cell>
        </row>
        <row r="5">
          <cell r="B5" t="str">
            <v>Oficial Eléctrico (Conte Categoria T3 y T4)</v>
          </cell>
        </row>
        <row r="6">
          <cell r="B6" t="str">
            <v>Oficial Eléctrico (Conte Categoría T5 Técnico en Redes)</v>
          </cell>
        </row>
        <row r="7">
          <cell r="B7" t="str">
            <v>Oficial Soldador diurno</v>
          </cell>
        </row>
        <row r="8">
          <cell r="B8" t="str">
            <v>Técnico Dibujante</v>
          </cell>
        </row>
        <row r="9">
          <cell r="B9" t="str">
            <v xml:space="preserve">Supervisor Seguridad </v>
          </cell>
        </row>
        <row r="10">
          <cell r="B10" t="str">
            <v>Supervisor Eléctricista</v>
          </cell>
        </row>
        <row r="11">
          <cell r="B11" t="str">
            <v>Ingeniero Eléctricista</v>
          </cell>
        </row>
      </sheetData>
      <sheetData sheetId="4" refreshError="1">
        <row r="2">
          <cell r="B2" t="str">
            <v>-</v>
          </cell>
        </row>
        <row r="3">
          <cell r="B3" t="str">
            <v>Alicate</v>
          </cell>
        </row>
        <row r="4">
          <cell r="B4" t="str">
            <v>Analizador de redes</v>
          </cell>
        </row>
        <row r="5">
          <cell r="B5" t="str">
            <v>Andamios</v>
          </cell>
        </row>
        <row r="6">
          <cell r="B6" t="str">
            <v>Arnes</v>
          </cell>
        </row>
        <row r="7">
          <cell r="B7" t="str">
            <v>Bandeja plastica</v>
          </cell>
        </row>
        <row r="8">
          <cell r="B8" t="str">
            <v>Brocha</v>
          </cell>
        </row>
        <row r="9">
          <cell r="B9" t="str">
            <v>Caja de herramientas</v>
          </cell>
        </row>
        <row r="10">
          <cell r="B10" t="str">
            <v>Calentador manual</v>
          </cell>
        </row>
        <row r="11">
          <cell r="B11" t="str">
            <v>Camion turbito</v>
          </cell>
        </row>
        <row r="12">
          <cell r="B12" t="str">
            <v>Camion turbo</v>
          </cell>
        </row>
        <row r="13">
          <cell r="B13" t="str">
            <v>Camioneta 4x4</v>
          </cell>
        </row>
        <row r="14">
          <cell r="B14" t="str">
            <v>Caucho dobla tubo 1/2</v>
          </cell>
        </row>
        <row r="15">
          <cell r="B15" t="str">
            <v>Caucho dobla tubo 3/4</v>
          </cell>
        </row>
        <row r="16">
          <cell r="B16" t="str">
            <v>Cegueta</v>
          </cell>
        </row>
        <row r="17">
          <cell r="B17" t="str">
            <v>Celular</v>
          </cell>
        </row>
        <row r="18">
          <cell r="B18" t="str">
            <v>Cincel</v>
          </cell>
        </row>
        <row r="19">
          <cell r="B19" t="str">
            <v>Cinta metrica x 30 mts</v>
          </cell>
        </row>
        <row r="20">
          <cell r="B20" t="str">
            <v>Cinta peligro</v>
          </cell>
        </row>
        <row r="21">
          <cell r="B21" t="str">
            <v>Cinturon herramientas</v>
          </cell>
        </row>
        <row r="22">
          <cell r="B22" t="str">
            <v>Cizalla</v>
          </cell>
        </row>
        <row r="23">
          <cell r="B23" t="str">
            <v xml:space="preserve">Colombina plastica </v>
          </cell>
        </row>
        <row r="24">
          <cell r="B24" t="str">
            <v>Cono de 70 cm</v>
          </cell>
        </row>
        <row r="25">
          <cell r="B25" t="str">
            <v>Copa cierra</v>
          </cell>
        </row>
        <row r="26">
          <cell r="B26" t="str">
            <v>Corta frio</v>
          </cell>
        </row>
        <row r="27">
          <cell r="B27" t="str">
            <v>Destonillador estria</v>
          </cell>
        </row>
        <row r="28">
          <cell r="B28" t="str">
            <v>Destornillador bornero</v>
          </cell>
        </row>
        <row r="29">
          <cell r="B29" t="str">
            <v>Destornillador pala</v>
          </cell>
        </row>
        <row r="30">
          <cell r="B30" t="str">
            <v>Dobla tubo</v>
          </cell>
        </row>
        <row r="31">
          <cell r="B31" t="str">
            <v>Escalera de extension hasta 24 pasos</v>
          </cell>
        </row>
        <row r="32">
          <cell r="B32" t="str">
            <v>Escalera de tijera hasta 10 pasos</v>
          </cell>
        </row>
        <row r="33">
          <cell r="B33" t="str">
            <v>Escuadra profesional</v>
          </cell>
        </row>
        <row r="34">
          <cell r="B34" t="str">
            <v>Espatula</v>
          </cell>
        </row>
        <row r="35">
          <cell r="B35" t="str">
            <v>Extensión industrial 30 m</v>
          </cell>
        </row>
        <row r="36">
          <cell r="B36" t="str">
            <v>Gato hidraulico</v>
          </cell>
        </row>
        <row r="37">
          <cell r="B37" t="str">
            <v xml:space="preserve">Grua carga postes brazo extensor hidraulico </v>
          </cell>
        </row>
        <row r="38">
          <cell r="B38" t="str">
            <v>Grua hidraulica carro canasta</v>
          </cell>
        </row>
        <row r="39">
          <cell r="B39" t="str">
            <v>Juego de Tablas</v>
          </cell>
        </row>
        <row r="40">
          <cell r="B40" t="str">
            <v>Juego llave allen</v>
          </cell>
        </row>
        <row r="41">
          <cell r="B41" t="str">
            <v>Juego llave ratchet</v>
          </cell>
        </row>
        <row r="42">
          <cell r="B42" t="str">
            <v>Llaves mixtas</v>
          </cell>
        </row>
        <row r="43">
          <cell r="B43" t="str">
            <v>Manila de 1/2" x 20 mts</v>
          </cell>
        </row>
        <row r="44">
          <cell r="B44" t="str">
            <v>Maquina soldar</v>
          </cell>
        </row>
        <row r="45">
          <cell r="B45" t="str">
            <v>Martillo</v>
          </cell>
        </row>
        <row r="46">
          <cell r="B46" t="str">
            <v>Megger aislamiento</v>
          </cell>
        </row>
        <row r="47">
          <cell r="B47" t="str">
            <v>Metro</v>
          </cell>
        </row>
        <row r="48">
          <cell r="B48" t="str">
            <v>Molde cadweld</v>
          </cell>
        </row>
        <row r="49">
          <cell r="B49" t="str">
            <v xml:space="preserve">Mona </v>
          </cell>
        </row>
        <row r="50">
          <cell r="B50" t="str">
            <v>Navaja</v>
          </cell>
        </row>
        <row r="51">
          <cell r="B51" t="str">
            <v>Nivel</v>
          </cell>
        </row>
        <row r="52">
          <cell r="B52" t="str">
            <v>Overol enterizo Manga larga</v>
          </cell>
        </row>
        <row r="53">
          <cell r="B53" t="str">
            <v xml:space="preserve">Pala </v>
          </cell>
        </row>
        <row r="54">
          <cell r="B54" t="str">
            <v>Palaustre</v>
          </cell>
        </row>
        <row r="55">
          <cell r="B55" t="str">
            <v>Pertiga</v>
          </cell>
        </row>
        <row r="56">
          <cell r="B56" t="str">
            <v>Pico</v>
          </cell>
        </row>
        <row r="57">
          <cell r="B57" t="str">
            <v>Pinza para molde</v>
          </cell>
        </row>
        <row r="58">
          <cell r="B58" t="str">
            <v>Pinza voltiamperimetrica</v>
          </cell>
        </row>
        <row r="59">
          <cell r="B59" t="str">
            <v>Ponchadora</v>
          </cell>
        </row>
        <row r="60">
          <cell r="B60" t="str">
            <v>Pretales</v>
          </cell>
        </row>
        <row r="61">
          <cell r="B61" t="str">
            <v>Pulidora</v>
          </cell>
        </row>
        <row r="62">
          <cell r="B62" t="str">
            <v>Remachadora</v>
          </cell>
        </row>
        <row r="63">
          <cell r="B63" t="str">
            <v>Retrocargador</v>
          </cell>
        </row>
        <row r="64">
          <cell r="B64" t="str">
            <v>Rodillo Profesional</v>
          </cell>
        </row>
        <row r="65">
          <cell r="B65" t="str">
            <v>Sacabocado hidraulico</v>
          </cell>
        </row>
        <row r="66">
          <cell r="B66" t="str">
            <v>Sonda</v>
          </cell>
        </row>
        <row r="67">
          <cell r="B67" t="str">
            <v>Tablon</v>
          </cell>
        </row>
        <row r="68">
          <cell r="B68" t="str">
            <v xml:space="preserve">Taladro </v>
          </cell>
        </row>
        <row r="69">
          <cell r="B69" t="str">
            <v>Taladro percutor</v>
          </cell>
        </row>
        <row r="70">
          <cell r="B70" t="str">
            <v>Tripode</v>
          </cell>
        </row>
        <row r="71">
          <cell r="B71" t="str">
            <v>Volqueta</v>
          </cell>
        </row>
        <row r="72">
          <cell r="B72" t="str">
            <v>Zunchadora</v>
          </cell>
        </row>
        <row r="73">
          <cell r="B73" t="str">
            <v>Carretilla</v>
          </cell>
        </row>
      </sheetData>
      <sheetData sheetId="5" refreshError="1"/>
      <sheetData sheetId="6" refreshError="1"/>
      <sheetData sheetId="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rico"/>
      <sheetName val="APU"/>
      <sheetName val="Materiales "/>
      <sheetName val="catalogo"/>
      <sheetName val="Herramientas"/>
      <sheetName val="Mano Obra"/>
      <sheetName val="Transporte"/>
      <sheetName val="Trabajos"/>
    </sheetNames>
    <sheetDataSet>
      <sheetData sheetId="0"/>
      <sheetData sheetId="1"/>
      <sheetData sheetId="2">
        <row r="2">
          <cell r="B2" t="str">
            <v>-</v>
          </cell>
        </row>
        <row r="3">
          <cell r="B3" t="str">
            <v>Abrazadera de 6-7</v>
          </cell>
        </row>
        <row r="4">
          <cell r="B4" t="str">
            <v>Abrazadera de 7-8</v>
          </cell>
        </row>
        <row r="5">
          <cell r="B5" t="str">
            <v>Abrazadera de 8-9</v>
          </cell>
        </row>
        <row r="6">
          <cell r="B6" t="str">
            <v>Abrazadera Doble Ala</v>
          </cell>
        </row>
        <row r="7">
          <cell r="B7" t="str">
            <v>Accesorios De Fijación</v>
          </cell>
        </row>
        <row r="8">
          <cell r="B8" t="str">
            <v>Acero De Refuerzo</v>
          </cell>
        </row>
        <row r="9">
          <cell r="B9" t="str">
            <v>Acople de explosión 1 1/2"</v>
          </cell>
        </row>
        <row r="10">
          <cell r="B10" t="str">
            <v>Acople de explosión 1"</v>
          </cell>
        </row>
        <row r="11">
          <cell r="B11" t="str">
            <v>Acople de explosión 1/2"</v>
          </cell>
        </row>
        <row r="12">
          <cell r="B12" t="str">
            <v>Acople de explosión 2"</v>
          </cell>
        </row>
        <row r="13">
          <cell r="B13" t="str">
            <v>Acople de explosión 3/4"</v>
          </cell>
        </row>
        <row r="14">
          <cell r="B14" t="str">
            <v>Acrílico</v>
          </cell>
        </row>
        <row r="15">
          <cell r="B15" t="str">
            <v>Adaptador Hembra PVC 1 1/2"</v>
          </cell>
        </row>
        <row r="16">
          <cell r="B16" t="str">
            <v>Adaptador Hembra PVC 1 1/4"</v>
          </cell>
        </row>
        <row r="17">
          <cell r="B17" t="str">
            <v>Adaptador Hembra PVC 1"</v>
          </cell>
        </row>
        <row r="18">
          <cell r="B18" t="str">
            <v>Adaptador Hembra PVC 2"</v>
          </cell>
        </row>
        <row r="19">
          <cell r="B19" t="str">
            <v>Adaptador Hembra PVC 3"</v>
          </cell>
        </row>
        <row r="20">
          <cell r="B20" t="str">
            <v>Adaptador Hembra PVC 3/4"</v>
          </cell>
        </row>
        <row r="21">
          <cell r="B21" t="str">
            <v>Adaptador Hembra PVC1/2"</v>
          </cell>
        </row>
        <row r="22">
          <cell r="B22" t="str">
            <v>Adaptador Hembra PVC4"</v>
          </cell>
        </row>
        <row r="23">
          <cell r="B23" t="str">
            <v>Adaptador Terminal PVC 1 1/2"</v>
          </cell>
        </row>
        <row r="24">
          <cell r="B24" t="str">
            <v>Adaptador Terminal PVC 1 1/4"</v>
          </cell>
        </row>
        <row r="25">
          <cell r="B25" t="str">
            <v>Adaptador Terminal PVC 1"</v>
          </cell>
        </row>
        <row r="26">
          <cell r="B26" t="str">
            <v>Adaptador Terminal PVC 1/2"</v>
          </cell>
        </row>
        <row r="27">
          <cell r="B27" t="str">
            <v>Adaptador Terminal PVC 2"</v>
          </cell>
        </row>
        <row r="28">
          <cell r="B28" t="str">
            <v>Adaptador Terminal PVC 3"</v>
          </cell>
        </row>
        <row r="29">
          <cell r="B29" t="str">
            <v>Adaptador Terminal PVC 3/4"</v>
          </cell>
        </row>
        <row r="30">
          <cell r="B30" t="str">
            <v>Adaptador Terminal PVC 4"</v>
          </cell>
        </row>
        <row r="31">
          <cell r="B31" t="str">
            <v>Agua</v>
          </cell>
        </row>
        <row r="32">
          <cell r="B32" t="str">
            <v>Aislador Para Barraje</v>
          </cell>
        </row>
        <row r="33">
          <cell r="B33" t="str">
            <v>Aislador Polimérico 13.2 kv</v>
          </cell>
        </row>
        <row r="34">
          <cell r="B34" t="str">
            <v>Aislador Polimérico 7.2 kv</v>
          </cell>
        </row>
        <row r="35">
          <cell r="B35" t="str">
            <v>Aislador Polimérico De Retención para 13.2kv.</v>
          </cell>
        </row>
        <row r="36">
          <cell r="B36" t="str">
            <v>Aislador Polimérico De Retención para 24kv.</v>
          </cell>
        </row>
        <row r="37">
          <cell r="B37" t="str">
            <v>Aislador Polimérico para 4160v</v>
          </cell>
        </row>
        <row r="38">
          <cell r="B38" t="str">
            <v>Aislador Post-Line para 13,2kv</v>
          </cell>
        </row>
        <row r="39">
          <cell r="B39" t="str">
            <v>Aislador Post-Line para 24kv</v>
          </cell>
        </row>
        <row r="40">
          <cell r="B40" t="str">
            <v>Aislador Post-Line para 34kv</v>
          </cell>
        </row>
        <row r="41">
          <cell r="B41" t="str">
            <v>Aislador Post-Line para 4160kv</v>
          </cell>
        </row>
        <row r="42">
          <cell r="B42" t="str">
            <v>Aisladores para barraje 25mm</v>
          </cell>
        </row>
        <row r="43">
          <cell r="B43" t="str">
            <v>Aisladores para barraje 30 mm</v>
          </cell>
        </row>
        <row r="44">
          <cell r="B44" t="str">
            <v>Aisladores para barraje 35 mm</v>
          </cell>
        </row>
        <row r="45">
          <cell r="B45" t="str">
            <v>Aisladores para barraje 51 mm</v>
          </cell>
        </row>
        <row r="46">
          <cell r="B46" t="str">
            <v>Aislador Tensor 3"</v>
          </cell>
        </row>
        <row r="47">
          <cell r="B47" t="str">
            <v>Aislador Tensor 4"</v>
          </cell>
        </row>
        <row r="48">
          <cell r="B48" t="str">
            <v>Aisladores De Disco 10"</v>
          </cell>
        </row>
        <row r="49">
          <cell r="B49" t="str">
            <v>Aisladores Multipart (line post)</v>
          </cell>
        </row>
        <row r="50">
          <cell r="B50" t="str">
            <v>Aisladores Tipo Carrete 3 3/8"</v>
          </cell>
        </row>
        <row r="51">
          <cell r="B51" t="str">
            <v>Ajustador PINTUCO ref. 121.135</v>
          </cell>
        </row>
        <row r="52">
          <cell r="B52" t="str">
            <v>Alambre cobre desnudo # 10</v>
          </cell>
        </row>
        <row r="53">
          <cell r="B53" t="str">
            <v>Alambre cobre desnudo # 12</v>
          </cell>
        </row>
        <row r="54">
          <cell r="B54" t="str">
            <v>Alambre De Cobre Desnudo #10 AWG</v>
          </cell>
        </row>
        <row r="55">
          <cell r="B55" t="str">
            <v>Alambre De Cobre Desnudo #12 AWG</v>
          </cell>
        </row>
        <row r="56">
          <cell r="B56" t="str">
            <v>Alambre forrado THWN # 10</v>
          </cell>
        </row>
        <row r="57">
          <cell r="B57" t="str">
            <v>Alambre forrado THWN # 12</v>
          </cell>
        </row>
        <row r="58">
          <cell r="B58" t="str">
            <v>Alambre forrado THWN # 14</v>
          </cell>
        </row>
        <row r="59">
          <cell r="B59" t="str">
            <v>Alambre Negro No.18</v>
          </cell>
        </row>
        <row r="60">
          <cell r="B60" t="str">
            <v>Alambre No 10 THHN Amarillo</v>
          </cell>
        </row>
        <row r="61">
          <cell r="B61" t="str">
            <v>Alambre No 10 THHN Azul</v>
          </cell>
        </row>
        <row r="62">
          <cell r="B62" t="str">
            <v>Alambre No 10 THHN Blanco</v>
          </cell>
        </row>
        <row r="63">
          <cell r="B63" t="str">
            <v>Alambre No 10 THHN Negro</v>
          </cell>
        </row>
        <row r="64">
          <cell r="B64" t="str">
            <v>Alambre No 10 THHN Rojo</v>
          </cell>
        </row>
        <row r="65">
          <cell r="B65" t="str">
            <v>Alambre No 12 THHN Amarillo</v>
          </cell>
        </row>
        <row r="66">
          <cell r="B66" t="str">
            <v>Alambre No 12 THHN Azul</v>
          </cell>
        </row>
        <row r="67">
          <cell r="B67" t="str">
            <v>Alambre No 12 THHN Blanco</v>
          </cell>
        </row>
        <row r="68">
          <cell r="B68" t="str">
            <v>Alambre No 12 THHN Negro</v>
          </cell>
        </row>
        <row r="69">
          <cell r="B69" t="str">
            <v>Alambre No 12 THHN Rojo</v>
          </cell>
        </row>
        <row r="70">
          <cell r="B70" t="str">
            <v>Alambre No 12 THHN verde</v>
          </cell>
        </row>
        <row r="71">
          <cell r="B71" t="str">
            <v>Alambre No 14 THHN</v>
          </cell>
        </row>
        <row r="72">
          <cell r="B72" t="str">
            <v>Alambre No 8 THHN</v>
          </cell>
        </row>
        <row r="73">
          <cell r="B73" t="str">
            <v>Alambre Verde</v>
          </cell>
        </row>
        <row r="74">
          <cell r="B74" t="str">
            <v>Amarra plastica 10"</v>
          </cell>
        </row>
        <row r="75">
          <cell r="B75" t="str">
            <v>Amarra plastica 4"</v>
          </cell>
        </row>
        <row r="76">
          <cell r="B76" t="str">
            <v>Amarra plastica 8"</v>
          </cell>
        </row>
        <row r="77">
          <cell r="B77" t="str">
            <v>Amarras Plásticas</v>
          </cell>
        </row>
        <row r="78">
          <cell r="B78" t="str">
            <v>Amortiguador Para Cable De Guarda</v>
          </cell>
        </row>
        <row r="79">
          <cell r="B79" t="str">
            <v>Amortiguador Para Línea De 69kv Para Cable AAAC de 556.5mcm</v>
          </cell>
        </row>
        <row r="80">
          <cell r="B80" t="str">
            <v>Anclaje de 3/8 x 3"</v>
          </cell>
        </row>
        <row r="81">
          <cell r="B81" t="str">
            <v>Anclaje hilti HD4</v>
          </cell>
        </row>
        <row r="82">
          <cell r="B82" t="str">
            <v>Anclaje plastico 1/4"</v>
          </cell>
        </row>
        <row r="83">
          <cell r="B83" t="str">
            <v xml:space="preserve">Angulo acero inoxidable 3/16 x 1 1/2" </v>
          </cell>
        </row>
        <row r="84">
          <cell r="B84" t="str">
            <v xml:space="preserve">Angulo acero inoxidable 3/16 x 2" </v>
          </cell>
        </row>
        <row r="85">
          <cell r="B85" t="str">
            <v>Angulo de 1/4"x2"x2" x 1250</v>
          </cell>
        </row>
        <row r="86">
          <cell r="B86" t="str">
            <v>Angulo de 1/4"x2"x2" x 950</v>
          </cell>
        </row>
        <row r="87">
          <cell r="B87" t="str">
            <v>Angulo de 3/16x1x6mts</v>
          </cell>
        </row>
        <row r="88">
          <cell r="B88" t="str">
            <v>Angulo perforado para techo</v>
          </cell>
        </row>
        <row r="89">
          <cell r="B89" t="str">
            <v>Arandela 1/2; 5/8; 11/16; 3/4</v>
          </cell>
        </row>
        <row r="90">
          <cell r="B90" t="str">
            <v>Arandela Cuadrada 11/16"</v>
          </cell>
        </row>
        <row r="91">
          <cell r="B91" t="str">
            <v>Arandela Cuadrada 9/16"</v>
          </cell>
        </row>
        <row r="92">
          <cell r="B92" t="str">
            <v>Arandela De 2x2  de 5/8</v>
          </cell>
        </row>
        <row r="93">
          <cell r="B93" t="str">
            <v>Arandela De presion</v>
          </cell>
        </row>
        <row r="94">
          <cell r="B94" t="str">
            <v>Arandela plana redonda 5/8</v>
          </cell>
        </row>
        <row r="95">
          <cell r="B95" t="str">
            <v>Arena</v>
          </cell>
        </row>
        <row r="96">
          <cell r="B96" t="str">
            <v>Arnés de seguridad (1)</v>
          </cell>
        </row>
        <row r="97">
          <cell r="B97" t="str">
            <v>Arrancador GV2DM103</v>
          </cell>
        </row>
        <row r="98">
          <cell r="B98" t="str">
            <v>Arrancador GV2DM104</v>
          </cell>
        </row>
        <row r="99">
          <cell r="B99" t="str">
            <v>Arrancador GV2DM105</v>
          </cell>
        </row>
        <row r="100">
          <cell r="B100" t="str">
            <v>Arrancador GV2DM106</v>
          </cell>
        </row>
        <row r="101">
          <cell r="B101" t="str">
            <v>Arrancador GV2DM107</v>
          </cell>
        </row>
        <row r="102">
          <cell r="B102" t="str">
            <v>Arrancador GV2DM108</v>
          </cell>
        </row>
        <row r="103">
          <cell r="B103" t="str">
            <v>Arrancador GV2DM110</v>
          </cell>
        </row>
        <row r="104">
          <cell r="B104" t="str">
            <v>Arrancador GV2DM114</v>
          </cell>
        </row>
        <row r="105">
          <cell r="B105" t="str">
            <v>Arrancador GV2DM116</v>
          </cell>
        </row>
        <row r="106">
          <cell r="B106" t="str">
            <v>Arrancador GV2DM120</v>
          </cell>
        </row>
        <row r="107">
          <cell r="B107" t="str">
            <v>Arrancador GV2DM121</v>
          </cell>
        </row>
        <row r="108">
          <cell r="B108" t="str">
            <v>Arrancador GV2DM122</v>
          </cell>
        </row>
        <row r="109">
          <cell r="B109" t="str">
            <v>Arrancador GV2DM132</v>
          </cell>
        </row>
        <row r="110">
          <cell r="B110" t="str">
            <v>Arrancador luminaria MH 250W</v>
          </cell>
        </row>
        <row r="111">
          <cell r="B111" t="str">
            <v>Avisos En Acrílico y Vinilo Reflectivo  0.3 x 0.4 m</v>
          </cell>
        </row>
        <row r="112">
          <cell r="B112" t="str">
            <v xml:space="preserve">Balasto de 175 a 400 W MH  CWA  </v>
          </cell>
        </row>
        <row r="113">
          <cell r="B113" t="str">
            <v xml:space="preserve">Balasto de 250 a 400 W sodio  CWA </v>
          </cell>
        </row>
        <row r="114">
          <cell r="B114" t="str">
            <v>Balasto de 250 W MH  220 V</v>
          </cell>
        </row>
        <row r="115">
          <cell r="B115" t="str">
            <v>Balasto de 4x32 electronico 120V T8</v>
          </cell>
        </row>
        <row r="116">
          <cell r="B116" t="str">
            <v xml:space="preserve">Balasto de 70 a 150 W sodio  CWA </v>
          </cell>
        </row>
        <row r="117">
          <cell r="B117" t="str">
            <v>Balasto Electronico 4 x 17w</v>
          </cell>
        </row>
        <row r="118">
          <cell r="B118" t="str">
            <v>BALASTO ELECTRONICO DE 2 x 32 W. T-8 PHILLLIPS</v>
          </cell>
        </row>
        <row r="119">
          <cell r="B119" t="str">
            <v>BALASTO SLIN LINE DE 2 X 48" 39W.</v>
          </cell>
        </row>
        <row r="120">
          <cell r="B120" t="str">
            <v>Balasto reactor de 250 W MH  220 V</v>
          </cell>
        </row>
        <row r="121">
          <cell r="B121" t="str">
            <v>Baldosa Granito</v>
          </cell>
        </row>
        <row r="122">
          <cell r="B122" t="str">
            <v>Banda galvanizada de 6-7</v>
          </cell>
        </row>
        <row r="123">
          <cell r="B123" t="str">
            <v>Banda soporte de 1/2"</v>
          </cell>
        </row>
        <row r="124">
          <cell r="B124" t="str">
            <v>Bandeja Portacables Galv. 10 x 8cm</v>
          </cell>
        </row>
        <row r="125">
          <cell r="B125" t="str">
            <v>Bandeja Portacables Galv. 20 liv</v>
          </cell>
        </row>
        <row r="126">
          <cell r="B126" t="str">
            <v>Bandeja Portacables Galv. 20 x 8cm</v>
          </cell>
        </row>
        <row r="127">
          <cell r="B127" t="str">
            <v>Bandeja Portacables Galv. 30 x 8cm</v>
          </cell>
        </row>
        <row r="128">
          <cell r="B128" t="str">
            <v>Bandeja Portacables Galv. 40 x 8cm</v>
          </cell>
        </row>
        <row r="129">
          <cell r="B129" t="str">
            <v>Barraje De 316*2*0.33 m</v>
          </cell>
        </row>
        <row r="130">
          <cell r="B130" t="str">
            <v>Barraje de cobre De  1/4 x 1 1/2”</v>
          </cell>
        </row>
        <row r="131">
          <cell r="B131" t="str">
            <v>Barraje de cobre De  1/4 x 1” -</v>
          </cell>
        </row>
        <row r="132">
          <cell r="B132" t="str">
            <v>Barraje de cobre De  1/4 x 2” -</v>
          </cell>
        </row>
        <row r="133">
          <cell r="B133" t="str">
            <v>Barraje de cobre De  1/8 x 1/2” -</v>
          </cell>
        </row>
        <row r="134">
          <cell r="B134" t="str">
            <v xml:space="preserve">Barraje de cobre De  1/8 x3/4” </v>
          </cell>
        </row>
        <row r="135">
          <cell r="B135" t="str">
            <v>Barraje de cobre De  3/16 x 3/4”</v>
          </cell>
        </row>
        <row r="136">
          <cell r="B136" t="str">
            <v>Barraje de cobre De  3/8 x 2” -</v>
          </cell>
        </row>
        <row r="137">
          <cell r="B137" t="str">
            <v xml:space="preserve">Barraje de cobre De  3/8 x 3” </v>
          </cell>
        </row>
        <row r="138">
          <cell r="B138" t="str">
            <v>Barraje de cobre De  5/16 x 2” -</v>
          </cell>
        </row>
        <row r="139">
          <cell r="B139" t="str">
            <v>Barraje de cobre De  5/16 x 3”</v>
          </cell>
        </row>
        <row r="140">
          <cell r="B140" t="str">
            <v>Base autoadhesiva 21x21</v>
          </cell>
        </row>
        <row r="141">
          <cell r="B141" t="str">
            <v>Base autoadhesiva 25x25</v>
          </cell>
        </row>
        <row r="142">
          <cell r="B142" t="str">
            <v>Base de bronce</v>
          </cell>
        </row>
        <row r="143">
          <cell r="B143" t="str">
            <v>Base Fotocelda</v>
          </cell>
        </row>
        <row r="144">
          <cell r="B144" t="str">
            <v>Base rele 11 pines</v>
          </cell>
        </row>
        <row r="145">
          <cell r="B145" t="str">
            <v>Bayoneta Doble 1/4 x 2 1/2 x 1 m</v>
          </cell>
        </row>
        <row r="146">
          <cell r="B146" t="str">
            <v>Bayoneta Sencilla 1/4 x 2 1/2 x 1 m</v>
          </cell>
        </row>
        <row r="147">
          <cell r="B147" t="str">
            <v>Bombilla de MH  1000 W</v>
          </cell>
        </row>
        <row r="148">
          <cell r="B148" t="str">
            <v>Bombilla de MH  150 - 250 W</v>
          </cell>
        </row>
        <row r="149">
          <cell r="B149" t="str">
            <v>Bombilla de MH  400 W</v>
          </cell>
        </row>
        <row r="150">
          <cell r="B150" t="str">
            <v>Bombilla de neon o tipo bayoneta piloto o pulsadores luminosos</v>
          </cell>
        </row>
        <row r="151">
          <cell r="B151" t="str">
            <v>Bombilla de sodio 1000  W</v>
          </cell>
        </row>
        <row r="152">
          <cell r="B152" t="str">
            <v>Bombilla de sodio 70 -400  W</v>
          </cell>
        </row>
        <row r="153">
          <cell r="B153" t="str">
            <v>Bombilla incandescente de 100 W</v>
          </cell>
        </row>
        <row r="154">
          <cell r="B154" t="str">
            <v>Bombilla luz mixta 160 W  110V</v>
          </cell>
        </row>
        <row r="155">
          <cell r="B155" t="str">
            <v>Bombillo ahorrador de 11- 23 W</v>
          </cell>
        </row>
        <row r="156">
          <cell r="B156" t="str">
            <v>Bonder Alambre No. 4 Cobre Desnudo</v>
          </cell>
        </row>
        <row r="157">
          <cell r="B157" t="str">
            <v>Boquilla 1 1/2"  aislada</v>
          </cell>
        </row>
        <row r="158">
          <cell r="B158" t="str">
            <v>Boquilla 1"   aislada</v>
          </cell>
        </row>
        <row r="159">
          <cell r="B159" t="str">
            <v>Boquilla 1/2"  aislada</v>
          </cell>
        </row>
        <row r="160">
          <cell r="B160" t="str">
            <v>Boquilla 2"  aislada</v>
          </cell>
        </row>
        <row r="161">
          <cell r="B161" t="str">
            <v>Boquilla 3"  aislada</v>
          </cell>
        </row>
        <row r="162">
          <cell r="B162" t="str">
            <v>Boquilla 3/4"  aislada</v>
          </cell>
        </row>
        <row r="163">
          <cell r="B163" t="str">
            <v>Boquilla 4"  aislada</v>
          </cell>
        </row>
        <row r="164">
          <cell r="B164" t="str">
            <v>Borna de conexión 24 amps</v>
          </cell>
        </row>
        <row r="165">
          <cell r="B165" t="str">
            <v>Borna de conexión cable 10  47 amps</v>
          </cell>
        </row>
        <row r="166">
          <cell r="B166" t="str">
            <v>Bota pre moldeada termo contráctil  de 4” para cable  XenLPE hasta el 4/0</v>
          </cell>
        </row>
        <row r="167">
          <cell r="B167" t="str">
            <v>BOTON SELECTOR 2 POSICIONES X B4BD33</v>
          </cell>
        </row>
        <row r="168">
          <cell r="B168" t="str">
            <v>Brazo para luminaria Calima</v>
          </cell>
        </row>
        <row r="169">
          <cell r="B169" t="str">
            <v>Brazo pa iluminacion galv. 1 1/4 x 2mts</v>
          </cell>
        </row>
        <row r="170">
          <cell r="B170" t="str">
            <v xml:space="preserve">Breaker 3x20 tipo riel </v>
          </cell>
        </row>
        <row r="171">
          <cell r="B171" t="str">
            <v xml:space="preserve">Breaker 3x40 tipo riel </v>
          </cell>
        </row>
        <row r="172">
          <cell r="B172" t="str">
            <v>Breaker con unidad magnetica MA 100 
ref 430835 NSX 160H</v>
          </cell>
        </row>
        <row r="173">
          <cell r="B173" t="str">
            <v>Breaker enchufable 1x20 amps</v>
          </cell>
        </row>
        <row r="174">
          <cell r="B174" t="str">
            <v>Breaker enchufable 2x20 amps</v>
          </cell>
        </row>
        <row r="175">
          <cell r="B175" t="str">
            <v>Breaker enchufable 2x30 amps</v>
          </cell>
        </row>
        <row r="176">
          <cell r="B176" t="str">
            <v>Breaker enchufable 2x40 amps</v>
          </cell>
        </row>
        <row r="177">
          <cell r="B177" t="str">
            <v>Breaker enchufable 3x20 amps</v>
          </cell>
        </row>
        <row r="178">
          <cell r="B178" t="str">
            <v>Breaker enchufable 3x30 amps</v>
          </cell>
        </row>
        <row r="179">
          <cell r="B179" t="str">
            <v>Breaker enchufable 3x40 amps</v>
          </cell>
        </row>
        <row r="180">
          <cell r="B180" t="str">
            <v>Breaker enchufable HOM GFI 1x20 amps</v>
          </cell>
        </row>
        <row r="181">
          <cell r="B181" t="str">
            <v>Breaker Industrial 3f En Caja Moldeable Ajustable De 100-125 Amp, 250v 85ka</v>
          </cell>
        </row>
        <row r="182">
          <cell r="B182" t="str">
            <v>Breaker Industrial 3f En Caja Moldeable Ajustable De 128-160 Amp, 250v 85ka</v>
          </cell>
        </row>
        <row r="183">
          <cell r="B183" t="str">
            <v>Breaker Industrial 3f En Caja Moldeable Ajustable De 160-200 Amp, 250v 85ka</v>
          </cell>
        </row>
        <row r="184">
          <cell r="B184" t="str">
            <v>Breaker Industrial 3f En Caja Moldeable Ajustable De 160-400 Amp, 250v 40ka ref LV540306</v>
          </cell>
        </row>
        <row r="185">
          <cell r="B185" t="str">
            <v>Breaker Industrial 3f En Caja Moldeable Ajustable De 200-250 Amp, 250v 85ka</v>
          </cell>
        </row>
        <row r="186">
          <cell r="B186" t="str">
            <v>Breaker Industrial 3f En Caja Moldeable Ajustable De 224-320 Amp, 250v 40 ka ref LV540305</v>
          </cell>
        </row>
        <row r="187">
          <cell r="B187" t="str">
            <v>Breaker Industrial 3f En Caja Moldeable Ajustable De 32-40 Amp, 250v 40ka</v>
          </cell>
        </row>
        <row r="188">
          <cell r="B188" t="str">
            <v>Breaker Industrial 3f En Caja Moldeable Ajustable De 50.4-63 Amp,  250v 40ka</v>
          </cell>
        </row>
        <row r="189">
          <cell r="B189" t="str">
            <v>Breaker Industrial 3f En Caja Moldeable Ajustable De 64-80 Amp,  250v 40ka</v>
          </cell>
        </row>
        <row r="190">
          <cell r="B190" t="str">
            <v xml:space="preserve">Breaker Industrial 3f En Caja Moldeable Ajustable De 80-100 Amp ,250v 40ka, </v>
          </cell>
        </row>
        <row r="191">
          <cell r="B191" t="str">
            <v>Breaker Industrial 3f En Caja Moldeable De 15 Amp, Para Montaje En Riel Omega, 250v 10ka</v>
          </cell>
        </row>
        <row r="192">
          <cell r="B192" t="str">
            <v>Breaker Industrial 3f En Caja Moldeable De 20 Amp, 250v 10ka</v>
          </cell>
        </row>
        <row r="193">
          <cell r="B193" t="str">
            <v>Breaker Industrial 3f En Caja Moldeable De 30 Amp, 250v 10ka</v>
          </cell>
        </row>
        <row r="194">
          <cell r="B194" t="str">
            <v>Breaker Industrial 3f En Caja Moldeable
Ajustable De 160-400 amp, 250v 85ka.</v>
          </cell>
        </row>
        <row r="195">
          <cell r="B195" t="str">
            <v>Breaker Industrial de 800 A</v>
          </cell>
        </row>
        <row r="196">
          <cell r="B196" t="str">
            <v>Breaker industrial EZC100N 100 A</v>
          </cell>
        </row>
        <row r="197">
          <cell r="B197" t="str">
            <v>breaker industrial EZC100N 20 A</v>
          </cell>
        </row>
        <row r="198">
          <cell r="B198" t="str">
            <v>breaker industrial EZC100N 30 A</v>
          </cell>
        </row>
        <row r="199">
          <cell r="B199" t="str">
            <v>breaker industrial EZC100N 40 A</v>
          </cell>
        </row>
        <row r="200">
          <cell r="B200" t="str">
            <v>breaker industrial EZC100N 50 A</v>
          </cell>
        </row>
        <row r="201">
          <cell r="B201" t="str">
            <v>breaker industrial EZC100N 60 A</v>
          </cell>
        </row>
        <row r="202">
          <cell r="B202" t="str">
            <v>Breaker industrial EZC100N 80 A</v>
          </cell>
        </row>
        <row r="203">
          <cell r="B203" t="str">
            <v>breaker industrial EZC250N 125 A</v>
          </cell>
        </row>
        <row r="204">
          <cell r="B204" t="str">
            <v xml:space="preserve">breaker industrial EZC250N 150 A </v>
          </cell>
        </row>
        <row r="205">
          <cell r="B205" t="str">
            <v>breaker industrial EZC250N 200 A</v>
          </cell>
        </row>
        <row r="206">
          <cell r="B206" t="str">
            <v>breaker industrial EZC250N 250 A</v>
          </cell>
        </row>
        <row r="207">
          <cell r="B207" t="str">
            <v>BREAKER INDUSTRIAL EZC 3X100AMP</v>
          </cell>
        </row>
        <row r="208">
          <cell r="B208" t="str">
            <v>BREAKER INDUSTRIAL  EZC 3X125AMP</v>
          </cell>
        </row>
        <row r="209">
          <cell r="B209" t="str">
            <v>BREAKER INDUSTRIAL  EZC 3X15 AMP</v>
          </cell>
        </row>
        <row r="210">
          <cell r="B210" t="str">
            <v>BREAKER INDUSTRIAL  EZC 3X20 AMP</v>
          </cell>
        </row>
        <row r="211">
          <cell r="B211" t="str">
            <v>BREAKER INDUSTRIAL  EZC 3X225AMP</v>
          </cell>
        </row>
        <row r="212">
          <cell r="B212" t="str">
            <v>BREAKER INDUSTRIAL  EZC 3X30 AMP</v>
          </cell>
        </row>
        <row r="213">
          <cell r="B213" t="str">
            <v>BREAKER INDUSTRIAL  EZC 3X40 AMP</v>
          </cell>
        </row>
        <row r="214">
          <cell r="B214" t="str">
            <v>BREAKER INDUSTRIAL  EZC 3X50 AMP</v>
          </cell>
        </row>
        <row r="215">
          <cell r="B215" t="str">
            <v>BREAKER INDUSTRIAL  EZC 3X60AMP</v>
          </cell>
        </row>
        <row r="216">
          <cell r="B216" t="str">
            <v>BREAKER INDUSTRIAL  EZC 3X80 AMP</v>
          </cell>
        </row>
        <row r="217">
          <cell r="B217" t="str">
            <v>Breaker industrial EZC250N 80 a 100 A</v>
          </cell>
        </row>
        <row r="218">
          <cell r="B218" t="str">
            <v xml:space="preserve">Breaker K60 monopolar 1x40/50/60 A </v>
          </cell>
        </row>
        <row r="219">
          <cell r="B219" t="str">
            <v>Breaker multi 9 C60N 3x1 amp</v>
          </cell>
        </row>
        <row r="220">
          <cell r="B220" t="str">
            <v>Breaker multi 9 C60N 3x2 amp</v>
          </cell>
        </row>
        <row r="221">
          <cell r="B221" t="str">
            <v>Breaker multi 9 C60N bipolar 2x1 amp</v>
          </cell>
        </row>
        <row r="222">
          <cell r="B222" t="str">
            <v>Breaker multi 9 C60N monopolar 10 a 32 amps</v>
          </cell>
        </row>
        <row r="223">
          <cell r="B223" t="str">
            <v>Breaker multi 9 C60N monopolar 1x2 amp</v>
          </cell>
        </row>
        <row r="224">
          <cell r="B224" t="str">
            <v>Breaker multi 9 C60N monopolar 40 a 63 amps</v>
          </cell>
        </row>
        <row r="225">
          <cell r="B225" t="str">
            <v>BREAKER MULTINUEVE DOMAE 1X20</v>
          </cell>
        </row>
        <row r="226">
          <cell r="B226" t="str">
            <v>BREAKER MULTINUEVE DOMAE 1X25</v>
          </cell>
        </row>
        <row r="227">
          <cell r="B227" t="str">
            <v>BREAKER MULTINUEVE DOMAE 1X32</v>
          </cell>
        </row>
        <row r="228">
          <cell r="B228" t="str">
            <v>BREAKER MULTINUEVE DOMAE 1x40</v>
          </cell>
        </row>
        <row r="229">
          <cell r="B229" t="str">
            <v>BREAKER MULTINUEVE DOMAE 2X10</v>
          </cell>
        </row>
        <row r="230">
          <cell r="B230" t="str">
            <v>BREAKER MULTINUEVE DOMAE 2X16</v>
          </cell>
        </row>
        <row r="231">
          <cell r="B231" t="str">
            <v>BREAKER MULTINUEVE DOMAE 2X20</v>
          </cell>
        </row>
        <row r="232">
          <cell r="B232" t="str">
            <v>BREAKER MULTINUEVE DOMAE 2X25</v>
          </cell>
        </row>
        <row r="233">
          <cell r="B233" t="str">
            <v>BREAKER MULTINUEVE DOMAE 2X32</v>
          </cell>
        </row>
        <row r="234">
          <cell r="B234" t="str">
            <v>BREAKER MULTINUEVE DOMAE 2X40</v>
          </cell>
        </row>
        <row r="235">
          <cell r="B235" t="str">
            <v>BREAKER MULTINUEVE DOMAE 2X50</v>
          </cell>
        </row>
        <row r="236">
          <cell r="B236" t="str">
            <v>BREAKER MULTINUEVE DOMAE 2X6</v>
          </cell>
        </row>
        <row r="237">
          <cell r="B237" t="str">
            <v>BREAKER MULTINUEVE DOMAE 3x16</v>
          </cell>
        </row>
        <row r="238">
          <cell r="B238" t="str">
            <v>BREAKER MULTINUEVE DOMAE 3X20</v>
          </cell>
        </row>
        <row r="239">
          <cell r="B239" t="str">
            <v>BREAKER MULTINUEVE DOMAE 3X32</v>
          </cell>
        </row>
        <row r="240">
          <cell r="B240" t="str">
            <v>BREAKER MULTINUEVE K60 1X10</v>
          </cell>
        </row>
        <row r="241">
          <cell r="B241" t="str">
            <v>BREAKER MULTINUEVE K60 1X6</v>
          </cell>
        </row>
        <row r="242">
          <cell r="B242" t="str">
            <v>BREAKER MULTINUEVE K60 1x63</v>
          </cell>
        </row>
        <row r="243">
          <cell r="B243" t="str">
            <v>BREAKER MULTINUEVE K60 2X16</v>
          </cell>
        </row>
        <row r="244">
          <cell r="B244" t="str">
            <v>BREAKER MULTINUEVE K60 2X63</v>
          </cell>
        </row>
        <row r="245">
          <cell r="B245" t="str">
            <v>BREAKER MULTINUEVE K60 3X10</v>
          </cell>
        </row>
        <row r="246">
          <cell r="B246" t="str">
            <v>BREAKER NSX100F/TM DE 28/40AMP LV 429634</v>
          </cell>
        </row>
        <row r="247">
          <cell r="B247" t="str">
            <v>BREAKER NSX100F/TM DE 44/63AMP LV29632</v>
          </cell>
        </row>
        <row r="248">
          <cell r="B248" t="str">
            <v>BREAKER NSX100F/TM DE 56/80AMP LV 429631</v>
          </cell>
        </row>
        <row r="249">
          <cell r="B249" t="str">
            <v xml:space="preserve">BREAKER NSX100F/TM DE 70/100AMP LV 429630 </v>
          </cell>
        </row>
        <row r="250">
          <cell r="B250" t="str">
            <v>BREAKER SENCILLO THQL SIEMEN</v>
          </cell>
        </row>
        <row r="251">
          <cell r="B251" t="str">
            <v xml:space="preserve">BREAKER SQUAR-D FAL 36330 30AMP </v>
          </cell>
        </row>
        <row r="252">
          <cell r="B252" t="str">
            <v xml:space="preserve">BREAKER SQUAR-D KAL 31625 125AMP </v>
          </cell>
        </row>
        <row r="253">
          <cell r="B253" t="str">
            <v>BREAKER TM 125 DE 88/125AMP LV 430631</v>
          </cell>
        </row>
        <row r="254">
          <cell r="B254" t="str">
            <v>BREAKER TM 250 DE 175/250AMP LV.431630</v>
          </cell>
        </row>
        <row r="255">
          <cell r="B255" t="str">
            <v>Cable 2 × 10 AWG</v>
          </cell>
        </row>
        <row r="256">
          <cell r="B256" t="str">
            <v>Cable 2 × 12 AWG</v>
          </cell>
        </row>
        <row r="257">
          <cell r="B257" t="str">
            <v>Cable 2 × 14 AWG</v>
          </cell>
        </row>
        <row r="258">
          <cell r="B258" t="str">
            <v>Cable 2 × 16 AWG</v>
          </cell>
        </row>
        <row r="259">
          <cell r="B259" t="str">
            <v>Cable 2 × 6 AWG</v>
          </cell>
        </row>
        <row r="260">
          <cell r="B260" t="str">
            <v>Cable 2 × 8 AWG</v>
          </cell>
        </row>
        <row r="261">
          <cell r="B261" t="str">
            <v>Cable 3 × 10 AWG</v>
          </cell>
        </row>
        <row r="262">
          <cell r="B262" t="str">
            <v>Cable 3 × 14 AWG</v>
          </cell>
        </row>
        <row r="263">
          <cell r="B263" t="str">
            <v>Cable 3 × 16 AWG</v>
          </cell>
        </row>
        <row r="264">
          <cell r="B264" t="str">
            <v>Cable 3 × 18 AWG</v>
          </cell>
        </row>
        <row r="265">
          <cell r="B265" t="str">
            <v>Cable 3 × 6 AWG</v>
          </cell>
        </row>
        <row r="266">
          <cell r="B266" t="str">
            <v>Cable 3 × 8 AWG</v>
          </cell>
        </row>
        <row r="267">
          <cell r="B267" t="str">
            <v>Cable 4 × 10 AWG</v>
          </cell>
        </row>
        <row r="268">
          <cell r="B268" t="str">
            <v>Cable 4 × 12 AWG</v>
          </cell>
        </row>
        <row r="269">
          <cell r="B269" t="str">
            <v>Cable 4 × 14 AWG</v>
          </cell>
        </row>
        <row r="270">
          <cell r="B270" t="str">
            <v>Cable 4 × 16 AWG</v>
          </cell>
        </row>
        <row r="271">
          <cell r="B271" t="str">
            <v>Cable 4 × 18 AWG</v>
          </cell>
        </row>
        <row r="272">
          <cell r="B272" t="str">
            <v>Cable 4 × 6 AWG</v>
          </cell>
        </row>
        <row r="273">
          <cell r="B273" t="str">
            <v>Cable 4 × 8 AWG</v>
          </cell>
        </row>
        <row r="274">
          <cell r="B274" t="str">
            <v>CABLE 4PR UTP CAT 6 GRIS CM 305m</v>
          </cell>
        </row>
        <row r="275">
          <cell r="B275" t="str">
            <v>Cable ACSR No 1/0</v>
          </cell>
        </row>
        <row r="276">
          <cell r="B276" t="str">
            <v>Cable ACSR No 2</v>
          </cell>
        </row>
        <row r="277">
          <cell r="B277" t="str">
            <v>Cable ACSR No 2/0</v>
          </cell>
        </row>
        <row r="278">
          <cell r="B278" t="str">
            <v>Cable ACSR No 4</v>
          </cell>
        </row>
        <row r="279">
          <cell r="B279" t="str">
            <v>Cable Alumoweld 7 no. 10</v>
          </cell>
        </row>
        <row r="280">
          <cell r="B280" t="str">
            <v>Cable Alumoweld 7 no. 8</v>
          </cell>
        </row>
        <row r="281">
          <cell r="B281" t="str">
            <v>Cable concentrico 2 x 8 + 8</v>
          </cell>
        </row>
        <row r="282">
          <cell r="B282" t="str">
            <v>Cable Concentrico ARE Cu 75oC 3X6+6 AWG 600V (PE/PVC)</v>
          </cell>
        </row>
        <row r="283">
          <cell r="B283" t="str">
            <v>Cable De 3/8" Para Retenida</v>
          </cell>
        </row>
        <row r="284">
          <cell r="B284" t="str">
            <v>Cable De Acero Galvanizado De 1/4 SUPERGX</v>
          </cell>
        </row>
        <row r="285">
          <cell r="B285" t="str">
            <v>Cable De Cobre Desnudo #1/0 AWG</v>
          </cell>
        </row>
        <row r="286">
          <cell r="B286" t="str">
            <v>Cable De Cobre Desnudo #10 AWG</v>
          </cell>
        </row>
        <row r="287">
          <cell r="B287" t="str">
            <v>Cable De Cobre Desnudo #12 AWG</v>
          </cell>
        </row>
        <row r="288">
          <cell r="B288" t="str">
            <v>Cable De Cobre Desnudo #2 AWG</v>
          </cell>
        </row>
        <row r="289">
          <cell r="B289" t="str">
            <v>Cable De Cobre Desnudo #2/0 AWG</v>
          </cell>
        </row>
        <row r="290">
          <cell r="B290" t="str">
            <v>Cable De Cobre Desnudo #4 AWG</v>
          </cell>
        </row>
        <row r="291">
          <cell r="B291" t="str">
            <v>Cable De Cobre Desnudo #4/0 AWG</v>
          </cell>
        </row>
        <row r="292">
          <cell r="B292" t="str">
            <v>Cable De Cobre Desnudo #6 AWG</v>
          </cell>
        </row>
        <row r="293">
          <cell r="B293" t="str">
            <v>Cable De Cobre Desnudo #8 AWG</v>
          </cell>
        </row>
        <row r="294">
          <cell r="B294" t="str">
            <v>Cable De Cobre Desnudo 350MCM</v>
          </cell>
        </row>
        <row r="295">
          <cell r="B295" t="str">
            <v>Cable duplex plano 2x14</v>
          </cell>
        </row>
        <row r="296">
          <cell r="B296" t="str">
            <v>Cable encauchetado 2 × 18 AWG</v>
          </cell>
        </row>
        <row r="297">
          <cell r="B297" t="str">
            <v>Cable Encauchetado 3x12</v>
          </cell>
        </row>
        <row r="298">
          <cell r="B298" t="str">
            <v>Cable Encauchetado 3x10</v>
          </cell>
        </row>
        <row r="299">
          <cell r="B299" t="str">
            <v>Cable encauchetado 3x8</v>
          </cell>
        </row>
        <row r="300">
          <cell r="B300" t="str">
            <v>cable encauchetado 4x10</v>
          </cell>
        </row>
        <row r="301">
          <cell r="B301" t="str">
            <v>cable encauchetado 4x12</v>
          </cell>
        </row>
        <row r="302">
          <cell r="B302" t="str">
            <v>cable encauchetado 4 x 14</v>
          </cell>
        </row>
        <row r="303">
          <cell r="B303" t="str">
            <v>Cable Encauchetado 4x4 potencia</v>
          </cell>
        </row>
        <row r="304">
          <cell r="B304" t="str">
            <v>Cable encauchetado 7×12 + 20 AWG</v>
          </cell>
        </row>
        <row r="305">
          <cell r="B305" t="str">
            <v>Cable encauchetado 7×14 +20  AWG</v>
          </cell>
        </row>
        <row r="306">
          <cell r="B306" t="str">
            <v>Cable encauchetado pltc 24×14 + 20 AWG</v>
          </cell>
        </row>
        <row r="307">
          <cell r="B307" t="str">
            <v>Cable encauchetado pltc 4×18 + 20 AWG</v>
          </cell>
        </row>
        <row r="308">
          <cell r="B308" t="str">
            <v>Cable instrumentacion 18x18+20 apant</v>
          </cell>
        </row>
        <row r="309">
          <cell r="B309" t="str">
            <v>Cable instrumentacion 2x16+20 apant</v>
          </cell>
        </row>
        <row r="310">
          <cell r="B310" t="str">
            <v>Cable instrumentacion 4x16+20 apant</v>
          </cell>
        </row>
        <row r="311">
          <cell r="B311" t="str">
            <v>Cable instrumentacion 9x18+20 apant</v>
          </cell>
        </row>
        <row r="312">
          <cell r="B312" t="str">
            <v>Cable mensajero 1/4"</v>
          </cell>
        </row>
        <row r="313">
          <cell r="B313" t="str">
            <v>Cable No 1/0 THW</v>
          </cell>
        </row>
        <row r="314">
          <cell r="B314" t="str">
            <v>Cable No 10 AWG - THW Amarillo</v>
          </cell>
        </row>
        <row r="315">
          <cell r="B315" t="str">
            <v>Cable No 10 AWG - THW Azul</v>
          </cell>
        </row>
        <row r="316">
          <cell r="B316" t="str">
            <v>Cable No 10 AWG - THW Blanco</v>
          </cell>
        </row>
        <row r="317">
          <cell r="B317" t="str">
            <v>Cable No 10 AWG - THW Negro</v>
          </cell>
        </row>
        <row r="318">
          <cell r="B318" t="str">
            <v>Cable No 10 AWG - THW Rojo</v>
          </cell>
        </row>
        <row r="319">
          <cell r="B319" t="str">
            <v>Cable No 10 AWG - THW Verde</v>
          </cell>
        </row>
        <row r="320">
          <cell r="B320" t="str">
            <v>Cable No 12 AWG - THW Amarillo</v>
          </cell>
        </row>
        <row r="321">
          <cell r="B321" t="str">
            <v>Cable No 12 AWG - THW Azul</v>
          </cell>
        </row>
        <row r="322">
          <cell r="B322" t="str">
            <v>Cable No 12 AWG - THW Blanco</v>
          </cell>
        </row>
        <row r="323">
          <cell r="B323" t="str">
            <v>Cable No 12 AWG - THW Negro</v>
          </cell>
        </row>
        <row r="324">
          <cell r="B324" t="str">
            <v>Cable No 12 AWG - THW Rojo</v>
          </cell>
        </row>
        <row r="325">
          <cell r="B325" t="str">
            <v>Cable No 12 AWG - THW Verde</v>
          </cell>
        </row>
        <row r="326">
          <cell r="B326" t="str">
            <v>Cable No 14 AWG - THW</v>
          </cell>
        </row>
        <row r="327">
          <cell r="B327" t="str">
            <v>Cable No 2 AWG - THW</v>
          </cell>
        </row>
        <row r="328">
          <cell r="B328" t="str">
            <v>Cable No 4 AWG - THW</v>
          </cell>
        </row>
        <row r="329">
          <cell r="B329" t="str">
            <v>Cable No 6 AWG - THW</v>
          </cell>
        </row>
        <row r="330">
          <cell r="B330" t="str">
            <v>Cable No 8 AWG - THW</v>
          </cell>
        </row>
        <row r="331">
          <cell r="B331" t="str">
            <v>Cable No. 2/0 THW</v>
          </cell>
        </row>
        <row r="332">
          <cell r="B332" t="str">
            <v>Cable No. 250 MCM THHN</v>
          </cell>
        </row>
        <row r="333">
          <cell r="B333" t="str">
            <v>Cable No. 3/0 THW</v>
          </cell>
        </row>
        <row r="334">
          <cell r="B334" t="str">
            <v>Cable No. 300 MCM THHN</v>
          </cell>
        </row>
        <row r="335">
          <cell r="B335" t="str">
            <v>Cable No. 350 MCM THHN</v>
          </cell>
        </row>
        <row r="336">
          <cell r="B336" t="str">
            <v>Cable No. 4/0 THW</v>
          </cell>
        </row>
        <row r="337">
          <cell r="B337" t="str">
            <v>Cable No. 400 MCM THHN</v>
          </cell>
        </row>
        <row r="338">
          <cell r="B338" t="str">
            <v>Cable No. 500 MCM THHN</v>
          </cell>
        </row>
        <row r="339">
          <cell r="B339" t="str">
            <v>Cable RG 6 U</v>
          </cell>
        </row>
        <row r="340">
          <cell r="B340" t="str">
            <v>Cable telefonico de 10 pares</v>
          </cell>
        </row>
        <row r="341">
          <cell r="B341" t="str">
            <v>Cable TFF No 16</v>
          </cell>
        </row>
        <row r="342">
          <cell r="B342" t="str">
            <v>Cable THW 1/0 AL  Serie 8000 135 A</v>
          </cell>
        </row>
        <row r="343">
          <cell r="B343" t="str">
            <v>Cable THW 2 AL  Serie 8000 100 A</v>
          </cell>
        </row>
        <row r="344">
          <cell r="B344" t="str">
            <v>Cable THW 4 AL  Serie 8000 100 A</v>
          </cell>
        </row>
        <row r="345">
          <cell r="B345" t="str">
            <v>Cable THW 4/0 AL  Serie 8000 135 A</v>
          </cell>
        </row>
        <row r="346">
          <cell r="B346" t="str">
            <v>Cable Trenzado 4 x 1/0</v>
          </cell>
        </row>
        <row r="347">
          <cell r="B347" t="str">
            <v>Cable Trenzado 4 x 2</v>
          </cell>
        </row>
        <row r="348">
          <cell r="B348" t="str">
            <v>Cable Trenzado 4 x 4</v>
          </cell>
        </row>
        <row r="349">
          <cell r="B349" t="str">
            <v>Cable Trenzado 4 x 6</v>
          </cell>
        </row>
        <row r="350">
          <cell r="B350" t="str">
            <v>Cable UTP 4x2x24  amp cat 6  200 MHz</v>
          </cell>
        </row>
        <row r="351">
          <cell r="B351" t="str">
            <v>Cable XLPE No 1/0 100 %</v>
          </cell>
        </row>
        <row r="352">
          <cell r="B352" t="str">
            <v>Cable XLPE No 2  100 %</v>
          </cell>
        </row>
        <row r="353">
          <cell r="B353" t="str">
            <v>Cable XLPE No 2  133 %</v>
          </cell>
        </row>
        <row r="354">
          <cell r="B354" t="str">
            <v>Cable XLPE No 2/0 100 %</v>
          </cell>
        </row>
        <row r="355">
          <cell r="B355" t="str">
            <v>Caja De Distribución Eléctrica De 6x6x4" - Nema 12 cal 18</v>
          </cell>
        </row>
        <row r="356">
          <cell r="B356" t="str">
            <v>Caja De Distribución Eléctrica De 8x8x4"  - Nema 12 cal 18</v>
          </cell>
        </row>
        <row r="357">
          <cell r="B357" t="str">
            <v>Caja de empalme 8x8x6</v>
          </cell>
        </row>
        <row r="358">
          <cell r="B358" t="str">
            <v>Caja de empalme 15x15x10</v>
          </cell>
        </row>
        <row r="359">
          <cell r="B359" t="str">
            <v>Caja de empalme 20x20x15</v>
          </cell>
        </row>
        <row r="360">
          <cell r="B360" t="str">
            <v>Caja de empalme 50x50x20</v>
          </cell>
        </row>
        <row r="361">
          <cell r="B361" t="str">
            <v>Caja Doble ( 4x4" ) (Fundida Para Sobreponer)</v>
          </cell>
        </row>
        <row r="362">
          <cell r="B362" t="str">
            <v>Caja Doble ( 4x4" ) (Lámina PVC  Para Empotrar)</v>
          </cell>
        </row>
        <row r="363">
          <cell r="B363" t="str">
            <v>Caja doble (4x4")  (Fundida Para Sobreponer)</v>
          </cell>
        </row>
        <row r="364">
          <cell r="B364" t="str">
            <v>Caja doble (4x4")  PVC o galv incrustar</v>
          </cell>
        </row>
        <row r="365">
          <cell r="B365" t="str">
            <v>Caja IP 65 30x20x16</v>
          </cell>
        </row>
        <row r="366">
          <cell r="B366" t="str">
            <v>Caja metalica distribucion metálica CDM12</v>
          </cell>
        </row>
        <row r="367">
          <cell r="B367" t="str">
            <v>Caja metalica distribucion metálica CDM4</v>
          </cell>
        </row>
        <row r="368">
          <cell r="B368" t="str">
            <v>Caja metalica distribucion metálica CDM6</v>
          </cell>
        </row>
        <row r="369">
          <cell r="B369" t="str">
            <v>Caja metalica distribucion metálica CDM9</v>
          </cell>
        </row>
        <row r="370">
          <cell r="B370" t="str">
            <v>Caja minipragma opaca 6 pasos sobreponer multi 9</v>
          </cell>
        </row>
        <row r="371">
          <cell r="B371" t="str">
            <v>Caja minipragma transparente 10 pasos incrustar multi 9</v>
          </cell>
        </row>
        <row r="372">
          <cell r="B372" t="str">
            <v>Caja minipragma transparente 16 pasos incrustar multi 9</v>
          </cell>
        </row>
        <row r="373">
          <cell r="B373" t="str">
            <v>Caja Octagonal (Fundida Para Sobreponer)</v>
          </cell>
        </row>
        <row r="374">
          <cell r="B374" t="str">
            <v>Caja Octagonal (Lámina Para Empotrar)</v>
          </cell>
        </row>
        <row r="375">
          <cell r="B375" t="str">
            <v>Caja Octagonal PVC</v>
          </cell>
        </row>
        <row r="376">
          <cell r="B376" t="str">
            <v>CAJAS PRIMARIAS 15 KV</v>
          </cell>
        </row>
        <row r="377">
          <cell r="B377" t="str">
            <v>Caja para Medidor Tipo C</v>
          </cell>
        </row>
        <row r="378">
          <cell r="B378" t="str">
            <v>Caja PVC 2x4 Para Empotrar</v>
          </cell>
        </row>
        <row r="379">
          <cell r="B379" t="str">
            <v>Caja PVC 4x4</v>
          </cell>
        </row>
        <row r="380">
          <cell r="B380" t="str">
            <v>Caja Plástica Dexson 2x4 Para Sobreponer, Utilizadas Con Canaleta</v>
          </cell>
        </row>
        <row r="381">
          <cell r="B381" t="str">
            <v>CAJA RAWELT GALVANIZADA OCTAGONAL 4 SALIDAS 3/4</v>
          </cell>
        </row>
        <row r="382">
          <cell r="B382" t="str">
            <v>Cajas Radwelt 2 x 4</v>
          </cell>
        </row>
        <row r="383">
          <cell r="B383" t="str">
            <v>Cajas Radwelt 2 x 4 salida 3/4</v>
          </cell>
        </row>
        <row r="384">
          <cell r="B384" t="str">
            <v>Cajas Radwelt 4 x 4 salida 3/4</v>
          </cell>
        </row>
        <row r="385">
          <cell r="B385" t="str">
            <v>Cajas Radwelt 4 x 4</v>
          </cell>
        </row>
        <row r="386">
          <cell r="B386" t="str">
            <v>Caja Sencilla (2x4")  (Fundida Para Sobreponer)</v>
          </cell>
        </row>
        <row r="387">
          <cell r="B387" t="str">
            <v>Caja Sencilla (2x4") (Lámina Para Empotrar)</v>
          </cell>
        </row>
        <row r="388">
          <cell r="B388" t="str">
            <v>Canaleta c/division de 11x5 c/tapa</v>
          </cell>
        </row>
        <row r="389">
          <cell r="B389" t="str">
            <v>Canaleta DLP</v>
          </cell>
        </row>
        <row r="390">
          <cell r="B390" t="str">
            <v>Canaleta Metálica De 10 x 12.5mm</v>
          </cell>
        </row>
        <row r="391">
          <cell r="B391" t="str">
            <v xml:space="preserve">Canaleta Metálica De 10 x 8 cm  C 22 TA  </v>
          </cell>
        </row>
        <row r="392">
          <cell r="B392" t="str">
            <v>Canaleta Metálica De 20 x 12.5mm</v>
          </cell>
        </row>
        <row r="393">
          <cell r="B393" t="str">
            <v>Canaleta Metálica De 20 x 8 cm  C 22 TA</v>
          </cell>
        </row>
        <row r="394">
          <cell r="B394" t="str">
            <v>Canaleta Metálica De 30 x 8 cm  C 22 TA</v>
          </cell>
        </row>
        <row r="395">
          <cell r="B395" t="str">
            <v>Canaleta Metálica De 32 x 12.5mm</v>
          </cell>
        </row>
        <row r="396">
          <cell r="B396" t="str">
            <v>Canaleta Metálica De 40 x 12,5 mm</v>
          </cell>
        </row>
        <row r="397">
          <cell r="B397" t="str">
            <v>Canaleta Plástica 10x12,5</v>
          </cell>
        </row>
        <row r="398">
          <cell r="B398" t="str">
            <v>Canaleta Plástica 20x12,5</v>
          </cell>
        </row>
        <row r="399">
          <cell r="B399" t="str">
            <v>Canaleta Plástica 32x12,5</v>
          </cell>
        </row>
        <row r="400">
          <cell r="B400" t="str">
            <v>Canaleta ranurada 60x40</v>
          </cell>
        </row>
        <row r="401">
          <cell r="B401" t="str">
            <v>Canaleta soporte colgante</v>
          </cell>
        </row>
        <row r="402">
          <cell r="B402" t="str">
            <v>Candado Master</v>
          </cell>
        </row>
        <row r="403">
          <cell r="B403" t="str">
            <v>Capacete De 1 1/2"</v>
          </cell>
        </row>
        <row r="404">
          <cell r="B404" t="str">
            <v>Capacete De 1", 3/4", o 1/2"</v>
          </cell>
        </row>
        <row r="405">
          <cell r="B405" t="str">
            <v>Capacete De 2"</v>
          </cell>
        </row>
        <row r="406">
          <cell r="B406" t="str">
            <v>Capacete De 3"</v>
          </cell>
        </row>
        <row r="407">
          <cell r="B407" t="str">
            <v>Celda con seccionador y fusibles HH 630 amps</v>
          </cell>
        </row>
        <row r="408">
          <cell r="B408" t="str">
            <v xml:space="preserve">Celda de Proteccion con seccionador de Operación Bajo Carga Base Portafusibles </v>
          </cell>
        </row>
        <row r="409">
          <cell r="B409" t="str">
            <v>Celda de Remonte de Cables Sin Barraje GAM-0</v>
          </cell>
        </row>
        <row r="410">
          <cell r="B410" t="str">
            <v>Celda para transformador de 225 KVA</v>
          </cell>
        </row>
        <row r="411">
          <cell r="B411" t="str">
            <v>Cemento Gris</v>
          </cell>
        </row>
        <row r="412">
          <cell r="B412" t="str">
            <v>Certificacion RETIE</v>
          </cell>
        </row>
        <row r="413">
          <cell r="B413" t="str">
            <v>Channel alto</v>
          </cell>
        </row>
        <row r="414">
          <cell r="B414" t="str">
            <v>Channel bajo</v>
          </cell>
        </row>
        <row r="415">
          <cell r="B415" t="str">
            <v>Channel acero inoxidable</v>
          </cell>
        </row>
        <row r="416">
          <cell r="B416" t="str">
            <v>Chazos</v>
          </cell>
        </row>
        <row r="417">
          <cell r="B417" t="str">
            <v>Chico</v>
          </cell>
        </row>
        <row r="418">
          <cell r="B418" t="str">
            <v>Cinta bandit</v>
          </cell>
        </row>
        <row r="419">
          <cell r="B419" t="str">
            <v>Cinta Demarcacion</v>
          </cell>
        </row>
        <row r="420">
          <cell r="B420" t="str">
            <v>Cinta super 33</v>
          </cell>
        </row>
        <row r="421">
          <cell r="B421" t="str">
            <v>CINTA SCOTH #23</v>
          </cell>
        </row>
        <row r="422">
          <cell r="B422" t="str">
            <v>CINTA SCOTH #50</v>
          </cell>
        </row>
        <row r="423">
          <cell r="B423" t="str">
            <v>Cinta tenflex 1700 x 10 mts</v>
          </cell>
        </row>
        <row r="424">
          <cell r="B424" t="str">
            <v>Cinta tenflex 1700 x 20 mts</v>
          </cell>
        </row>
        <row r="425">
          <cell r="B425" t="str">
            <v>Clavija 20A Twis Lock Uso Industrial Leviton O Similar 110v</v>
          </cell>
        </row>
        <row r="426">
          <cell r="B426" t="str">
            <v>Clavija 30A Twis Lock Uso Industrial Leviton O Similar ref 2621</v>
          </cell>
        </row>
        <row r="427">
          <cell r="B427" t="str">
            <v>Clavija 30A Twis Lock Uso Industrial Leviton O Similar ref 2721</v>
          </cell>
        </row>
        <row r="428">
          <cell r="B428" t="str">
            <v>Clavija 30A Twis Lock Uso Industrial Leviton O Similar ref 2811</v>
          </cell>
        </row>
        <row r="429">
          <cell r="B429" t="str">
            <v xml:space="preserve">Clavija Con Polo A Tierra De 20 Amp. A 120v. </v>
          </cell>
        </row>
        <row r="430">
          <cell r="B430" t="str">
            <v xml:space="preserve">Clavija de caucho con polo a tierra 15 amp 110 V </v>
          </cell>
        </row>
        <row r="431">
          <cell r="B431" t="str">
            <v>CLAVIJAS NEMA L16-20 AMP</v>
          </cell>
        </row>
        <row r="432">
          <cell r="B432" t="str">
            <v>CLAVIJAS NEMA L15-30 AMP</v>
          </cell>
        </row>
        <row r="433">
          <cell r="B433" t="str">
            <v>CLAVIJAS NEMA L5-20 AMP</v>
          </cell>
        </row>
        <row r="434">
          <cell r="B434" t="str">
            <v>CLAVIJAS NEMA L6-30 AMP</v>
          </cell>
        </row>
        <row r="435">
          <cell r="B435" t="str">
            <v>Clavija Trifásica Tripolar De 20 Amp - 250v, 4 hilos leviton</v>
          </cell>
        </row>
        <row r="436">
          <cell r="B436" t="str">
            <v>Clavija Trifásica Tripolar De 30 Amp - 250v, 4 hilos leviton</v>
          </cell>
        </row>
        <row r="437">
          <cell r="B437" t="str">
            <v>Clavija Trifásica Tripolar De 50 Amp - 250v, 4 hilos leviton o similar</v>
          </cell>
        </row>
        <row r="438">
          <cell r="B438" t="str">
            <v>Clavo de 2" (puntilla)</v>
          </cell>
        </row>
        <row r="439">
          <cell r="B439" t="str">
            <v>Clevis 10"</v>
          </cell>
        </row>
        <row r="440">
          <cell r="B440" t="str">
            <v>Clevis 6"</v>
          </cell>
        </row>
        <row r="441">
          <cell r="B441" t="str">
            <v>Codo 1" sch 40</v>
          </cell>
        </row>
        <row r="442">
          <cell r="B442" t="str">
            <v>Codo 1/2" sch 40</v>
          </cell>
        </row>
        <row r="443">
          <cell r="B443" t="str">
            <v>Codo 3/4" sch 40</v>
          </cell>
        </row>
        <row r="444">
          <cell r="B444" t="str">
            <v>Cofre De 30x20x15</v>
          </cell>
        </row>
        <row r="445">
          <cell r="B445" t="str">
            <v>Cofre De 40x30x20</v>
          </cell>
        </row>
        <row r="446">
          <cell r="B446" t="str">
            <v>Cofre De 50x30x20</v>
          </cell>
        </row>
        <row r="447">
          <cell r="B447" t="str">
            <v>Cofre De 50x40x20</v>
          </cell>
        </row>
        <row r="448">
          <cell r="B448" t="str">
            <v>Cofre De 60x40x25</v>
          </cell>
        </row>
        <row r="449">
          <cell r="B449" t="str">
            <v>Cofre Lamina Galv  100x80x30</v>
          </cell>
        </row>
        <row r="450">
          <cell r="B450" t="str">
            <v>Cofre Lamina Galv  90x70x30</v>
          </cell>
        </row>
        <row r="451">
          <cell r="B451" t="str">
            <v>Cofre Lamina Galv 120x80x40</v>
          </cell>
        </row>
        <row r="452">
          <cell r="B452" t="str">
            <v>Cofre Lamina Galv 150x80x40</v>
          </cell>
        </row>
        <row r="453">
          <cell r="B453" t="str">
            <v>Cofre Lamina Galv 200x120x100</v>
          </cell>
        </row>
        <row r="454">
          <cell r="B454" t="str">
            <v>Cofre Lamina Galv 200x120x100 sin barraje</v>
          </cell>
        </row>
        <row r="455">
          <cell r="B455" t="str">
            <v>Cofre Lamina Galv 70x50x25</v>
          </cell>
        </row>
        <row r="456">
          <cell r="B456" t="str">
            <v>Cofre Plástico Transparente IP65 de 16 cm de profundidad</v>
          </cell>
        </row>
        <row r="457">
          <cell r="B457" t="str">
            <v>Collarín De Doble Derivación De 6-7 pulg.</v>
          </cell>
        </row>
        <row r="458">
          <cell r="B458" t="str">
            <v>Collarín De Doble Derivación De 7-8 pulg.</v>
          </cell>
        </row>
        <row r="459">
          <cell r="B459" t="str">
            <v>Collarín De Doble Derivación De 8-9 pulg.</v>
          </cell>
        </row>
        <row r="460">
          <cell r="B460" t="str">
            <v>Combustible</v>
          </cell>
        </row>
        <row r="461">
          <cell r="B461" t="str">
            <v>Concreto fc=2000 psi</v>
          </cell>
        </row>
        <row r="462">
          <cell r="B462" t="str">
            <v>Concreto fc=2500 psi</v>
          </cell>
        </row>
        <row r="463">
          <cell r="B463" t="str">
            <v>Concreto fc=3000 psi</v>
          </cell>
        </row>
        <row r="464">
          <cell r="B464" t="str">
            <v>Concreto fc=4000 psi</v>
          </cell>
        </row>
        <row r="465">
          <cell r="B465" t="str">
            <v>Condensador de 12 kvar 240V</v>
          </cell>
        </row>
        <row r="466">
          <cell r="B466" t="str">
            <v>Condensador de 30 uf 220V</v>
          </cell>
        </row>
        <row r="467">
          <cell r="B467" t="str">
            <v>Condensador de 6 kvar 240V</v>
          </cell>
        </row>
        <row r="468">
          <cell r="B468" t="str">
            <v>Conductor ACSR 1/0</v>
          </cell>
        </row>
        <row r="469">
          <cell r="B469" t="str">
            <v>Conductor ACSR 2</v>
          </cell>
        </row>
        <row r="470">
          <cell r="B470" t="str">
            <v>Conductor ACSR 2/0</v>
          </cell>
        </row>
        <row r="471">
          <cell r="B471" t="str">
            <v>Conductor ACSR 4</v>
          </cell>
        </row>
        <row r="472">
          <cell r="B472" t="str">
            <v>Conductor ACSR 4/0</v>
          </cell>
        </row>
        <row r="473">
          <cell r="B473" t="str">
            <v>Conductor XLPE Para 15kv, 1/0</v>
          </cell>
        </row>
        <row r="474">
          <cell r="B474" t="str">
            <v>Conductor XLPE Para 15kv, 2</v>
          </cell>
        </row>
        <row r="475">
          <cell r="B475" t="str">
            <v>Conductor XLPE Para 15kv, 2/0</v>
          </cell>
        </row>
        <row r="476">
          <cell r="B476" t="str">
            <v>Conductor XLPE Para 15kv, 250mcm</v>
          </cell>
        </row>
        <row r="477">
          <cell r="B477" t="str">
            <v>Conductor XLPE Para 15kv, 3/0</v>
          </cell>
        </row>
        <row r="478">
          <cell r="B478" t="str">
            <v>Conductor XLPE Para 15kv, 4/0</v>
          </cell>
        </row>
        <row r="479">
          <cell r="B479" t="str">
            <v>Conduleta PVC LB 1/2</v>
          </cell>
        </row>
        <row r="480">
          <cell r="B480" t="str">
            <v>Conduleta PVC LB 3/4</v>
          </cell>
        </row>
        <row r="481">
          <cell r="B481" t="str">
            <v>Conduleta PVC  LB 1</v>
          </cell>
        </row>
        <row r="482">
          <cell r="B482" t="str">
            <v>Conduleta PVC LB  1 1/2</v>
          </cell>
        </row>
        <row r="483">
          <cell r="B483" t="str">
            <v>Conduleta PVC LB 2</v>
          </cell>
        </row>
        <row r="484">
          <cell r="B484" t="str">
            <v>Conduleta PVC LR 1/2</v>
          </cell>
        </row>
        <row r="485">
          <cell r="B485" t="str">
            <v>ConduletaPVC  LR 3/4</v>
          </cell>
        </row>
        <row r="486">
          <cell r="B486" t="str">
            <v>Conduleta PVC LR 1</v>
          </cell>
        </row>
        <row r="487">
          <cell r="B487" t="str">
            <v>Conduleta PVC LR  1 1/2</v>
          </cell>
        </row>
        <row r="488">
          <cell r="B488" t="str">
            <v>Conduleta PVC LR 2</v>
          </cell>
        </row>
        <row r="489">
          <cell r="B489" t="str">
            <v>ConduletaPVC  LL 1/2</v>
          </cell>
        </row>
        <row r="490">
          <cell r="B490" t="str">
            <v>ConduletaPVC LL 3/4</v>
          </cell>
        </row>
        <row r="491">
          <cell r="B491" t="str">
            <v>Conduleta PVC LL 1</v>
          </cell>
        </row>
        <row r="492">
          <cell r="B492" t="str">
            <v>Conduleta PVC LL  1 1/2</v>
          </cell>
        </row>
        <row r="493">
          <cell r="B493" t="str">
            <v>Conduleta PVC LL 2</v>
          </cell>
        </row>
        <row r="494">
          <cell r="B494" t="str">
            <v>Conduleta PVC LT 1/2</v>
          </cell>
        </row>
        <row r="495">
          <cell r="B495" t="str">
            <v>Conduleta PVC LT 3/4</v>
          </cell>
        </row>
        <row r="496">
          <cell r="B496" t="str">
            <v>Conduleta PVC LT 1</v>
          </cell>
        </row>
        <row r="497">
          <cell r="B497" t="str">
            <v>Conduleta PVC LT 1 1/2</v>
          </cell>
        </row>
        <row r="498">
          <cell r="B498" t="str">
            <v>ConduletaPVC  LT 2</v>
          </cell>
        </row>
        <row r="499">
          <cell r="B499" t="str">
            <v>Conduleta LB 1/2</v>
          </cell>
        </row>
        <row r="500">
          <cell r="B500" t="str">
            <v>Conduleta LB 3/4</v>
          </cell>
        </row>
        <row r="501">
          <cell r="B501" t="str">
            <v>Conduleta LB 1</v>
          </cell>
        </row>
        <row r="502">
          <cell r="B502" t="str">
            <v>Conduleta LB  1 1/2</v>
          </cell>
        </row>
        <row r="503">
          <cell r="B503" t="str">
            <v>Conduleta LB 2</v>
          </cell>
        </row>
        <row r="504">
          <cell r="B504" t="str">
            <v>Conduleta LR 1/2</v>
          </cell>
        </row>
        <row r="505">
          <cell r="B505" t="str">
            <v>Conduleta LR 3/4</v>
          </cell>
        </row>
        <row r="506">
          <cell r="B506" t="str">
            <v>Conduleta LR 1</v>
          </cell>
        </row>
        <row r="507">
          <cell r="B507" t="str">
            <v>Conduleta LR  1 1/2</v>
          </cell>
        </row>
        <row r="508">
          <cell r="B508" t="str">
            <v>Conduleta LR 2</v>
          </cell>
        </row>
        <row r="509">
          <cell r="B509" t="str">
            <v>Conduleta LL 1/2</v>
          </cell>
        </row>
        <row r="510">
          <cell r="B510" t="str">
            <v>Conduleta LL 3/4</v>
          </cell>
        </row>
        <row r="511">
          <cell r="B511" t="str">
            <v>Conduleta LL 1</v>
          </cell>
        </row>
        <row r="512">
          <cell r="B512" t="str">
            <v>Conduleta LL  1 1/2</v>
          </cell>
        </row>
        <row r="513">
          <cell r="B513" t="str">
            <v>Conduleta LL 2</v>
          </cell>
        </row>
        <row r="514">
          <cell r="B514" t="str">
            <v>Conduleta LT 1/2</v>
          </cell>
        </row>
        <row r="515">
          <cell r="B515" t="str">
            <v>Conduleta LT 3/4</v>
          </cell>
        </row>
        <row r="516">
          <cell r="B516" t="str">
            <v>Conduleta LT 1</v>
          </cell>
        </row>
        <row r="517">
          <cell r="B517" t="str">
            <v>Conduleta LT 1 1/2</v>
          </cell>
        </row>
        <row r="518">
          <cell r="B518" t="str">
            <v>Conduleta LT 2</v>
          </cell>
        </row>
        <row r="519">
          <cell r="B519" t="str">
            <v>Conduleta EMT de 1 1/4" liviana</v>
          </cell>
        </row>
        <row r="520">
          <cell r="B520" t="str">
            <v>Conduleta EMT de 1 liviana</v>
          </cell>
        </row>
        <row r="521">
          <cell r="B521" t="str">
            <v>Conduleta EMT de 1/2 liviana</v>
          </cell>
        </row>
        <row r="522">
          <cell r="B522" t="str">
            <v>Conduleta EMT de 1-1/2 liviana</v>
          </cell>
        </row>
        <row r="523">
          <cell r="B523" t="str">
            <v>Conduleta EMT de 2 liviana</v>
          </cell>
        </row>
        <row r="524">
          <cell r="B524" t="str">
            <v>Conduleta EMT de 3 liviana</v>
          </cell>
        </row>
        <row r="525">
          <cell r="B525" t="str">
            <v>Conduleta EMT de 3/4 liviana</v>
          </cell>
        </row>
        <row r="526">
          <cell r="B526" t="str">
            <v>Conduleta GUAB o GUAL  16 1/2"</v>
          </cell>
        </row>
        <row r="527">
          <cell r="B527" t="str">
            <v>Conduleta GUAB o GUAL  26 3/4"</v>
          </cell>
        </row>
        <row r="528">
          <cell r="B528" t="str">
            <v>Conduleta GUAB o GUAL  36 1"</v>
          </cell>
        </row>
        <row r="529">
          <cell r="B529" t="str">
            <v>Conduleta GUAB o GUAL  56 1 1/2"</v>
          </cell>
        </row>
        <row r="530">
          <cell r="B530" t="str">
            <v>Conduleta GUAB o GUAL  66 2"</v>
          </cell>
        </row>
        <row r="531">
          <cell r="B531" t="str">
            <v>Conduleta pesada   1 1/2"</v>
          </cell>
        </row>
        <row r="532">
          <cell r="B532" t="str">
            <v>Conduleta pesada   1 1/4"</v>
          </cell>
        </row>
        <row r="533">
          <cell r="B533" t="str">
            <v>Conduleta pesada   1"</v>
          </cell>
        </row>
        <row r="534">
          <cell r="B534" t="str">
            <v>Conduleta pesada   1/2"</v>
          </cell>
        </row>
        <row r="535">
          <cell r="B535" t="str">
            <v>Conduleta pesada   2"</v>
          </cell>
        </row>
        <row r="536">
          <cell r="B536" t="str">
            <v>Conduleta pesada   3"</v>
          </cell>
        </row>
        <row r="537">
          <cell r="B537" t="str">
            <v>Conduleta pesada   3/4"</v>
          </cell>
        </row>
        <row r="538">
          <cell r="B538" t="str">
            <v>Conduleta pesada   4"</v>
          </cell>
        </row>
        <row r="539">
          <cell r="B539" t="str">
            <v>Conduleta PVC Tipo C De 1 1/4"</v>
          </cell>
        </row>
        <row r="540">
          <cell r="B540" t="str">
            <v>Conduleta PVC Tipo C De 1"</v>
          </cell>
        </row>
        <row r="541">
          <cell r="B541" t="str">
            <v>Conduleta PVC Tipo C De 1/2"</v>
          </cell>
        </row>
        <row r="542">
          <cell r="B542" t="str">
            <v>Conduleta PVC Tipo C De 1-1/2"</v>
          </cell>
        </row>
        <row r="543">
          <cell r="B543" t="str">
            <v>Conduleta PVC Tipo C De 2"</v>
          </cell>
        </row>
        <row r="544">
          <cell r="B544" t="str">
            <v>Conduleta PVC Tipo C De 3"</v>
          </cell>
        </row>
        <row r="545">
          <cell r="B545" t="str">
            <v>Conduleta PVC Tipo C De 3/4"</v>
          </cell>
        </row>
        <row r="546">
          <cell r="B546" t="str">
            <v>Conduleta PVC Tipo C De 4"</v>
          </cell>
        </row>
        <row r="547">
          <cell r="B547" t="str">
            <v>Conector Ampact</v>
          </cell>
        </row>
        <row r="548">
          <cell r="B548" t="str">
            <v xml:space="preserve">Conector ampact aislado 2 al 3/0  </v>
          </cell>
        </row>
        <row r="549">
          <cell r="B549" t="str">
            <v>Conector ampact aislado  4/0 al 300 MCM</v>
          </cell>
        </row>
        <row r="550">
          <cell r="B550" t="str">
            <v xml:space="preserve">Conector ampact tipo aluminio cuña 2 al 4/0 </v>
          </cell>
        </row>
        <row r="551">
          <cell r="B551" t="str">
            <v>Conector autodesf XA 3m 80610052765</v>
          </cell>
        </row>
        <row r="552">
          <cell r="B552" t="str">
            <v>Conector curvo de 2" no metalico</v>
          </cell>
        </row>
        <row r="553">
          <cell r="B553" t="str">
            <v>Conector de tierra Burndy Catalog Number: GC4C4C</v>
          </cell>
        </row>
        <row r="554">
          <cell r="B554" t="str">
            <v>Conector EMT 1 1/4"</v>
          </cell>
        </row>
        <row r="555">
          <cell r="B555" t="str">
            <v>Conector EMT 1"</v>
          </cell>
        </row>
        <row r="556">
          <cell r="B556" t="str">
            <v>Conector EMT 1/2"</v>
          </cell>
        </row>
        <row r="557">
          <cell r="B557" t="str">
            <v>Conector EMT 1-1/2"</v>
          </cell>
        </row>
        <row r="558">
          <cell r="B558" t="str">
            <v>Conector EMT 2"</v>
          </cell>
        </row>
        <row r="559">
          <cell r="B559" t="str">
            <v>Conector EMT 3/4"</v>
          </cell>
        </row>
        <row r="560">
          <cell r="B560" t="str">
            <v>Conector EMT  3"</v>
          </cell>
        </row>
        <row r="561">
          <cell r="B561" t="str">
            <v>Conector EMT  4"</v>
          </cell>
        </row>
        <row r="562">
          <cell r="B562" t="str">
            <v>Conector GAR 2"</v>
          </cell>
        </row>
        <row r="563">
          <cell r="B563" t="str">
            <v>Conector GAR 3"</v>
          </cell>
        </row>
        <row r="564">
          <cell r="B564" t="str">
            <v>Conector hub 1/2</v>
          </cell>
        </row>
        <row r="565">
          <cell r="B565" t="str">
            <v>Conector hub 3/4</v>
          </cell>
        </row>
        <row r="566">
          <cell r="B566" t="str">
            <v>Conector hub 1</v>
          </cell>
        </row>
        <row r="567">
          <cell r="B567" t="str">
            <v>Conector hub 2</v>
          </cell>
        </row>
        <row r="568">
          <cell r="B568" t="str">
            <v xml:space="preserve">Conector Liquid Tight De 1 1/2" </v>
          </cell>
        </row>
        <row r="569">
          <cell r="B569" t="str">
            <v xml:space="preserve">Conector Liquid Tight De 1 1/4" </v>
          </cell>
        </row>
        <row r="570">
          <cell r="B570" t="str">
            <v xml:space="preserve">Conector Liquid Tight De 1" </v>
          </cell>
        </row>
        <row r="571">
          <cell r="B571" t="str">
            <v xml:space="preserve">Conector Liquid Tight De 1/2" </v>
          </cell>
        </row>
        <row r="572">
          <cell r="B572" t="str">
            <v xml:space="preserve">Conector Liquid Tight De 2" </v>
          </cell>
        </row>
        <row r="573">
          <cell r="B573" t="str">
            <v>Conector Liquid Tight De 3"</v>
          </cell>
        </row>
        <row r="574">
          <cell r="B574" t="str">
            <v xml:space="preserve">Conector Liquid Tight De 3/4" </v>
          </cell>
        </row>
        <row r="575">
          <cell r="B575" t="str">
            <v>Conector Pvc 1/2</v>
          </cell>
        </row>
        <row r="576">
          <cell r="B576" t="str">
            <v>Conector Pvc 3/4</v>
          </cell>
        </row>
        <row r="577">
          <cell r="B577" t="str">
            <v>Conector Pvc 1</v>
          </cell>
        </row>
        <row r="578">
          <cell r="B578" t="str">
            <v>Conector Pvc 1 1/2</v>
          </cell>
        </row>
        <row r="579">
          <cell r="B579" t="str">
            <v>Conector Pvc 1 1/4</v>
          </cell>
        </row>
        <row r="580">
          <cell r="B580" t="str">
            <v>Conector Pvc 2</v>
          </cell>
        </row>
        <row r="581">
          <cell r="B581" t="str">
            <v>Conector Pvc hembra 1/2</v>
          </cell>
        </row>
        <row r="582">
          <cell r="B582" t="str">
            <v>Conector Pvc hembra 3/4</v>
          </cell>
        </row>
        <row r="583">
          <cell r="B583" t="str">
            <v>Conector Pvc  hembra 1</v>
          </cell>
        </row>
        <row r="584">
          <cell r="B584" t="str">
            <v>Conector Pvc hembra 1 1/2</v>
          </cell>
        </row>
        <row r="585">
          <cell r="B585" t="str">
            <v>Conector Pvc hembra 1 1/4</v>
          </cell>
        </row>
        <row r="586">
          <cell r="B586" t="str">
            <v>Conector Pvc hembra  2</v>
          </cell>
        </row>
        <row r="587">
          <cell r="B587" t="str">
            <v>Conector recto hubbell no metalico 2"</v>
          </cell>
        </row>
        <row r="588">
          <cell r="B588" t="str">
            <v>Conector resortado</v>
          </cell>
        </row>
        <row r="589">
          <cell r="B589" t="str">
            <v>Conector Tipo Cuña 1/0 al 2</v>
          </cell>
        </row>
        <row r="590">
          <cell r="B590" t="str">
            <v>Conector Tipo Cuña 2 al 2/0</v>
          </cell>
        </row>
        <row r="591">
          <cell r="B591" t="str">
            <v>Conector Tubular 1/0 AWG</v>
          </cell>
        </row>
        <row r="592">
          <cell r="B592" t="str">
            <v>Conector Tubular 2 AWG</v>
          </cell>
        </row>
        <row r="593">
          <cell r="B593" t="str">
            <v>Conector Tubular 2/0 AWG</v>
          </cell>
        </row>
        <row r="594">
          <cell r="B594" t="str">
            <v>Conector Tubular 250 MCM</v>
          </cell>
        </row>
        <row r="595">
          <cell r="B595" t="str">
            <v>Conector Tubular 300 MCM</v>
          </cell>
        </row>
        <row r="596">
          <cell r="B596" t="str">
            <v>Conector Tubular 350 MCM</v>
          </cell>
        </row>
        <row r="597">
          <cell r="B597" t="str">
            <v>Conector Tubular 4 AWG</v>
          </cell>
        </row>
        <row r="598">
          <cell r="B598" t="str">
            <v>Conector Tubular 4/0 AWG</v>
          </cell>
        </row>
        <row r="599">
          <cell r="B599" t="str">
            <v>Conector Tubular 500 MCM</v>
          </cell>
        </row>
        <row r="600">
          <cell r="B600" t="str">
            <v>Conector Tubular 6 AWG</v>
          </cell>
        </row>
        <row r="601">
          <cell r="B601" t="str">
            <v>Conector Tubular bimetalico 1/0</v>
          </cell>
        </row>
        <row r="602">
          <cell r="B602" t="str">
            <v>Conector Tubular bimetalico 2</v>
          </cell>
        </row>
        <row r="603">
          <cell r="B603" t="str">
            <v>Conector Tubular bimetalico 2/0</v>
          </cell>
        </row>
        <row r="604">
          <cell r="B604" t="str">
            <v>Conector Tubular bimetalico 3/0</v>
          </cell>
        </row>
        <row r="605">
          <cell r="B605" t="str">
            <v>Conector Tubular bimetalico 300 MCM</v>
          </cell>
        </row>
        <row r="606">
          <cell r="B606" t="str">
            <v>Conector Tubular bimetalico 350 MCM</v>
          </cell>
        </row>
        <row r="607">
          <cell r="B607" t="str">
            <v>Conector Tubular bimetalico 4/0</v>
          </cell>
        </row>
        <row r="608">
          <cell r="B608" t="str">
            <v>Conmutador selector lovato 2 pos fijas  lov0378</v>
          </cell>
        </row>
        <row r="609">
          <cell r="B609" t="str">
            <v>Conmutador seta rojo 9001KR9RH2 P.E.c/enclavamiento 40mm</v>
          </cell>
        </row>
        <row r="610">
          <cell r="B610" t="str">
            <v>Conmutador tres posiciones fijas negro 9001KS43FBH13 30mm</v>
          </cell>
        </row>
        <row r="611">
          <cell r="B611" t="str">
            <v>Consumibles</v>
          </cell>
        </row>
        <row r="612">
          <cell r="B612" t="str">
            <v>Contactor LC1D09</v>
          </cell>
        </row>
        <row r="613">
          <cell r="B613" t="str">
            <v>Contactor LC1D115</v>
          </cell>
        </row>
        <row r="614">
          <cell r="B614" t="str">
            <v>Contactor LC1D12</v>
          </cell>
        </row>
        <row r="615">
          <cell r="B615" t="str">
            <v>Contactor LC1D150</v>
          </cell>
        </row>
        <row r="616">
          <cell r="B616" t="str">
            <v>Contactor LC1D18</v>
          </cell>
        </row>
        <row r="617">
          <cell r="B617" t="str">
            <v>Contactor LC1D25</v>
          </cell>
        </row>
        <row r="618">
          <cell r="B618" t="str">
            <v>Contactor LC1D32</v>
          </cell>
        </row>
        <row r="619">
          <cell r="B619" t="str">
            <v>Contactor LC1D38</v>
          </cell>
        </row>
        <row r="620">
          <cell r="B620" t="str">
            <v>Contactor LC1D40</v>
          </cell>
        </row>
        <row r="621">
          <cell r="B621" t="str">
            <v>Contactor LC1D50</v>
          </cell>
        </row>
        <row r="622">
          <cell r="B622" t="str">
            <v>Contactor LC1D65</v>
          </cell>
        </row>
        <row r="623">
          <cell r="B623" t="str">
            <v>Contactor LC1D80</v>
          </cell>
        </row>
        <row r="624">
          <cell r="B624" t="str">
            <v>Contactor LC1D95</v>
          </cell>
        </row>
        <row r="625">
          <cell r="B625" t="str">
            <v>Contactor LC1F330F7</v>
          </cell>
        </row>
        <row r="626">
          <cell r="B626" t="str">
            <v>Contactor MOL 0139 c/resistencia /condensad</v>
          </cell>
        </row>
        <row r="627">
          <cell r="B627" t="str">
            <v>Contactor MOL 0145 c/resistencia /condensad</v>
          </cell>
        </row>
        <row r="628">
          <cell r="B628" t="str">
            <v>Contactor serie K 20 A  K0910</v>
          </cell>
        </row>
        <row r="629">
          <cell r="B629" t="str">
            <v>Contador</v>
          </cell>
        </row>
        <row r="630">
          <cell r="B630" t="str">
            <v>Cortacircuito 100 A</v>
          </cell>
        </row>
        <row r="631">
          <cell r="B631" t="str">
            <v>Cortacircuito 100 A en acero inoxidable</v>
          </cell>
        </row>
        <row r="632">
          <cell r="B632" t="str">
            <v>Cortacircuito 200 A</v>
          </cell>
        </row>
        <row r="633">
          <cell r="B633" t="str">
            <v>Cortacircuito 200 A en acero inoxidable</v>
          </cell>
        </row>
        <row r="634">
          <cell r="B634" t="str">
            <v>Cruce Para Bandeja x 10</v>
          </cell>
        </row>
        <row r="635">
          <cell r="B635" t="str">
            <v>Cruce Para Bandeja x 20</v>
          </cell>
        </row>
        <row r="636">
          <cell r="B636" t="str">
            <v>Cruce Para Bandeja x 30</v>
          </cell>
        </row>
        <row r="637">
          <cell r="B637" t="str">
            <v>Cruce Para Bandeja x 40</v>
          </cell>
        </row>
        <row r="638">
          <cell r="B638" t="str">
            <v>Cruceta Angular Metalica Con Silla 1,8 m</v>
          </cell>
        </row>
        <row r="639">
          <cell r="B639" t="str">
            <v>Cruceta Angular Metalica Con Silla 2,4 m</v>
          </cell>
        </row>
        <row r="640">
          <cell r="B640" t="str">
            <v>cruceta de hierro de 5/16 x 21/2 x 6 M</v>
          </cell>
        </row>
        <row r="641">
          <cell r="B641" t="str">
            <v>Cruceta De Madera Con Bounder De 1,8m</v>
          </cell>
        </row>
        <row r="642">
          <cell r="B642" t="str">
            <v>Cruceta De Madera Con Bounder De 2,4m</v>
          </cell>
        </row>
        <row r="643">
          <cell r="B643" t="str">
            <v>Cruceta De Madera De 4"x4"x2,4 mts.</v>
          </cell>
        </row>
        <row r="644">
          <cell r="B644" t="str">
            <v>cubre luz galvanizado en caliente de 20 cm de ancho util MECANO Referencia: CL AG20</v>
          </cell>
        </row>
        <row r="645">
          <cell r="B645" t="str">
            <v>Cuerda De 5/8 Nylon Driza (50m)</v>
          </cell>
        </row>
        <row r="646">
          <cell r="B646" t="str">
            <v>Curador</v>
          </cell>
        </row>
        <row r="647">
          <cell r="B647" t="str">
            <v>Curva bandeja liv 20 cms liv</v>
          </cell>
        </row>
        <row r="648">
          <cell r="B648" t="str">
            <v>Curva Conduit PVC a 45°  De 1 1/2"</v>
          </cell>
        </row>
        <row r="649">
          <cell r="B649" t="str">
            <v>Curva Conduit PVC a 45°  De 1"</v>
          </cell>
        </row>
        <row r="650">
          <cell r="B650" t="str">
            <v>Curva Conduit PVC a 45°  De 2"</v>
          </cell>
        </row>
        <row r="651">
          <cell r="B651" t="str">
            <v>Curva Conduit PVC a 90°  De 1 1/2"</v>
          </cell>
        </row>
        <row r="652">
          <cell r="B652" t="str">
            <v>Curva Conduit PVCa 90°  De 1"</v>
          </cell>
        </row>
        <row r="653">
          <cell r="B653" t="str">
            <v>Curva Conduit PVC a 90°  De 2"</v>
          </cell>
        </row>
        <row r="654">
          <cell r="B654" t="str">
            <v>Curva Conduit Galv. (IMC) 1 1/2"</v>
          </cell>
        </row>
        <row r="655">
          <cell r="B655" t="str">
            <v>Curva Conduit Galv. (IMC) 1"</v>
          </cell>
        </row>
        <row r="656">
          <cell r="B656" t="str">
            <v>Curva Conduit Galv. (IMC) 1/2"</v>
          </cell>
        </row>
        <row r="657">
          <cell r="B657" t="str">
            <v>Curva Conduit Galv. (IMC) 2"</v>
          </cell>
        </row>
        <row r="658">
          <cell r="B658" t="str">
            <v>Curva Conduit Galv. (IMC) 3"</v>
          </cell>
        </row>
        <row r="659">
          <cell r="B659" t="str">
            <v>Curva Conduit Galv. (IMC) 3/4"</v>
          </cell>
        </row>
        <row r="660">
          <cell r="B660" t="str">
            <v>Curva Conduit Galv. (RIDGID) 1 1/2"</v>
          </cell>
        </row>
        <row r="661">
          <cell r="B661" t="str">
            <v>Curva Conduit Galv. (RIDGID) 1 1/4"</v>
          </cell>
        </row>
        <row r="662">
          <cell r="B662" t="str">
            <v>Curva Conduit Galv. (RIDGID) 1"</v>
          </cell>
        </row>
        <row r="663">
          <cell r="B663" t="str">
            <v>Curva Conduit Galv. (RIDGID) 1/2"</v>
          </cell>
        </row>
        <row r="664">
          <cell r="B664" t="str">
            <v>Curva Conduit Galv. (RIDGID) 2"</v>
          </cell>
        </row>
        <row r="665">
          <cell r="B665" t="str">
            <v>Curva Conduit Galv. (RIDGID) 3"</v>
          </cell>
        </row>
        <row r="666">
          <cell r="B666" t="str">
            <v>Curva Conduit Galv. (RIDGID) 3/4"</v>
          </cell>
        </row>
        <row r="667">
          <cell r="B667" t="str">
            <v>Curva Conduit Galv. (RIDGID) 4"</v>
          </cell>
        </row>
        <row r="668">
          <cell r="B668" t="str">
            <v>Curva Conduit PVC a 45 De 3/4"</v>
          </cell>
        </row>
        <row r="669">
          <cell r="B669" t="str">
            <v>Curva Conduit PVC a 90 De 3/4"</v>
          </cell>
        </row>
        <row r="670">
          <cell r="B670" t="str">
            <v>Curva Conduit PVC De 1/2"</v>
          </cell>
        </row>
        <row r="671">
          <cell r="B671" t="str">
            <v>Curva Conduit PVC De 3"</v>
          </cell>
        </row>
        <row r="672">
          <cell r="B672" t="str">
            <v>Curva Conduit PVC De 4"</v>
          </cell>
        </row>
        <row r="673">
          <cell r="B673" t="str">
            <v>Curva EMT de 1</v>
          </cell>
        </row>
        <row r="674">
          <cell r="B674" t="str">
            <v>Curva EMT de 1 1/4</v>
          </cell>
        </row>
        <row r="675">
          <cell r="B675" t="str">
            <v>Curva EMT de 1/2</v>
          </cell>
        </row>
        <row r="676">
          <cell r="B676" t="str">
            <v>Curva EMT de 1-1/2</v>
          </cell>
        </row>
        <row r="677">
          <cell r="B677" t="str">
            <v>Curva EMT de 2</v>
          </cell>
        </row>
        <row r="678">
          <cell r="B678" t="str">
            <v>Curva EMT de 3</v>
          </cell>
        </row>
        <row r="679">
          <cell r="B679" t="str">
            <v>Curva EMT de 3/4</v>
          </cell>
        </row>
        <row r="680">
          <cell r="B680" t="str">
            <v>Curva horizontal de 10x8 C22 TA</v>
          </cell>
        </row>
        <row r="681">
          <cell r="B681" t="str">
            <v>Curva horizontal de 20x8 C22 TA</v>
          </cell>
        </row>
        <row r="682">
          <cell r="B682" t="str">
            <v>Curva horizontal de 30x8 C22 TA</v>
          </cell>
        </row>
        <row r="683">
          <cell r="B683" t="str">
            <v>Curva Para Bandeja Horizontal  en 90º 20</v>
          </cell>
        </row>
        <row r="684">
          <cell r="B684" t="str">
            <v>Curva Para Bandeja Horizontal en 90º 10</v>
          </cell>
        </row>
        <row r="685">
          <cell r="B685" t="str">
            <v>Curva Para Bandeja Horizontal en 90º 30</v>
          </cell>
        </row>
        <row r="686">
          <cell r="B686" t="str">
            <v>Curva Para Bandeja Horizontal en 90º 40</v>
          </cell>
        </row>
        <row r="687">
          <cell r="B687" t="str">
            <v>Curva Para Bandeja Vertical en 90º 10</v>
          </cell>
        </row>
        <row r="688">
          <cell r="B688" t="str">
            <v>Curva Para Bandeja Vertical en 90º 20</v>
          </cell>
        </row>
        <row r="689">
          <cell r="B689" t="str">
            <v>Curva Para Bandeja Vertical en 90º 30</v>
          </cell>
        </row>
        <row r="690">
          <cell r="B690" t="str">
            <v>Curva Para Bandeja Vertical en 90º 40</v>
          </cell>
        </row>
        <row r="691">
          <cell r="B691" t="str">
            <v>Descargo Electricaribe</v>
          </cell>
        </row>
        <row r="692">
          <cell r="B692" t="str">
            <v>Diseños Electricos</v>
          </cell>
        </row>
        <row r="693">
          <cell r="B693" t="str">
            <v>DPS 12kv</v>
          </cell>
        </row>
        <row r="694">
          <cell r="B694" t="str">
            <v>DPS 7 modos 47120</v>
          </cell>
        </row>
        <row r="695">
          <cell r="B695" t="str">
            <v>DPS tipo panel ref 52120  4H + T  4 MODOS</v>
          </cell>
        </row>
        <row r="696">
          <cell r="B696" t="str">
            <v>Ducto canal con division 12x5x240 c/pintura electr</v>
          </cell>
        </row>
        <row r="697">
          <cell r="B697" t="str">
            <v xml:space="preserve">Enclavamiento mecanico LAD911502 </v>
          </cell>
        </row>
        <row r="698">
          <cell r="B698" t="str">
            <v>Espaciador de 1/2" x 10 LG</v>
          </cell>
        </row>
        <row r="699">
          <cell r="B699" t="str">
            <v>Esparrago 5/8x24</v>
          </cell>
        </row>
        <row r="700">
          <cell r="B700" t="str">
            <v>Espigo corto line post</v>
          </cell>
        </row>
        <row r="701">
          <cell r="B701" t="str">
            <v xml:space="preserve">Espiral para proteccion de cables </v>
          </cell>
        </row>
        <row r="702">
          <cell r="B702" t="str">
            <v>Estuco De Sika</v>
          </cell>
        </row>
        <row r="703">
          <cell r="B703" t="str">
            <v>Estudio de Conexion y Factibilidad</v>
          </cell>
        </row>
        <row r="704">
          <cell r="B704" t="str">
            <v>Estudio para SPT</v>
          </cell>
        </row>
        <row r="705">
          <cell r="B705" t="str">
            <v>Extractor de aire 6" Mit 0209</v>
          </cell>
        </row>
        <row r="706">
          <cell r="B706" t="str">
            <v>Face Plate con conector coaxial</v>
          </cell>
        </row>
        <row r="707">
          <cell r="B707" t="str">
            <v>Face Plate Siemons.10GMX-FPS04-02B</v>
          </cell>
        </row>
        <row r="708">
          <cell r="B708" t="str">
            <v>FACEPLATE 10G MAX 2 PTO VERTICAL BLANCO B</v>
          </cell>
        </row>
        <row r="709">
          <cell r="B709" t="str">
            <v>FACEPLATE 10G MAX 4 PTO HORIZONTAL BLANCO</v>
          </cell>
        </row>
        <row r="710">
          <cell r="B710" t="str">
            <v>FACEPLATE MAX 2 PTO VERTICAL BLANCO B</v>
          </cell>
        </row>
        <row r="711">
          <cell r="B711" t="str">
            <v>FACEPLATE MAX 4 PTO VERTICAL BLANCO B</v>
          </cell>
        </row>
        <row r="712">
          <cell r="B712" t="str">
            <v>Favigel</v>
          </cell>
        </row>
        <row r="713">
          <cell r="B713" t="str">
            <v>Fibra</v>
          </cell>
        </row>
        <row r="714">
          <cell r="B714" t="str">
            <v xml:space="preserve">Flexi Conduit Liquid Tight De 1 1/2" </v>
          </cell>
        </row>
        <row r="715">
          <cell r="B715" t="str">
            <v xml:space="preserve">Flexi Conduit Liquid Tight De 1" </v>
          </cell>
        </row>
        <row r="716">
          <cell r="B716" t="str">
            <v xml:space="preserve">Flexi Conduit Liquid Tight De 1/2" </v>
          </cell>
        </row>
        <row r="717">
          <cell r="B717" t="str">
            <v xml:space="preserve">Flexi Conduit Liquid Tight De 2" </v>
          </cell>
        </row>
        <row r="718">
          <cell r="B718" t="str">
            <v xml:space="preserve">Flexi Conduit Liquid Tight De 3" </v>
          </cell>
        </row>
        <row r="719">
          <cell r="B719" t="str">
            <v xml:space="preserve">Flexi Conduit Liquid Tight De 3/4" </v>
          </cell>
        </row>
        <row r="720">
          <cell r="B720" t="str">
            <v>Flotador tipo sapito plastico</v>
          </cell>
        </row>
        <row r="721">
          <cell r="B721" t="str">
            <v>Formaleta En Madera</v>
          </cell>
        </row>
        <row r="722">
          <cell r="B722" t="str">
            <v>Fotocelda  220v</v>
          </cell>
        </row>
        <row r="723">
          <cell r="B723" t="str">
            <v xml:space="preserve">Fotocelda para 480 V </v>
          </cell>
        </row>
        <row r="724">
          <cell r="B724" t="str">
            <v>Freno para borna</v>
          </cell>
        </row>
        <row r="725">
          <cell r="B725" t="str">
            <v>Fusible 1 A</v>
          </cell>
        </row>
        <row r="726">
          <cell r="B726" t="str">
            <v>fusible 2A</v>
          </cell>
        </row>
        <row r="727">
          <cell r="B727" t="str">
            <v>fusible 5A</v>
          </cell>
        </row>
        <row r="728">
          <cell r="B728" t="str">
            <v>fusible 7A</v>
          </cell>
        </row>
        <row r="729">
          <cell r="B729" t="str">
            <v>fusible 10A</v>
          </cell>
        </row>
        <row r="730">
          <cell r="B730" t="str">
            <v>fusible 20A</v>
          </cell>
        </row>
        <row r="731">
          <cell r="B731" t="str">
            <v>fusible 15 amp</v>
          </cell>
        </row>
        <row r="732">
          <cell r="B732" t="str">
            <v>Fusible 200 A</v>
          </cell>
        </row>
        <row r="733">
          <cell r="B733" t="str">
            <v>Fusible Tipo HH de 32 Amp</v>
          </cell>
        </row>
        <row r="734">
          <cell r="B734" t="str">
            <v>Fusible Tipo HH de 63 Amp</v>
          </cell>
        </row>
        <row r="735">
          <cell r="B735" t="str">
            <v xml:space="preserve">Granito </v>
          </cell>
        </row>
        <row r="736">
          <cell r="B736" t="str">
            <v>Grapa doble ala o uña de 1/2</v>
          </cell>
        </row>
        <row r="737">
          <cell r="B737" t="str">
            <v>Grapa doble ala o uña de 3/4</v>
          </cell>
        </row>
        <row r="738">
          <cell r="B738" t="str">
            <v>Grapa doble ala o uña de 1</v>
          </cell>
        </row>
        <row r="739">
          <cell r="B739" t="str">
            <v>Grapa doble ala o uña de 2</v>
          </cell>
        </row>
        <row r="740">
          <cell r="B740" t="str">
            <v>Grapa 1 1/2 acero inoxidable</v>
          </cell>
        </row>
        <row r="741">
          <cell r="B741" t="str">
            <v>Grapa 1 1/2 FT AG112</v>
          </cell>
        </row>
        <row r="742">
          <cell r="B742" t="str">
            <v>Grapa 1 1/4  FT 2AG114N</v>
          </cell>
        </row>
        <row r="743">
          <cell r="B743" t="str">
            <v>Grapa 1 FT 2AG100N</v>
          </cell>
        </row>
        <row r="744">
          <cell r="B744" t="str">
            <v>Grapa 1" acero inoxidable</v>
          </cell>
        </row>
        <row r="745">
          <cell r="B745" t="str">
            <v>Grapa 1/2 FT 2AG012N</v>
          </cell>
        </row>
        <row r="746">
          <cell r="B746" t="str">
            <v>Grapa 2"</v>
          </cell>
        </row>
        <row r="747">
          <cell r="B747" t="str">
            <v>Grapa 3 FPAG300</v>
          </cell>
        </row>
        <row r="748">
          <cell r="B748" t="str">
            <v>Grapa 3" acero inoxidable</v>
          </cell>
        </row>
        <row r="749">
          <cell r="B749" t="str">
            <v>Grapa 3/4 FT 2AG034N</v>
          </cell>
        </row>
        <row r="750">
          <cell r="B750" t="str">
            <v>Grapa 3/4" acero inoxidable</v>
          </cell>
        </row>
        <row r="751">
          <cell r="B751" t="str">
            <v>Grapa 4"</v>
          </cell>
        </row>
        <row r="752">
          <cell r="B752" t="str">
            <v>grapa channel 1 1/4</v>
          </cell>
        </row>
        <row r="753">
          <cell r="B753" t="str">
            <v xml:space="preserve">grapa channel 1 </v>
          </cell>
        </row>
        <row r="754">
          <cell r="B754" t="str">
            <v>grapa channel 3/4</v>
          </cell>
        </row>
        <row r="755">
          <cell r="B755" t="str">
            <v>Grapa De 3 Pernos (1/2" 3/8 X 1½ X 6")</v>
          </cell>
        </row>
        <row r="756">
          <cell r="B756" t="str">
            <v>Grapa De 3 Pernos (3/8" X 2" X 6")</v>
          </cell>
        </row>
        <row r="757">
          <cell r="B757" t="str">
            <v>Grapa De Retencion</v>
          </cell>
        </row>
        <row r="758">
          <cell r="B758" t="str">
            <v>Grapa De Suspension Para Cable 556,5 MCM</v>
          </cell>
        </row>
        <row r="759">
          <cell r="B759" t="str">
            <v>Grapa De Uña De 3/8</v>
          </cell>
        </row>
        <row r="760">
          <cell r="B760" t="str">
            <v>Grapa en S.S. 304 CAL 16 Con Tornillo Hexagonal para Tubo 11/2"</v>
          </cell>
        </row>
        <row r="761">
          <cell r="B761" t="str">
            <v>Grapa en S.S. 304 CAL 16 Con Tornillo Hexagonal para Tubo 2"</v>
          </cell>
        </row>
        <row r="762">
          <cell r="B762" t="str">
            <v>Grapa en S.S. 304 CAL 16 Con Tornillo Hexagonal para Tubo 3/4"</v>
          </cell>
        </row>
        <row r="763">
          <cell r="B763" t="str">
            <v>Grapa o abrazadera de 1/2"</v>
          </cell>
        </row>
        <row r="764">
          <cell r="B764" t="str">
            <v>Grapa o abrazadera de 3/4"</v>
          </cell>
        </row>
        <row r="765">
          <cell r="B765" t="str">
            <v xml:space="preserve">Grapa retención y suspensión red trenzada  </v>
          </cell>
        </row>
        <row r="766">
          <cell r="B766" t="str">
            <v>Grapas De Retension Tipo Pistola En AL  3U</v>
          </cell>
        </row>
        <row r="767">
          <cell r="B767" t="str">
            <v>Grapas De Retension Tipo Pistola En AL  4U</v>
          </cell>
        </row>
        <row r="768">
          <cell r="B768" t="str">
            <v>Grapas De Retension Tipo Pistola En AL 2U</v>
          </cell>
        </row>
        <row r="769">
          <cell r="B769" t="str">
            <v>Guantes De Alta (1)</v>
          </cell>
        </row>
        <row r="770">
          <cell r="B770" t="str">
            <v>Guarda Cabo (Para Retenida De 5/8" Tipo Pesado)</v>
          </cell>
        </row>
        <row r="771">
          <cell r="B771" t="str">
            <v>Guardamotor GV2-ME03/10</v>
          </cell>
        </row>
        <row r="772">
          <cell r="B772" t="str">
            <v>Guardamotor GV2-ME14/20</v>
          </cell>
        </row>
        <row r="773">
          <cell r="B773" t="str">
            <v>Guardamotor GV2-ME21/32</v>
          </cell>
        </row>
        <row r="774">
          <cell r="B774" t="str">
            <v>Guaya galv de 1/8"</v>
          </cell>
        </row>
        <row r="775">
          <cell r="B775" t="str">
            <v>Guaya galv de 3/16"</v>
          </cell>
        </row>
        <row r="776">
          <cell r="B776" t="str">
            <v>Hebilla Para Bandit</v>
          </cell>
        </row>
        <row r="777">
          <cell r="B777" t="str">
            <v>Herraje Para Patch Panel 24 Port.Siemons</v>
          </cell>
        </row>
        <row r="778">
          <cell r="B778" t="str">
            <v>HERRAJE PATCH PANEL 48 PTS.ANGULADO</v>
          </cell>
        </row>
        <row r="779">
          <cell r="B779" t="str">
            <v>HERRAJE PATCH PANEL 48 PTS.MAX</v>
          </cell>
        </row>
        <row r="780">
          <cell r="B780" t="str">
            <v>Hidrosolta 10kg</v>
          </cell>
        </row>
        <row r="781">
          <cell r="B781" t="str">
            <v>Hub De 1 1/2"</v>
          </cell>
        </row>
        <row r="782">
          <cell r="B782" t="str">
            <v>Hub De 1"</v>
          </cell>
        </row>
        <row r="783">
          <cell r="B783" t="str">
            <v>Hub De 1/2"</v>
          </cell>
        </row>
        <row r="784">
          <cell r="B784" t="str">
            <v>Hub De 2"</v>
          </cell>
        </row>
        <row r="785">
          <cell r="B785" t="str">
            <v>Hub De 3"</v>
          </cell>
        </row>
        <row r="786">
          <cell r="B786" t="str">
            <v>Hub De 3/4"</v>
          </cell>
        </row>
        <row r="787">
          <cell r="B787" t="str">
            <v>Hub De 4"</v>
          </cell>
        </row>
        <row r="788">
          <cell r="B788" t="str">
            <v>Interrup Bipolar C60N Merlin Gerin 1 - 4A</v>
          </cell>
        </row>
        <row r="789">
          <cell r="B789" t="str">
            <v>Interrup Bipolar C60N Merlin Gerin 40A</v>
          </cell>
        </row>
        <row r="790">
          <cell r="B790" t="str">
            <v>Interrup Bipolar C60N Merlin Gerin 50A</v>
          </cell>
        </row>
        <row r="791">
          <cell r="B791" t="str">
            <v>Interrup Bipolar C60N Merlin Gerin 6 - 32A</v>
          </cell>
        </row>
        <row r="792">
          <cell r="B792" t="str">
            <v>Interrup Bipolar C60N Merlin Gerin 63A</v>
          </cell>
        </row>
        <row r="793">
          <cell r="B793" t="str">
            <v>Interrup Bipolar THQL 15 - 30 A</v>
          </cell>
        </row>
        <row r="794">
          <cell r="B794" t="str">
            <v>Interrup bipolar THQL 15 - 30 A  GFI</v>
          </cell>
        </row>
        <row r="795">
          <cell r="B795" t="str">
            <v>Interrup Bipolar THQL 40 - 60 A</v>
          </cell>
        </row>
        <row r="796">
          <cell r="B796" t="str">
            <v>Interrup bipolar THQL 40 A  GFI</v>
          </cell>
        </row>
        <row r="797">
          <cell r="B797" t="str">
            <v>Interrup Bipolar THQL 70- 100 A</v>
          </cell>
        </row>
        <row r="798">
          <cell r="B798" t="str">
            <v>Interrup Monopo C60N Merlin Gerin 40 - 63A</v>
          </cell>
        </row>
        <row r="799">
          <cell r="B799" t="str">
            <v>Interrup Monopo C60N Merlin Gerin 6 - 32A</v>
          </cell>
        </row>
        <row r="800">
          <cell r="B800" t="str">
            <v>Interrup monopolar THQL 15 - 20 A  GFI</v>
          </cell>
        </row>
        <row r="801">
          <cell r="B801" t="str">
            <v>Interrup Monopolar THQL 15-20A</v>
          </cell>
        </row>
        <row r="802">
          <cell r="B802" t="str">
            <v>Interrup Monopolar THQL 30A</v>
          </cell>
        </row>
        <row r="803">
          <cell r="B803" t="str">
            <v>Interrup Tripolar C60N Merlin Gerin 20A</v>
          </cell>
        </row>
        <row r="804">
          <cell r="B804" t="str">
            <v>Interrup Tripolar C60N Merlin Gerin 30A</v>
          </cell>
        </row>
        <row r="805">
          <cell r="B805" t="str">
            <v>Interrup Tripolar C60N Merlin Gerin 40A</v>
          </cell>
        </row>
        <row r="806">
          <cell r="B806" t="str">
            <v>Interrup Tripolar C60N Merlin Gerin 50A</v>
          </cell>
        </row>
        <row r="807">
          <cell r="B807" t="str">
            <v>Interrup Tripolar C60N Merlin Gerin 60A</v>
          </cell>
        </row>
        <row r="808">
          <cell r="B808" t="str">
            <v>Interrup Tripolar C60N Merlin Gerin 70A</v>
          </cell>
        </row>
        <row r="809">
          <cell r="B809" t="str">
            <v>Interrup Tripolar THQL 15 - 30 A</v>
          </cell>
        </row>
        <row r="810">
          <cell r="B810" t="str">
            <v>Interrup Tripolar THQL 40A</v>
          </cell>
        </row>
        <row r="811">
          <cell r="B811" t="str">
            <v>Interrup Tripolar THQL 50A</v>
          </cell>
        </row>
        <row r="812">
          <cell r="B812" t="str">
            <v>Interrup Tripolar THQL 60A</v>
          </cell>
        </row>
        <row r="813">
          <cell r="B813" t="str">
            <v>Interrup Tripolar THQL 70A</v>
          </cell>
        </row>
        <row r="814">
          <cell r="B814" t="str">
            <v>Interuptor bipolar vela</v>
          </cell>
        </row>
        <row r="815">
          <cell r="B815" t="str">
            <v>Interuptor boton ciego vela ref 681500</v>
          </cell>
        </row>
        <row r="816">
          <cell r="B816" t="str">
            <v xml:space="preserve">Interuptor con unidad disparo electronica ref 
33466 </v>
          </cell>
        </row>
        <row r="817">
          <cell r="B817" t="str">
            <v>Interuptor conmutable sencillo</v>
          </cell>
        </row>
        <row r="818">
          <cell r="B818" t="str">
            <v xml:space="preserve">Interuptor doble </v>
          </cell>
        </row>
        <row r="819">
          <cell r="B819" t="str">
            <v>Interuptor Doble dekora c/luz piloto 1754 LW</v>
          </cell>
        </row>
        <row r="820">
          <cell r="B820" t="str">
            <v>Interuptor Doble Levinton</v>
          </cell>
        </row>
        <row r="821">
          <cell r="B821" t="str">
            <v xml:space="preserve">Interuptor placa </v>
          </cell>
        </row>
        <row r="822">
          <cell r="B822" t="str">
            <v>Interuptor sencillo</v>
          </cell>
        </row>
        <row r="823">
          <cell r="B823" t="str">
            <v>Interuptor sencillo ambia conmutable luminex</v>
          </cell>
        </row>
        <row r="824">
          <cell r="B824" t="str">
            <v>Interuptor sencillo ambia luminex</v>
          </cell>
        </row>
        <row r="825">
          <cell r="B825" t="str">
            <v>Interuptor Sencillo dekora 5601 2W</v>
          </cell>
        </row>
        <row r="826">
          <cell r="B826" t="str">
            <v>Interuptor Sencillo dekora c/luz piloto 5613 W</v>
          </cell>
        </row>
        <row r="827">
          <cell r="B827" t="str">
            <v xml:space="preserve">Interuptor Sencillo dekora c/luz piloto conmutable </v>
          </cell>
        </row>
        <row r="828">
          <cell r="B828" t="str">
            <v>Interuptor Sencillo Levinton</v>
          </cell>
        </row>
        <row r="829">
          <cell r="B829" t="str">
            <v>Interuptor Sencillo Luminex modulo doble vela ref 681503</v>
          </cell>
        </row>
        <row r="830">
          <cell r="B830" t="str">
            <v>Interuptor Sencillo Luminex vela ref 681501</v>
          </cell>
        </row>
        <row r="831">
          <cell r="B831" t="str">
            <v xml:space="preserve">Interuptor triple </v>
          </cell>
        </row>
        <row r="832">
          <cell r="B832" t="str">
            <v>Interuptor triplex Luminex vela ref 681505</v>
          </cell>
        </row>
        <row r="833">
          <cell r="B833" t="str">
            <v>Interuptor vela (promedio)</v>
          </cell>
        </row>
        <row r="834">
          <cell r="B834" t="str">
            <v>JACK 6 MAX ANGUL. AZUL B</v>
          </cell>
        </row>
        <row r="835">
          <cell r="B835" t="str">
            <v>JACK 6 MAX ANGUL. BLANCO B</v>
          </cell>
        </row>
        <row r="836">
          <cell r="B836" t="str">
            <v>JACK 6 MAX ANGUL. ROJO B</v>
          </cell>
        </row>
        <row r="837">
          <cell r="B837" t="str">
            <v>JACK 6 MAX PLANO AZUL B</v>
          </cell>
        </row>
        <row r="838">
          <cell r="B838" t="str">
            <v>JACK 6 MAX PLANO BLANCO B</v>
          </cell>
        </row>
        <row r="839">
          <cell r="B839" t="str">
            <v>JACK 6 MAX PLANO NEGRO B</v>
          </cell>
        </row>
        <row r="840">
          <cell r="B840" t="str">
            <v>JACK 6 MAX PLANO ROJO B</v>
          </cell>
        </row>
        <row r="841">
          <cell r="B841" t="str">
            <v>Kit balasto de 250-400 W MH   CWA</v>
          </cell>
        </row>
        <row r="842">
          <cell r="B842" t="str">
            <v>Kit balasto de 250-400 W sodio CWA</v>
          </cell>
        </row>
        <row r="843">
          <cell r="B843" t="str">
            <v xml:space="preserve">Kit equipo de medicion </v>
          </cell>
        </row>
        <row r="844">
          <cell r="B844" t="str">
            <v>Ladrillo</v>
          </cell>
        </row>
        <row r="845">
          <cell r="B845" t="str">
            <v>Lamina alfajor 2,5 x 0,30 x 1,2 m</v>
          </cell>
        </row>
        <row r="846">
          <cell r="B846" t="str">
            <v>Lamina especular para lampara 2x32 con su soporte</v>
          </cell>
        </row>
        <row r="847">
          <cell r="B847" t="str">
            <v xml:space="preserve">Lamina y Angulo </v>
          </cell>
        </row>
        <row r="848">
          <cell r="B848" t="str">
            <v>limpiador removedor para PVC  1/4</v>
          </cell>
        </row>
        <row r="849">
          <cell r="B849" t="str">
            <v>Luminaria BC indulux methalide CWA 250-400 w c/bombilla</v>
          </cell>
        </row>
        <row r="850">
          <cell r="B850" t="str">
            <v>Luminaria BC indulux sodio CWA 150-400 w c/bombilla</v>
          </cell>
        </row>
        <row r="851">
          <cell r="B851" t="str">
            <v xml:space="preserve">Luminaria calima de  sodio  22OV  150-400 w c/bombilla </v>
          </cell>
        </row>
        <row r="852">
          <cell r="B852" t="str">
            <v xml:space="preserve">Luminaria calima de  sodio  CWA  150-400 w c/bombilla </v>
          </cell>
        </row>
        <row r="853">
          <cell r="B853" t="str">
            <v>Luminaria calima de methalhalide 220V  250-400w c/bombilla</v>
          </cell>
        </row>
        <row r="854">
          <cell r="B854" t="str">
            <v>Luminaria de 2x32 incrustar con lamina especular</v>
          </cell>
        </row>
        <row r="855">
          <cell r="B855" t="str">
            <v>Luminaria de emergencia 2x20 W  hubbell</v>
          </cell>
        </row>
        <row r="856">
          <cell r="B856" t="str">
            <v>Luminaria de emergencia 2x5,8 W  ref
ELM-2  2x5,8W SD lithonia</v>
          </cell>
        </row>
        <row r="857">
          <cell r="B857" t="str">
            <v>luminaria de sodio 250W tipo alumbrado publico</v>
          </cell>
        </row>
        <row r="858">
          <cell r="B858" t="str">
            <v>Luminaria decorativa DJK MH 175 W</v>
          </cell>
        </row>
        <row r="859">
          <cell r="B859" t="str">
            <v>Luminaria decorativa DJK sodio 70 W</v>
          </cell>
        </row>
        <row r="860">
          <cell r="B860" t="str">
            <v>Luminaria explosion proof de 2x32 iluram</v>
          </cell>
        </row>
        <row r="861">
          <cell r="B861" t="str">
            <v>Luminaria Fluorescente 2x32 Cerrada En Policarbonato IP65</v>
          </cell>
        </row>
        <row r="862">
          <cell r="B862" t="str">
            <v>Luminaria fluorescente 4x17 T-8 empotrar balasto electronico</v>
          </cell>
        </row>
        <row r="863">
          <cell r="B863" t="str">
            <v>Luminaria fluorescente 4x17 T-8 empotrar balasto electronico emergencia</v>
          </cell>
        </row>
        <row r="864">
          <cell r="B864" t="str">
            <v xml:space="preserve">Luminaria fluorescente cerrada IP-65 de 2x17 </v>
          </cell>
        </row>
        <row r="865">
          <cell r="B865" t="str">
            <v>LUMINARIA FLUORECENTE DE 2X54 ip-65</v>
          </cell>
        </row>
        <row r="866">
          <cell r="B866" t="str">
            <v>LUMINARIA FLUORECENTE DE 2X32</v>
          </cell>
        </row>
        <row r="867">
          <cell r="B867" t="str">
            <v xml:space="preserve">LUMINARIA FLUORECENTE DE 2X32 FONDO BLANCO </v>
          </cell>
        </row>
        <row r="868">
          <cell r="B868" t="str">
            <v xml:space="preserve">LUMINARIA FLUORECENTE DE 2X32 CON REJILLA </v>
          </cell>
        </row>
        <row r="869">
          <cell r="B869" t="str">
            <v>luminarias Salidas de seguridad</v>
          </cell>
        </row>
        <row r="870">
          <cell r="B870" t="str">
            <v>Luminaria de Emergencia Mickey Mouse</v>
          </cell>
        </row>
        <row r="871">
          <cell r="B871" t="str">
            <v xml:space="preserve">Luminaria horizontal cerrada con vidrio curvo de vapor de sodio alta presion fotocelda incorporada, 250W/220V </v>
          </cell>
        </row>
        <row r="872">
          <cell r="B872" t="str">
            <v xml:space="preserve">Luminaria horizontal cerrada con vidrio curvo de vapor de sodio alta presion fotocelda incorporada, 70W/220V </v>
          </cell>
        </row>
        <row r="873">
          <cell r="B873" t="str">
            <v>LUMINARIA SCHREDER ONYX-1 1097 FH SODIO 150W 208/220V S.P. B.F.C.</v>
          </cell>
        </row>
        <row r="874">
          <cell r="B874" t="str">
            <v>LUMINARIA SCHREDER ONYX-1 1097 FH SODIO 250W 208/220V S.P. B.F.C. s/A-R-H-+ 2 FUS MARCADA AP BGA</v>
          </cell>
        </row>
        <row r="875">
          <cell r="B875" t="str">
            <v xml:space="preserve">Luminaria TE 400S E17S 480 HA DF LCPP PPH SCK LPI SBY </v>
          </cell>
        </row>
        <row r="876">
          <cell r="B876" t="str">
            <v>Luminaria tipo aplique con bombillo ahorrador 20 W con carcaza plastica y reflector en viidrio opal</v>
          </cell>
        </row>
        <row r="877">
          <cell r="B877" t="str">
            <v>Luminaria Tipo Wall Pack  MH 175 W</v>
          </cell>
        </row>
        <row r="878">
          <cell r="B878" t="str">
            <v>Luminaria Tipo Wall Pack  SODIO 150 W</v>
          </cell>
        </row>
        <row r="879">
          <cell r="B879" t="str">
            <v>Luminaria Tipo Wall Pack Sodio 70 W</v>
          </cell>
        </row>
        <row r="880">
          <cell r="B880" t="str">
            <v>Malla Galvanizada</v>
          </cell>
        </row>
        <row r="881">
          <cell r="B881" t="str">
            <v xml:space="preserve">Mantenimiento trafo 112,5 KVA </v>
          </cell>
        </row>
        <row r="882">
          <cell r="B882" t="str">
            <v xml:space="preserve">Mantenimiento trafo 25 KVA </v>
          </cell>
        </row>
        <row r="883">
          <cell r="B883" t="str">
            <v xml:space="preserve">Mantenimiento trafo 75 KVA </v>
          </cell>
        </row>
        <row r="884">
          <cell r="B884" t="str">
            <v>Marcador tipo boligrafo</v>
          </cell>
        </row>
        <row r="885">
          <cell r="B885" t="str">
            <v>Marquilla para marcacion interna</v>
          </cell>
        </row>
        <row r="886">
          <cell r="B886" t="str">
            <v>Marquilla punto de bloqueo</v>
          </cell>
        </row>
        <row r="887">
          <cell r="B887" t="str">
            <v>Marquillas en acrílico 10*5, 12*6, 14*7</v>
          </cell>
        </row>
        <row r="888">
          <cell r="B888" t="str">
            <v>Marquillas en acrílico 4*2, 6*3, 8*4</v>
          </cell>
        </row>
        <row r="889">
          <cell r="B889" t="str">
            <v>Marquillas tipo anillo dexson o similar</v>
          </cell>
        </row>
        <row r="890">
          <cell r="B890" t="str">
            <v>Material Seleccionado</v>
          </cell>
        </row>
        <row r="891">
          <cell r="B891" t="str">
            <v>Medidor digital DM 6000</v>
          </cell>
        </row>
        <row r="892">
          <cell r="B892" t="str">
            <v>Medidor Trifilar 2 x 120/208V 15-100 A</v>
          </cell>
        </row>
        <row r="893">
          <cell r="B893" t="str">
            <v>Mini interuptor mono multi 9 de 6 amps</v>
          </cell>
        </row>
        <row r="894">
          <cell r="B894" t="str">
            <v>Mini Split 12000 BTU</v>
          </cell>
        </row>
        <row r="895">
          <cell r="B895" t="str">
            <v>Modem de comunicaciones</v>
          </cell>
        </row>
        <row r="896">
          <cell r="B896" t="str">
            <v>Muerto De Concreto Para Retenida</v>
          </cell>
        </row>
        <row r="897">
          <cell r="B897" t="str">
            <v>Multimetro analizador DMK 32 c/software</v>
          </cell>
        </row>
        <row r="898">
          <cell r="B898" t="str">
            <v>Ocho De Seguridad (1)</v>
          </cell>
        </row>
        <row r="899">
          <cell r="B899" t="str">
            <v>Outlet (Toma) Siemons.10GMX-FS</v>
          </cell>
        </row>
        <row r="900">
          <cell r="B900" t="str">
            <v>P/CORD CAT. 6 1.5M AZUL  B</v>
          </cell>
        </row>
        <row r="901">
          <cell r="B901" t="str">
            <v>P/CORD CAT. 6 1.5M GRIS B</v>
          </cell>
        </row>
        <row r="902">
          <cell r="B902" t="str">
            <v>P/CORD CAT. 6 1.5M ROJO B</v>
          </cell>
        </row>
        <row r="903">
          <cell r="B903" t="str">
            <v>P/CORD CAT. 6 1M AZUL B</v>
          </cell>
        </row>
        <row r="904">
          <cell r="B904" t="str">
            <v>P/CORD CAT. 6 1M GRIS B</v>
          </cell>
        </row>
        <row r="905">
          <cell r="B905" t="str">
            <v>P/CORD CAT. 6 1M ROJO B</v>
          </cell>
        </row>
        <row r="906">
          <cell r="B906" t="str">
            <v>P/CORD CAT. 6 2M AZUL B</v>
          </cell>
        </row>
        <row r="907">
          <cell r="B907" t="str">
            <v>P/CORD CAT. 6 2M GRIS B</v>
          </cell>
        </row>
        <row r="908">
          <cell r="B908" t="str">
            <v>P/CORD CAT. 6 2M ROJO B</v>
          </cell>
        </row>
        <row r="909">
          <cell r="B909" t="str">
            <v>P/CORD CAT. 6 3M AZUL B</v>
          </cell>
        </row>
        <row r="910">
          <cell r="B910" t="str">
            <v>P/CORD CAT. 6 3M GRIS B</v>
          </cell>
        </row>
        <row r="911">
          <cell r="B911" t="str">
            <v>P/CORD CAT. 6 3M ROJO B</v>
          </cell>
        </row>
        <row r="912">
          <cell r="B912" t="str">
            <v>P/PANEL CAT 6 24PTO C/ORGANIZ</v>
          </cell>
        </row>
        <row r="913">
          <cell r="B913" t="str">
            <v>P/PANEL CAT 6 48PTS S/ORGANIZ</v>
          </cell>
        </row>
        <row r="914">
          <cell r="B914" t="str">
            <v>Pantalla para borna cable 10</v>
          </cell>
        </row>
        <row r="915">
          <cell r="B915" t="str">
            <v>Parada de emergencia y cabeza pulsador de hongo XB4BC42</v>
          </cell>
        </row>
        <row r="916">
          <cell r="B916" t="str">
            <v>Pararrayo 13,2 kv</v>
          </cell>
        </row>
        <row r="917">
          <cell r="B917" t="str">
            <v>Pararrayo 4160 v</v>
          </cell>
        </row>
        <row r="918">
          <cell r="B918" t="str">
            <v>Patch Cord de 1m</v>
          </cell>
        </row>
        <row r="919">
          <cell r="B919" t="str">
            <v>Patch Cord de 2m</v>
          </cell>
        </row>
        <row r="920">
          <cell r="B920" t="str">
            <v>Pegante PVC  1/4 gal</v>
          </cell>
        </row>
        <row r="921">
          <cell r="B921" t="str">
            <v>Pegante PVC  1/ 16 gal</v>
          </cell>
        </row>
        <row r="922">
          <cell r="B922" t="str">
            <v>Percha Galvanizada (Pesada) De Cuatro Puestos</v>
          </cell>
        </row>
        <row r="923">
          <cell r="B923" t="str">
            <v>Percha Galvanizada (Pesada) De Tres Puestos</v>
          </cell>
        </row>
        <row r="924">
          <cell r="B924" t="str">
            <v>Percha Galvanizada (Pesada) De Un Puesto</v>
          </cell>
        </row>
        <row r="925">
          <cell r="B925" t="str">
            <v xml:space="preserve">Perfil cal 16 en acero inoxidable </v>
          </cell>
        </row>
        <row r="926">
          <cell r="B926" t="str">
            <v>Perfil channel  2,4 m galv</v>
          </cell>
        </row>
        <row r="927">
          <cell r="B927" t="str">
            <v>Perfil channel de acero inoxidable 2,4 m</v>
          </cell>
        </row>
        <row r="928">
          <cell r="B928" t="str">
            <v>Perfil Mecano</v>
          </cell>
        </row>
        <row r="929">
          <cell r="B929" t="str">
            <v>Perfil omega</v>
          </cell>
        </row>
        <row r="930">
          <cell r="B930" t="str">
            <v>Perfil P1000 15/8"x15/8x CAL 16 x 235 LG</v>
          </cell>
        </row>
        <row r="931">
          <cell r="B931" t="str">
            <v>Perfil P1000 15/8"x15/8x CAL 16 x 400LG</v>
          </cell>
        </row>
        <row r="932">
          <cell r="B932" t="str">
            <v>Perfil X 100 LG</v>
          </cell>
        </row>
        <row r="933">
          <cell r="B933" t="str">
            <v>Perno carruaje 5/8x12"</v>
          </cell>
        </row>
        <row r="934">
          <cell r="B934" t="str">
            <v>Perno carruaje 5/8x6"</v>
          </cell>
        </row>
        <row r="935">
          <cell r="B935" t="str">
            <v>Perno carruaje ombligo 5/8x1 1/2</v>
          </cell>
        </row>
        <row r="936">
          <cell r="B936" t="str">
            <v>Perno de 1/2"  largo de 1/2 a 2" galv c/tuerca y arandela</v>
          </cell>
        </row>
        <row r="937">
          <cell r="B937" t="str">
            <v>Perno de 1/4"  largo de 1/2 a 2" galv c/tuerca y arandela</v>
          </cell>
        </row>
        <row r="938">
          <cell r="B938" t="str">
            <v>Perno de 3/8"  largo de 1/2 a 2" galv c/tuerca y arandela</v>
          </cell>
        </row>
        <row r="939">
          <cell r="B939" t="str">
            <v>Perno De Carruaje De 5/8" x 1 1/2"</v>
          </cell>
        </row>
        <row r="940">
          <cell r="B940" t="str">
            <v>Perno de expansion 1/2 x 3"</v>
          </cell>
        </row>
        <row r="941">
          <cell r="B941" t="str">
            <v>Perno de expansion 1/4"</v>
          </cell>
        </row>
        <row r="942">
          <cell r="B942" t="str">
            <v>Perno de expansion 3/8 x 2"</v>
          </cell>
        </row>
        <row r="943">
          <cell r="B943" t="str">
            <v>Perno de Expansion de 3/8" x 17/8"</v>
          </cell>
        </row>
        <row r="944">
          <cell r="B944" t="str">
            <v xml:space="preserve">Perno de Expansion Hembra 1/2" </v>
          </cell>
        </row>
        <row r="945">
          <cell r="B945" t="str">
            <v>Perno De Maquina 5/8 x 1 1/2</v>
          </cell>
        </row>
        <row r="946">
          <cell r="B946" t="str">
            <v>Perno De Maquina De 1/2" x 6"</v>
          </cell>
        </row>
        <row r="947">
          <cell r="B947" t="str">
            <v>Perno De Maquina De 5/8" x 12"</v>
          </cell>
        </row>
        <row r="948">
          <cell r="B948" t="str">
            <v>Perno De Ombligo 5/8 x 1 1/2</v>
          </cell>
        </row>
        <row r="949">
          <cell r="B949" t="str">
            <v>Pernos De Anclaje</v>
          </cell>
        </row>
        <row r="950">
          <cell r="B950" t="str">
            <v>Pernos De Expansion</v>
          </cell>
        </row>
        <row r="951">
          <cell r="B951" t="str">
            <v>Pernos de Ojo</v>
          </cell>
        </row>
        <row r="952">
          <cell r="B952" t="str">
            <v>Perro de 1/8</v>
          </cell>
        </row>
        <row r="953">
          <cell r="B953" t="str">
            <v>Perro de 3/16</v>
          </cell>
        </row>
        <row r="954">
          <cell r="B954" t="str">
            <v xml:space="preserve">Pèrtiga De Extension (1) </v>
          </cell>
        </row>
        <row r="955">
          <cell r="B955" t="str">
            <v>Piloto de señalizacion con led ref 9001KP40G-R-A-9 30 mm</v>
          </cell>
        </row>
        <row r="956">
          <cell r="B956" t="str">
            <v>Piloto de señalizacion con led ref XB4BVG3/4/5</v>
          </cell>
        </row>
        <row r="957">
          <cell r="B957" t="str">
            <v>Pin Para Aisladores</v>
          </cell>
        </row>
        <row r="958">
          <cell r="B958" t="str">
            <v>Pin Para Lines Post corto cruc metalic</v>
          </cell>
        </row>
        <row r="959">
          <cell r="B959" t="str">
            <v>Pin Para Lines Post largo cruc Madera</v>
          </cell>
        </row>
        <row r="960">
          <cell r="B960" t="str">
            <v>Pintura Acabado Poliuretano</v>
          </cell>
        </row>
        <row r="961">
          <cell r="B961" t="str">
            <v>Pintura Anticorrosiva</v>
          </cell>
        </row>
        <row r="962">
          <cell r="B962" t="str">
            <v>Pintura Anticorrosiva Atoxica Primer</v>
          </cell>
        </row>
        <row r="963">
          <cell r="B963" t="str">
            <v>Pintura De Acabado Pintucoat</v>
          </cell>
        </row>
        <row r="964">
          <cell r="B964" t="str">
            <v>Pintura Esnalte De Pintuco</v>
          </cell>
        </row>
        <row r="965">
          <cell r="B965" t="str">
            <v>Pintura Vinilo Pintulux De Pintuco</v>
          </cell>
        </row>
        <row r="966">
          <cell r="B966" t="str">
            <v>Platina conectora en L ref M21033 ; PLD2AG</v>
          </cell>
        </row>
        <row r="967">
          <cell r="B967" t="str">
            <v>Platina de cobre de 1 x 1/8</v>
          </cell>
        </row>
        <row r="968">
          <cell r="B968" t="str">
            <v>Platina Union Bandeja</v>
          </cell>
        </row>
        <row r="969">
          <cell r="B969" t="str">
            <v>Platina, Angulo de 11/0" X 3/16</v>
          </cell>
        </row>
        <row r="970">
          <cell r="B970" t="str">
            <v>Platinas para Asegurar Malla al Tubo</v>
          </cell>
        </row>
        <row r="971">
          <cell r="B971" t="str">
            <v>Polvo Mineral Rojo</v>
          </cell>
        </row>
        <row r="972">
          <cell r="B972" t="str">
            <v>Portacandado</v>
          </cell>
        </row>
        <row r="973">
          <cell r="B973" t="str">
            <v>Portalampara o soporte intemperie plastico</v>
          </cell>
        </row>
        <row r="974">
          <cell r="B974" t="str">
            <v>Poste de concreto APH=10m, CR=510 Kg</v>
          </cell>
        </row>
        <row r="975">
          <cell r="B975" t="str">
            <v>Poste de concreto APH=12m, CR=510 Kg</v>
          </cell>
        </row>
        <row r="976">
          <cell r="B976" t="str">
            <v>Poste de concreto APH=8m, CR=510 Kg</v>
          </cell>
        </row>
        <row r="977">
          <cell r="B977" t="str">
            <v>Poste en tuberia de 4 y 3</v>
          </cell>
        </row>
        <row r="978">
          <cell r="B978" t="str">
            <v>Postes De 10m de 1050kg</v>
          </cell>
        </row>
        <row r="979">
          <cell r="B979" t="str">
            <v>Postes De 10m de 750kg</v>
          </cell>
        </row>
        <row r="980">
          <cell r="B980" t="str">
            <v>Postes De 12m de 1050kg</v>
          </cell>
        </row>
        <row r="981">
          <cell r="B981" t="str">
            <v>Postes De 12m de 750kg</v>
          </cell>
        </row>
        <row r="982">
          <cell r="B982" t="str">
            <v>Postes De 14m de 1050kg</v>
          </cell>
        </row>
        <row r="983">
          <cell r="B983" t="str">
            <v>Postes De 14m de 750kg</v>
          </cell>
        </row>
        <row r="984">
          <cell r="B984" t="str">
            <v>Prensaestopa  13 mm cables 10 4PE21  3/4</v>
          </cell>
        </row>
        <row r="985">
          <cell r="B985" t="str">
            <v>Prensaestopa  9 mm cables 7 mm 3PE9 5/16</v>
          </cell>
        </row>
        <row r="986">
          <cell r="B986" t="str">
            <v>Prensaestopa 3/4"</v>
          </cell>
        </row>
        <row r="987">
          <cell r="B987" t="str">
            <v>Programador Horario Digital Semanal CCT15720</v>
          </cell>
        </row>
        <row r="988">
          <cell r="B988" t="str">
            <v>Protocolo de pruebas</v>
          </cell>
        </row>
        <row r="989">
          <cell r="B989" t="str">
            <v>PROYECTO SCHREDER NEOS 3 1709 400W N 208/220V S.P.MARCADO AP BGA + 2 FUS</v>
          </cell>
        </row>
        <row r="990">
          <cell r="B990" t="str">
            <v>Prueba de pararrayos</v>
          </cell>
        </row>
        <row r="991">
          <cell r="B991" t="str">
            <v>Pulsador arranque parada motor</v>
          </cell>
        </row>
        <row r="992">
          <cell r="B992" t="str">
            <v>Punta Franklin especial</v>
          </cell>
        </row>
        <row r="993">
          <cell r="B993" t="str">
            <v xml:space="preserve">Punta Franklin sencilla </v>
          </cell>
        </row>
        <row r="994">
          <cell r="B994" t="str">
            <v>Puntilla</v>
          </cell>
        </row>
        <row r="995">
          <cell r="B995" t="str">
            <v>Rack Manejador de 19"</v>
          </cell>
        </row>
        <row r="996">
          <cell r="B996" t="str">
            <v>Reducción 2 1/2" x 2"</v>
          </cell>
        </row>
        <row r="997">
          <cell r="B997" t="str">
            <v>Reflector MH 400 w  277</v>
          </cell>
        </row>
        <row r="998">
          <cell r="B998" t="str">
            <v>Reflector MH 400 w 220 v reactor</v>
          </cell>
        </row>
        <row r="999">
          <cell r="B999" t="str">
            <v>Reflector MH 400 w 480 v reactor</v>
          </cell>
        </row>
        <row r="1000">
          <cell r="B1000" t="str">
            <v>Reflector Sodio 400 w  277</v>
          </cell>
        </row>
        <row r="1001">
          <cell r="B1001" t="str">
            <v>Reflector Sodio 400 w 220 v reactor</v>
          </cell>
        </row>
        <row r="1002">
          <cell r="B1002" t="str">
            <v>Reflector Sodio 400 w 480 v reactor</v>
          </cell>
        </row>
        <row r="1003">
          <cell r="B1003" t="str">
            <v>Reflector TFL 400W  SRA -2TBV CR LTI c/bombilla</v>
          </cell>
        </row>
        <row r="1004">
          <cell r="B1004" t="str">
            <v>Registro de concreto 0,30x0,30x0,4</v>
          </cell>
        </row>
        <row r="1005">
          <cell r="B1005" t="str">
            <v>Regleta</v>
          </cell>
        </row>
        <row r="1006">
          <cell r="B1006" t="str">
            <v>Regleta plastica 12 polos blanca 20A</v>
          </cell>
        </row>
        <row r="1007">
          <cell r="B1007" t="str">
            <v>Regulador factor potencia lovato ref LOV 0293</v>
          </cell>
        </row>
        <row r="1008">
          <cell r="B1008" t="str">
            <v>Regulador factor potencia varlogic ref 52448</v>
          </cell>
        </row>
        <row r="1009">
          <cell r="B1009" t="str">
            <v xml:space="preserve">Rele bloque de pruebas </v>
          </cell>
        </row>
        <row r="1010">
          <cell r="B1010" t="str">
            <v xml:space="preserve">Rele de 11 pines </v>
          </cell>
        </row>
        <row r="1011">
          <cell r="B1011" t="str">
            <v>Rele de tiempo electronico multirango on - off - delay, estr - triangulo</v>
          </cell>
        </row>
        <row r="1012">
          <cell r="B1012" t="str">
            <v>Rele monitor de fase RM35TF30</v>
          </cell>
        </row>
        <row r="1013">
          <cell r="B1013" t="str">
            <v>Retenida 3/8 (3 toneladas)</v>
          </cell>
        </row>
        <row r="1014">
          <cell r="B1014" t="str">
            <v>Riel Omega</v>
          </cell>
        </row>
        <row r="1015">
          <cell r="B1015" t="str">
            <v>Riostras</v>
          </cell>
        </row>
        <row r="1016">
          <cell r="B1016" t="str">
            <v>Secador de manos</v>
          </cell>
        </row>
        <row r="1017">
          <cell r="B1017" t="str">
            <v>Selector de dos posiciones</v>
          </cell>
        </row>
        <row r="1018">
          <cell r="B1018" t="str">
            <v>Selector de tres posiciones 9001KS43FBH13</v>
          </cell>
        </row>
        <row r="1019">
          <cell r="B1019" t="str">
            <v>Sello Cortafuego explosion proof 1 1/2"</v>
          </cell>
        </row>
        <row r="1020">
          <cell r="B1020" t="str">
            <v>Sello Cortafuego explosion proof 1"</v>
          </cell>
        </row>
        <row r="1021">
          <cell r="B1021" t="str">
            <v>Sello Cortafuego explosion proof 1/2"</v>
          </cell>
        </row>
        <row r="1022">
          <cell r="B1022" t="str">
            <v>Sello Cortafuego explosion proof 2"</v>
          </cell>
        </row>
        <row r="1023">
          <cell r="B1023" t="str">
            <v>Sello Cortafuego explosion proof 3/4"</v>
          </cell>
        </row>
        <row r="1024">
          <cell r="B1024" t="str">
            <v>Sikabond</v>
          </cell>
        </row>
        <row r="1025">
          <cell r="B1025" t="str">
            <v>Sikasil C (Silicona)</v>
          </cell>
        </row>
        <row r="1026">
          <cell r="B1026" t="str">
            <v>Sikatop 122</v>
          </cell>
        </row>
        <row r="1027">
          <cell r="B1027" t="str">
            <v>Silla Para Cruceta</v>
          </cell>
        </row>
        <row r="1028">
          <cell r="B1028" t="str">
            <v>Sirena a 110 V o 220 V</v>
          </cell>
        </row>
        <row r="1029">
          <cell r="B1029" t="str">
            <v>Socket para tubo fluorescente</v>
          </cell>
        </row>
        <row r="1030">
          <cell r="B1030" t="str">
            <v>Soldadura electrodos</v>
          </cell>
        </row>
        <row r="1031">
          <cell r="B1031" t="str">
            <v>Soldadura Exotérmica De 115 gr</v>
          </cell>
        </row>
        <row r="1032">
          <cell r="B1032" t="str">
            <v>Soldadura Exotérmica De 150 gr</v>
          </cell>
        </row>
        <row r="1033">
          <cell r="B1033" t="str">
            <v>Soldadura Exotérmica De 200 gr</v>
          </cell>
        </row>
        <row r="1034">
          <cell r="B1034" t="str">
            <v>Soldadura Exotérmica De 45 gr</v>
          </cell>
        </row>
        <row r="1035">
          <cell r="B1035" t="str">
            <v>Soldadura Exotérmica De 65 gr</v>
          </cell>
        </row>
        <row r="1036">
          <cell r="B1036" t="str">
            <v>Soldadura Exotérmica De 90 gr</v>
          </cell>
        </row>
        <row r="1037">
          <cell r="B1037" t="str">
            <v>Soporte para montar modulos seis espacios 4x4 vela ref 685098</v>
          </cell>
        </row>
        <row r="1038">
          <cell r="B1038" t="str">
            <v>Soporte para montar modulos tres espacios vela ref 681599</v>
          </cell>
        </row>
        <row r="1039">
          <cell r="B1039" t="str">
            <v>Soporte peldaño 20 cms</v>
          </cell>
        </row>
        <row r="1040">
          <cell r="B1040" t="str">
            <v>Soporte Tipo Repisa Galvanizada en Caliente</v>
          </cell>
        </row>
        <row r="1041">
          <cell r="B1041" t="str">
            <v>Suiche selector de manija negra 2 posiciones ref XB4BD21</v>
          </cell>
        </row>
        <row r="1042">
          <cell r="B1042" t="str">
            <v>Suiche selector de manija negra 3 posiciones ref XB4BD33</v>
          </cell>
        </row>
        <row r="1043">
          <cell r="B1043" t="str">
            <v>Sujetador de Bandeja</v>
          </cell>
        </row>
        <row r="1044">
          <cell r="B1044" t="str">
            <v>Sujetador de Bandeja Vertical</v>
          </cell>
        </row>
        <row r="1045">
          <cell r="B1045" t="str">
            <v>Suministro trasporte e instalación de red canalizada en cable concéntrico antifraude Cu 75 C° 3X1/0+1/0 AWG 600V (PE/PVC)</v>
          </cell>
        </row>
        <row r="1046">
          <cell r="B1046" t="str">
            <v>Suplemento para caja 4x4 galvanizada</v>
          </cell>
        </row>
        <row r="1047">
          <cell r="B1047" t="str">
            <v>Suplemento para caja 4x4 plastica</v>
          </cell>
        </row>
        <row r="1048">
          <cell r="B1048" t="str">
            <v>Suplemento para caja 4x4 radwelt</v>
          </cell>
        </row>
        <row r="1049">
          <cell r="B1049" t="str">
            <v>Tabla cepillada</v>
          </cell>
        </row>
        <row r="1050">
          <cell r="B1050" t="str">
            <v>Tablero general 2,20 x 1,9i0 x 0,60 cms</v>
          </cell>
        </row>
        <row r="1051">
          <cell r="B1051" t="str">
            <v>Tablero trifasico NTQ 412 con puerta</v>
          </cell>
        </row>
        <row r="1052">
          <cell r="B1052" t="str">
            <v>Tablero trifasico NTQ 418 con puerta</v>
          </cell>
        </row>
        <row r="1053">
          <cell r="B1053" t="str">
            <v>Tablero trifasico NTQ 424 con puerta</v>
          </cell>
        </row>
        <row r="1054">
          <cell r="B1054" t="str">
            <v>Tablero trifasico NTQ 430 con puerta</v>
          </cell>
        </row>
        <row r="1055">
          <cell r="B1055" t="str">
            <v>Tablero trifasico NTQ 436 con puerta</v>
          </cell>
        </row>
        <row r="1056">
          <cell r="B1056" t="str">
            <v>Tablero trifasico NTQ 442 con puerta</v>
          </cell>
        </row>
        <row r="1057">
          <cell r="B1057" t="str">
            <v>Tablero trifasico NTQ -T-12 circuitos con espacio para totalizador</v>
          </cell>
        </row>
        <row r="1058">
          <cell r="B1058" t="str">
            <v>Tablero trifasico NTQ -T-18 circuitos con espacio para totalizador</v>
          </cell>
        </row>
        <row r="1059">
          <cell r="B1059" t="str">
            <v>Tablero trifasico NTQ -T-24 circuitos con espacio para totalizador</v>
          </cell>
        </row>
        <row r="1060">
          <cell r="B1060" t="str">
            <v>Tablero trifasico NTQ -T-30 circuitos con espacio para totalizador</v>
          </cell>
        </row>
        <row r="1061">
          <cell r="B1061" t="str">
            <v>Tablero trifasico NTQ -T-36 circuitos con espacio para totalizador</v>
          </cell>
        </row>
        <row r="1062">
          <cell r="B1062" t="str">
            <v>Tablero trifasico NTQ -T-42 circuitos con espacio para totalizador</v>
          </cell>
        </row>
        <row r="1063">
          <cell r="B1063" t="str">
            <v xml:space="preserve">Tablon Vitrificado Formato 0,2 X 0,2 </v>
          </cell>
        </row>
        <row r="1064">
          <cell r="B1064" t="str">
            <v>Talicon</v>
          </cell>
        </row>
        <row r="1065">
          <cell r="B1065" t="str">
            <v>Tapa Ciega 2x4</v>
          </cell>
        </row>
        <row r="1066">
          <cell r="B1066" t="str">
            <v xml:space="preserve">Tapa Ciega Metalica 4x4 </v>
          </cell>
        </row>
        <row r="1067">
          <cell r="B1067" t="str">
            <v>TAPA CIEGA MX BLANCA 10UND</v>
          </cell>
        </row>
        <row r="1068">
          <cell r="B1068" t="str">
            <v xml:space="preserve">Tapa Ciega Octagonal </v>
          </cell>
        </row>
        <row r="1069">
          <cell r="B1069" t="str">
            <v>Tapa Ciega Octagonal radwelt</v>
          </cell>
        </row>
        <row r="1070">
          <cell r="B1070" t="str">
            <v>Tapa Interruptor Sencillo</v>
          </cell>
        </row>
        <row r="1071">
          <cell r="B1071" t="str">
            <v>Tapa metalica toma 20 A y 30 A</v>
          </cell>
        </row>
        <row r="1072">
          <cell r="B1072" t="str">
            <v>Tapa Para Bandeja 10</v>
          </cell>
        </row>
        <row r="1073">
          <cell r="B1073" t="str">
            <v>Tapa Para Bandeja 20</v>
          </cell>
        </row>
        <row r="1074">
          <cell r="B1074" t="str">
            <v>Tapa Para Bandeja 30</v>
          </cell>
        </row>
        <row r="1075">
          <cell r="B1075" t="str">
            <v>Tapa Para Bandeja 40</v>
          </cell>
        </row>
        <row r="1076">
          <cell r="B1076" t="str">
            <v>Tapa Para Bandeja en Cruce x 10</v>
          </cell>
        </row>
        <row r="1077">
          <cell r="B1077" t="str">
            <v>Tapa Para Bandeja en Cruce x 20</v>
          </cell>
        </row>
        <row r="1078">
          <cell r="B1078" t="str">
            <v>Tapa Para Bandeja en Cruce x 30</v>
          </cell>
        </row>
        <row r="1079">
          <cell r="B1079" t="str">
            <v>Tapa Para Bandeja en Cruce x 40</v>
          </cell>
        </row>
        <row r="1080">
          <cell r="B1080" t="str">
            <v>Tapa Para Bandeja en Curva Horizontal 90º  30</v>
          </cell>
        </row>
        <row r="1081">
          <cell r="B1081" t="str">
            <v>Tapa Para Bandeja en Curva Horizontal 90º 10</v>
          </cell>
        </row>
        <row r="1082">
          <cell r="B1082" t="str">
            <v>Tapa Para Bandeja en Curva Horizontal 90º 20</v>
          </cell>
        </row>
        <row r="1083">
          <cell r="B1083" t="str">
            <v>Tapa Para Bandeja en Curva Horizontal 90º 40</v>
          </cell>
        </row>
        <row r="1084">
          <cell r="B1084" t="str">
            <v>Tapa Para Bandeja en Curva Vertical 90º 10</v>
          </cell>
        </row>
        <row r="1085">
          <cell r="B1085" t="str">
            <v>Tapa Para Bandeja en Curva Vertical 90º 20</v>
          </cell>
        </row>
        <row r="1086">
          <cell r="B1086" t="str">
            <v>Tapa Para Bandeja en Curva Vertical 90º 30</v>
          </cell>
        </row>
        <row r="1087">
          <cell r="B1087" t="str">
            <v>Tapa Para Bandeja en Curva Vertical 90º 40</v>
          </cell>
        </row>
        <row r="1088">
          <cell r="B1088" t="str">
            <v xml:space="preserve">Tapa Para Bandeja en Te 10 </v>
          </cell>
        </row>
        <row r="1089">
          <cell r="B1089" t="str">
            <v>Tapa Para Bandeja en Te 20</v>
          </cell>
        </row>
        <row r="1090">
          <cell r="B1090" t="str">
            <v>Tapa Para Bandeja en Te 30</v>
          </cell>
        </row>
        <row r="1091">
          <cell r="B1091" t="str">
            <v>Tapa Para Bandeja en Te 40</v>
          </cell>
        </row>
        <row r="1092">
          <cell r="B1092" t="str">
            <v xml:space="preserve">Tapa Toma Doble </v>
          </cell>
        </row>
        <row r="1093">
          <cell r="B1093" t="str">
            <v>Tapa Toma Doble Seguridad Intemperie</v>
          </cell>
        </row>
        <row r="1094">
          <cell r="B1094" t="str">
            <v>Tapa Toma metalica locking ref 84020  20 y 30 A</v>
          </cell>
        </row>
        <row r="1095">
          <cell r="B1095" t="str">
            <v>Tapa Toma Trifilar</v>
          </cell>
        </row>
        <row r="1096">
          <cell r="B1096" t="str">
            <v>Tapa troquel 12x5 universal color almendra</v>
          </cell>
        </row>
        <row r="1097">
          <cell r="B1097" t="str">
            <v xml:space="preserve">Tapa troquel datos 11x5 </v>
          </cell>
        </row>
        <row r="1098">
          <cell r="B1098" t="str">
            <v xml:space="preserve">Tapa troquel datos doble 11x5 </v>
          </cell>
        </row>
        <row r="1099">
          <cell r="B1099" t="str">
            <v xml:space="preserve">Tapa troquel energia 11x5 </v>
          </cell>
        </row>
        <row r="1100">
          <cell r="B1100" t="str">
            <v xml:space="preserve">Tapa troquel universal doble 11x5 </v>
          </cell>
        </row>
        <row r="1101">
          <cell r="B1101" t="str">
            <v>Tapon de 1"</v>
          </cell>
        </row>
        <row r="1102">
          <cell r="B1102" t="str">
            <v>Tapon de 3" soldado PVC</v>
          </cell>
        </row>
        <row r="1103">
          <cell r="B1103" t="str">
            <v>Te Para Bandeja en 10</v>
          </cell>
        </row>
        <row r="1104">
          <cell r="B1104" t="str">
            <v>Te Para Bandeja en 20</v>
          </cell>
        </row>
        <row r="1105">
          <cell r="B1105" t="str">
            <v>Tee bandeja 20 cms liv</v>
          </cell>
        </row>
        <row r="1106">
          <cell r="B1106" t="str">
            <v>Temporizador programable</v>
          </cell>
        </row>
        <row r="1107">
          <cell r="B1107" t="str">
            <v>Tensor de 1/8" x 8</v>
          </cell>
        </row>
        <row r="1108">
          <cell r="B1108" t="str">
            <v>Tensor de 1/4x3 1/2</v>
          </cell>
        </row>
        <row r="1109">
          <cell r="B1109" t="str">
            <v>Tensor de 5/16x 4 1/4</v>
          </cell>
        </row>
        <row r="1110">
          <cell r="B1110" t="str">
            <v>Tensor de 3/8 x 6</v>
          </cell>
        </row>
        <row r="1111">
          <cell r="B1111" t="str">
            <v>Terminal  bimetalico 750  2 huecos</v>
          </cell>
        </row>
        <row r="1112">
          <cell r="B1112" t="str">
            <v>Terminal Campana PVC 1"</v>
          </cell>
        </row>
        <row r="1113">
          <cell r="B1113" t="str">
            <v>Terminal Campana PVC 11/2"</v>
          </cell>
        </row>
        <row r="1114">
          <cell r="B1114" t="str">
            <v>Terminal Campana PVC 2"</v>
          </cell>
        </row>
        <row r="1115">
          <cell r="B1115" t="str">
            <v>Terminal Campana PVC 3/4"</v>
          </cell>
        </row>
        <row r="1116">
          <cell r="B1116" t="str">
            <v>Terminal de cobre de compresión marca Burndy para cable N. 1/0 AWG Catalog Number: YA25L4-BOX</v>
          </cell>
        </row>
        <row r="1117">
          <cell r="B1117" t="str">
            <v>terminal de cobre de compresión marca Burndy para cable No. 4 AWG  Catalog Number YA4CL4-BOX.</v>
          </cell>
        </row>
        <row r="1118">
          <cell r="B1118" t="str">
            <v>Terminal de cobre de compresión marca Burndy para cable No.14 AWG Catalog Number: YAV10-BOX</v>
          </cell>
        </row>
        <row r="1119">
          <cell r="B1119" t="str">
            <v>terminal de compresion para cable 2 AWG Burndy Catalog Number YA2CL6-BOX</v>
          </cell>
        </row>
        <row r="1120">
          <cell r="B1120" t="str">
            <v>Terminal de compresion para cable 2/0 AWG Burndy Catalog Number YA26L-BOX</v>
          </cell>
        </row>
        <row r="1121">
          <cell r="B1121" t="str">
            <v xml:space="preserve">Terminal de gorrito </v>
          </cell>
        </row>
        <row r="1122">
          <cell r="B1122" t="str">
            <v>Terminal de un hueco No 1/0</v>
          </cell>
        </row>
        <row r="1123">
          <cell r="B1123" t="str">
            <v>Terminal de un hueco No 1/0 bimetalico</v>
          </cell>
        </row>
        <row r="1124">
          <cell r="B1124" t="str">
            <v>Terminal de un hueco No 2</v>
          </cell>
        </row>
        <row r="1125">
          <cell r="B1125" t="str">
            <v>Terminal de un hueco No 2 bimetalico</v>
          </cell>
        </row>
        <row r="1126">
          <cell r="B1126" t="str">
            <v>Terminal de un hueco No 2/0</v>
          </cell>
        </row>
        <row r="1127">
          <cell r="B1127" t="str">
            <v>Terminal de un hueco No 2/0 bimetalico</v>
          </cell>
        </row>
        <row r="1128">
          <cell r="B1128" t="str">
            <v>Terminal de un hueco No 250</v>
          </cell>
        </row>
        <row r="1129">
          <cell r="B1129" t="str">
            <v>Terminal de un hueco No 3/0</v>
          </cell>
        </row>
        <row r="1130">
          <cell r="B1130" t="str">
            <v>Terminal de un hueco No 3/0 bimetalico</v>
          </cell>
        </row>
        <row r="1131">
          <cell r="B1131" t="str">
            <v>Terminal de un hueco No 300</v>
          </cell>
        </row>
        <row r="1132">
          <cell r="B1132" t="str">
            <v>Terminal de un hueco No 300 bimetalico</v>
          </cell>
        </row>
        <row r="1133">
          <cell r="B1133" t="str">
            <v>Terminal de un hueco No 350</v>
          </cell>
        </row>
        <row r="1134">
          <cell r="B1134" t="str">
            <v>Terminal de un hueco No 350 bimetalico</v>
          </cell>
        </row>
        <row r="1135">
          <cell r="B1135" t="str">
            <v>Terminal de un hueco No 4</v>
          </cell>
        </row>
        <row r="1136">
          <cell r="B1136" t="str">
            <v>Terminal de un hueco No 4/0</v>
          </cell>
        </row>
        <row r="1137">
          <cell r="B1137" t="str">
            <v>Terminal de un hueco No 4/0 bimetalico</v>
          </cell>
        </row>
        <row r="1138">
          <cell r="B1138" t="str">
            <v>Terminal de un hueco No 500</v>
          </cell>
        </row>
        <row r="1139">
          <cell r="B1139" t="str">
            <v>Terminal de un hueco No 6</v>
          </cell>
        </row>
        <row r="1140">
          <cell r="B1140" t="str">
            <v xml:space="preserve">Terminal dos huecos 250 MCM </v>
          </cell>
        </row>
        <row r="1141">
          <cell r="B1141" t="str">
            <v xml:space="preserve">Terminal dos huecos 350 MCM </v>
          </cell>
        </row>
        <row r="1142">
          <cell r="B1142" t="str">
            <v>Terminal dos huecos 4/0 MCM</v>
          </cell>
        </row>
        <row r="1143">
          <cell r="B1143" t="str">
            <v>Terminal dos huecos 500 MCM 3M</v>
          </cell>
        </row>
        <row r="1144">
          <cell r="B1144" t="str">
            <v>Terminal dos huecos No 2/0 bimetalico</v>
          </cell>
        </row>
        <row r="1145">
          <cell r="B1145" t="str">
            <v>Terminal dos huecos No 300 bimetalico</v>
          </cell>
        </row>
        <row r="1146">
          <cell r="B1146" t="str">
            <v>Terminal dos huecos No 350 bimetalico</v>
          </cell>
        </row>
        <row r="1147">
          <cell r="B1147" t="str">
            <v>Terminal dos huecos No 4/0 bimetalico</v>
          </cell>
        </row>
        <row r="1148">
          <cell r="B1148" t="str">
            <v>Terminal dos huecos No 500 bimetalico</v>
          </cell>
        </row>
        <row r="1149">
          <cell r="B1149" t="str">
            <v xml:space="preserve">Terminal en U  16 - 14 </v>
          </cell>
        </row>
        <row r="1150">
          <cell r="B1150" t="str">
            <v>Terminal No.10-12</v>
          </cell>
        </row>
        <row r="1151">
          <cell r="B1151" t="str">
            <v>Terminal No.8</v>
          </cell>
        </row>
        <row r="1152">
          <cell r="B1152" t="str">
            <v>Terminal Premoldeado De 2 Awg-4/0 Tipo Intemperie, 15kv</v>
          </cell>
        </row>
        <row r="1153">
          <cell r="B1153" t="str">
            <v>Terminal Premoldeado De 2awg-4/0 Tipo Interior, 15kv</v>
          </cell>
        </row>
        <row r="1154">
          <cell r="B1154" t="str">
            <v>Terminal Premoldeado De 3/0-600MCM Tipo Intemperie, 15kv</v>
          </cell>
        </row>
        <row r="1155">
          <cell r="B1155" t="str">
            <v>Terminal Premoldeado De 3/0-600MCM Tipo Interior, 15kv</v>
          </cell>
        </row>
        <row r="1156">
          <cell r="B1156" t="str">
            <v>Terminales Lug</v>
          </cell>
        </row>
        <row r="1157">
          <cell r="B1157" t="str">
            <v>Termoencogible 10 a 3</v>
          </cell>
        </row>
        <row r="1158">
          <cell r="B1158" t="str">
            <v>Termoencogible 16 a 5</v>
          </cell>
        </row>
        <row r="1159">
          <cell r="B1159" t="str">
            <v>Termoencogible 25 a 8</v>
          </cell>
        </row>
        <row r="1160">
          <cell r="B1160" t="str">
            <v>Termoencogible 600v 2 A 4/0</v>
          </cell>
        </row>
        <row r="1161">
          <cell r="B1161" t="str">
            <v>Termoencogible  250 MCM – 500 MCM</v>
          </cell>
        </row>
        <row r="1162">
          <cell r="B1162" t="str">
            <v>Thinner</v>
          </cell>
        </row>
        <row r="1163">
          <cell r="B1163" t="str">
            <v>Thinner 21050</v>
          </cell>
        </row>
        <row r="1164">
          <cell r="B1164" t="str">
            <v xml:space="preserve">Timbre pulsador </v>
          </cell>
        </row>
        <row r="1165">
          <cell r="B1165" t="str">
            <v>Timbre tipo campana</v>
          </cell>
        </row>
        <row r="1166">
          <cell r="B1166" t="str">
            <v>toma 220v</v>
          </cell>
        </row>
        <row r="1167">
          <cell r="B1167" t="str">
            <v xml:space="preserve">Toma  30 Amps 250V ref 2620 </v>
          </cell>
        </row>
        <row r="1168">
          <cell r="B1168" t="str">
            <v xml:space="preserve">Toma  63 Amps 250Vol  trifasica </v>
          </cell>
        </row>
        <row r="1169">
          <cell r="B1169" t="str">
            <v>Toma  Codelca 20 Amps</v>
          </cell>
        </row>
        <row r="1170">
          <cell r="B1170" t="str">
            <v>Toma  Doble Levinton 15 Amps blanco</v>
          </cell>
        </row>
        <row r="1171">
          <cell r="B1171" t="str">
            <v>Toma  Doble Levinton 15 Amps crema</v>
          </cell>
        </row>
        <row r="1172">
          <cell r="B1172" t="str">
            <v>Toma  Doble Levinton 20 Amps</v>
          </cell>
        </row>
        <row r="1173">
          <cell r="B1173" t="str">
            <v>Toma de DATO Luminex vela ref 682856</v>
          </cell>
        </row>
        <row r="1174">
          <cell r="B1174" t="str">
            <v>Toma de incrustar L 15- 30 ref 2720  30 amp</v>
          </cell>
        </row>
        <row r="1175">
          <cell r="B1175" t="str">
            <v>Toma de incrustar L 21- 30 ref 2810  30 amp</v>
          </cell>
        </row>
        <row r="1176">
          <cell r="B1176" t="str">
            <v>Toma de incrustar L 6-30 ref 2620  30 amp</v>
          </cell>
        </row>
        <row r="1177">
          <cell r="B1177" t="str">
            <v>toma interruptor mixto</v>
          </cell>
        </row>
        <row r="1178">
          <cell r="B1178" t="str">
            <v>Toma Doble GFCI 15A 125v</v>
          </cell>
        </row>
        <row r="1179">
          <cell r="B1179" t="str">
            <v>Toma Doble HGR 15A 125v 8200</v>
          </cell>
        </row>
        <row r="1180">
          <cell r="B1180" t="str">
            <v>Toma Doble Luminex vela 220 V ref 681547</v>
          </cell>
        </row>
        <row r="1181">
          <cell r="B1181" t="str">
            <v>Toma Doble Luminex vela 681542</v>
          </cell>
        </row>
        <row r="1182">
          <cell r="B1182" t="str">
            <v>Toma doble vela (promedio)</v>
          </cell>
        </row>
        <row r="1183">
          <cell r="B1183" t="str">
            <v>Toma wallplate c/tapa ref VPG 1601</v>
          </cell>
        </row>
        <row r="1184">
          <cell r="B1184" t="str">
            <v>Tomacorriente 20A Twis Lock Leviton O Similar</v>
          </cell>
        </row>
        <row r="1185">
          <cell r="B1185" t="str">
            <v>Tomacorriente 30A Twis Lock Leviton</v>
          </cell>
        </row>
        <row r="1186">
          <cell r="B1186" t="str">
            <v>Tomacorriente Doble 15A Twis Lock Leviton</v>
          </cell>
        </row>
        <row r="1187">
          <cell r="B1187" t="str">
            <v>Tomacorriente doble Grado Hosp naranja 8200 IG</v>
          </cell>
        </row>
        <row r="1188">
          <cell r="B1188" t="str">
            <v>Tornillo  1/4, 3/8</v>
          </cell>
        </row>
        <row r="1189">
          <cell r="B1189" t="str">
            <v>tornillo autoperforante 1/4 x 1</v>
          </cell>
        </row>
        <row r="1190">
          <cell r="B1190" t="str">
            <v>tornillo autoperforante 5/16x 1</v>
          </cell>
        </row>
        <row r="1191">
          <cell r="B1191" t="str">
            <v xml:space="preserve">tornillo autoperforante 5/16 </v>
          </cell>
        </row>
        <row r="1192">
          <cell r="B1192" t="str">
            <v>Tornillo acero inoxidable 3/8x1"</v>
          </cell>
        </row>
        <row r="1193">
          <cell r="B1193" t="str">
            <v>Tramites ante Electricaribe</v>
          </cell>
        </row>
        <row r="1194">
          <cell r="B1194" t="str">
            <v>Transformador corriente 10/20/5</v>
          </cell>
        </row>
        <row r="1195">
          <cell r="B1195" t="str">
            <v>Transformador De Control De 300VA</v>
          </cell>
        </row>
        <row r="1196">
          <cell r="B1196" t="str">
            <v>Transformador de corriente de 1200 a 5</v>
          </cell>
        </row>
        <row r="1197">
          <cell r="B1197" t="str">
            <v xml:space="preserve">Transformador de corriente de 300 a 5 </v>
          </cell>
        </row>
        <row r="1198">
          <cell r="B1198" t="str">
            <v>Transformador de corriente de 800 a 5</v>
          </cell>
        </row>
        <row r="1199">
          <cell r="B1199" t="str">
            <v>Transformador potencial 13200/120V</v>
          </cell>
        </row>
        <row r="1200">
          <cell r="B1200" t="str">
            <v>Transformador Trifasico 112,5 KVA 
13,200/120/220 V pad mounted</v>
          </cell>
        </row>
        <row r="1201">
          <cell r="B1201" t="str">
            <v>Transformador Trifasico 45 KVA 13,2/120/220 V</v>
          </cell>
        </row>
        <row r="1202">
          <cell r="B1202" t="str">
            <v>Transformador trifasico seco ahorrador suntec 225 KVA 13200/220/127 V</v>
          </cell>
        </row>
        <row r="1203">
          <cell r="B1203" t="str">
            <v>Transformador monofasico en vacio 10kva 13,2kv/240-120</v>
          </cell>
        </row>
        <row r="1204">
          <cell r="B1204" t="str">
            <v>Transformador monofasico en vacio 15kva 13,2kv/240-120</v>
          </cell>
        </row>
        <row r="1205">
          <cell r="B1205" t="str">
            <v>Transformador monofasico de 50kva.13,2kv 240/120</v>
          </cell>
        </row>
        <row r="1206">
          <cell r="B1206" t="str">
            <v>Triturado</v>
          </cell>
        </row>
        <row r="1207">
          <cell r="B1207" t="str">
            <v>Tuberia Acero 1" sch 40</v>
          </cell>
        </row>
        <row r="1208">
          <cell r="B1208" t="str">
            <v>Tuberia Acero 1/2" sch 40</v>
          </cell>
        </row>
        <row r="1209">
          <cell r="B1209" t="str">
            <v>Tuberia Acero 3/4" sch 40</v>
          </cell>
        </row>
        <row r="1210">
          <cell r="B1210" t="str">
            <v>Tuberia conduflex 1/2</v>
          </cell>
        </row>
        <row r="1211">
          <cell r="B1211" t="str">
            <v>Tuberia conduflex 3/4</v>
          </cell>
        </row>
        <row r="1212">
          <cell r="B1212" t="str">
            <v>Tuberia conduflex 1</v>
          </cell>
        </row>
        <row r="1213">
          <cell r="B1213" t="str">
            <v>Tuberia Conduit Galv. (IMC) De 1 1/2"</v>
          </cell>
        </row>
        <row r="1214">
          <cell r="B1214" t="str">
            <v>Tuberia Conduit Galv. (IMC) De 1 1/4"</v>
          </cell>
        </row>
        <row r="1215">
          <cell r="B1215" t="str">
            <v>Tuberia Conduit Galv. (IMC) De 1"</v>
          </cell>
        </row>
        <row r="1216">
          <cell r="B1216" t="str">
            <v>Tuberia Conduit Galv. (IMC) De 1/2"</v>
          </cell>
        </row>
        <row r="1217">
          <cell r="B1217" t="str">
            <v>Tuberia Conduit Galv. (IMC) De 2"</v>
          </cell>
        </row>
        <row r="1218">
          <cell r="B1218" t="str">
            <v>Tuberia Conduit Galv. (IMC) De 3"</v>
          </cell>
        </row>
        <row r="1219">
          <cell r="B1219" t="str">
            <v>Tuberia Conduit Galv. (IMC) De 3/4"</v>
          </cell>
        </row>
        <row r="1220">
          <cell r="B1220" t="str">
            <v>Tuberia Conduit Galv. (IMC) De 4"</v>
          </cell>
        </row>
        <row r="1221">
          <cell r="B1221" t="str">
            <v>Tuberia Conduit Galv. (Ridgid) De 1 1/2"</v>
          </cell>
        </row>
        <row r="1222">
          <cell r="B1222" t="str">
            <v>Tuberia Conduit Galv. (Ridgid) De 1 1/4"</v>
          </cell>
        </row>
        <row r="1223">
          <cell r="B1223" t="str">
            <v>Tuberia Conduit Galv. (Ridgid) De 1"</v>
          </cell>
        </row>
        <row r="1224">
          <cell r="B1224" t="str">
            <v>Tuberia Conduit Galv. (Ridgid) De 1/2"</v>
          </cell>
        </row>
        <row r="1225">
          <cell r="B1225" t="str">
            <v>Tuberia Conduit Galv. (Ridgid) De 2"</v>
          </cell>
        </row>
        <row r="1226">
          <cell r="B1226" t="str">
            <v>Tuberia Conduit Galv. (Ridgid) De 3"</v>
          </cell>
        </row>
        <row r="1227">
          <cell r="B1227" t="str">
            <v>Tuberia Conduit Galv. (Ridgid) De 3/4"</v>
          </cell>
        </row>
        <row r="1228">
          <cell r="B1228" t="str">
            <v>Tuberia Conduit Galv. (Ridgid) De 4"</v>
          </cell>
        </row>
        <row r="1229">
          <cell r="B1229" t="str">
            <v>Tuberia EMT De 1 1/2"</v>
          </cell>
        </row>
        <row r="1230">
          <cell r="B1230" t="str">
            <v>Tuberia EMT De 1 1/4"</v>
          </cell>
        </row>
        <row r="1231">
          <cell r="B1231" t="str">
            <v>Tuberia EMT De 1"</v>
          </cell>
        </row>
        <row r="1232">
          <cell r="B1232" t="str">
            <v>Tuberia EMT De 1/2"</v>
          </cell>
        </row>
        <row r="1233">
          <cell r="B1233" t="str">
            <v>Tubería EMT De 2"</v>
          </cell>
        </row>
        <row r="1234">
          <cell r="B1234" t="str">
            <v>Tuberia EMT De 3"</v>
          </cell>
        </row>
        <row r="1235">
          <cell r="B1235" t="str">
            <v>Tuberia EMT De 3/4"</v>
          </cell>
        </row>
        <row r="1236">
          <cell r="B1236" t="str">
            <v>Tuberia EMT De 4"</v>
          </cell>
        </row>
        <row r="1237">
          <cell r="B1237" t="str">
            <v>Tuberia Galv de 3/4"</v>
          </cell>
        </row>
        <row r="1238">
          <cell r="B1238" t="str">
            <v>Tuberia PVC De 1 1/2"</v>
          </cell>
        </row>
        <row r="1239">
          <cell r="B1239" t="str">
            <v>Tuberia PVC De 1"</v>
          </cell>
        </row>
        <row r="1240">
          <cell r="B1240" t="str">
            <v>Tuberia PVC De 1/2"</v>
          </cell>
        </row>
        <row r="1241">
          <cell r="B1241" t="str">
            <v>Tuberia PVC De 11/4"</v>
          </cell>
        </row>
        <row r="1242">
          <cell r="B1242" t="str">
            <v>Tuberia PVC De 2"</v>
          </cell>
        </row>
        <row r="1243">
          <cell r="B1243" t="str">
            <v>Tuberia PVC De 3"</v>
          </cell>
        </row>
        <row r="1244">
          <cell r="B1244" t="str">
            <v>Tuberia PVC De 3/4"</v>
          </cell>
        </row>
        <row r="1245">
          <cell r="B1245" t="str">
            <v>Tuberia PVC De 4"</v>
          </cell>
        </row>
        <row r="1246">
          <cell r="B1246" t="str">
            <v xml:space="preserve">Tubo termocontractil 10 -3 </v>
          </cell>
        </row>
        <row r="1247">
          <cell r="B1247" t="str">
            <v xml:space="preserve">Tubo termocontractil 16 -5 </v>
          </cell>
        </row>
        <row r="1248">
          <cell r="B1248" t="str">
            <v xml:space="preserve">Tubo termocontractil 25 -8 </v>
          </cell>
        </row>
        <row r="1249">
          <cell r="B1249" t="str">
            <v xml:space="preserve">Tubo Fluoresentes 54w t5 blanco </v>
          </cell>
        </row>
        <row r="1250">
          <cell r="B1250" t="str">
            <v xml:space="preserve">Tubos Fluoresentes 32w t-8 Azul </v>
          </cell>
        </row>
        <row r="1251">
          <cell r="B1251" t="str">
            <v xml:space="preserve">Tubos Fluoresentes 32w t-8 Rojo  </v>
          </cell>
        </row>
        <row r="1252">
          <cell r="B1252" t="str">
            <v xml:space="preserve">Tubos Fluoresentes 32w t-8 Verde </v>
          </cell>
        </row>
        <row r="1253">
          <cell r="B1253" t="str">
            <v>tubos fluorecentes t8 17w</v>
          </cell>
        </row>
        <row r="1254">
          <cell r="B1254" t="str">
            <v>tubos fluorecentes t8 32 w</v>
          </cell>
        </row>
        <row r="1255">
          <cell r="B1255" t="str">
            <v>tubos fluorecentes t12 48 w</v>
          </cell>
        </row>
        <row r="1256">
          <cell r="B1256" t="str">
            <v>Tuerca de ojo  5/8 - 3/4</v>
          </cell>
        </row>
        <row r="1257">
          <cell r="B1257" t="str">
            <v xml:space="preserve">Tuerca galvanizada </v>
          </cell>
        </row>
        <row r="1258">
          <cell r="B1258" t="str">
            <v>Tuerca Hexagonal de 1/2"</v>
          </cell>
        </row>
        <row r="1259">
          <cell r="B1259" t="str">
            <v>Tuerca Rectangular con Resorte</v>
          </cell>
        </row>
        <row r="1260">
          <cell r="B1260" t="str">
            <v>Tuercas De Ojo De 5/8"</v>
          </cell>
        </row>
        <row r="1261">
          <cell r="B1261" t="str">
            <v>Union 1" sch 40</v>
          </cell>
        </row>
        <row r="1262">
          <cell r="B1262" t="str">
            <v>Union 1/2" sch 40</v>
          </cell>
        </row>
        <row r="1263">
          <cell r="B1263" t="str">
            <v>Union 3/4" sch 40</v>
          </cell>
        </row>
        <row r="1264">
          <cell r="B1264" t="str">
            <v>Union conduit galvanizada (IMC) de 1 1/4"</v>
          </cell>
        </row>
        <row r="1265">
          <cell r="B1265" t="str">
            <v>Union conduit galvanizada (IMC) de 1"</v>
          </cell>
        </row>
        <row r="1266">
          <cell r="B1266" t="str">
            <v>Union conduit galvanizada (IMC) de 1/2"</v>
          </cell>
        </row>
        <row r="1267">
          <cell r="B1267" t="str">
            <v>Union conduit galvanizada (IMC) de 1-1/2"</v>
          </cell>
        </row>
        <row r="1268">
          <cell r="B1268" t="str">
            <v>Union conduit galvanizada (IMC) de 2"</v>
          </cell>
        </row>
        <row r="1269">
          <cell r="B1269" t="str">
            <v>Union conduit galvanizada (IMC) de 3"</v>
          </cell>
        </row>
        <row r="1270">
          <cell r="B1270" t="str">
            <v>Union conduit galvanizada (IMC) de 3/4"</v>
          </cell>
        </row>
        <row r="1271">
          <cell r="B1271" t="str">
            <v>Union conduit galvanizada (IMC) de 4"</v>
          </cell>
        </row>
        <row r="1272">
          <cell r="B1272" t="str">
            <v>Union conduit galvanizada (RIGID) de 1 1/2"</v>
          </cell>
        </row>
        <row r="1273">
          <cell r="B1273" t="str">
            <v>Union conduit galvanizada (RIGID) de 1"</v>
          </cell>
        </row>
        <row r="1274">
          <cell r="B1274" t="str">
            <v>Union conduit galvanizada (RIGID) de 1/2"</v>
          </cell>
        </row>
        <row r="1275">
          <cell r="B1275" t="str">
            <v>Union conduit galvanizada (RIGID) de 2"</v>
          </cell>
        </row>
        <row r="1276">
          <cell r="B1276" t="str">
            <v>Union conduit galvanizada (RIGID) de 3"</v>
          </cell>
        </row>
        <row r="1277">
          <cell r="B1277" t="str">
            <v>Union conduit galvanizada (RIGID) de 3/4"</v>
          </cell>
        </row>
        <row r="1278">
          <cell r="B1278" t="str">
            <v>Union conduit galvanizada (RIGID) de 4"</v>
          </cell>
        </row>
        <row r="1279">
          <cell r="B1279" t="str">
            <v>Union conduit PVC de 1"</v>
          </cell>
        </row>
        <row r="1280">
          <cell r="B1280" t="str">
            <v>Union conduit PVC de 1/2"</v>
          </cell>
        </row>
        <row r="1281">
          <cell r="B1281" t="str">
            <v>Union conduit PVC de 1-1/2"</v>
          </cell>
        </row>
        <row r="1282">
          <cell r="B1282" t="str">
            <v>Union conduit PVC de 2"</v>
          </cell>
        </row>
        <row r="1283">
          <cell r="B1283" t="str">
            <v>Union conduit PVC de 3"</v>
          </cell>
        </row>
        <row r="1284">
          <cell r="B1284" t="str">
            <v>Union conduit PVC de 3/4"</v>
          </cell>
        </row>
        <row r="1285">
          <cell r="B1285" t="str">
            <v>Union conduit PVC de 4"</v>
          </cell>
        </row>
        <row r="1286">
          <cell r="B1286" t="str">
            <v>Union EMT de 1</v>
          </cell>
        </row>
        <row r="1287">
          <cell r="B1287" t="str">
            <v>Union EMT de 1/2</v>
          </cell>
        </row>
        <row r="1288">
          <cell r="B1288" t="str">
            <v>Union EMT de 1-1/2</v>
          </cell>
        </row>
        <row r="1289">
          <cell r="B1289" t="str">
            <v>Union EMT de 2</v>
          </cell>
        </row>
        <row r="1290">
          <cell r="B1290" t="str">
            <v>Union EMT de 3</v>
          </cell>
        </row>
        <row r="1291">
          <cell r="B1291" t="str">
            <v>Union EMT de 3/4</v>
          </cell>
        </row>
        <row r="1292">
          <cell r="B1292" t="str">
            <v>Union EMT de 4</v>
          </cell>
        </row>
        <row r="1293">
          <cell r="B1293" t="str">
            <v>Union Universal De 1 1/2"</v>
          </cell>
        </row>
        <row r="1294">
          <cell r="B1294" t="str">
            <v>Union Universal De 1"</v>
          </cell>
        </row>
        <row r="1295">
          <cell r="B1295" t="str">
            <v>Union Universal De 1/2"</v>
          </cell>
        </row>
        <row r="1296">
          <cell r="B1296" t="str">
            <v>Union Universal De 2"</v>
          </cell>
        </row>
        <row r="1297">
          <cell r="B1297" t="str">
            <v>Union Universal De 3/4"</v>
          </cell>
        </row>
        <row r="1298">
          <cell r="B1298" t="str">
            <v>Varilla Copperweld 5/8 x 2,4 mts</v>
          </cell>
        </row>
        <row r="1299">
          <cell r="B1299" t="str">
            <v>Varilla Corrugada 1/2</v>
          </cell>
        </row>
        <row r="1300">
          <cell r="B1300" t="str">
            <v>Varilla Corrugada 3/8</v>
          </cell>
        </row>
        <row r="1301">
          <cell r="B1301" t="str">
            <v>Varilla De Anclaje De Acero Galvanizado 5/8" x 1,80 mts</v>
          </cell>
        </row>
        <row r="1302">
          <cell r="B1302" t="str">
            <v>Varilla Roscada</v>
          </cell>
        </row>
        <row r="1303">
          <cell r="B1303" t="str">
            <v>Vaselina</v>
          </cell>
        </row>
      </sheetData>
      <sheetData sheetId="3"/>
      <sheetData sheetId="4">
        <row r="2">
          <cell r="B2" t="str">
            <v>-</v>
          </cell>
        </row>
        <row r="3">
          <cell r="B3" t="str">
            <v>Alicate</v>
          </cell>
        </row>
        <row r="4">
          <cell r="B4" t="str">
            <v>Arnes</v>
          </cell>
        </row>
        <row r="5">
          <cell r="B5" t="str">
            <v>Copa Cierra</v>
          </cell>
        </row>
        <row r="6">
          <cell r="B6" t="str">
            <v>Corta Frio</v>
          </cell>
        </row>
        <row r="7">
          <cell r="B7" t="str">
            <v>Destonillador estria</v>
          </cell>
        </row>
        <row r="8">
          <cell r="B8" t="str">
            <v>Destornillador Bornero</v>
          </cell>
        </row>
        <row r="9">
          <cell r="B9" t="str">
            <v>Destornillador Pala</v>
          </cell>
        </row>
        <row r="10">
          <cell r="B10" t="str">
            <v>Dobla tubo</v>
          </cell>
        </row>
        <row r="11">
          <cell r="B11" t="str">
            <v>Escalera de tijera hasta 10 pasos</v>
          </cell>
        </row>
        <row r="12">
          <cell r="B12" t="str">
            <v>Escalera de extension hasta 24 pasos</v>
          </cell>
        </row>
        <row r="13">
          <cell r="B13" t="str">
            <v>Juego llave Allen</v>
          </cell>
        </row>
        <row r="14">
          <cell r="B14" t="str">
            <v>Llaves mixtas</v>
          </cell>
        </row>
        <row r="15">
          <cell r="B15" t="str">
            <v>Martillo</v>
          </cell>
        </row>
        <row r="16">
          <cell r="B16" t="str">
            <v>Molde cadwlet</v>
          </cell>
        </row>
        <row r="17">
          <cell r="B17" t="str">
            <v>Pinza para molde</v>
          </cell>
        </row>
        <row r="18">
          <cell r="B18" t="str">
            <v>Pinza voltiamperimetrica</v>
          </cell>
        </row>
        <row r="19">
          <cell r="B19" t="str">
            <v>Ponchadora</v>
          </cell>
        </row>
        <row r="20">
          <cell r="B20" t="str">
            <v>Pretales</v>
          </cell>
        </row>
        <row r="21">
          <cell r="B21" t="str">
            <v>Pulidora</v>
          </cell>
        </row>
        <row r="22">
          <cell r="B22" t="str">
            <v>Sacabocado hidraulico</v>
          </cell>
        </row>
        <row r="23">
          <cell r="B23" t="str">
            <v xml:space="preserve">Taladro </v>
          </cell>
        </row>
        <row r="24">
          <cell r="B24" t="str">
            <v>Taladro Percutor</v>
          </cell>
        </row>
        <row r="25">
          <cell r="B25" t="str">
            <v>Andamios</v>
          </cell>
        </row>
        <row r="26">
          <cell r="B26" t="str">
            <v xml:space="preserve">Mona </v>
          </cell>
        </row>
        <row r="27">
          <cell r="B27" t="str">
            <v>Cincel</v>
          </cell>
        </row>
        <row r="28">
          <cell r="B28" t="str">
            <v>Calentador Manual</v>
          </cell>
        </row>
        <row r="29">
          <cell r="B29" t="str">
            <v>Nivel</v>
          </cell>
        </row>
        <row r="30">
          <cell r="B30" t="str">
            <v>Sonda</v>
          </cell>
        </row>
        <row r="31">
          <cell r="B31" t="str">
            <v>metro</v>
          </cell>
        </row>
        <row r="32">
          <cell r="B32" t="str">
            <v>cegueta</v>
          </cell>
        </row>
        <row r="33">
          <cell r="B33" t="str">
            <v>caucho dobla tubo 1/2</v>
          </cell>
        </row>
        <row r="34">
          <cell r="B34" t="str">
            <v>caucho dobla tubo 3/4</v>
          </cell>
        </row>
        <row r="35">
          <cell r="B35" t="str">
            <v>cizalla</v>
          </cell>
        </row>
        <row r="36">
          <cell r="B36" t="str">
            <v>Tripode</v>
          </cell>
        </row>
        <row r="37">
          <cell r="B37" t="str">
            <v>Juego llave Ratchet</v>
          </cell>
        </row>
        <row r="38">
          <cell r="B38" t="str">
            <v>Zunchadora</v>
          </cell>
        </row>
        <row r="39">
          <cell r="B39" t="str">
            <v>Megger Aislamiento</v>
          </cell>
        </row>
        <row r="40">
          <cell r="B40" t="str">
            <v>Maquina soldar</v>
          </cell>
        </row>
        <row r="41">
          <cell r="B41" t="str">
            <v>Cinturon Herramientas</v>
          </cell>
        </row>
        <row r="42">
          <cell r="B42" t="str">
            <v>Caja de Herramientas</v>
          </cell>
        </row>
        <row r="43">
          <cell r="B43" t="str">
            <v>Navaja</v>
          </cell>
        </row>
        <row r="44">
          <cell r="B44" t="str">
            <v>Remachadora</v>
          </cell>
        </row>
        <row r="45">
          <cell r="B45" t="str">
            <v>Escuadra Profesional</v>
          </cell>
        </row>
        <row r="46">
          <cell r="B46" t="str">
            <v>Palaustre</v>
          </cell>
        </row>
        <row r="47">
          <cell r="B47" t="str">
            <v>Cinta Metrica x 30 mts</v>
          </cell>
        </row>
        <row r="48">
          <cell r="B48" t="str">
            <v>Analizador de Redes</v>
          </cell>
        </row>
        <row r="49">
          <cell r="B49" t="str">
            <v>Pertiga</v>
          </cell>
        </row>
        <row r="50">
          <cell r="B50" t="str">
            <v>celular</v>
          </cell>
        </row>
      </sheetData>
      <sheetData sheetId="5">
        <row r="3">
          <cell r="B3" t="str">
            <v>-</v>
          </cell>
        </row>
        <row r="4">
          <cell r="B4" t="str">
            <v>Hora Hombre ayudante en horario diurno</v>
          </cell>
        </row>
        <row r="5">
          <cell r="B5" t="str">
            <v>Hora Hombre Oficial Eléctrico (con licencia Conte con categoria T1 y T3 en horario diurno)</v>
          </cell>
        </row>
        <row r="6">
          <cell r="B6" t="str">
            <v>Hombre día de Oficial Eléctrico (con licencia Conte con la categoría T5 (Técnico en Redes) en horario diurno</v>
          </cell>
        </row>
        <row r="7">
          <cell r="B7" t="str">
            <v>Hombre dia oficial Soldador diurno</v>
          </cell>
        </row>
        <row r="8">
          <cell r="B8" t="str">
            <v>Hora Hombre Técnico Dibujante Diurno</v>
          </cell>
        </row>
        <row r="9">
          <cell r="B9" t="str">
            <v xml:space="preserve">Hora Hombre Supervisor de seguridad </v>
          </cell>
        </row>
        <row r="10">
          <cell r="B10" t="str">
            <v xml:space="preserve">Hora Hombre Supervisor eléctricista residente  </v>
          </cell>
        </row>
        <row r="11">
          <cell r="B11" t="str">
            <v xml:space="preserve">Hora Hombre Ingeniero eléctricista residente de obra </v>
          </cell>
        </row>
        <row r="12">
          <cell r="B12">
            <v>0</v>
          </cell>
        </row>
        <row r="13">
          <cell r="B13">
            <v>0</v>
          </cell>
        </row>
        <row r="14">
          <cell r="B14">
            <v>0</v>
          </cell>
        </row>
        <row r="15">
          <cell r="B15">
            <v>0</v>
          </cell>
        </row>
        <row r="16">
          <cell r="B16">
            <v>0</v>
          </cell>
        </row>
        <row r="17">
          <cell r="B17">
            <v>0</v>
          </cell>
        </row>
        <row r="18">
          <cell r="B18">
            <v>0</v>
          </cell>
        </row>
        <row r="19">
          <cell r="B19">
            <v>0</v>
          </cell>
        </row>
        <row r="20">
          <cell r="B20">
            <v>0</v>
          </cell>
        </row>
        <row r="21">
          <cell r="B21">
            <v>0</v>
          </cell>
        </row>
        <row r="22">
          <cell r="B22">
            <v>0</v>
          </cell>
        </row>
        <row r="23">
          <cell r="B23">
            <v>0</v>
          </cell>
        </row>
        <row r="24">
          <cell r="B24">
            <v>0</v>
          </cell>
        </row>
      </sheetData>
      <sheetData sheetId="6">
        <row r="5">
          <cell r="C5" t="str">
            <v>-</v>
          </cell>
        </row>
        <row r="6">
          <cell r="C6" t="str">
            <v>CAMION TURBO NHR CHEVROLET</v>
          </cell>
        </row>
        <row r="7">
          <cell r="C7" t="str">
            <v>GRUA HIDRAULICA</v>
          </cell>
        </row>
        <row r="8">
          <cell r="C8" t="str">
            <v>CAMION TURBO NPR</v>
          </cell>
        </row>
        <row r="9">
          <cell r="C9" t="str">
            <v xml:space="preserve">Grua carga postes brazo extensor hidraulico </v>
          </cell>
        </row>
        <row r="10">
          <cell r="C10" t="str">
            <v>camioneta DC</v>
          </cell>
        </row>
        <row r="11">
          <cell r="C11" t="str">
            <v>Volqueta</v>
          </cell>
        </row>
        <row r="12">
          <cell r="C12" t="str">
            <v>Pajarita</v>
          </cell>
        </row>
        <row r="13">
          <cell r="C13">
            <v>0</v>
          </cell>
        </row>
        <row r="14">
          <cell r="C14">
            <v>0</v>
          </cell>
        </row>
        <row r="15">
          <cell r="C15">
            <v>0</v>
          </cell>
        </row>
        <row r="16">
          <cell r="C16">
            <v>0</v>
          </cell>
        </row>
        <row r="17">
          <cell r="C17">
            <v>0</v>
          </cell>
        </row>
        <row r="18">
          <cell r="C18">
            <v>0</v>
          </cell>
        </row>
        <row r="19">
          <cell r="C19">
            <v>0</v>
          </cell>
        </row>
        <row r="20">
          <cell r="C20">
            <v>0</v>
          </cell>
        </row>
        <row r="21">
          <cell r="C21">
            <v>0</v>
          </cell>
        </row>
        <row r="22">
          <cell r="C22">
            <v>0</v>
          </cell>
        </row>
        <row r="23">
          <cell r="C23">
            <v>0</v>
          </cell>
        </row>
        <row r="24">
          <cell r="C24">
            <v>0</v>
          </cell>
        </row>
        <row r="25">
          <cell r="C25">
            <v>0</v>
          </cell>
        </row>
        <row r="26">
          <cell r="C26">
            <v>0</v>
          </cell>
        </row>
        <row r="27">
          <cell r="C27">
            <v>0</v>
          </cell>
        </row>
        <row r="28">
          <cell r="C28">
            <v>0</v>
          </cell>
        </row>
        <row r="29">
          <cell r="C29">
            <v>0</v>
          </cell>
        </row>
        <row r="30">
          <cell r="C30">
            <v>0</v>
          </cell>
        </row>
        <row r="31">
          <cell r="C31">
            <v>0</v>
          </cell>
        </row>
        <row r="32">
          <cell r="C32">
            <v>0</v>
          </cell>
        </row>
        <row r="33">
          <cell r="C33">
            <v>0</v>
          </cell>
        </row>
        <row r="34">
          <cell r="C34">
            <v>0</v>
          </cell>
        </row>
        <row r="35">
          <cell r="C35">
            <v>0</v>
          </cell>
        </row>
        <row r="36">
          <cell r="C36">
            <v>0</v>
          </cell>
        </row>
        <row r="37">
          <cell r="C37">
            <v>0</v>
          </cell>
        </row>
        <row r="38">
          <cell r="C38">
            <v>0</v>
          </cell>
        </row>
        <row r="39">
          <cell r="C39">
            <v>0</v>
          </cell>
        </row>
        <row r="40">
          <cell r="C40">
            <v>0</v>
          </cell>
        </row>
        <row r="41">
          <cell r="C41">
            <v>0</v>
          </cell>
        </row>
      </sheetData>
      <sheetData sheetId="7"/>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
      <sheetName val="Materiales "/>
      <sheetName val="Trabajos"/>
      <sheetName val="Mano Obra"/>
      <sheetName val="Hoja1"/>
      <sheetName val="Hoja2"/>
      <sheetName val="Hoja3"/>
    </sheetNames>
    <sheetDataSet>
      <sheetData sheetId="0" refreshError="1"/>
      <sheetData sheetId="1">
        <row r="2">
          <cell r="C2" t="str">
            <v>-</v>
          </cell>
        </row>
        <row r="3">
          <cell r="C3" t="str">
            <v>Abrazadera de 6-7</v>
          </cell>
        </row>
        <row r="4">
          <cell r="C4" t="str">
            <v>Abrazadera de 7-8</v>
          </cell>
        </row>
        <row r="5">
          <cell r="C5" t="str">
            <v>Abrazadera de 8-9</v>
          </cell>
        </row>
        <row r="6">
          <cell r="C6" t="str">
            <v>Abrazadera Doble Ala</v>
          </cell>
        </row>
        <row r="7">
          <cell r="C7" t="str">
            <v>Accesorios De Fijación</v>
          </cell>
        </row>
        <row r="8">
          <cell r="C8" t="str">
            <v>Acero De Refuerzo</v>
          </cell>
        </row>
        <row r="9">
          <cell r="C9" t="str">
            <v>Acople de explosión 1 1/2"</v>
          </cell>
        </row>
        <row r="10">
          <cell r="C10" t="str">
            <v>Acople de explosión 1"</v>
          </cell>
        </row>
        <row r="11">
          <cell r="C11" t="str">
            <v>Acople de explosión 1/2"</v>
          </cell>
        </row>
        <row r="12">
          <cell r="C12" t="str">
            <v>Acople de explosión 2"</v>
          </cell>
        </row>
        <row r="13">
          <cell r="C13" t="str">
            <v>Acople de explosión 3/4"</v>
          </cell>
        </row>
        <row r="14">
          <cell r="C14" t="str">
            <v>Acrílico</v>
          </cell>
        </row>
        <row r="15">
          <cell r="C15" t="str">
            <v>Adaptador Hembra PVC 1 1/2"</v>
          </cell>
        </row>
        <row r="16">
          <cell r="C16" t="str">
            <v>Adaptador Hembra PVC 1 1/4"</v>
          </cell>
        </row>
        <row r="17">
          <cell r="C17" t="str">
            <v>Adaptador Hembra PVC 1"</v>
          </cell>
        </row>
        <row r="18">
          <cell r="C18" t="str">
            <v>Adaptador Hembra PVC 2"</v>
          </cell>
        </row>
        <row r="19">
          <cell r="C19" t="str">
            <v>Adaptador Hembra PVC 3"</v>
          </cell>
        </row>
        <row r="20">
          <cell r="C20" t="str">
            <v>Adaptador Hembra PVC 3/4"</v>
          </cell>
        </row>
        <row r="21">
          <cell r="C21" t="str">
            <v>Adaptador Hembra PVC1/2"</v>
          </cell>
        </row>
        <row r="22">
          <cell r="C22" t="str">
            <v>Adaptador Hembra PVC4"</v>
          </cell>
        </row>
        <row r="23">
          <cell r="C23" t="str">
            <v>Adaptador Terminal PVC 1 1/2"</v>
          </cell>
        </row>
        <row r="24">
          <cell r="C24" t="str">
            <v>Adaptador Terminal PVC 1 1/4"</v>
          </cell>
        </row>
        <row r="25">
          <cell r="C25" t="str">
            <v>Adaptador Terminal PVC 1"</v>
          </cell>
        </row>
        <row r="26">
          <cell r="C26" t="str">
            <v>Adaptador Terminal PVC 1/2"</v>
          </cell>
        </row>
        <row r="27">
          <cell r="C27" t="str">
            <v>Adaptador Terminal PVC 2"</v>
          </cell>
        </row>
        <row r="28">
          <cell r="C28" t="str">
            <v>Adaptador Terminal PVC 3"</v>
          </cell>
        </row>
        <row r="29">
          <cell r="C29" t="str">
            <v>Adaptador Terminal PVC 3/4"</v>
          </cell>
        </row>
        <row r="30">
          <cell r="C30" t="str">
            <v>Adaptador Terminal PVC 4"</v>
          </cell>
        </row>
        <row r="31">
          <cell r="C31" t="str">
            <v>Agua</v>
          </cell>
        </row>
        <row r="32">
          <cell r="C32" t="str">
            <v>Aislador Para Barraje</v>
          </cell>
        </row>
        <row r="33">
          <cell r="C33" t="str">
            <v>Aislador Polimérico 13.2 kv</v>
          </cell>
        </row>
        <row r="34">
          <cell r="C34" t="str">
            <v>Aislador Polimérico 7.2 kv</v>
          </cell>
        </row>
        <row r="35">
          <cell r="C35" t="str">
            <v>Aislador Polimérico De Retención para 13.2kv.</v>
          </cell>
        </row>
        <row r="36">
          <cell r="C36" t="str">
            <v>Aislador Polimérico De Retención para 24kv.</v>
          </cell>
        </row>
        <row r="37">
          <cell r="C37" t="str">
            <v>Aislador Polimérico para 4160v</v>
          </cell>
        </row>
        <row r="38">
          <cell r="C38" t="str">
            <v>Aislador Post-Line para 13,2kv</v>
          </cell>
        </row>
        <row r="39">
          <cell r="C39" t="str">
            <v>Aislador Post-Line para 24kv</v>
          </cell>
        </row>
        <row r="40">
          <cell r="C40" t="str">
            <v>Aislador Post-Line para 34kv</v>
          </cell>
        </row>
        <row r="41">
          <cell r="C41" t="str">
            <v>Aislador Post-Line para 4160kv</v>
          </cell>
        </row>
        <row r="42">
          <cell r="C42" t="str">
            <v>Aisladores para barraje 25mm</v>
          </cell>
        </row>
        <row r="43">
          <cell r="C43" t="str">
            <v>Aisladores para barraje 30 mm</v>
          </cell>
        </row>
        <row r="44">
          <cell r="C44" t="str">
            <v>Aisladores para barraje 35 mm</v>
          </cell>
        </row>
        <row r="45">
          <cell r="C45" t="str">
            <v>Aisladores para barraje 51 mm</v>
          </cell>
        </row>
        <row r="46">
          <cell r="C46" t="str">
            <v>Aislador Tensor 3"</v>
          </cell>
        </row>
        <row r="47">
          <cell r="C47" t="str">
            <v>Aislador Tensor 4"</v>
          </cell>
        </row>
        <row r="48">
          <cell r="C48" t="str">
            <v>Aisladores De Disco 10"</v>
          </cell>
        </row>
        <row r="49">
          <cell r="C49" t="str">
            <v>Aisladores Multipart (line post)</v>
          </cell>
        </row>
        <row r="50">
          <cell r="C50" t="str">
            <v>Aisladores Tipo Carrete 3 3/8"</v>
          </cell>
        </row>
        <row r="51">
          <cell r="C51" t="str">
            <v>Ajustador PINTUCO ref. 121.135</v>
          </cell>
        </row>
        <row r="52">
          <cell r="C52" t="str">
            <v>Alambre cobre desnudo # 10</v>
          </cell>
        </row>
        <row r="53">
          <cell r="C53" t="str">
            <v>Alambre cobre desnudo # 12</v>
          </cell>
        </row>
        <row r="54">
          <cell r="C54" t="str">
            <v>Alambre De Cobre Desnudo #10 AWG</v>
          </cell>
        </row>
        <row r="55">
          <cell r="C55" t="str">
            <v>Alambre De Cobre Desnudo #12 AWG</v>
          </cell>
        </row>
        <row r="56">
          <cell r="C56" t="str">
            <v>Alambre forrado THWN # 10</v>
          </cell>
        </row>
        <row r="57">
          <cell r="C57" t="str">
            <v>Alambre forrado THWN # 12</v>
          </cell>
        </row>
        <row r="58">
          <cell r="C58" t="str">
            <v>Alambre forrado THWN # 14</v>
          </cell>
        </row>
        <row r="59">
          <cell r="C59" t="str">
            <v>Alambre Negro No.18</v>
          </cell>
        </row>
        <row r="60">
          <cell r="C60" t="str">
            <v>Alambre No 10 THHN Amarillo</v>
          </cell>
        </row>
        <row r="61">
          <cell r="C61" t="str">
            <v>Alambre No 10 THHN Azul</v>
          </cell>
        </row>
        <row r="62">
          <cell r="C62" t="str">
            <v>Alambre No 10 THHN Blanco</v>
          </cell>
        </row>
        <row r="63">
          <cell r="C63" t="str">
            <v>Alambre No 10 THHN Negro</v>
          </cell>
        </row>
        <row r="64">
          <cell r="C64" t="str">
            <v>Alambre No 10 THHN Rojo</v>
          </cell>
        </row>
        <row r="65">
          <cell r="C65" t="str">
            <v>Alambre No 12 THHN Amarillo</v>
          </cell>
        </row>
        <row r="66">
          <cell r="C66" t="str">
            <v>Alambre No 12 THHN Azul</v>
          </cell>
        </row>
        <row r="67">
          <cell r="C67" t="str">
            <v>Alambre No 12 THHN Blanco</v>
          </cell>
        </row>
        <row r="68">
          <cell r="C68" t="str">
            <v>Alambre No 12 THHN Negro</v>
          </cell>
        </row>
        <row r="69">
          <cell r="C69" t="str">
            <v>Alambre No 12 THHN Rojo</v>
          </cell>
        </row>
        <row r="70">
          <cell r="C70" t="str">
            <v>Alambre No 12 THHN verde</v>
          </cell>
        </row>
        <row r="71">
          <cell r="C71" t="str">
            <v>Alambre No 14 THHN</v>
          </cell>
        </row>
        <row r="72">
          <cell r="C72" t="str">
            <v>Alambre No 8 THHN</v>
          </cell>
        </row>
        <row r="73">
          <cell r="C73" t="str">
            <v>Alambre Verde</v>
          </cell>
        </row>
        <row r="74">
          <cell r="C74" t="str">
            <v>Amarra plastica 10"</v>
          </cell>
        </row>
        <row r="75">
          <cell r="C75" t="str">
            <v>Amarra plastica 4"</v>
          </cell>
        </row>
        <row r="76">
          <cell r="C76" t="str">
            <v>Amarra plastica 8"</v>
          </cell>
        </row>
        <row r="77">
          <cell r="C77" t="str">
            <v>Amarras Plásticas</v>
          </cell>
        </row>
        <row r="78">
          <cell r="C78" t="str">
            <v>Amortiguador Para Cable De Guarda</v>
          </cell>
        </row>
        <row r="79">
          <cell r="C79" t="str">
            <v>Amortiguador Para Línea De 69kv Para Cable AAAC de 556.5mcm</v>
          </cell>
        </row>
        <row r="80">
          <cell r="C80" t="str">
            <v>Anclaje de 3/8 x 3"</v>
          </cell>
        </row>
        <row r="81">
          <cell r="C81" t="str">
            <v>Anclaje hilti HD4</v>
          </cell>
        </row>
        <row r="82">
          <cell r="C82" t="str">
            <v>Anclaje plastico 1/4"</v>
          </cell>
        </row>
        <row r="83">
          <cell r="C83" t="str">
            <v xml:space="preserve">Angulo acero inoxidable 3/16 x 1 1/2" </v>
          </cell>
        </row>
        <row r="84">
          <cell r="C84" t="str">
            <v xml:space="preserve">Angulo acero inoxidable 3/16 x 2" </v>
          </cell>
        </row>
        <row r="85">
          <cell r="C85" t="str">
            <v>Angulo de 1/4"x2"x2" x 1250</v>
          </cell>
        </row>
        <row r="86">
          <cell r="C86" t="str">
            <v>Angulo de 1/4"x2"x2" x 950</v>
          </cell>
        </row>
        <row r="87">
          <cell r="C87" t="str">
            <v>Angulo de 3/16x1x6mts</v>
          </cell>
        </row>
        <row r="88">
          <cell r="C88" t="str">
            <v>Angulo perforado para techo</v>
          </cell>
        </row>
        <row r="89">
          <cell r="C89" t="str">
            <v>Arandela 1/2; 5/8; 11/16; 3/4</v>
          </cell>
        </row>
        <row r="90">
          <cell r="C90" t="str">
            <v>Arandela Cuadrada 11/16"</v>
          </cell>
        </row>
        <row r="91">
          <cell r="C91" t="str">
            <v>Arandela Cuadrada 9/16"</v>
          </cell>
        </row>
        <row r="92">
          <cell r="C92" t="str">
            <v>Arandela De 2x2  de 5/8</v>
          </cell>
        </row>
        <row r="93">
          <cell r="C93" t="str">
            <v>Arandela De presion</v>
          </cell>
        </row>
        <row r="94">
          <cell r="C94" t="str">
            <v>Arandela plana redonda 5/8</v>
          </cell>
        </row>
        <row r="95">
          <cell r="C95" t="str">
            <v>Arena</v>
          </cell>
        </row>
        <row r="96">
          <cell r="C96" t="str">
            <v>Arnés de seguridad (1)</v>
          </cell>
        </row>
        <row r="97">
          <cell r="C97" t="str">
            <v>Arrancador GV2DM103</v>
          </cell>
        </row>
        <row r="98">
          <cell r="C98" t="str">
            <v>Arrancador GV2DM104</v>
          </cell>
        </row>
        <row r="99">
          <cell r="C99" t="str">
            <v>Arrancador GV2DM105</v>
          </cell>
        </row>
        <row r="100">
          <cell r="C100" t="str">
            <v>Arrancador GV2DM106</v>
          </cell>
        </row>
        <row r="101">
          <cell r="C101" t="str">
            <v>Arrancador GV2DM107</v>
          </cell>
        </row>
        <row r="102">
          <cell r="C102" t="str">
            <v>Arrancador GV2DM108</v>
          </cell>
        </row>
        <row r="103">
          <cell r="C103" t="str">
            <v>Arrancador GV2DM110</v>
          </cell>
        </row>
        <row r="104">
          <cell r="C104" t="str">
            <v>Arrancador GV2DM114</v>
          </cell>
        </row>
        <row r="105">
          <cell r="C105" t="str">
            <v>Arrancador GV2DM116</v>
          </cell>
        </row>
        <row r="106">
          <cell r="C106" t="str">
            <v>Arrancador GV2DM120</v>
          </cell>
        </row>
        <row r="107">
          <cell r="C107" t="str">
            <v>Arrancador GV2DM121</v>
          </cell>
        </row>
        <row r="108">
          <cell r="C108" t="str">
            <v>Arrancador GV2DM122</v>
          </cell>
        </row>
        <row r="109">
          <cell r="C109" t="str">
            <v>Arrancador GV2DM132</v>
          </cell>
        </row>
        <row r="110">
          <cell r="C110" t="str">
            <v>Arrancador luminaria MH 250W</v>
          </cell>
        </row>
        <row r="111">
          <cell r="C111" t="str">
            <v>Avisos En Acrílico y Vinilo Reflectivo  0.3 x 0.4 m</v>
          </cell>
        </row>
        <row r="112">
          <cell r="C112" t="str">
            <v xml:space="preserve">Balasto de 175 a 400 W MH  CWA  </v>
          </cell>
        </row>
        <row r="113">
          <cell r="C113" t="str">
            <v xml:space="preserve">Balasto de 250 a 400 W sodio  CWA </v>
          </cell>
        </row>
        <row r="114">
          <cell r="C114" t="str">
            <v>Balasto de 250 W MH  220 V</v>
          </cell>
        </row>
        <row r="115">
          <cell r="C115" t="str">
            <v>Balasto de 4x32 electronico 120V T8</v>
          </cell>
        </row>
        <row r="116">
          <cell r="C116" t="str">
            <v xml:space="preserve">Balasto de 70 a 150 W sodio  CWA </v>
          </cell>
        </row>
        <row r="117">
          <cell r="C117" t="str">
            <v>Balasto Electronico 4 x 17w</v>
          </cell>
        </row>
        <row r="118">
          <cell r="C118" t="str">
            <v>BALASTO ELECTRONICO DE 2 x 32 W. T-8 PHILLLIPS</v>
          </cell>
        </row>
        <row r="119">
          <cell r="C119" t="str">
            <v>BALASTO SLIN LINE DE 2 X 48" 39W.</v>
          </cell>
        </row>
        <row r="120">
          <cell r="C120" t="str">
            <v>Balasto reactor de 250 W MH  220 V</v>
          </cell>
        </row>
        <row r="121">
          <cell r="C121" t="str">
            <v>Baldosa Granito</v>
          </cell>
        </row>
        <row r="122">
          <cell r="C122" t="str">
            <v>Banda galvanizada de 6-7</v>
          </cell>
        </row>
        <row r="123">
          <cell r="C123" t="str">
            <v>Banda soporte de 1/2"</v>
          </cell>
        </row>
        <row r="124">
          <cell r="C124" t="str">
            <v>Bandeja Portacables Galv. 10 x 8cm</v>
          </cell>
        </row>
        <row r="125">
          <cell r="C125" t="str">
            <v>Bandeja Portacables Galv. 20 liv</v>
          </cell>
        </row>
        <row r="126">
          <cell r="C126" t="str">
            <v>Bandeja Portacables Galv. 20 x 8cm</v>
          </cell>
        </row>
        <row r="127">
          <cell r="C127" t="str">
            <v>Bandeja Portacables Galv. 30 x 8cm</v>
          </cell>
        </row>
        <row r="128">
          <cell r="C128" t="str">
            <v>Bandeja Portacables Galv. 40 x 8cm</v>
          </cell>
        </row>
        <row r="129">
          <cell r="C129" t="str">
            <v>Barraje De 316*2*0.33 m</v>
          </cell>
        </row>
        <row r="130">
          <cell r="C130" t="str">
            <v>Barraje de cobre De  1/4 x 1 1/2”</v>
          </cell>
        </row>
        <row r="131">
          <cell r="C131" t="str">
            <v>Barraje de cobre De  1/4 x 1” -</v>
          </cell>
        </row>
        <row r="132">
          <cell r="C132" t="str">
            <v>Barraje de cobre De  1/4 x 2” -</v>
          </cell>
        </row>
        <row r="133">
          <cell r="C133" t="str">
            <v>Barraje de cobre De  1/8 x 1/2” -</v>
          </cell>
        </row>
        <row r="134">
          <cell r="C134" t="str">
            <v xml:space="preserve">Barraje de cobre De  1/8 x3/4” </v>
          </cell>
        </row>
        <row r="135">
          <cell r="C135" t="str">
            <v>Barraje de cobre De  3/16 x 3/4”</v>
          </cell>
        </row>
        <row r="136">
          <cell r="C136" t="str">
            <v>Barraje de cobre De  3/8 x 2” -</v>
          </cell>
        </row>
        <row r="137">
          <cell r="C137" t="str">
            <v xml:space="preserve">Barraje de cobre De  3/8 x 3” </v>
          </cell>
        </row>
        <row r="138">
          <cell r="C138" t="str">
            <v>Barraje de cobre De  5/16 x 2” -</v>
          </cell>
        </row>
        <row r="139">
          <cell r="C139" t="str">
            <v>Barraje de cobre De  5/16 x 3”</v>
          </cell>
        </row>
        <row r="140">
          <cell r="C140" t="str">
            <v>Base autoadhesiva 21x21</v>
          </cell>
        </row>
        <row r="141">
          <cell r="C141" t="str">
            <v>Base autoadhesiva 25x25</v>
          </cell>
        </row>
        <row r="142">
          <cell r="C142" t="str">
            <v>Base de bronce</v>
          </cell>
        </row>
        <row r="143">
          <cell r="C143" t="str">
            <v>Base Fotocelda</v>
          </cell>
        </row>
        <row r="144">
          <cell r="C144" t="str">
            <v>Base rele 11 pines</v>
          </cell>
        </row>
        <row r="145">
          <cell r="C145" t="str">
            <v>Bayoneta Doble 1/4 x 2 1/2 x 1 m</v>
          </cell>
        </row>
        <row r="146">
          <cell r="C146" t="str">
            <v>Bayoneta Sencilla 1/4 x 2 1/2 x 1 m</v>
          </cell>
        </row>
        <row r="147">
          <cell r="C147" t="str">
            <v>Bombilla de MH  1000 W</v>
          </cell>
        </row>
        <row r="148">
          <cell r="C148" t="str">
            <v>Bombilla de MH  150 - 250 W</v>
          </cell>
        </row>
        <row r="149">
          <cell r="C149" t="str">
            <v>Bombilla de MH  400 W</v>
          </cell>
        </row>
        <row r="150">
          <cell r="C150" t="str">
            <v>Bombilla de neon o tipo bayoneta piloto o pulsadores luminosos</v>
          </cell>
        </row>
        <row r="151">
          <cell r="C151" t="str">
            <v>Bombilla de sodio 1000  W</v>
          </cell>
        </row>
        <row r="152">
          <cell r="C152" t="str">
            <v>Bombilla de sodio 70 -400  W</v>
          </cell>
        </row>
        <row r="153">
          <cell r="C153" t="str">
            <v>Bombilla incandescente de 100 W</v>
          </cell>
        </row>
        <row r="154">
          <cell r="C154" t="str">
            <v>Bombilla luz mixta 160 W  110V</v>
          </cell>
        </row>
        <row r="155">
          <cell r="C155" t="str">
            <v>Bombillo ahorrador de 11- 23 W</v>
          </cell>
        </row>
        <row r="156">
          <cell r="C156" t="str">
            <v>Bonder Alambre No. 4 Cobre Desnudo</v>
          </cell>
        </row>
        <row r="157">
          <cell r="C157" t="str">
            <v>Boquilla 1 1/2"  aislada</v>
          </cell>
        </row>
        <row r="158">
          <cell r="C158" t="str">
            <v>Boquilla 1"   aislada</v>
          </cell>
        </row>
        <row r="159">
          <cell r="C159" t="str">
            <v>Boquilla 1/2"  aislada</v>
          </cell>
        </row>
        <row r="160">
          <cell r="C160" t="str">
            <v>Boquilla 2"  aislada</v>
          </cell>
        </row>
        <row r="161">
          <cell r="C161" t="str">
            <v>Boquilla 3"  aislada</v>
          </cell>
        </row>
        <row r="162">
          <cell r="C162" t="str">
            <v>Boquilla 3/4"  aislada</v>
          </cell>
        </row>
        <row r="163">
          <cell r="C163" t="str">
            <v>Boquilla 4"  aislada</v>
          </cell>
        </row>
        <row r="164">
          <cell r="C164" t="str">
            <v>Borna de conexión 24 amps</v>
          </cell>
        </row>
        <row r="165">
          <cell r="C165" t="str">
            <v>Borna de conexión cable 10  47 amps</v>
          </cell>
        </row>
        <row r="166">
          <cell r="C166" t="str">
            <v>Bota pre moldeada termo contráctil  de 4” para cable  XenLPE hasta el 4/0</v>
          </cell>
        </row>
        <row r="167">
          <cell r="C167" t="str">
            <v>BOTON SELECTOR 2 POSICIONES X B4BD33</v>
          </cell>
        </row>
        <row r="168">
          <cell r="C168" t="str">
            <v>Brazo para luminaria Calima</v>
          </cell>
        </row>
        <row r="169">
          <cell r="C169" t="str">
            <v>Brazo pa iluminacion galv. 1 1/4 x 2mts</v>
          </cell>
        </row>
        <row r="170">
          <cell r="C170" t="str">
            <v xml:space="preserve">Breaker 3x20 tipo riel </v>
          </cell>
        </row>
        <row r="171">
          <cell r="C171" t="str">
            <v xml:space="preserve">Breaker 3x40 tipo riel </v>
          </cell>
        </row>
        <row r="172">
          <cell r="C172" t="str">
            <v>Breaker con unidad magnetica MA 100 
ref 430835 NSX 160H</v>
          </cell>
        </row>
        <row r="173">
          <cell r="C173" t="str">
            <v>Breaker enchufable 1x20 amps</v>
          </cell>
        </row>
        <row r="174">
          <cell r="C174" t="str">
            <v>Breaker enchufable 2x20 amps</v>
          </cell>
        </row>
        <row r="175">
          <cell r="C175" t="str">
            <v>Breaker enchufable 2x30 amps</v>
          </cell>
        </row>
        <row r="176">
          <cell r="C176" t="str">
            <v>Breaker enchufable 2x40 amps</v>
          </cell>
        </row>
        <row r="177">
          <cell r="C177" t="str">
            <v>Breaker enchufable 3x20 amps</v>
          </cell>
        </row>
        <row r="178">
          <cell r="C178" t="str">
            <v>Breaker enchufable 3x30 amps</v>
          </cell>
        </row>
        <row r="179">
          <cell r="C179" t="str">
            <v>Breaker enchufable 3x40 amps</v>
          </cell>
        </row>
        <row r="180">
          <cell r="C180" t="str">
            <v>Breaker enchufable HOM GFI 1x20 amps</v>
          </cell>
        </row>
        <row r="181">
          <cell r="C181" t="str">
            <v>Breaker Industrial 3f En Caja Moldeable Ajustable De 100-125 Amp, 250v 85ka</v>
          </cell>
        </row>
        <row r="182">
          <cell r="C182" t="str">
            <v>Breaker Industrial 3f En Caja Moldeable Ajustable De 128-160 Amp, 250v 85ka</v>
          </cell>
        </row>
        <row r="183">
          <cell r="C183" t="str">
            <v>Breaker Industrial 3f En Caja Moldeable Ajustable De 160-200 Amp, 250v 85ka</v>
          </cell>
        </row>
        <row r="184">
          <cell r="C184" t="str">
            <v>Breaker Industrial 3f En Caja Moldeable Ajustable De 160-400 Amp, 250v 40ka ref LV540306</v>
          </cell>
        </row>
        <row r="185">
          <cell r="C185" t="str">
            <v>Breaker Industrial 3f En Caja Moldeable Ajustable De 200-250 Amp, 250v 85ka</v>
          </cell>
        </row>
        <row r="186">
          <cell r="C186" t="str">
            <v>Breaker Industrial 3f En Caja Moldeable Ajustable De 224-320 Amp, 250v 40 ka ref LV540305</v>
          </cell>
        </row>
        <row r="187">
          <cell r="C187" t="str">
            <v>Breaker Industrial 3f En Caja Moldeable Ajustable De 32-40 Amp, 250v 40ka</v>
          </cell>
        </row>
        <row r="188">
          <cell r="C188" t="str">
            <v>Breaker Industrial 3f En Caja Moldeable Ajustable De 50.4-63 Amp,  250v 40ka</v>
          </cell>
        </row>
        <row r="189">
          <cell r="C189" t="str">
            <v>Breaker Industrial 3f En Caja Moldeable Ajustable De 64-80 Amp,  250v 40ka</v>
          </cell>
        </row>
        <row r="190">
          <cell r="C190" t="str">
            <v xml:space="preserve">Breaker Industrial 3f En Caja Moldeable Ajustable De 80-100 Amp ,250v 40ka, </v>
          </cell>
        </row>
        <row r="191">
          <cell r="C191" t="str">
            <v>Breaker Industrial 3f En Caja Moldeable De 15 Amp, Para Montaje En Riel Omega, 250v 10ka</v>
          </cell>
        </row>
        <row r="192">
          <cell r="C192" t="str">
            <v>Breaker Industrial 3f En Caja Moldeable De 20 Amp, 250v 10ka</v>
          </cell>
        </row>
        <row r="193">
          <cell r="C193" t="str">
            <v>Breaker Industrial 3f En Caja Moldeable De 30 Amp, 250v 10ka</v>
          </cell>
        </row>
        <row r="194">
          <cell r="C194" t="str">
            <v>Breaker Industrial 3f En Caja Moldeable
Ajustable De 160-400 amp, 250v 85ka.</v>
          </cell>
        </row>
        <row r="195">
          <cell r="C195" t="str">
            <v>Breaker Industrial de 800 A</v>
          </cell>
        </row>
        <row r="196">
          <cell r="C196" t="str">
            <v>Breaker industrial EZC100N 100 A</v>
          </cell>
        </row>
        <row r="197">
          <cell r="C197" t="str">
            <v>breaker industrial EZC100N 20 A</v>
          </cell>
        </row>
        <row r="198">
          <cell r="C198" t="str">
            <v>breaker industrial EZC100N 30 A</v>
          </cell>
        </row>
        <row r="199">
          <cell r="C199" t="str">
            <v>breaker industrial EZC100N 40 A</v>
          </cell>
        </row>
        <row r="200">
          <cell r="C200" t="str">
            <v>breaker industrial EZC100N 50 A</v>
          </cell>
        </row>
        <row r="201">
          <cell r="C201" t="str">
            <v>breaker industrial EZC100N 60 A</v>
          </cell>
        </row>
        <row r="202">
          <cell r="C202" t="str">
            <v>Breaker industrial EZC100N 80 A</v>
          </cell>
        </row>
        <row r="203">
          <cell r="C203" t="str">
            <v>breaker industrial EZC250N 125 A</v>
          </cell>
        </row>
        <row r="204">
          <cell r="C204" t="str">
            <v xml:space="preserve">breaker industrial EZC250N 150 A </v>
          </cell>
        </row>
        <row r="205">
          <cell r="C205" t="str">
            <v>breaker industrial EZC250N 200 A</v>
          </cell>
        </row>
        <row r="206">
          <cell r="C206" t="str">
            <v>breaker industrial EZC250N 250 A</v>
          </cell>
        </row>
        <row r="207">
          <cell r="C207" t="str">
            <v>BREAKER INDUSTRIAL EZC 3X100AMP</v>
          </cell>
        </row>
        <row r="208">
          <cell r="C208" t="str">
            <v>BREAKER INDUSTRIAL  EZC 3X125AMP</v>
          </cell>
        </row>
        <row r="209">
          <cell r="C209" t="str">
            <v>BREAKER INDUSTRIAL  EZC 3X15 AMP</v>
          </cell>
        </row>
        <row r="210">
          <cell r="C210" t="str">
            <v>BREAKER INDUSTRIAL  EZC 3X20 AMP</v>
          </cell>
        </row>
        <row r="211">
          <cell r="C211" t="str">
            <v>BREAKER INDUSTRIAL  EZC 3X225AMP</v>
          </cell>
        </row>
        <row r="212">
          <cell r="C212" t="str">
            <v>BREAKER INDUSTRIAL  EZC 3X30 AMP</v>
          </cell>
        </row>
        <row r="213">
          <cell r="C213" t="str">
            <v>BREAKER INDUSTRIAL  EZC 3X40 AMP</v>
          </cell>
        </row>
        <row r="214">
          <cell r="C214" t="str">
            <v>BREAKER INDUSTRIAL  EZC 3X50 AMP</v>
          </cell>
        </row>
        <row r="215">
          <cell r="C215" t="str">
            <v>BREAKER INDUSTRIAL  EZC 3X60AMP</v>
          </cell>
        </row>
        <row r="216">
          <cell r="C216" t="str">
            <v>BREAKER INDUSTRIAL  EZC 3X80 AMP</v>
          </cell>
        </row>
        <row r="217">
          <cell r="C217" t="str">
            <v>Breaker industrial EZC250N 80 a 100 A</v>
          </cell>
        </row>
        <row r="218">
          <cell r="C218" t="str">
            <v xml:space="preserve">Breaker K60 monopolar 1x40/50/60 A </v>
          </cell>
        </row>
        <row r="219">
          <cell r="C219" t="str">
            <v>Breaker multi 9 C60N 3x1 amp</v>
          </cell>
        </row>
        <row r="220">
          <cell r="C220" t="str">
            <v>Breaker multi 9 C60N 3x2 amp</v>
          </cell>
        </row>
        <row r="221">
          <cell r="C221" t="str">
            <v>Breaker multi 9 C60N bipolar 2x1 amp</v>
          </cell>
        </row>
        <row r="222">
          <cell r="C222" t="str">
            <v>Breaker multi 9 C60N monopolar 10 a 32 amps</v>
          </cell>
        </row>
        <row r="223">
          <cell r="C223" t="str">
            <v>Breaker multi 9 C60N monopolar 1x2 amp</v>
          </cell>
        </row>
        <row r="224">
          <cell r="C224" t="str">
            <v>Breaker multi 9 C60N monopolar 40 a 63 amps</v>
          </cell>
        </row>
        <row r="225">
          <cell r="C225" t="str">
            <v>BREAKER MULTINUEVE DOMAE 1X20</v>
          </cell>
        </row>
        <row r="226">
          <cell r="C226" t="str">
            <v>BREAKER MULTINUEVE DOMAE 1X25</v>
          </cell>
        </row>
        <row r="227">
          <cell r="C227" t="str">
            <v>BREAKER MULTINUEVE DOMAE 1X32</v>
          </cell>
        </row>
        <row r="228">
          <cell r="C228" t="str">
            <v>BREAKER MULTINUEVE DOMAE 1x40</v>
          </cell>
        </row>
        <row r="229">
          <cell r="C229" t="str">
            <v>BREAKER MULTINUEVE DOMAE 2X10</v>
          </cell>
        </row>
        <row r="230">
          <cell r="C230" t="str">
            <v>BREAKER MULTINUEVE DOMAE 2X16</v>
          </cell>
        </row>
        <row r="231">
          <cell r="C231" t="str">
            <v>BREAKER MULTINUEVE DOMAE 2X20</v>
          </cell>
        </row>
        <row r="232">
          <cell r="C232" t="str">
            <v>BREAKER MULTINUEVE DOMAE 2X25</v>
          </cell>
        </row>
        <row r="233">
          <cell r="C233" t="str">
            <v>BREAKER MULTINUEVE DOMAE 2X32</v>
          </cell>
        </row>
        <row r="234">
          <cell r="C234" t="str">
            <v>BREAKER MULTINUEVE DOMAE 2X40</v>
          </cell>
        </row>
        <row r="235">
          <cell r="C235" t="str">
            <v>BREAKER MULTINUEVE DOMAE 2X50</v>
          </cell>
        </row>
        <row r="236">
          <cell r="C236" t="str">
            <v>BREAKER MULTINUEVE DOMAE 2X6</v>
          </cell>
        </row>
        <row r="237">
          <cell r="C237" t="str">
            <v>BREAKER MULTINUEVE DOMAE 3x16</v>
          </cell>
        </row>
        <row r="238">
          <cell r="C238" t="str">
            <v>BREAKER MULTINUEVE DOMAE 3X20</v>
          </cell>
        </row>
        <row r="239">
          <cell r="C239" t="str">
            <v>BREAKER MULTINUEVE DOMAE 3X32</v>
          </cell>
        </row>
        <row r="240">
          <cell r="C240" t="str">
            <v>BREAKER MULTINUEVE K60 1X10</v>
          </cell>
        </row>
        <row r="241">
          <cell r="C241" t="str">
            <v>BREAKER MULTINUEVE K60 1X6</v>
          </cell>
        </row>
        <row r="242">
          <cell r="C242" t="str">
            <v>BREAKER MULTINUEVE K60 1x63</v>
          </cell>
        </row>
        <row r="243">
          <cell r="C243" t="str">
            <v>BREAKER MULTINUEVE K60 2X16</v>
          </cell>
        </row>
        <row r="244">
          <cell r="C244" t="str">
            <v>BREAKER MULTINUEVE K60 2X63</v>
          </cell>
        </row>
        <row r="245">
          <cell r="C245" t="str">
            <v>BREAKER MULTINUEVE K60 3X10</v>
          </cell>
        </row>
        <row r="246">
          <cell r="C246" t="str">
            <v>BREAKER NSX100F/TM DE 28/40AMP LV 429634</v>
          </cell>
        </row>
        <row r="247">
          <cell r="C247" t="str">
            <v>BREAKER NSX100F/TM DE 44/63AMP LV29632</v>
          </cell>
        </row>
        <row r="248">
          <cell r="C248" t="str">
            <v>BREAKER NSX100F/TM DE 56/80AMP LV 429631</v>
          </cell>
        </row>
        <row r="249">
          <cell r="C249" t="str">
            <v xml:space="preserve">BREAKER NSX100F/TM DE 70/100AMP LV 429630 </v>
          </cell>
        </row>
        <row r="250">
          <cell r="C250" t="str">
            <v>BREAKER SENCILLO THQL SIEMEN</v>
          </cell>
        </row>
        <row r="251">
          <cell r="C251" t="str">
            <v xml:space="preserve">BREAKER SQUAR-D FAL 36330 30AMP </v>
          </cell>
        </row>
        <row r="252">
          <cell r="C252" t="str">
            <v xml:space="preserve">BREAKER SQUAR-D KAL 31625 125AMP </v>
          </cell>
        </row>
        <row r="253">
          <cell r="C253" t="str">
            <v>BREAKER TM 125 DE 88/125AMP LV 430631</v>
          </cell>
        </row>
        <row r="254">
          <cell r="C254" t="str">
            <v>BREAKER TM 250 DE 175/250AMP LV.431630</v>
          </cell>
        </row>
        <row r="255">
          <cell r="C255" t="str">
            <v>Cable 2 × 10 AWG</v>
          </cell>
        </row>
        <row r="256">
          <cell r="C256" t="str">
            <v>Cable 2 × 12 AWG</v>
          </cell>
        </row>
        <row r="257">
          <cell r="C257" t="str">
            <v>Cable 2 × 14 AWG</v>
          </cell>
        </row>
        <row r="258">
          <cell r="C258" t="str">
            <v>Cable 2 × 16 AWG</v>
          </cell>
        </row>
        <row r="259">
          <cell r="C259" t="str">
            <v>Cable 2 × 6 AWG</v>
          </cell>
        </row>
        <row r="260">
          <cell r="C260" t="str">
            <v>Cable 2 × 8 AWG</v>
          </cell>
        </row>
        <row r="261">
          <cell r="C261" t="str">
            <v>Cable 3 × 10 AWG</v>
          </cell>
        </row>
        <row r="262">
          <cell r="C262" t="str">
            <v>Cable 3 × 14 AWG</v>
          </cell>
        </row>
        <row r="263">
          <cell r="C263" t="str">
            <v>Cable 3 × 16 AWG</v>
          </cell>
        </row>
        <row r="264">
          <cell r="C264" t="str">
            <v>Cable 3 × 18 AWG</v>
          </cell>
        </row>
        <row r="265">
          <cell r="C265" t="str">
            <v>Cable 3 × 6 AWG</v>
          </cell>
        </row>
        <row r="266">
          <cell r="C266" t="str">
            <v>Cable 3 × 8 AWG</v>
          </cell>
        </row>
        <row r="267">
          <cell r="C267" t="str">
            <v>Cable 4 × 10 AWG</v>
          </cell>
        </row>
        <row r="268">
          <cell r="C268" t="str">
            <v>Cable 4 × 12 AWG</v>
          </cell>
        </row>
        <row r="269">
          <cell r="C269" t="str">
            <v>Cable 4 × 14 AWG</v>
          </cell>
        </row>
        <row r="270">
          <cell r="C270" t="str">
            <v>Cable 4 × 16 AWG</v>
          </cell>
        </row>
        <row r="271">
          <cell r="C271" t="str">
            <v>Cable 4 × 18 AWG</v>
          </cell>
        </row>
        <row r="272">
          <cell r="C272" t="str">
            <v>Cable 4 × 6 AWG</v>
          </cell>
        </row>
        <row r="273">
          <cell r="C273" t="str">
            <v>Cable 4 × 8 AWG</v>
          </cell>
        </row>
        <row r="274">
          <cell r="C274" t="str">
            <v>CABLE 4PR UTP CAT 6 GRIS CM 305m</v>
          </cell>
        </row>
        <row r="275">
          <cell r="C275" t="str">
            <v>Cable ACSR No 1/0</v>
          </cell>
        </row>
        <row r="276">
          <cell r="C276" t="str">
            <v>Cable ACSR No 2</v>
          </cell>
        </row>
        <row r="277">
          <cell r="C277" t="str">
            <v>Cable ACSR No 2/0</v>
          </cell>
        </row>
        <row r="278">
          <cell r="C278" t="str">
            <v>Cable ACSR No 4</v>
          </cell>
        </row>
        <row r="279">
          <cell r="C279" t="str">
            <v>Cable Alumoweld 7 no. 10</v>
          </cell>
        </row>
        <row r="280">
          <cell r="C280" t="str">
            <v>Cable Alumoweld 7 no. 8</v>
          </cell>
        </row>
        <row r="281">
          <cell r="C281" t="str">
            <v>Cable concentrico 2 x 8 + 8</v>
          </cell>
        </row>
        <row r="282">
          <cell r="C282" t="str">
            <v>Cable Concentrico ARE Cu 75oC 3X6+6 AWG 600V (PE/PVC)</v>
          </cell>
        </row>
        <row r="283">
          <cell r="C283" t="str">
            <v>Cable De 3/8" Para Retenida</v>
          </cell>
        </row>
        <row r="284">
          <cell r="C284" t="str">
            <v>Cable De Acero Galvanizado De 1/4 SUPERGX</v>
          </cell>
        </row>
        <row r="285">
          <cell r="C285" t="str">
            <v>Cable De Cobre Desnudo #1/0 AWG</v>
          </cell>
        </row>
        <row r="286">
          <cell r="C286" t="str">
            <v>Cable De Cobre Desnudo #10 AWG</v>
          </cell>
        </row>
        <row r="287">
          <cell r="C287" t="str">
            <v>Cable De Cobre Desnudo #12 AWG</v>
          </cell>
        </row>
        <row r="288">
          <cell r="C288" t="str">
            <v>Cable De Cobre Desnudo #2 AWG</v>
          </cell>
        </row>
        <row r="289">
          <cell r="C289" t="str">
            <v>Cable De Cobre Desnudo #2/0 AWG</v>
          </cell>
        </row>
        <row r="290">
          <cell r="C290" t="str">
            <v>Cable De Cobre Desnudo #4 AWG</v>
          </cell>
        </row>
        <row r="291">
          <cell r="C291" t="str">
            <v>Cable De Cobre Desnudo #4/0 AWG</v>
          </cell>
        </row>
        <row r="292">
          <cell r="C292" t="str">
            <v>Cable De Cobre Desnudo #6 AWG</v>
          </cell>
        </row>
        <row r="293">
          <cell r="C293" t="str">
            <v>Cable De Cobre Desnudo #8 AWG</v>
          </cell>
        </row>
        <row r="294">
          <cell r="C294" t="str">
            <v>Cable De Cobre Desnudo 350MCM</v>
          </cell>
        </row>
        <row r="295">
          <cell r="C295" t="str">
            <v>Cable duplex plano 2x14</v>
          </cell>
        </row>
        <row r="296">
          <cell r="C296" t="str">
            <v>Cable encauchetado 2 × 18 AWG</v>
          </cell>
        </row>
        <row r="297">
          <cell r="C297" t="str">
            <v>Cable Encauchetado 3x12</v>
          </cell>
        </row>
        <row r="298">
          <cell r="C298" t="str">
            <v>Cable Encauchetado 3x10</v>
          </cell>
        </row>
        <row r="299">
          <cell r="C299" t="str">
            <v>Cable encauchetado 3x8</v>
          </cell>
        </row>
        <row r="300">
          <cell r="C300" t="str">
            <v>cable encauchetado 4x10</v>
          </cell>
        </row>
        <row r="301">
          <cell r="C301" t="str">
            <v>cable encauchetado 4x12</v>
          </cell>
        </row>
        <row r="302">
          <cell r="C302" t="str">
            <v>cable encauchetado 4 x 14</v>
          </cell>
        </row>
        <row r="303">
          <cell r="C303" t="str">
            <v>Cable Encauchetado 4x4 potencia</v>
          </cell>
        </row>
        <row r="304">
          <cell r="C304" t="str">
            <v>Cable encauchetado 7×12 + 20 AWG</v>
          </cell>
        </row>
        <row r="305">
          <cell r="C305" t="str">
            <v>Cable encauchetado 7×14 +20  AWG</v>
          </cell>
        </row>
        <row r="306">
          <cell r="C306" t="str">
            <v>Cable encauchetado pltc 24×14 + 20 AWG</v>
          </cell>
        </row>
        <row r="307">
          <cell r="C307" t="str">
            <v>Cable encauchetado pltc 4×18 + 20 AWG</v>
          </cell>
        </row>
        <row r="308">
          <cell r="C308" t="str">
            <v>Cable instrumentacion 18x18+20 apant</v>
          </cell>
        </row>
        <row r="309">
          <cell r="C309" t="str">
            <v>Cable instrumentacion 2x16+20 apant</v>
          </cell>
        </row>
        <row r="310">
          <cell r="C310" t="str">
            <v>Cable instrumentacion 4x16+20 apant</v>
          </cell>
        </row>
        <row r="311">
          <cell r="C311" t="str">
            <v>Cable instrumentacion 9x18+20 apant</v>
          </cell>
        </row>
        <row r="312">
          <cell r="C312" t="str">
            <v>Cable mensajero 1/4"</v>
          </cell>
        </row>
        <row r="313">
          <cell r="C313" t="str">
            <v>Cable No 1/0 THW</v>
          </cell>
        </row>
        <row r="314">
          <cell r="C314" t="str">
            <v>Cable No 10 AWG - THW Amarillo</v>
          </cell>
        </row>
        <row r="315">
          <cell r="C315" t="str">
            <v>Cable No 10 AWG - THW Azul</v>
          </cell>
        </row>
        <row r="316">
          <cell r="C316" t="str">
            <v>Cable No 10 AWG - THW Blanco</v>
          </cell>
        </row>
        <row r="317">
          <cell r="C317" t="str">
            <v>Cable No 10 AWG - THW Negro</v>
          </cell>
        </row>
        <row r="318">
          <cell r="C318" t="str">
            <v>Cable No 10 AWG - THW Rojo</v>
          </cell>
        </row>
        <row r="319">
          <cell r="C319" t="str">
            <v>Cable No 10 AWG - THW Verde</v>
          </cell>
        </row>
        <row r="320">
          <cell r="C320" t="str">
            <v>Cable No 12 AWG - THW Amarillo</v>
          </cell>
        </row>
        <row r="321">
          <cell r="C321" t="str">
            <v>Cable No 12 AWG - THW Azul</v>
          </cell>
        </row>
        <row r="322">
          <cell r="C322" t="str">
            <v>Cable No 12 AWG - THW Blanco</v>
          </cell>
        </row>
        <row r="323">
          <cell r="C323" t="str">
            <v>Cable No 12 AWG - THW Negro</v>
          </cell>
        </row>
        <row r="324">
          <cell r="C324" t="str">
            <v>Cable No 12 AWG - THW Rojo</v>
          </cell>
        </row>
        <row r="325">
          <cell r="C325" t="str">
            <v>Cable No 12 AWG - THW Verde</v>
          </cell>
        </row>
        <row r="326">
          <cell r="C326" t="str">
            <v>Cable No 14 AWG - THW</v>
          </cell>
        </row>
        <row r="327">
          <cell r="C327" t="str">
            <v>Cable No 2 AWG - THW</v>
          </cell>
        </row>
        <row r="328">
          <cell r="C328" t="str">
            <v>Cable No 4 AWG - THW</v>
          </cell>
        </row>
        <row r="329">
          <cell r="C329" t="str">
            <v>Cable No 6 AWG - THW</v>
          </cell>
        </row>
        <row r="330">
          <cell r="C330" t="str">
            <v>Cable No 8 AWG - THW</v>
          </cell>
        </row>
        <row r="331">
          <cell r="C331" t="str">
            <v>Cable No. 2/0 THW</v>
          </cell>
        </row>
        <row r="332">
          <cell r="C332" t="str">
            <v>Cable No. 250 MCM THHN</v>
          </cell>
        </row>
        <row r="333">
          <cell r="C333" t="str">
            <v>Cable No. 3/0 THW</v>
          </cell>
        </row>
        <row r="334">
          <cell r="C334" t="str">
            <v>Cable No. 300 MCM THHN</v>
          </cell>
        </row>
        <row r="335">
          <cell r="C335" t="str">
            <v>Cable No. 350 MCM THHN</v>
          </cell>
        </row>
        <row r="336">
          <cell r="C336" t="str">
            <v>Cable No. 4/0 THW</v>
          </cell>
        </row>
        <row r="337">
          <cell r="C337" t="str">
            <v>Cable No. 400 MCM THHN</v>
          </cell>
        </row>
        <row r="338">
          <cell r="C338" t="str">
            <v>Cable No. 500 MCM THHN</v>
          </cell>
        </row>
        <row r="339">
          <cell r="C339" t="str">
            <v>Cable RG 6 U</v>
          </cell>
        </row>
        <row r="340">
          <cell r="C340" t="str">
            <v>Cable telefonico de 10 pares</v>
          </cell>
        </row>
        <row r="341">
          <cell r="C341" t="str">
            <v>Cable TFF No 16</v>
          </cell>
        </row>
        <row r="342">
          <cell r="C342" t="str">
            <v>Cable THW 1/0 AL  Serie 8000 135 A</v>
          </cell>
        </row>
        <row r="343">
          <cell r="C343" t="str">
            <v>Cable THW 2 AL  Serie 8000 100 A</v>
          </cell>
        </row>
        <row r="344">
          <cell r="C344" t="str">
            <v>Cable THW 4 AL  Serie 8000 100 A</v>
          </cell>
        </row>
        <row r="345">
          <cell r="C345" t="str">
            <v>Cable THW 4/0 AL  Serie 8000 135 A</v>
          </cell>
        </row>
        <row r="346">
          <cell r="C346" t="str">
            <v>Cable Trenzado 4 x 1/0</v>
          </cell>
        </row>
        <row r="347">
          <cell r="C347" t="str">
            <v>Cable Trenzado 4 x 2</v>
          </cell>
        </row>
        <row r="348">
          <cell r="C348" t="str">
            <v>Cable Trenzado 4 x 4</v>
          </cell>
        </row>
        <row r="349">
          <cell r="C349" t="str">
            <v>Cable Trenzado 4 x 6</v>
          </cell>
        </row>
        <row r="350">
          <cell r="C350" t="str">
            <v>Cable UTP 4x2x24  amp cat 6  200 MHz</v>
          </cell>
        </row>
        <row r="351">
          <cell r="C351" t="str">
            <v>Cable XLPE No 1/0 100 %</v>
          </cell>
        </row>
        <row r="352">
          <cell r="C352" t="str">
            <v>Cable XLPE No 2  100 %</v>
          </cell>
        </row>
        <row r="353">
          <cell r="C353" t="str">
            <v>Cable XLPE No 2  133 %</v>
          </cell>
        </row>
        <row r="354">
          <cell r="C354" t="str">
            <v>Cable XLPE No 2/0 100 %</v>
          </cell>
        </row>
        <row r="355">
          <cell r="C355" t="str">
            <v>Caja De Distribución Eléctrica De 6x6x4" - Nema 12 cal 18</v>
          </cell>
        </row>
        <row r="356">
          <cell r="C356" t="str">
            <v>Caja De Distribución Eléctrica De 8x8x4"  - Nema 12 cal 18</v>
          </cell>
        </row>
        <row r="357">
          <cell r="C357" t="str">
            <v>Caja de empalme 8x8x6</v>
          </cell>
        </row>
        <row r="358">
          <cell r="C358" t="str">
            <v>Caja de empalme 15x15x10</v>
          </cell>
        </row>
        <row r="359">
          <cell r="C359" t="str">
            <v>Caja de empalme 20x20x15</v>
          </cell>
        </row>
        <row r="360">
          <cell r="C360" t="str">
            <v>Caja de empalme 50x50x20</v>
          </cell>
        </row>
        <row r="361">
          <cell r="C361" t="str">
            <v>Caja Doble ( 4x4" ) (Fundida Para Sobreponer)</v>
          </cell>
        </row>
        <row r="362">
          <cell r="C362" t="str">
            <v>Caja Doble ( 4x4" ) (Lámina PVC  Para Empotrar)</v>
          </cell>
        </row>
        <row r="363">
          <cell r="C363" t="str">
            <v>Caja doble (4x4")  (Fundida Para Sobreponer)</v>
          </cell>
        </row>
        <row r="364">
          <cell r="C364" t="str">
            <v>Caja doble (4x4")  PVC o galv incrustar</v>
          </cell>
        </row>
        <row r="365">
          <cell r="C365" t="str">
            <v>Caja IP 65 30x20x16</v>
          </cell>
        </row>
        <row r="366">
          <cell r="C366" t="str">
            <v>Caja metalica distribucion metálica CDM12</v>
          </cell>
        </row>
        <row r="367">
          <cell r="C367" t="str">
            <v>Caja metalica distribucion metálica CDM4</v>
          </cell>
        </row>
        <row r="368">
          <cell r="C368" t="str">
            <v>Caja metalica distribucion metálica CDM6</v>
          </cell>
        </row>
        <row r="369">
          <cell r="C369" t="str">
            <v>Caja metalica distribucion metálica CDM9</v>
          </cell>
        </row>
        <row r="370">
          <cell r="C370" t="str">
            <v>Caja minipragma opaca 6 pasos sobreponer multi 9</v>
          </cell>
        </row>
        <row r="371">
          <cell r="C371" t="str">
            <v>Caja minipragma transparente 10 pasos incrustar multi 9</v>
          </cell>
        </row>
        <row r="372">
          <cell r="C372" t="str">
            <v>Caja minipragma transparente 16 pasos incrustar multi 9</v>
          </cell>
        </row>
        <row r="373">
          <cell r="C373" t="str">
            <v>Caja Octagonal (Fundida Para Sobreponer)</v>
          </cell>
        </row>
        <row r="374">
          <cell r="C374" t="str">
            <v>Caja Octagonal (Lámina Para Empotrar)</v>
          </cell>
        </row>
        <row r="375">
          <cell r="C375" t="str">
            <v>Caja Octagonal PVC</v>
          </cell>
        </row>
        <row r="376">
          <cell r="C376" t="str">
            <v>CAJAS PRIMARIAS 15 KV</v>
          </cell>
        </row>
        <row r="377">
          <cell r="C377" t="str">
            <v>Caja para Medidor Tipo C</v>
          </cell>
        </row>
        <row r="378">
          <cell r="C378" t="str">
            <v>Caja PVC 2x4 Para Empotrar</v>
          </cell>
        </row>
        <row r="379">
          <cell r="C379" t="str">
            <v>Caja PVC 4x4</v>
          </cell>
        </row>
        <row r="380">
          <cell r="C380" t="str">
            <v>Caja Plástica Dexson 2x4 Para Sobreponer, Utilizadas Con Canaleta</v>
          </cell>
        </row>
        <row r="381">
          <cell r="C381" t="str">
            <v>CAJA RAWELT GALVANIZADA OCTAGONAL 4 SALIDAS 3/4</v>
          </cell>
        </row>
        <row r="382">
          <cell r="C382" t="str">
            <v>Cajas Radwelt 2 x 4</v>
          </cell>
        </row>
        <row r="383">
          <cell r="C383" t="str">
            <v>Cajas Radwelt 2 x 4 salida 3/4</v>
          </cell>
        </row>
        <row r="384">
          <cell r="C384" t="str">
            <v>Cajas Radwelt 4 x 4 salida 3/4</v>
          </cell>
        </row>
        <row r="385">
          <cell r="C385" t="str">
            <v>Cajas Radwelt 4 x 4</v>
          </cell>
        </row>
        <row r="386">
          <cell r="C386" t="str">
            <v>Caja Sencilla (2x4")  (Fundida Para Sobreponer)</v>
          </cell>
        </row>
        <row r="387">
          <cell r="C387" t="str">
            <v>Caja Sencilla (2x4") (Lámina Para Empotrar)</v>
          </cell>
        </row>
        <row r="388">
          <cell r="C388" t="str">
            <v>Canaleta c/division de 11x5 c/tapa</v>
          </cell>
        </row>
        <row r="389">
          <cell r="C389" t="str">
            <v>Canaleta DLP</v>
          </cell>
        </row>
        <row r="390">
          <cell r="C390" t="str">
            <v>Canaleta Metálica De 10 x 12.5mm</v>
          </cell>
        </row>
        <row r="391">
          <cell r="C391" t="str">
            <v xml:space="preserve">Canaleta Metálica De 10 x 8 cm  C 22 TA  </v>
          </cell>
        </row>
        <row r="392">
          <cell r="C392" t="str">
            <v>Canaleta Metálica De 20 x 12.5mm</v>
          </cell>
        </row>
        <row r="393">
          <cell r="C393" t="str">
            <v>Canaleta Metálica De 20 x 8 cm  C 22 TA</v>
          </cell>
        </row>
        <row r="394">
          <cell r="C394" t="str">
            <v>Canaleta Metálica De 30 x 8 cm  C 22 TA</v>
          </cell>
        </row>
        <row r="395">
          <cell r="C395" t="str">
            <v>Canaleta Metálica De 32 x 12.5mm</v>
          </cell>
        </row>
        <row r="396">
          <cell r="C396" t="str">
            <v>Canaleta Metálica De 40 x 12,5 mm</v>
          </cell>
        </row>
        <row r="397">
          <cell r="C397" t="str">
            <v>Canaleta Plástica 10x12,5</v>
          </cell>
        </row>
        <row r="398">
          <cell r="C398" t="str">
            <v>Canaleta Plástica 20x12,5</v>
          </cell>
        </row>
        <row r="399">
          <cell r="C399" t="str">
            <v>Canaleta Plástica 32x12,5</v>
          </cell>
        </row>
        <row r="400">
          <cell r="C400" t="str">
            <v>Canaleta ranurada 60x40</v>
          </cell>
        </row>
        <row r="401">
          <cell r="C401" t="str">
            <v>Canaleta soporte colgante</v>
          </cell>
        </row>
        <row r="402">
          <cell r="C402" t="str">
            <v>Candado Master</v>
          </cell>
        </row>
        <row r="403">
          <cell r="C403" t="str">
            <v>Capacete De 1 1/2"</v>
          </cell>
        </row>
        <row r="404">
          <cell r="C404" t="str">
            <v>Capacete De 1", 3/4", o 1/2"</v>
          </cell>
        </row>
        <row r="405">
          <cell r="C405" t="str">
            <v>Capacete De 2"</v>
          </cell>
        </row>
        <row r="406">
          <cell r="C406" t="str">
            <v>Capacete De 3"</v>
          </cell>
        </row>
        <row r="407">
          <cell r="C407" t="str">
            <v>Celda con seccionador y fusibles HH 630 amps</v>
          </cell>
        </row>
        <row r="408">
          <cell r="C408" t="str">
            <v xml:space="preserve">Celda de Proteccion con seccionador de Operación Bajo Carga Base Portafusibles </v>
          </cell>
        </row>
        <row r="409">
          <cell r="C409" t="str">
            <v>Celda de Remonte de Cables Sin Barraje GAM-0</v>
          </cell>
        </row>
        <row r="410">
          <cell r="C410" t="str">
            <v>Celda para transformador de 225 KVA</v>
          </cell>
        </row>
        <row r="411">
          <cell r="C411" t="str">
            <v>Cemento Gris</v>
          </cell>
        </row>
        <row r="412">
          <cell r="C412" t="str">
            <v>Certificacion RETIE</v>
          </cell>
        </row>
        <row r="413">
          <cell r="C413" t="str">
            <v>Channel alto</v>
          </cell>
        </row>
        <row r="414">
          <cell r="C414" t="str">
            <v>Channel bajo</v>
          </cell>
        </row>
        <row r="415">
          <cell r="C415" t="str">
            <v>Channel acero inoxidable</v>
          </cell>
        </row>
        <row r="416">
          <cell r="C416" t="str">
            <v>Chazos</v>
          </cell>
        </row>
        <row r="417">
          <cell r="C417" t="str">
            <v>Chico</v>
          </cell>
        </row>
        <row r="418">
          <cell r="C418" t="str">
            <v>Cinta bandit</v>
          </cell>
        </row>
        <row r="419">
          <cell r="C419" t="str">
            <v>Cinta Demarcacion</v>
          </cell>
        </row>
        <row r="420">
          <cell r="C420" t="str">
            <v>Cinta super 33</v>
          </cell>
        </row>
        <row r="421">
          <cell r="C421" t="str">
            <v>CINTA SCOTH #23</v>
          </cell>
        </row>
        <row r="422">
          <cell r="C422" t="str">
            <v>CINTA SCOTH #50</v>
          </cell>
        </row>
        <row r="423">
          <cell r="C423" t="str">
            <v>Cinta tenflex 1700 x 10 mts</v>
          </cell>
        </row>
        <row r="424">
          <cell r="C424" t="str">
            <v>Cinta tenflex 1700 x 20 mts</v>
          </cell>
        </row>
        <row r="425">
          <cell r="C425" t="str">
            <v>Clavija 20A Twis Lock Uso Industrial Leviton O Similar 110v</v>
          </cell>
        </row>
        <row r="426">
          <cell r="C426" t="str">
            <v>Clavija 30A Twis Lock Uso Industrial Leviton O Similar ref 2621</v>
          </cell>
        </row>
        <row r="427">
          <cell r="C427" t="str">
            <v>Clavija 30A Twis Lock Uso Industrial Leviton O Similar ref 2721</v>
          </cell>
        </row>
        <row r="428">
          <cell r="C428" t="str">
            <v>Clavija 30A Twis Lock Uso Industrial Leviton O Similar ref 2811</v>
          </cell>
        </row>
        <row r="429">
          <cell r="C429" t="str">
            <v xml:space="preserve">Clavija Con Polo A Tierra De 20 Amp. A 120v. </v>
          </cell>
        </row>
        <row r="430">
          <cell r="C430" t="str">
            <v xml:space="preserve">Clavija de caucho con polo a tierra 15 amp 110 V </v>
          </cell>
        </row>
        <row r="431">
          <cell r="C431" t="str">
            <v>CLAVIJAS NEMA L16-20 AMP</v>
          </cell>
        </row>
        <row r="432">
          <cell r="C432" t="str">
            <v>CLAVIJAS NEMA L15-30 AMP</v>
          </cell>
        </row>
        <row r="433">
          <cell r="C433" t="str">
            <v>CLAVIJAS NEMA L5-20 AMP</v>
          </cell>
        </row>
        <row r="434">
          <cell r="C434" t="str">
            <v>CLAVIJAS NEMA L6-30 AMP</v>
          </cell>
        </row>
        <row r="435">
          <cell r="C435" t="str">
            <v>Clavija Trifásica Tripolar De 20 Amp - 250v, 4 hilos leviton</v>
          </cell>
        </row>
        <row r="436">
          <cell r="C436" t="str">
            <v>Clavija Trifásica Tripolar De 30 Amp - 250v, 4 hilos leviton</v>
          </cell>
        </row>
        <row r="437">
          <cell r="C437" t="str">
            <v>Clavija Trifásica Tripolar De 50 Amp - 250v, 4 hilos leviton o similar</v>
          </cell>
        </row>
        <row r="438">
          <cell r="C438" t="str">
            <v>Clavo de 2" (puntilla)</v>
          </cell>
        </row>
        <row r="439">
          <cell r="C439" t="str">
            <v>Clevis 10"</v>
          </cell>
        </row>
        <row r="440">
          <cell r="C440" t="str">
            <v>Clevis 6"</v>
          </cell>
        </row>
        <row r="441">
          <cell r="C441" t="str">
            <v>Codo 1" sch 40</v>
          </cell>
        </row>
        <row r="442">
          <cell r="C442" t="str">
            <v>Codo 1/2" sch 40</v>
          </cell>
        </row>
        <row r="443">
          <cell r="C443" t="str">
            <v>Codo 3/4" sch 40</v>
          </cell>
        </row>
        <row r="444">
          <cell r="C444" t="str">
            <v>Cofre De 30x20x15</v>
          </cell>
        </row>
        <row r="445">
          <cell r="C445" t="str">
            <v>Cofre De 40x30x20</v>
          </cell>
        </row>
        <row r="446">
          <cell r="C446" t="str">
            <v>Cofre De 50x30x20</v>
          </cell>
        </row>
        <row r="447">
          <cell r="C447" t="str">
            <v>Cofre De 50x40x20</v>
          </cell>
        </row>
        <row r="448">
          <cell r="C448" t="str">
            <v>Cofre De 60x40x25</v>
          </cell>
        </row>
        <row r="449">
          <cell r="C449" t="str">
            <v>Cofre Lamina Galv  100x80x30</v>
          </cell>
        </row>
        <row r="450">
          <cell r="C450" t="str">
            <v>Cofre Lamina Galv  90x70x30</v>
          </cell>
        </row>
        <row r="451">
          <cell r="C451" t="str">
            <v>Cofre Lamina Galv 120x80x40</v>
          </cell>
        </row>
        <row r="452">
          <cell r="C452" t="str">
            <v>Cofre Lamina Galv 150x80x40</v>
          </cell>
        </row>
        <row r="453">
          <cell r="C453" t="str">
            <v>Cofre Lamina Galv 200x120x100</v>
          </cell>
        </row>
        <row r="454">
          <cell r="C454" t="str">
            <v>Cofre Lamina Galv 200x120x100 sin barraje</v>
          </cell>
        </row>
        <row r="455">
          <cell r="C455" t="str">
            <v>Cofre Lamina Galv 70x50x25</v>
          </cell>
        </row>
        <row r="456">
          <cell r="C456" t="str">
            <v>Cofre Plástico Transparente IP65 de 16 cm de profundidad</v>
          </cell>
        </row>
        <row r="457">
          <cell r="C457" t="str">
            <v>Collarín De Doble Derivación De 6-7 pulg.</v>
          </cell>
        </row>
        <row r="458">
          <cell r="C458" t="str">
            <v>Collarín De Doble Derivación De 7-8 pulg.</v>
          </cell>
        </row>
        <row r="459">
          <cell r="C459" t="str">
            <v>Collarín De Doble Derivación De 8-9 pulg.</v>
          </cell>
        </row>
        <row r="460">
          <cell r="C460" t="str">
            <v>Combustible</v>
          </cell>
        </row>
        <row r="461">
          <cell r="C461" t="str">
            <v>Concreto fc=2000 psi</v>
          </cell>
        </row>
        <row r="462">
          <cell r="C462" t="str">
            <v>Concreto fc=2500 psi</v>
          </cell>
        </row>
        <row r="463">
          <cell r="C463" t="str">
            <v>Concreto fc=3000 psi</v>
          </cell>
        </row>
        <row r="464">
          <cell r="C464" t="str">
            <v>Concreto fc=4000 psi</v>
          </cell>
        </row>
        <row r="465">
          <cell r="C465" t="str">
            <v>Condensador de 12 kvar 240V</v>
          </cell>
        </row>
        <row r="466">
          <cell r="C466" t="str">
            <v>Condensador de 30 uf 220V</v>
          </cell>
        </row>
        <row r="467">
          <cell r="C467" t="str">
            <v>Condensador de 6 kvar 240V</v>
          </cell>
        </row>
        <row r="468">
          <cell r="C468" t="str">
            <v>Conductor ACSR 1/0</v>
          </cell>
        </row>
        <row r="469">
          <cell r="C469" t="str">
            <v>Conductor ACSR 2</v>
          </cell>
        </row>
        <row r="470">
          <cell r="C470" t="str">
            <v>Conductor ACSR 2/0</v>
          </cell>
        </row>
        <row r="471">
          <cell r="C471" t="str">
            <v>Conductor ACSR 4</v>
          </cell>
        </row>
        <row r="472">
          <cell r="C472" t="str">
            <v>Conductor ACSR 4/0</v>
          </cell>
        </row>
        <row r="473">
          <cell r="C473" t="str">
            <v>Conductor XLPE Para 15kv, 1/0</v>
          </cell>
        </row>
        <row r="474">
          <cell r="C474" t="str">
            <v>Conductor XLPE Para 15kv, 2</v>
          </cell>
        </row>
        <row r="475">
          <cell r="C475" t="str">
            <v>Conductor XLPE Para 15kv, 2/0</v>
          </cell>
        </row>
        <row r="476">
          <cell r="C476" t="str">
            <v>Conductor XLPE Para 15kv, 250mcm</v>
          </cell>
        </row>
        <row r="477">
          <cell r="C477" t="str">
            <v>Conductor XLPE Para 15kv, 3/0</v>
          </cell>
        </row>
        <row r="478">
          <cell r="C478" t="str">
            <v>Conductor XLPE Para 15kv, 4/0</v>
          </cell>
        </row>
        <row r="479">
          <cell r="C479" t="str">
            <v>Conduleta PVC LB 1/2</v>
          </cell>
        </row>
        <row r="480">
          <cell r="C480" t="str">
            <v>Conduleta PVC LB 3/4</v>
          </cell>
        </row>
        <row r="481">
          <cell r="C481" t="str">
            <v>Conduleta PVC  LB 1</v>
          </cell>
        </row>
        <row r="482">
          <cell r="C482" t="str">
            <v>Conduleta PVC LB  1 1/2</v>
          </cell>
        </row>
        <row r="483">
          <cell r="C483" t="str">
            <v>Conduleta PVC LB 2</v>
          </cell>
        </row>
        <row r="484">
          <cell r="C484" t="str">
            <v>Conduleta PVC LR 1/2</v>
          </cell>
        </row>
        <row r="485">
          <cell r="C485" t="str">
            <v>ConduletaPVC  LR 3/4</v>
          </cell>
        </row>
        <row r="486">
          <cell r="C486" t="str">
            <v>Conduleta PVC LR 1</v>
          </cell>
        </row>
        <row r="487">
          <cell r="C487" t="str">
            <v>Conduleta PVC LR  1 1/2</v>
          </cell>
        </row>
        <row r="488">
          <cell r="C488" t="str">
            <v>Conduleta PVC LR 2</v>
          </cell>
        </row>
        <row r="489">
          <cell r="C489" t="str">
            <v>ConduletaPVC  LL 1/2</v>
          </cell>
        </row>
        <row r="490">
          <cell r="C490" t="str">
            <v>ConduletaPVC LL 3/4</v>
          </cell>
        </row>
        <row r="491">
          <cell r="C491" t="str">
            <v>Conduleta PVC LL 1</v>
          </cell>
        </row>
        <row r="492">
          <cell r="C492" t="str">
            <v>Conduleta PVC LL  1 1/2</v>
          </cell>
        </row>
        <row r="493">
          <cell r="C493" t="str">
            <v>Conduleta PVC LL 2</v>
          </cell>
        </row>
        <row r="494">
          <cell r="C494" t="str">
            <v>Conduleta PVC LT 1/2</v>
          </cell>
        </row>
        <row r="495">
          <cell r="C495" t="str">
            <v>Conduleta PVC LT 3/4</v>
          </cell>
        </row>
        <row r="496">
          <cell r="C496" t="str">
            <v>Conduleta PVC LT 1</v>
          </cell>
        </row>
        <row r="497">
          <cell r="C497" t="str">
            <v>Conduleta PVC LT 1 1/2</v>
          </cell>
        </row>
        <row r="498">
          <cell r="C498" t="str">
            <v>ConduletaPVC  LT 2</v>
          </cell>
        </row>
        <row r="499">
          <cell r="C499" t="str">
            <v>Conduleta LB 1/2</v>
          </cell>
        </row>
        <row r="500">
          <cell r="C500" t="str">
            <v>Conduleta LB 3/4</v>
          </cell>
        </row>
        <row r="501">
          <cell r="C501" t="str">
            <v>Conduleta LB 1</v>
          </cell>
        </row>
        <row r="502">
          <cell r="C502" t="str">
            <v>Conduleta LB  1 1/2</v>
          </cell>
        </row>
        <row r="503">
          <cell r="C503" t="str">
            <v>Conduleta LB 2</v>
          </cell>
        </row>
        <row r="504">
          <cell r="C504" t="str">
            <v>Conduleta LR 1/2</v>
          </cell>
        </row>
        <row r="505">
          <cell r="C505" t="str">
            <v>Conduleta LR 3/4</v>
          </cell>
        </row>
        <row r="506">
          <cell r="C506" t="str">
            <v>Conduleta LR 1</v>
          </cell>
        </row>
        <row r="507">
          <cell r="C507" t="str">
            <v>Conduleta LR  1 1/2</v>
          </cell>
        </row>
        <row r="508">
          <cell r="C508" t="str">
            <v>Conduleta LR 2</v>
          </cell>
        </row>
        <row r="509">
          <cell r="C509" t="str">
            <v>Conduleta LL 1/2</v>
          </cell>
        </row>
        <row r="510">
          <cell r="C510" t="str">
            <v>Conduleta LL 3/4</v>
          </cell>
        </row>
        <row r="511">
          <cell r="C511" t="str">
            <v>Conduleta LL 1</v>
          </cell>
        </row>
        <row r="512">
          <cell r="C512" t="str">
            <v>Conduleta LL  1 1/2</v>
          </cell>
        </row>
        <row r="513">
          <cell r="C513" t="str">
            <v>Conduleta LL 2</v>
          </cell>
        </row>
        <row r="514">
          <cell r="C514" t="str">
            <v>Conduleta LT 1/2</v>
          </cell>
        </row>
        <row r="515">
          <cell r="C515" t="str">
            <v>Conduleta LT 3/4</v>
          </cell>
        </row>
        <row r="516">
          <cell r="C516" t="str">
            <v>Conduleta LT 1</v>
          </cell>
        </row>
        <row r="517">
          <cell r="C517" t="str">
            <v>Conduleta LT 1 1/2</v>
          </cell>
        </row>
        <row r="518">
          <cell r="C518" t="str">
            <v>Conduleta LT 2</v>
          </cell>
        </row>
        <row r="519">
          <cell r="C519" t="str">
            <v>Conduleta EMT de 1 1/4" liviana</v>
          </cell>
        </row>
        <row r="520">
          <cell r="C520" t="str">
            <v>Conduleta EMT de 1 liviana</v>
          </cell>
        </row>
        <row r="521">
          <cell r="C521" t="str">
            <v>Conduleta EMT de 1/2 liviana</v>
          </cell>
        </row>
        <row r="522">
          <cell r="C522" t="str">
            <v>Conduleta EMT de 1-1/2 liviana</v>
          </cell>
        </row>
        <row r="523">
          <cell r="C523" t="str">
            <v>Conduleta EMT de 2 liviana</v>
          </cell>
        </row>
        <row r="524">
          <cell r="C524" t="str">
            <v>Conduleta EMT de 3 liviana</v>
          </cell>
        </row>
        <row r="525">
          <cell r="C525" t="str">
            <v>Conduleta EMT de 3/4 liviana</v>
          </cell>
        </row>
        <row r="526">
          <cell r="C526" t="str">
            <v>Conduleta GUAB o GUAL  16 1/2"</v>
          </cell>
        </row>
        <row r="527">
          <cell r="C527" t="str">
            <v>Conduleta GUAB o GUAL  26 3/4"</v>
          </cell>
        </row>
        <row r="528">
          <cell r="C528" t="str">
            <v>Conduleta GUAB o GUAL  36 1"</v>
          </cell>
        </row>
        <row r="529">
          <cell r="C529" t="str">
            <v>Conduleta GUAB o GUAL  56 1 1/2"</v>
          </cell>
        </row>
        <row r="530">
          <cell r="C530" t="str">
            <v>Conduleta GUAB o GUAL  66 2"</v>
          </cell>
        </row>
        <row r="531">
          <cell r="C531" t="str">
            <v>Conduleta pesada   1 1/2"</v>
          </cell>
        </row>
        <row r="532">
          <cell r="C532" t="str">
            <v>Conduleta pesada   1 1/4"</v>
          </cell>
        </row>
        <row r="533">
          <cell r="C533" t="str">
            <v>Conduleta pesada   1"</v>
          </cell>
        </row>
        <row r="534">
          <cell r="C534" t="str">
            <v>Conduleta pesada   1/2"</v>
          </cell>
        </row>
        <row r="535">
          <cell r="C535" t="str">
            <v>Conduleta pesada   2"</v>
          </cell>
        </row>
        <row r="536">
          <cell r="C536" t="str">
            <v>Conduleta pesada   3"</v>
          </cell>
        </row>
        <row r="537">
          <cell r="C537" t="str">
            <v>Conduleta pesada   3/4"</v>
          </cell>
        </row>
        <row r="538">
          <cell r="C538" t="str">
            <v>Conduleta pesada   4"</v>
          </cell>
        </row>
        <row r="539">
          <cell r="C539" t="str">
            <v>Conduleta PVC Tipo C De 1 1/4"</v>
          </cell>
        </row>
        <row r="540">
          <cell r="C540" t="str">
            <v>Conduleta PVC Tipo C De 1"</v>
          </cell>
        </row>
        <row r="541">
          <cell r="C541" t="str">
            <v>Conduleta PVC Tipo C De 1/2"</v>
          </cell>
        </row>
        <row r="542">
          <cell r="C542" t="str">
            <v>Conduleta PVC Tipo C De 1-1/2"</v>
          </cell>
        </row>
        <row r="543">
          <cell r="C543" t="str">
            <v>Conduleta PVC Tipo C De 2"</v>
          </cell>
        </row>
        <row r="544">
          <cell r="C544" t="str">
            <v>Conduleta PVC Tipo C De 3"</v>
          </cell>
        </row>
        <row r="545">
          <cell r="C545" t="str">
            <v>Conduleta PVC Tipo C De 3/4"</v>
          </cell>
        </row>
        <row r="546">
          <cell r="C546" t="str">
            <v>Conduleta PVC Tipo C De 4"</v>
          </cell>
        </row>
        <row r="547">
          <cell r="C547" t="str">
            <v>Conector Ampact</v>
          </cell>
        </row>
        <row r="548">
          <cell r="C548" t="str">
            <v xml:space="preserve">Conector ampact aislado 2 al 3/0  </v>
          </cell>
        </row>
        <row r="549">
          <cell r="C549" t="str">
            <v>Conector ampact aislado  4/0 al 300 MCM</v>
          </cell>
        </row>
        <row r="550">
          <cell r="C550" t="str">
            <v xml:space="preserve">Conector ampact tipo aluminio cuña 2 al 4/0 </v>
          </cell>
        </row>
        <row r="551">
          <cell r="C551" t="str">
            <v>Conector autodesf XA 3m 80610052765</v>
          </cell>
        </row>
        <row r="552">
          <cell r="C552" t="str">
            <v>Conector curvo de 2" no metalico</v>
          </cell>
        </row>
        <row r="553">
          <cell r="C553" t="str">
            <v>Conector de tierra Burndy Catalog Number: GC4C4C</v>
          </cell>
        </row>
        <row r="554">
          <cell r="C554" t="str">
            <v>Conector EMT 1 1/4"</v>
          </cell>
        </row>
        <row r="555">
          <cell r="C555" t="str">
            <v>Conector EMT 1"</v>
          </cell>
        </row>
        <row r="556">
          <cell r="C556" t="str">
            <v>Conector EMT 1/2"</v>
          </cell>
        </row>
        <row r="557">
          <cell r="C557" t="str">
            <v>Conector EMT 1-1/2"</v>
          </cell>
        </row>
        <row r="558">
          <cell r="C558" t="str">
            <v>Conector EMT 2"</v>
          </cell>
        </row>
        <row r="559">
          <cell r="C559" t="str">
            <v>Conector EMT 3/4"</v>
          </cell>
        </row>
        <row r="560">
          <cell r="C560" t="str">
            <v>Conector EMT  3"</v>
          </cell>
        </row>
        <row r="561">
          <cell r="C561" t="str">
            <v>Conector EMT  4"</v>
          </cell>
        </row>
        <row r="562">
          <cell r="C562" t="str">
            <v>Conector GAR 2"</v>
          </cell>
        </row>
        <row r="563">
          <cell r="C563" t="str">
            <v>Conector GAR 3"</v>
          </cell>
        </row>
        <row r="564">
          <cell r="C564" t="str">
            <v>Conector hub 1/2</v>
          </cell>
        </row>
        <row r="565">
          <cell r="C565" t="str">
            <v>Conector hub 3/4</v>
          </cell>
        </row>
        <row r="566">
          <cell r="C566" t="str">
            <v>Conector hub 1</v>
          </cell>
        </row>
        <row r="567">
          <cell r="C567" t="str">
            <v>Conector hub 2</v>
          </cell>
        </row>
        <row r="568">
          <cell r="C568" t="str">
            <v xml:space="preserve">Conector Liquid Tight De 1 1/2" </v>
          </cell>
        </row>
        <row r="569">
          <cell r="C569" t="str">
            <v xml:space="preserve">Conector Liquid Tight De 1 1/4" </v>
          </cell>
        </row>
        <row r="570">
          <cell r="C570" t="str">
            <v xml:space="preserve">Conector Liquid Tight De 1" </v>
          </cell>
        </row>
        <row r="571">
          <cell r="C571" t="str">
            <v xml:space="preserve">Conector Liquid Tight De 1/2" </v>
          </cell>
        </row>
        <row r="572">
          <cell r="C572" t="str">
            <v xml:space="preserve">Conector Liquid Tight De 2" </v>
          </cell>
        </row>
        <row r="573">
          <cell r="C573" t="str">
            <v>Conector Liquid Tight De 3"</v>
          </cell>
        </row>
        <row r="574">
          <cell r="C574" t="str">
            <v xml:space="preserve">Conector Liquid Tight De 3/4" </v>
          </cell>
        </row>
        <row r="575">
          <cell r="C575" t="str">
            <v>Conector Pvc 1/2</v>
          </cell>
        </row>
        <row r="576">
          <cell r="C576" t="str">
            <v>Conector Pvc 3/4</v>
          </cell>
        </row>
        <row r="577">
          <cell r="C577" t="str">
            <v>Conector Pvc 1</v>
          </cell>
        </row>
        <row r="578">
          <cell r="C578" t="str">
            <v>Conector Pvc 1 1/2</v>
          </cell>
        </row>
        <row r="579">
          <cell r="C579" t="str">
            <v>Conector Pvc 1 1/4</v>
          </cell>
        </row>
        <row r="580">
          <cell r="C580" t="str">
            <v>Conector Pvc 2</v>
          </cell>
        </row>
        <row r="581">
          <cell r="C581" t="str">
            <v>Conector Pvc hembra 1/2</v>
          </cell>
        </row>
        <row r="582">
          <cell r="C582" t="str">
            <v>Conector Pvc hembra 3/4</v>
          </cell>
        </row>
        <row r="583">
          <cell r="C583" t="str">
            <v>Conector Pvc  hembra 1</v>
          </cell>
        </row>
        <row r="584">
          <cell r="C584" t="str">
            <v>Conector Pvc hembra 1 1/2</v>
          </cell>
        </row>
        <row r="585">
          <cell r="C585" t="str">
            <v>Conector Pvc hembra 1 1/4</v>
          </cell>
        </row>
        <row r="586">
          <cell r="C586" t="str">
            <v>Conector Pvc hembra  2</v>
          </cell>
        </row>
        <row r="587">
          <cell r="C587" t="str">
            <v>Conector recto hubbell no metalico 2"</v>
          </cell>
        </row>
        <row r="588">
          <cell r="C588" t="str">
            <v>Conector resortado</v>
          </cell>
        </row>
        <row r="589">
          <cell r="C589" t="str">
            <v>Conector Tipo Cuña 1/0 al 2</v>
          </cell>
        </row>
        <row r="590">
          <cell r="C590" t="str">
            <v>Conector Tipo Cuña 2 al 2/0</v>
          </cell>
        </row>
        <row r="591">
          <cell r="C591" t="str">
            <v>Conector Tubular 1/0 AWG</v>
          </cell>
        </row>
        <row r="592">
          <cell r="C592" t="str">
            <v>Conector Tubular 2 AWG</v>
          </cell>
        </row>
        <row r="593">
          <cell r="C593" t="str">
            <v>Conector Tubular 2/0 AWG</v>
          </cell>
        </row>
        <row r="594">
          <cell r="C594" t="str">
            <v>Conector Tubular 250 MCM</v>
          </cell>
        </row>
        <row r="595">
          <cell r="C595" t="str">
            <v>Conector Tubular 300 MCM</v>
          </cell>
        </row>
        <row r="596">
          <cell r="C596" t="str">
            <v>Conector Tubular 350 MCM</v>
          </cell>
        </row>
        <row r="597">
          <cell r="C597" t="str">
            <v>Conector Tubular 4 AWG</v>
          </cell>
        </row>
        <row r="598">
          <cell r="C598" t="str">
            <v>Conector Tubular 4/0 AWG</v>
          </cell>
        </row>
        <row r="599">
          <cell r="C599" t="str">
            <v>Conector Tubular 500 MCM</v>
          </cell>
        </row>
        <row r="600">
          <cell r="C600" t="str">
            <v>Conector Tubular 6 AWG</v>
          </cell>
        </row>
        <row r="601">
          <cell r="C601" t="str">
            <v>Conector Tubular bimetalico 1/0</v>
          </cell>
        </row>
        <row r="602">
          <cell r="C602" t="str">
            <v>Conector Tubular bimetalico 2</v>
          </cell>
        </row>
        <row r="603">
          <cell r="C603" t="str">
            <v>Conector Tubular bimetalico 2/0</v>
          </cell>
        </row>
        <row r="604">
          <cell r="C604" t="str">
            <v>Conector Tubular bimetalico 3/0</v>
          </cell>
        </row>
        <row r="605">
          <cell r="C605" t="str">
            <v>Conector Tubular bimetalico 300 MCM</v>
          </cell>
        </row>
        <row r="606">
          <cell r="C606" t="str">
            <v>Conector Tubular bimetalico 350 MCM</v>
          </cell>
        </row>
        <row r="607">
          <cell r="C607" t="str">
            <v>Conector Tubular bimetalico 4/0</v>
          </cell>
        </row>
        <row r="608">
          <cell r="C608" t="str">
            <v>Conmutador selector lovato 2 pos fijas  lov0378</v>
          </cell>
        </row>
        <row r="609">
          <cell r="C609" t="str">
            <v>Conmutador seta rojo 9001KR9RH2 P.E.c/enclavamiento 40mm</v>
          </cell>
        </row>
        <row r="610">
          <cell r="C610" t="str">
            <v>Conmutador tres posiciones fijas negro 9001KS43FBH13 30mm</v>
          </cell>
        </row>
        <row r="611">
          <cell r="C611" t="str">
            <v>Consumibles</v>
          </cell>
        </row>
        <row r="612">
          <cell r="C612" t="str">
            <v>Contactor LC1D09</v>
          </cell>
        </row>
        <row r="613">
          <cell r="C613" t="str">
            <v>Contactor LC1D115</v>
          </cell>
        </row>
        <row r="614">
          <cell r="C614" t="str">
            <v>Contactor LC1D12</v>
          </cell>
        </row>
        <row r="615">
          <cell r="C615" t="str">
            <v>Contactor LC1D150</v>
          </cell>
        </row>
        <row r="616">
          <cell r="C616" t="str">
            <v>Contactor LC1D18</v>
          </cell>
        </row>
        <row r="617">
          <cell r="C617" t="str">
            <v>Contactor LC1D25</v>
          </cell>
        </row>
        <row r="618">
          <cell r="C618" t="str">
            <v>Contactor LC1D32</v>
          </cell>
        </row>
        <row r="619">
          <cell r="C619" t="str">
            <v>Contactor LC1D38</v>
          </cell>
        </row>
        <row r="620">
          <cell r="C620" t="str">
            <v>Contactor LC1D40</v>
          </cell>
        </row>
        <row r="621">
          <cell r="C621" t="str">
            <v>Contactor LC1D50</v>
          </cell>
        </row>
        <row r="622">
          <cell r="C622" t="str">
            <v>Contactor LC1D65</v>
          </cell>
        </row>
        <row r="623">
          <cell r="C623" t="str">
            <v>Contactor LC1D80</v>
          </cell>
        </row>
        <row r="624">
          <cell r="C624" t="str">
            <v>Contactor LC1D95</v>
          </cell>
        </row>
        <row r="625">
          <cell r="C625" t="str">
            <v>Contactor LC1F330F7</v>
          </cell>
        </row>
        <row r="626">
          <cell r="C626" t="str">
            <v>Contactor MOL 0139 c/resistencia /condensad</v>
          </cell>
        </row>
        <row r="627">
          <cell r="C627" t="str">
            <v>Contactor MOL 0145 c/resistencia /condensad</v>
          </cell>
        </row>
        <row r="628">
          <cell r="C628" t="str">
            <v>Contactor serie K 20 A  K0910</v>
          </cell>
        </row>
        <row r="629">
          <cell r="C629" t="str">
            <v>Contador</v>
          </cell>
        </row>
        <row r="630">
          <cell r="C630" t="str">
            <v>Cortacircuito 100 A</v>
          </cell>
        </row>
        <row r="631">
          <cell r="C631" t="str">
            <v>Cortacircuito 100 A en acero inoxidable</v>
          </cell>
        </row>
        <row r="632">
          <cell r="C632" t="str">
            <v>Cortacircuito 200 A</v>
          </cell>
        </row>
        <row r="633">
          <cell r="C633" t="str">
            <v>Cortacircuito 200 A en acero inoxidable</v>
          </cell>
        </row>
        <row r="634">
          <cell r="C634" t="str">
            <v>Cruce Para Bandeja x 10</v>
          </cell>
        </row>
        <row r="635">
          <cell r="C635" t="str">
            <v>Cruce Para Bandeja x 20</v>
          </cell>
        </row>
        <row r="636">
          <cell r="C636" t="str">
            <v>Cruce Para Bandeja x 30</v>
          </cell>
        </row>
        <row r="637">
          <cell r="C637" t="str">
            <v>Cruce Para Bandeja x 40</v>
          </cell>
        </row>
        <row r="638">
          <cell r="C638" t="str">
            <v>Cruceta Angular Metalica Con Silla 1,8 m</v>
          </cell>
        </row>
        <row r="639">
          <cell r="C639" t="str">
            <v>Cruceta Angular Metalica Con Silla 2,4 m</v>
          </cell>
        </row>
        <row r="640">
          <cell r="C640" t="str">
            <v>cruceta de hierro de 5/16 x 21/2 x 6 M</v>
          </cell>
        </row>
        <row r="641">
          <cell r="C641" t="str">
            <v>Cruceta De Madera Con Bounder De 1,8m</v>
          </cell>
        </row>
        <row r="642">
          <cell r="C642" t="str">
            <v>Cruceta De Madera Con Bounder De 2,4m</v>
          </cell>
        </row>
        <row r="643">
          <cell r="C643" t="str">
            <v>Cruceta De Madera De 4"x4"x2,4 mts.</v>
          </cell>
        </row>
        <row r="644">
          <cell r="C644" t="str">
            <v>cubre luz galvanizado en caliente de 20 cm de ancho util MECANO Referencia: CL AG20</v>
          </cell>
        </row>
        <row r="645">
          <cell r="C645" t="str">
            <v>Cuerda De 5/8 Nylon Driza (50m)</v>
          </cell>
        </row>
        <row r="646">
          <cell r="C646" t="str">
            <v>Curador</v>
          </cell>
        </row>
        <row r="647">
          <cell r="C647" t="str">
            <v>Curva bandeja liv 20 cms liv</v>
          </cell>
        </row>
        <row r="648">
          <cell r="C648" t="str">
            <v>Curva Conduit PVC a 45°  De 1 1/2"</v>
          </cell>
        </row>
        <row r="649">
          <cell r="C649" t="str">
            <v>Curva Conduit PVC a 45°  De 1"</v>
          </cell>
        </row>
        <row r="650">
          <cell r="C650" t="str">
            <v>Curva Conduit PVC a 45°  De 2"</v>
          </cell>
        </row>
        <row r="651">
          <cell r="C651" t="str">
            <v>Curva Conduit PVC a 90°  De 1 1/2"</v>
          </cell>
        </row>
        <row r="652">
          <cell r="C652" t="str">
            <v>Curva Conduit PVCa 90°  De 1"</v>
          </cell>
        </row>
        <row r="653">
          <cell r="C653" t="str">
            <v>Curva Conduit PVC a 90°  De 2"</v>
          </cell>
        </row>
        <row r="654">
          <cell r="C654" t="str">
            <v>Curva Conduit Galv. (IMC) 1 1/2"</v>
          </cell>
        </row>
        <row r="655">
          <cell r="C655" t="str">
            <v>Curva Conduit Galv. (IMC) 1"</v>
          </cell>
        </row>
        <row r="656">
          <cell r="C656" t="str">
            <v>Curva Conduit Galv. (IMC) 1/2"</v>
          </cell>
        </row>
        <row r="657">
          <cell r="C657" t="str">
            <v>Curva Conduit Galv. (IMC) 2"</v>
          </cell>
        </row>
        <row r="658">
          <cell r="C658" t="str">
            <v>Curva Conduit Galv. (IMC) 3"</v>
          </cell>
        </row>
        <row r="659">
          <cell r="C659" t="str">
            <v>Curva Conduit Galv. (IMC) 3/4"</v>
          </cell>
        </row>
        <row r="660">
          <cell r="C660" t="str">
            <v>Curva Conduit Galv. (RIDGID) 1 1/2"</v>
          </cell>
        </row>
        <row r="661">
          <cell r="C661" t="str">
            <v>Curva Conduit Galv. (RIDGID) 1 1/4"</v>
          </cell>
        </row>
        <row r="662">
          <cell r="C662" t="str">
            <v>Curva Conduit Galv. (RIDGID) 1"</v>
          </cell>
        </row>
        <row r="663">
          <cell r="C663" t="str">
            <v>Curva Conduit Galv. (RIDGID) 1/2"</v>
          </cell>
        </row>
        <row r="664">
          <cell r="C664" t="str">
            <v>Curva Conduit Galv. (RIDGID) 2"</v>
          </cell>
        </row>
        <row r="665">
          <cell r="C665" t="str">
            <v>Curva Conduit Galv. (RIDGID) 3"</v>
          </cell>
        </row>
        <row r="666">
          <cell r="C666" t="str">
            <v>Curva Conduit Galv. (RIDGID) 3/4"</v>
          </cell>
        </row>
        <row r="667">
          <cell r="C667" t="str">
            <v>Curva Conduit Galv. (RIDGID) 4"</v>
          </cell>
        </row>
        <row r="668">
          <cell r="C668" t="str">
            <v>Curva Conduit PVC a 45 De 3/4"</v>
          </cell>
        </row>
        <row r="669">
          <cell r="C669" t="str">
            <v>Curva Conduit PVC a 90 De 3/4"</v>
          </cell>
        </row>
        <row r="670">
          <cell r="C670" t="str">
            <v>Curva Conduit PVC De 1/2"</v>
          </cell>
        </row>
        <row r="671">
          <cell r="C671" t="str">
            <v>Curva Conduit PVC De 3"</v>
          </cell>
        </row>
        <row r="672">
          <cell r="C672" t="str">
            <v>Curva Conduit PVC De 4"</v>
          </cell>
        </row>
        <row r="673">
          <cell r="C673" t="str">
            <v>Curva EMT de 1</v>
          </cell>
        </row>
        <row r="674">
          <cell r="C674" t="str">
            <v>Curva EMT de 1 1/4</v>
          </cell>
        </row>
        <row r="675">
          <cell r="C675" t="str">
            <v>Curva EMT de 1/2</v>
          </cell>
        </row>
        <row r="676">
          <cell r="C676" t="str">
            <v>Curva EMT de 1-1/2</v>
          </cell>
        </row>
        <row r="677">
          <cell r="C677" t="str">
            <v>Curva EMT de 2</v>
          </cell>
        </row>
        <row r="678">
          <cell r="C678" t="str">
            <v>Curva EMT de 3</v>
          </cell>
        </row>
        <row r="679">
          <cell r="C679" t="str">
            <v>Curva EMT de 3/4</v>
          </cell>
        </row>
        <row r="680">
          <cell r="C680" t="str">
            <v>Curva horizontal de 10x8 C22 TA</v>
          </cell>
        </row>
        <row r="681">
          <cell r="C681" t="str">
            <v>Curva horizontal de 20x8 C22 TA</v>
          </cell>
        </row>
        <row r="682">
          <cell r="C682" t="str">
            <v>Curva horizontal de 30x8 C22 TA</v>
          </cell>
        </row>
        <row r="683">
          <cell r="C683" t="str">
            <v>Curva Para Bandeja Horizontal  en 90º 20</v>
          </cell>
        </row>
        <row r="684">
          <cell r="C684" t="str">
            <v>Curva Para Bandeja Horizontal en 90º 10</v>
          </cell>
        </row>
        <row r="685">
          <cell r="C685" t="str">
            <v>Curva Para Bandeja Horizontal en 90º 30</v>
          </cell>
        </row>
        <row r="686">
          <cell r="C686" t="str">
            <v>Curva Para Bandeja Horizontal en 90º 40</v>
          </cell>
        </row>
        <row r="687">
          <cell r="C687" t="str">
            <v>Curva Para Bandeja Vertical en 90º 10</v>
          </cell>
        </row>
        <row r="688">
          <cell r="C688" t="str">
            <v>Curva Para Bandeja Vertical en 90º 20</v>
          </cell>
        </row>
        <row r="689">
          <cell r="C689" t="str">
            <v>Curva Para Bandeja Vertical en 90º 30</v>
          </cell>
        </row>
        <row r="690">
          <cell r="C690" t="str">
            <v>Curva Para Bandeja Vertical en 90º 40</v>
          </cell>
        </row>
        <row r="691">
          <cell r="C691" t="str">
            <v>Descargo Electricaribe</v>
          </cell>
        </row>
        <row r="692">
          <cell r="C692" t="str">
            <v>Diseños Electricos</v>
          </cell>
        </row>
        <row r="693">
          <cell r="C693" t="str">
            <v>DPS 12kv</v>
          </cell>
        </row>
        <row r="694">
          <cell r="C694" t="str">
            <v>DPS 7 modos 47120</v>
          </cell>
        </row>
        <row r="695">
          <cell r="C695" t="str">
            <v>DPS tipo panel ref 52120  4H + T  4 MODOS</v>
          </cell>
        </row>
        <row r="696">
          <cell r="C696" t="str">
            <v>Ducto canal con division 12x5x240 c/pintura electr</v>
          </cell>
        </row>
        <row r="697">
          <cell r="C697" t="str">
            <v xml:space="preserve">Enclavamiento mecanico LAD911502 </v>
          </cell>
        </row>
        <row r="698">
          <cell r="C698" t="str">
            <v>Espaciador de 1/2" x 10 LG</v>
          </cell>
        </row>
        <row r="699">
          <cell r="C699" t="str">
            <v>Esparrago 5/8x24</v>
          </cell>
        </row>
        <row r="700">
          <cell r="C700" t="str">
            <v>Espigo corto line post</v>
          </cell>
        </row>
        <row r="701">
          <cell r="C701" t="str">
            <v xml:space="preserve">Espiral para proteccion de cables </v>
          </cell>
        </row>
        <row r="702">
          <cell r="C702" t="str">
            <v>Estuco De Sika</v>
          </cell>
        </row>
        <row r="703">
          <cell r="C703" t="str">
            <v>Estudio de Conexion y Factibilidad</v>
          </cell>
        </row>
        <row r="704">
          <cell r="C704" t="str">
            <v>Estudio para SPT</v>
          </cell>
        </row>
        <row r="705">
          <cell r="C705" t="str">
            <v>Extractor de aire 6" Mit 0209</v>
          </cell>
        </row>
        <row r="706">
          <cell r="C706" t="str">
            <v>Face Plate con conector coaxial</v>
          </cell>
        </row>
        <row r="707">
          <cell r="C707" t="str">
            <v>Face Plate Siemons.10GMX-FPS04-02B</v>
          </cell>
        </row>
        <row r="708">
          <cell r="C708" t="str">
            <v>FACEPLATE 10G MAX 2 PTO VERTICAL BLANCO B</v>
          </cell>
        </row>
        <row r="709">
          <cell r="C709" t="str">
            <v>FACEPLATE 10G MAX 4 PTO HORIZONTAL BLANCO</v>
          </cell>
        </row>
        <row r="710">
          <cell r="C710" t="str">
            <v>FACEPLATE MAX 2 PTO VERTICAL BLANCO B</v>
          </cell>
        </row>
        <row r="711">
          <cell r="C711" t="str">
            <v>FACEPLATE MAX 4 PTO VERTICAL BLANCO B</v>
          </cell>
        </row>
        <row r="712">
          <cell r="C712" t="str">
            <v>Favigel</v>
          </cell>
        </row>
        <row r="713">
          <cell r="C713" t="str">
            <v>Fibra</v>
          </cell>
        </row>
        <row r="714">
          <cell r="C714" t="str">
            <v xml:space="preserve">Flexi Conduit Liquid Tight De 1 1/2" </v>
          </cell>
        </row>
        <row r="715">
          <cell r="C715" t="str">
            <v xml:space="preserve">Flexi Conduit Liquid Tight De 1" </v>
          </cell>
        </row>
        <row r="716">
          <cell r="C716" t="str">
            <v xml:space="preserve">Flexi Conduit Liquid Tight De 1/2" </v>
          </cell>
        </row>
        <row r="717">
          <cell r="C717" t="str">
            <v xml:space="preserve">Flexi Conduit Liquid Tight De 2" </v>
          </cell>
        </row>
        <row r="718">
          <cell r="C718" t="str">
            <v xml:space="preserve">Flexi Conduit Liquid Tight De 3" </v>
          </cell>
        </row>
        <row r="719">
          <cell r="C719" t="str">
            <v xml:space="preserve">Flexi Conduit Liquid Tight De 3/4" </v>
          </cell>
        </row>
        <row r="720">
          <cell r="C720" t="str">
            <v>Flotador tipo sapito plastico</v>
          </cell>
        </row>
        <row r="721">
          <cell r="C721" t="str">
            <v>Formaleta En Madera</v>
          </cell>
        </row>
        <row r="722">
          <cell r="C722" t="str">
            <v>Fotocelda  220v</v>
          </cell>
        </row>
        <row r="723">
          <cell r="C723" t="str">
            <v xml:space="preserve">Fotocelda para 480 V </v>
          </cell>
        </row>
        <row r="724">
          <cell r="C724" t="str">
            <v>Freno para borna</v>
          </cell>
        </row>
        <row r="725">
          <cell r="C725" t="str">
            <v>Fusible 1 A</v>
          </cell>
        </row>
        <row r="726">
          <cell r="C726" t="str">
            <v>fusible 2A</v>
          </cell>
        </row>
        <row r="727">
          <cell r="C727" t="str">
            <v>fusible 5A</v>
          </cell>
        </row>
        <row r="728">
          <cell r="C728" t="str">
            <v>fusible 7A</v>
          </cell>
        </row>
        <row r="729">
          <cell r="C729" t="str">
            <v>fusible 10A</v>
          </cell>
        </row>
        <row r="730">
          <cell r="C730" t="str">
            <v>fusible 20A</v>
          </cell>
        </row>
        <row r="731">
          <cell r="C731" t="str">
            <v>fusible 15 amp</v>
          </cell>
        </row>
        <row r="732">
          <cell r="C732" t="str">
            <v>Fusible 200 A</v>
          </cell>
        </row>
        <row r="733">
          <cell r="C733" t="str">
            <v>Fusible Tipo HH de 32 Amp</v>
          </cell>
        </row>
        <row r="734">
          <cell r="C734" t="str">
            <v>Fusible Tipo HH de 63 Amp</v>
          </cell>
        </row>
        <row r="735">
          <cell r="C735" t="str">
            <v xml:space="preserve">Granito </v>
          </cell>
        </row>
        <row r="736">
          <cell r="C736" t="str">
            <v>Grapa doble ala o uña de 1/2</v>
          </cell>
        </row>
        <row r="737">
          <cell r="C737" t="str">
            <v>Grapa doble ala o uña de 3/4</v>
          </cell>
        </row>
        <row r="738">
          <cell r="C738" t="str">
            <v>Grapa doble ala o uña de 1</v>
          </cell>
        </row>
        <row r="739">
          <cell r="C739" t="str">
            <v>Grapa doble ala o uña de 2</v>
          </cell>
        </row>
        <row r="740">
          <cell r="C740" t="str">
            <v>Grapa 1 1/2 acero inoxidable</v>
          </cell>
        </row>
        <row r="741">
          <cell r="C741" t="str">
            <v>Grapa 1 1/2 FT AG112</v>
          </cell>
        </row>
        <row r="742">
          <cell r="C742" t="str">
            <v>Grapa 1 1/4  FT 2AG114N</v>
          </cell>
        </row>
        <row r="743">
          <cell r="C743" t="str">
            <v>Grapa 1 FT 2AG100N</v>
          </cell>
        </row>
        <row r="744">
          <cell r="C744" t="str">
            <v>Grapa 1" acero inoxidable</v>
          </cell>
        </row>
        <row r="745">
          <cell r="C745" t="str">
            <v>Grapa 1/2 FT 2AG012N</v>
          </cell>
        </row>
        <row r="746">
          <cell r="C746" t="str">
            <v>Grapa 2"</v>
          </cell>
        </row>
        <row r="747">
          <cell r="C747" t="str">
            <v>Grapa 3 FPAG300</v>
          </cell>
        </row>
        <row r="748">
          <cell r="C748" t="str">
            <v>Grapa 3" acero inoxidable</v>
          </cell>
        </row>
        <row r="749">
          <cell r="C749" t="str">
            <v>Grapa 3/4 FT 2AG034N</v>
          </cell>
        </row>
        <row r="750">
          <cell r="C750" t="str">
            <v>Grapa 3/4" acero inoxidable</v>
          </cell>
        </row>
        <row r="751">
          <cell r="C751" t="str">
            <v>Grapa 4"</v>
          </cell>
        </row>
        <row r="752">
          <cell r="C752" t="str">
            <v>grapa channel 1 1/4</v>
          </cell>
        </row>
        <row r="753">
          <cell r="C753" t="str">
            <v xml:space="preserve">grapa channel 1 </v>
          </cell>
        </row>
        <row r="754">
          <cell r="C754" t="str">
            <v>grapa channel 3/4</v>
          </cell>
        </row>
        <row r="755">
          <cell r="C755" t="str">
            <v>Grapa De 3 Pernos (1/2" 3/8 X 1½ X 6")</v>
          </cell>
        </row>
        <row r="756">
          <cell r="C756" t="str">
            <v>Grapa De 3 Pernos (3/8" X 2" X 6")</v>
          </cell>
        </row>
        <row r="757">
          <cell r="C757" t="str">
            <v>Grapa De Retencion</v>
          </cell>
        </row>
        <row r="758">
          <cell r="C758" t="str">
            <v>Grapa De Suspension Para Cable 556,5 MCM</v>
          </cell>
        </row>
        <row r="759">
          <cell r="C759" t="str">
            <v>Grapa De Uña De 3/8</v>
          </cell>
        </row>
        <row r="760">
          <cell r="C760" t="str">
            <v>Grapa en S.S. 304 CAL 16 Con Tornillo Hexagonal para Tubo 11/2"</v>
          </cell>
        </row>
        <row r="761">
          <cell r="C761" t="str">
            <v>Grapa en S.S. 304 CAL 16 Con Tornillo Hexagonal para Tubo 2"</v>
          </cell>
        </row>
        <row r="762">
          <cell r="C762" t="str">
            <v>Grapa en S.S. 304 CAL 16 Con Tornillo Hexagonal para Tubo 3/4"</v>
          </cell>
        </row>
        <row r="763">
          <cell r="C763" t="str">
            <v>Grapa o abrazadera de 1/2"</v>
          </cell>
        </row>
        <row r="764">
          <cell r="C764" t="str">
            <v>Grapa o abrazadera de 3/4"</v>
          </cell>
        </row>
        <row r="765">
          <cell r="C765" t="str">
            <v xml:space="preserve">Grapa retención y suspensión red trenzada  </v>
          </cell>
        </row>
        <row r="766">
          <cell r="C766" t="str">
            <v>Grapas De Retension Tipo Pistola En AL  3U</v>
          </cell>
        </row>
        <row r="767">
          <cell r="C767" t="str">
            <v>Grapas De Retension Tipo Pistola En AL  4U</v>
          </cell>
        </row>
        <row r="768">
          <cell r="C768" t="str">
            <v>Grapas De Retension Tipo Pistola En AL 2U</v>
          </cell>
        </row>
        <row r="769">
          <cell r="C769" t="str">
            <v>Guantes De Alta (1)</v>
          </cell>
        </row>
        <row r="770">
          <cell r="C770" t="str">
            <v>Guarda Cabo (Para Retenida De 5/8" Tipo Pesado)</v>
          </cell>
        </row>
        <row r="771">
          <cell r="C771" t="str">
            <v>Guardamotor GV2-ME03/10</v>
          </cell>
        </row>
        <row r="772">
          <cell r="C772" t="str">
            <v>Guardamotor GV2-ME14/20</v>
          </cell>
        </row>
        <row r="773">
          <cell r="C773" t="str">
            <v>Guardamotor GV2-ME21/32</v>
          </cell>
        </row>
        <row r="774">
          <cell r="C774" t="str">
            <v>Guaya galv de 1/8"</v>
          </cell>
        </row>
        <row r="775">
          <cell r="C775" t="str">
            <v>Guaya galv de 3/16"</v>
          </cell>
        </row>
        <row r="776">
          <cell r="C776" t="str">
            <v>Hebilla Para Bandit</v>
          </cell>
        </row>
        <row r="777">
          <cell r="C777" t="str">
            <v>Herraje Para Patch Panel 24 Port.Siemons</v>
          </cell>
        </row>
        <row r="778">
          <cell r="C778" t="str">
            <v>HERRAJE PATCH PANEL 48 PTS.ANGULADO</v>
          </cell>
        </row>
        <row r="779">
          <cell r="C779" t="str">
            <v>HERRAJE PATCH PANEL 48 PTS.MAX</v>
          </cell>
        </row>
        <row r="780">
          <cell r="C780" t="str">
            <v>Hidrosolta 10kg</v>
          </cell>
        </row>
        <row r="781">
          <cell r="C781" t="str">
            <v>Hub De 1 1/2"</v>
          </cell>
        </row>
        <row r="782">
          <cell r="C782" t="str">
            <v>Hub De 1"</v>
          </cell>
        </row>
        <row r="783">
          <cell r="C783" t="str">
            <v>Hub De 1/2"</v>
          </cell>
        </row>
        <row r="784">
          <cell r="C784" t="str">
            <v>Hub De 2"</v>
          </cell>
        </row>
        <row r="785">
          <cell r="C785" t="str">
            <v>Hub De 3"</v>
          </cell>
        </row>
        <row r="786">
          <cell r="C786" t="str">
            <v>Hub De 3/4"</v>
          </cell>
        </row>
        <row r="787">
          <cell r="C787" t="str">
            <v>Hub De 4"</v>
          </cell>
        </row>
        <row r="788">
          <cell r="C788" t="str">
            <v>Interrup Bipolar C60N Merlin Gerin 1 - 4A</v>
          </cell>
        </row>
        <row r="789">
          <cell r="C789" t="str">
            <v>Interrup Bipolar C60N Merlin Gerin 40A</v>
          </cell>
        </row>
        <row r="790">
          <cell r="C790" t="str">
            <v>Interrup Bipolar C60N Merlin Gerin 50A</v>
          </cell>
        </row>
        <row r="791">
          <cell r="C791" t="str">
            <v>Interrup Bipolar C60N Merlin Gerin 6 - 32A</v>
          </cell>
        </row>
        <row r="792">
          <cell r="C792" t="str">
            <v>Interrup Bipolar C60N Merlin Gerin 63A</v>
          </cell>
        </row>
        <row r="793">
          <cell r="C793" t="str">
            <v>Interrup Bipolar THQL 15 - 30 A</v>
          </cell>
        </row>
        <row r="794">
          <cell r="C794" t="str">
            <v>Interrup bipolar THQL 15 - 30 A  GFI</v>
          </cell>
        </row>
        <row r="795">
          <cell r="C795" t="str">
            <v>Interrup Bipolar THQL 40 - 60 A</v>
          </cell>
        </row>
        <row r="796">
          <cell r="C796" t="str">
            <v>Interrup bipolar THQL 40 A  GFI</v>
          </cell>
        </row>
        <row r="797">
          <cell r="C797" t="str">
            <v>Interrup Bipolar THQL 70- 100 A</v>
          </cell>
        </row>
        <row r="798">
          <cell r="C798" t="str">
            <v>Interrup Monopo C60N Merlin Gerin 40 - 63A</v>
          </cell>
        </row>
        <row r="799">
          <cell r="C799" t="str">
            <v>Interrup Monopo C60N Merlin Gerin 6 - 32A</v>
          </cell>
        </row>
        <row r="800">
          <cell r="C800" t="str">
            <v>Interrup monopolar THQL 15 - 20 A  GFI</v>
          </cell>
        </row>
        <row r="801">
          <cell r="C801" t="str">
            <v>Interrup Monopolar THQL 15-20A</v>
          </cell>
        </row>
        <row r="802">
          <cell r="C802" t="str">
            <v>Interrup Monopolar THQL 30A</v>
          </cell>
        </row>
        <row r="803">
          <cell r="C803" t="str">
            <v>Interrup Tripolar C60N Merlin Gerin 20A</v>
          </cell>
        </row>
        <row r="804">
          <cell r="C804" t="str">
            <v>Interrup Tripolar C60N Merlin Gerin 30A</v>
          </cell>
        </row>
        <row r="805">
          <cell r="C805" t="str">
            <v>Interrup Tripolar C60N Merlin Gerin 40A</v>
          </cell>
        </row>
        <row r="806">
          <cell r="C806" t="str">
            <v>Interrup Tripolar C60N Merlin Gerin 50A</v>
          </cell>
        </row>
        <row r="807">
          <cell r="C807" t="str">
            <v>Interrup Tripolar C60N Merlin Gerin 60A</v>
          </cell>
        </row>
        <row r="808">
          <cell r="C808" t="str">
            <v>Interrup Tripolar C60N Merlin Gerin 70A</v>
          </cell>
        </row>
        <row r="809">
          <cell r="C809" t="str">
            <v>Interrup Tripolar THQL 15 - 30 A</v>
          </cell>
        </row>
        <row r="810">
          <cell r="C810" t="str">
            <v>Interrup Tripolar THQL 40A</v>
          </cell>
        </row>
        <row r="811">
          <cell r="C811" t="str">
            <v>Interrup Tripolar THQL 50A</v>
          </cell>
        </row>
        <row r="812">
          <cell r="C812" t="str">
            <v>Interrup Tripolar THQL 60A</v>
          </cell>
        </row>
        <row r="813">
          <cell r="C813" t="str">
            <v>Interrup Tripolar THQL 70A</v>
          </cell>
        </row>
        <row r="814">
          <cell r="C814" t="str">
            <v>Interuptor bipolar vela</v>
          </cell>
        </row>
        <row r="815">
          <cell r="C815" t="str">
            <v>Interuptor boton ciego vela ref 681500</v>
          </cell>
        </row>
        <row r="816">
          <cell r="C816" t="str">
            <v xml:space="preserve">Interuptor con unidad disparo electronica ref 
33466 </v>
          </cell>
        </row>
        <row r="817">
          <cell r="C817" t="str">
            <v>Interuptor conmutable sencillo</v>
          </cell>
        </row>
        <row r="818">
          <cell r="C818" t="str">
            <v xml:space="preserve">Interuptor doble </v>
          </cell>
        </row>
        <row r="819">
          <cell r="C819" t="str">
            <v>Interuptor Doble dekora c/luz piloto 1754 LW</v>
          </cell>
        </row>
        <row r="820">
          <cell r="C820" t="str">
            <v>Interuptor Doble Levinton</v>
          </cell>
        </row>
        <row r="821">
          <cell r="C821" t="str">
            <v xml:space="preserve">Interuptor placa </v>
          </cell>
        </row>
        <row r="822">
          <cell r="C822" t="str">
            <v>Interuptor sencillo</v>
          </cell>
        </row>
        <row r="823">
          <cell r="C823" t="str">
            <v>Interuptor sencillo ambia conmutable luminex</v>
          </cell>
        </row>
        <row r="824">
          <cell r="C824" t="str">
            <v>Interuptor sencillo ambia luminex</v>
          </cell>
        </row>
        <row r="825">
          <cell r="C825" t="str">
            <v>Interuptor Sencillo dekora 5601 2W</v>
          </cell>
        </row>
        <row r="826">
          <cell r="C826" t="str">
            <v>Interuptor Sencillo dekora c/luz piloto 5613 W</v>
          </cell>
        </row>
        <row r="827">
          <cell r="C827" t="str">
            <v xml:space="preserve">Interuptor Sencillo dekora c/luz piloto conmutable </v>
          </cell>
        </row>
        <row r="828">
          <cell r="C828" t="str">
            <v>Interuptor Sencillo Levinton</v>
          </cell>
        </row>
        <row r="829">
          <cell r="C829" t="str">
            <v>Interuptor Sencillo Luminex modulo doble vela ref 681503</v>
          </cell>
        </row>
        <row r="830">
          <cell r="C830" t="str">
            <v>Interuptor Sencillo Luminex vela ref 681501</v>
          </cell>
        </row>
        <row r="831">
          <cell r="C831" t="str">
            <v xml:space="preserve">Interuptor triple </v>
          </cell>
        </row>
        <row r="832">
          <cell r="C832" t="str">
            <v>Interuptor triplex Luminex vela ref 681505</v>
          </cell>
        </row>
        <row r="833">
          <cell r="C833" t="str">
            <v>Interuptor vela (promedio)</v>
          </cell>
        </row>
        <row r="834">
          <cell r="C834" t="str">
            <v>JACK 6 MAX ANGUL. AZUL B</v>
          </cell>
        </row>
        <row r="835">
          <cell r="C835" t="str">
            <v>JACK 6 MAX ANGUL. BLANCO B</v>
          </cell>
        </row>
        <row r="836">
          <cell r="C836" t="str">
            <v>JACK 6 MAX ANGUL. ROJO B</v>
          </cell>
        </row>
        <row r="837">
          <cell r="C837" t="str">
            <v>JACK 6 MAX PLANO AZUL B</v>
          </cell>
        </row>
        <row r="838">
          <cell r="C838" t="str">
            <v>JACK 6 MAX PLANO BLANCO B</v>
          </cell>
        </row>
        <row r="839">
          <cell r="C839" t="str">
            <v>JACK 6 MAX PLANO NEGRO B</v>
          </cell>
        </row>
        <row r="840">
          <cell r="C840" t="str">
            <v>JACK 6 MAX PLANO ROJO B</v>
          </cell>
        </row>
        <row r="841">
          <cell r="C841" t="str">
            <v>Kit balasto de 250-400 W MH   CWA</v>
          </cell>
        </row>
        <row r="842">
          <cell r="C842" t="str">
            <v>Kit balasto de 250-400 W sodio CWA</v>
          </cell>
        </row>
        <row r="843">
          <cell r="C843" t="str">
            <v xml:space="preserve">Kit equipo de medicion </v>
          </cell>
        </row>
        <row r="844">
          <cell r="C844" t="str">
            <v>Ladrillo</v>
          </cell>
        </row>
        <row r="845">
          <cell r="C845" t="str">
            <v>Lamina alfajor 2,5 x 0,30 x 1,2 m</v>
          </cell>
        </row>
        <row r="846">
          <cell r="C846" t="str">
            <v>Lamina especular para lampara 2x32 con su soporte</v>
          </cell>
        </row>
        <row r="847">
          <cell r="C847" t="str">
            <v xml:space="preserve">Lamina y Angulo </v>
          </cell>
        </row>
        <row r="848">
          <cell r="C848" t="str">
            <v>limpiador removedor para PVC  1/4</v>
          </cell>
        </row>
        <row r="849">
          <cell r="C849" t="str">
            <v>Luminaria BC indulux methalide CWA 250-400 w c/bombilla</v>
          </cell>
        </row>
        <row r="850">
          <cell r="C850" t="str">
            <v>Luminaria BC indulux sodio CWA 150-400 w c/bombilla</v>
          </cell>
        </row>
        <row r="851">
          <cell r="C851" t="str">
            <v xml:space="preserve">Luminaria calima de  sodio  22OV  150-400 w c/bombilla </v>
          </cell>
        </row>
        <row r="852">
          <cell r="C852" t="str">
            <v xml:space="preserve">Luminaria calima de  sodio  CWA  150-400 w c/bombilla </v>
          </cell>
        </row>
        <row r="853">
          <cell r="C853" t="str">
            <v>Luminaria calima de methalhalide 220V  250-400w c/bombilla</v>
          </cell>
        </row>
        <row r="854">
          <cell r="C854" t="str">
            <v>Luminaria de 2x32 incrustar con lamina especular</v>
          </cell>
        </row>
        <row r="855">
          <cell r="C855" t="str">
            <v>Luminaria de emergencia 2x20 W  hubbell</v>
          </cell>
        </row>
        <row r="856">
          <cell r="C856" t="str">
            <v>Luminaria de emergencia 2x5,8 W  ref
ELM-2  2x5,8W SD lithonia</v>
          </cell>
        </row>
        <row r="857">
          <cell r="C857" t="str">
            <v>luminaria de sodio 250W tipo alumbrado publico</v>
          </cell>
        </row>
        <row r="858">
          <cell r="C858" t="str">
            <v>Luminaria decorativa DJK MH 175 W</v>
          </cell>
        </row>
        <row r="859">
          <cell r="C859" t="str">
            <v>Luminaria decorativa DJK sodio 70 W</v>
          </cell>
        </row>
        <row r="860">
          <cell r="C860" t="str">
            <v>Luminaria explosion proof de 2x32 iluram</v>
          </cell>
        </row>
        <row r="861">
          <cell r="C861" t="str">
            <v>Luminaria Fluorescente 2x32 Cerrada En Policarbonato IP65</v>
          </cell>
        </row>
        <row r="862">
          <cell r="C862" t="str">
            <v>Luminaria fluorescente 4x17 T-8 empotrar balasto electronico</v>
          </cell>
        </row>
        <row r="863">
          <cell r="C863" t="str">
            <v>Luminaria fluorescente 4x17 T-8 empotrar balasto electronico emergencia</v>
          </cell>
        </row>
        <row r="864">
          <cell r="C864" t="str">
            <v xml:space="preserve">Luminaria fluorescente cerrada IP-65 de 2x17 </v>
          </cell>
        </row>
        <row r="865">
          <cell r="C865" t="str">
            <v>LUMINARIA FLUORECENTE DE 2X54 ip-65</v>
          </cell>
        </row>
        <row r="866">
          <cell r="C866" t="str">
            <v>LUMINARIA FLUORECENTE DE 2X32</v>
          </cell>
        </row>
        <row r="867">
          <cell r="C867" t="str">
            <v xml:space="preserve">LUMINARIA FLUORECENTE DE 2X32 FONDO BLANCO </v>
          </cell>
        </row>
        <row r="868">
          <cell r="C868" t="str">
            <v xml:space="preserve">LUMINARIA FLUORECENTE DE 2X32 CON REJILLA </v>
          </cell>
        </row>
        <row r="869">
          <cell r="C869" t="str">
            <v>luminarias Salidas de seguridad</v>
          </cell>
        </row>
        <row r="870">
          <cell r="C870" t="str">
            <v>Luminaria de Emergencia Mickey Mouse</v>
          </cell>
        </row>
        <row r="871">
          <cell r="C871" t="str">
            <v xml:space="preserve">Luminaria horizontal cerrada con vidrio curvo de vapor de sodio alta presion fotocelda incorporada, 250W/220V </v>
          </cell>
        </row>
        <row r="872">
          <cell r="C872" t="str">
            <v xml:space="preserve">Luminaria horizontal cerrada con vidrio curvo de vapor de sodio alta presion fotocelda incorporada, 70W/220V </v>
          </cell>
        </row>
        <row r="873">
          <cell r="C873" t="str">
            <v>LUMINARIA SCHREDER ONYX-1 1097 FH SODIO 150W 208/220V S.P. B.F.C.</v>
          </cell>
        </row>
        <row r="874">
          <cell r="C874" t="str">
            <v>LUMINARIA SCHREDER ONYX-1 1097 FH SODIO 250W 208/220V S.P. B.F.C. s/A-R-H-+ 2 FUS MARCADA AP BGA</v>
          </cell>
        </row>
        <row r="875">
          <cell r="C875" t="str">
            <v xml:space="preserve">Luminaria TE 400S E17S 480 HA DF LCPP PPH SCK LPI SBY </v>
          </cell>
        </row>
        <row r="876">
          <cell r="C876" t="str">
            <v>Luminaria tipo aplique con bombillo ahorrador 20 W con carcaza plastica y reflector en viidrio opal</v>
          </cell>
        </row>
        <row r="877">
          <cell r="C877" t="str">
            <v>Luminaria Tipo Wall Pack  MH 175 W</v>
          </cell>
        </row>
        <row r="878">
          <cell r="C878" t="str">
            <v>Luminaria Tipo Wall Pack  SODIO 150 W</v>
          </cell>
        </row>
        <row r="879">
          <cell r="C879" t="str">
            <v>Luminaria Tipo Wall Pack Sodio 70 W</v>
          </cell>
        </row>
        <row r="880">
          <cell r="C880" t="str">
            <v>Malla Galvanizada</v>
          </cell>
        </row>
        <row r="881">
          <cell r="C881" t="str">
            <v xml:space="preserve">Mantenimiento trafo 112,5 KVA </v>
          </cell>
        </row>
        <row r="882">
          <cell r="C882" t="str">
            <v xml:space="preserve">Mantenimiento trafo 25 KVA </v>
          </cell>
        </row>
        <row r="883">
          <cell r="C883" t="str">
            <v xml:space="preserve">Mantenimiento trafo 75 KVA </v>
          </cell>
        </row>
        <row r="884">
          <cell r="C884" t="str">
            <v>Marcador tipo boligrafo</v>
          </cell>
        </row>
        <row r="885">
          <cell r="C885" t="str">
            <v>Marquilla para marcacion interna</v>
          </cell>
        </row>
        <row r="886">
          <cell r="C886" t="str">
            <v>Marquilla punto de bloqueo</v>
          </cell>
        </row>
        <row r="887">
          <cell r="C887" t="str">
            <v>Marquillas en acrílico 10*5, 12*6, 14*7</v>
          </cell>
        </row>
        <row r="888">
          <cell r="C888" t="str">
            <v>Marquillas en acrílico 4*2, 6*3, 8*4</v>
          </cell>
        </row>
        <row r="889">
          <cell r="C889" t="str">
            <v>Marquillas tipo anillo dexson o similar</v>
          </cell>
        </row>
        <row r="890">
          <cell r="C890" t="str">
            <v>Material Seleccionado</v>
          </cell>
        </row>
        <row r="891">
          <cell r="C891" t="str">
            <v>Medidor digital DM 6000</v>
          </cell>
        </row>
        <row r="892">
          <cell r="C892" t="str">
            <v>Medidor Trifilar 2 x 120/208V 15-100 A</v>
          </cell>
        </row>
        <row r="893">
          <cell r="C893" t="str">
            <v>Mini interuptor mono multi 9 de 6 amps</v>
          </cell>
        </row>
        <row r="894">
          <cell r="C894" t="str">
            <v>Mini Split 12000 BTU</v>
          </cell>
        </row>
        <row r="895">
          <cell r="C895" t="str">
            <v>Modem de comunicaciones</v>
          </cell>
        </row>
        <row r="896">
          <cell r="C896" t="str">
            <v>Muerto De Concreto Para Retenida</v>
          </cell>
        </row>
        <row r="897">
          <cell r="C897" t="str">
            <v>Multimetro analizador DMK 32 c/software</v>
          </cell>
        </row>
        <row r="898">
          <cell r="C898" t="str">
            <v>Ocho De Seguridad (1)</v>
          </cell>
        </row>
        <row r="899">
          <cell r="C899" t="str">
            <v>Outlet (Toma) Siemons.10GMX-FS</v>
          </cell>
        </row>
        <row r="900">
          <cell r="C900" t="str">
            <v>P/CORD CAT. 6 1.5M AZUL  B</v>
          </cell>
        </row>
        <row r="901">
          <cell r="C901" t="str">
            <v>P/CORD CAT. 6 1.5M GRIS B</v>
          </cell>
        </row>
        <row r="902">
          <cell r="C902" t="str">
            <v>P/CORD CAT. 6 1.5M ROJO B</v>
          </cell>
        </row>
        <row r="903">
          <cell r="C903" t="str">
            <v>P/CORD CAT. 6 1M AZUL B</v>
          </cell>
        </row>
        <row r="904">
          <cell r="C904" t="str">
            <v>P/CORD CAT. 6 1M GRIS B</v>
          </cell>
        </row>
        <row r="905">
          <cell r="C905" t="str">
            <v>P/CORD CAT. 6 1M ROJO B</v>
          </cell>
        </row>
        <row r="906">
          <cell r="C906" t="str">
            <v>P/CORD CAT. 6 2M AZUL B</v>
          </cell>
        </row>
        <row r="907">
          <cell r="C907" t="str">
            <v>P/CORD CAT. 6 2M GRIS B</v>
          </cell>
        </row>
        <row r="908">
          <cell r="C908" t="str">
            <v>P/CORD CAT. 6 2M ROJO B</v>
          </cell>
        </row>
        <row r="909">
          <cell r="C909" t="str">
            <v>P/CORD CAT. 6 3M AZUL B</v>
          </cell>
        </row>
        <row r="910">
          <cell r="C910" t="str">
            <v>P/CORD CAT. 6 3M GRIS B</v>
          </cell>
        </row>
        <row r="911">
          <cell r="C911" t="str">
            <v>P/CORD CAT. 6 3M ROJO B</v>
          </cell>
        </row>
        <row r="912">
          <cell r="C912" t="str">
            <v>P/PANEL CAT 6 24PTO C/ORGANIZ</v>
          </cell>
        </row>
        <row r="913">
          <cell r="C913" t="str">
            <v>P/PANEL CAT 6 48PTS S/ORGANIZ</v>
          </cell>
        </row>
        <row r="914">
          <cell r="C914" t="str">
            <v>Pantalla para borna cable 10</v>
          </cell>
        </row>
        <row r="915">
          <cell r="C915" t="str">
            <v>Parada de emergencia y cabeza pulsador de hongo XB4BC42</v>
          </cell>
        </row>
        <row r="916">
          <cell r="C916" t="str">
            <v>Pararrayo 13,2 kv</v>
          </cell>
        </row>
        <row r="917">
          <cell r="C917" t="str">
            <v>Pararrayo 4160 v</v>
          </cell>
        </row>
        <row r="918">
          <cell r="C918" t="str">
            <v>Patch Cord de 1m</v>
          </cell>
        </row>
        <row r="919">
          <cell r="C919" t="str">
            <v>Patch Cord de 2m</v>
          </cell>
        </row>
        <row r="920">
          <cell r="C920" t="str">
            <v>Pegante PVC  1/4 gal</v>
          </cell>
        </row>
        <row r="921">
          <cell r="C921" t="str">
            <v>Pegante PVC  1/ 16 gal</v>
          </cell>
        </row>
        <row r="922">
          <cell r="C922" t="str">
            <v>Percha Galvanizada (Pesada) De Cuatro Puestos</v>
          </cell>
        </row>
        <row r="923">
          <cell r="C923" t="str">
            <v>Percha Galvanizada (Pesada) De Tres Puestos</v>
          </cell>
        </row>
        <row r="924">
          <cell r="C924" t="str">
            <v>Percha Galvanizada (Pesada) De Un Puesto</v>
          </cell>
        </row>
        <row r="925">
          <cell r="C925" t="str">
            <v xml:space="preserve">Perfil cal 16 en acero inoxidable </v>
          </cell>
        </row>
        <row r="926">
          <cell r="C926" t="str">
            <v>Perfil channel  2,4 m galv</v>
          </cell>
        </row>
        <row r="927">
          <cell r="C927" t="str">
            <v>Perfil channel de acero inoxidable 2,4 m</v>
          </cell>
        </row>
        <row r="928">
          <cell r="C928" t="str">
            <v>Perfil Mecano</v>
          </cell>
        </row>
        <row r="929">
          <cell r="C929" t="str">
            <v>Perfil omega</v>
          </cell>
        </row>
        <row r="930">
          <cell r="C930" t="str">
            <v>Perfil P1000 15/8"x15/8x CAL 16 x 235 LG</v>
          </cell>
        </row>
        <row r="931">
          <cell r="C931" t="str">
            <v>Perfil P1000 15/8"x15/8x CAL 16 x 400LG</v>
          </cell>
        </row>
        <row r="932">
          <cell r="C932" t="str">
            <v>Perfil X 100 LG</v>
          </cell>
        </row>
        <row r="933">
          <cell r="C933" t="str">
            <v>Perno carruaje 5/8x12"</v>
          </cell>
        </row>
        <row r="934">
          <cell r="C934" t="str">
            <v>Perno carruaje 5/8x6"</v>
          </cell>
        </row>
        <row r="935">
          <cell r="C935" t="str">
            <v>Perno carruaje ombligo 5/8x1 1/2</v>
          </cell>
        </row>
        <row r="936">
          <cell r="C936" t="str">
            <v>Perno de 1/2"  largo de 1/2 a 2" galv c/tuerca y arandela</v>
          </cell>
        </row>
        <row r="937">
          <cell r="C937" t="str">
            <v>Perno de 1/4"  largo de 1/2 a 2" galv c/tuerca y arandela</v>
          </cell>
        </row>
        <row r="938">
          <cell r="C938" t="str">
            <v>Perno de 3/8"  largo de 1/2 a 2" galv c/tuerca y arandela</v>
          </cell>
        </row>
        <row r="939">
          <cell r="C939" t="str">
            <v>Perno De Carruaje De 5/8" x 1 1/2"</v>
          </cell>
        </row>
        <row r="940">
          <cell r="C940" t="str">
            <v>Perno de expansion 1/2 x 3"</v>
          </cell>
        </row>
        <row r="941">
          <cell r="C941" t="str">
            <v>Perno de expansion 1/4"</v>
          </cell>
        </row>
        <row r="942">
          <cell r="C942" t="str">
            <v>Perno de expansion 3/8 x 2"</v>
          </cell>
        </row>
        <row r="943">
          <cell r="C943" t="str">
            <v>Perno de Expansion de 3/8" x 17/8"</v>
          </cell>
        </row>
        <row r="944">
          <cell r="C944" t="str">
            <v xml:space="preserve">Perno de Expansion Hembra 1/2" </v>
          </cell>
        </row>
        <row r="945">
          <cell r="C945" t="str">
            <v>Perno De Maquina 5/8 x 1 1/2</v>
          </cell>
        </row>
        <row r="946">
          <cell r="C946" t="str">
            <v>Perno De Maquina De 1/2" x 6"</v>
          </cell>
        </row>
        <row r="947">
          <cell r="C947" t="str">
            <v>Perno De Maquina De 5/8" x 12"</v>
          </cell>
        </row>
        <row r="948">
          <cell r="C948" t="str">
            <v>Perno De Ombligo 5/8 x 1 1/2</v>
          </cell>
        </row>
        <row r="949">
          <cell r="C949" t="str">
            <v>Pernos De Anclaje</v>
          </cell>
        </row>
        <row r="950">
          <cell r="C950" t="str">
            <v>Pernos De Expansion</v>
          </cell>
        </row>
        <row r="951">
          <cell r="C951" t="str">
            <v>Pernos de Ojo</v>
          </cell>
        </row>
        <row r="952">
          <cell r="C952" t="str">
            <v>Perro de 1/8</v>
          </cell>
        </row>
        <row r="953">
          <cell r="C953" t="str">
            <v>Perro de 3/16</v>
          </cell>
        </row>
        <row r="954">
          <cell r="C954" t="str">
            <v xml:space="preserve">Pèrtiga De Extension (1) </v>
          </cell>
        </row>
        <row r="955">
          <cell r="C955" t="str">
            <v>Piloto de señalizacion con led ref 9001KP40G-R-A-9 30 mm</v>
          </cell>
        </row>
        <row r="956">
          <cell r="C956" t="str">
            <v>Piloto de señalizacion con led ref XB4BVG3/4/5</v>
          </cell>
        </row>
        <row r="957">
          <cell r="C957" t="str">
            <v>Pin Para Aisladores</v>
          </cell>
        </row>
        <row r="958">
          <cell r="C958" t="str">
            <v>Pin Para Lines Post corto cruc metalic</v>
          </cell>
        </row>
        <row r="959">
          <cell r="C959" t="str">
            <v>Pin Para Lines Post largo cruc Madera</v>
          </cell>
        </row>
        <row r="960">
          <cell r="C960" t="str">
            <v>Pintura Acabado Poliuretano</v>
          </cell>
        </row>
        <row r="961">
          <cell r="C961" t="str">
            <v>Pintura Anticorrosiva</v>
          </cell>
        </row>
        <row r="962">
          <cell r="C962" t="str">
            <v>Pintura Anticorrosiva Atoxica Primer</v>
          </cell>
        </row>
        <row r="963">
          <cell r="C963" t="str">
            <v>Pintura De Acabado Pintucoat</v>
          </cell>
        </row>
        <row r="964">
          <cell r="C964" t="str">
            <v>Pintura Esnalte De Pintuco</v>
          </cell>
        </row>
        <row r="965">
          <cell r="C965" t="str">
            <v>Pintura Vinilo Pintulux De Pintuco</v>
          </cell>
        </row>
        <row r="966">
          <cell r="C966" t="str">
            <v>Platina conectora en L ref M21033 ; PLD2AG</v>
          </cell>
        </row>
        <row r="967">
          <cell r="C967" t="str">
            <v>Platina de cobre de 1 x 1/8</v>
          </cell>
        </row>
        <row r="968">
          <cell r="C968" t="str">
            <v>Platina Union Bandeja</v>
          </cell>
        </row>
        <row r="969">
          <cell r="C969" t="str">
            <v>Platina, Angulo de 11/0" X 3/16</v>
          </cell>
        </row>
        <row r="970">
          <cell r="C970" t="str">
            <v>Platinas para Asegurar Malla al Tubo</v>
          </cell>
        </row>
        <row r="971">
          <cell r="C971" t="str">
            <v>Polvo Mineral Rojo</v>
          </cell>
        </row>
        <row r="972">
          <cell r="C972" t="str">
            <v>Portacandado</v>
          </cell>
        </row>
        <row r="973">
          <cell r="C973" t="str">
            <v>Portalampara o soporte intemperie plastico</v>
          </cell>
        </row>
        <row r="974">
          <cell r="C974" t="str">
            <v>Poste de concreto APH=10m, CR=510 Kg</v>
          </cell>
        </row>
        <row r="975">
          <cell r="C975" t="str">
            <v>Poste de concreto APH=12m, CR=510 Kg</v>
          </cell>
        </row>
        <row r="976">
          <cell r="C976" t="str">
            <v>Poste de concreto APH=8m, CR=510 Kg</v>
          </cell>
        </row>
        <row r="977">
          <cell r="C977" t="str">
            <v>Poste en tuberia de 4 y 3</v>
          </cell>
        </row>
        <row r="978">
          <cell r="C978" t="str">
            <v>Postes De 10m de 1050kg</v>
          </cell>
        </row>
        <row r="979">
          <cell r="C979" t="str">
            <v>Postes De 10m de 750kg</v>
          </cell>
        </row>
        <row r="980">
          <cell r="C980" t="str">
            <v>Postes De 12m de 1050kg</v>
          </cell>
        </row>
        <row r="981">
          <cell r="C981" t="str">
            <v>Postes De 12m de 750kg</v>
          </cell>
        </row>
        <row r="982">
          <cell r="C982" t="str">
            <v>Postes De 14m de 1050kg</v>
          </cell>
        </row>
        <row r="983">
          <cell r="C983" t="str">
            <v>Postes De 14m de 750kg</v>
          </cell>
        </row>
        <row r="984">
          <cell r="C984" t="str">
            <v>Prensaestopa  13 mm cables 10 4PE21  3/4</v>
          </cell>
        </row>
        <row r="985">
          <cell r="C985" t="str">
            <v>Prensaestopa  9 mm cables 7 mm 3PE9 5/16</v>
          </cell>
        </row>
        <row r="986">
          <cell r="C986" t="str">
            <v>Prensaestopa 3/4"</v>
          </cell>
        </row>
        <row r="987">
          <cell r="C987" t="str">
            <v>Programador Horario Digital Semanal CCT15720</v>
          </cell>
        </row>
        <row r="988">
          <cell r="C988" t="str">
            <v>Protocolo de pruebas</v>
          </cell>
        </row>
        <row r="989">
          <cell r="C989" t="str">
            <v>PROYECTO SCHREDER NEOS 3 1709 400W N 208/220V S.P.MARCADO AP BGA + 2 FUS</v>
          </cell>
        </row>
        <row r="990">
          <cell r="C990" t="str">
            <v>Prueba de pararrayos</v>
          </cell>
        </row>
        <row r="991">
          <cell r="C991" t="str">
            <v>Pulsador arranque parada motor</v>
          </cell>
        </row>
        <row r="992">
          <cell r="C992" t="str">
            <v>Punta Franklin especial</v>
          </cell>
        </row>
        <row r="993">
          <cell r="C993" t="str">
            <v xml:space="preserve">Punta Franklin sencilla </v>
          </cell>
        </row>
        <row r="994">
          <cell r="C994" t="str">
            <v>Puntilla</v>
          </cell>
        </row>
        <row r="995">
          <cell r="C995" t="str">
            <v>Rack Manejador de 19"</v>
          </cell>
        </row>
        <row r="996">
          <cell r="C996" t="str">
            <v>Reducción 2 1/2" x 2"</v>
          </cell>
        </row>
        <row r="997">
          <cell r="C997" t="str">
            <v>Reflector MH 400 w  277</v>
          </cell>
        </row>
        <row r="998">
          <cell r="C998" t="str">
            <v>Reflector MH 400 w 220 v reactor</v>
          </cell>
        </row>
        <row r="999">
          <cell r="C999" t="str">
            <v>Reflector MH 400 w 480 v reactor</v>
          </cell>
        </row>
        <row r="1000">
          <cell r="C1000" t="str">
            <v>Reflector Sodio 400 w  277</v>
          </cell>
        </row>
        <row r="1001">
          <cell r="C1001" t="str">
            <v>Reflector Sodio 400 w 220 v reactor</v>
          </cell>
        </row>
        <row r="1002">
          <cell r="C1002" t="str">
            <v>Reflector Sodio 400 w 480 v reactor</v>
          </cell>
        </row>
        <row r="1003">
          <cell r="C1003" t="str">
            <v>Reflector TFL 400W  SRA -2TBV CR LTI c/bombilla</v>
          </cell>
        </row>
        <row r="1004">
          <cell r="C1004" t="str">
            <v>Registro de concreto 0,30x0,30x0,4</v>
          </cell>
        </row>
        <row r="1005">
          <cell r="C1005" t="str">
            <v>Regleta</v>
          </cell>
        </row>
        <row r="1006">
          <cell r="C1006" t="str">
            <v>Regleta plastica 12 polos blanca 20A</v>
          </cell>
        </row>
        <row r="1007">
          <cell r="C1007" t="str">
            <v>Regulador factor potencia lovato ref LOV 0293</v>
          </cell>
        </row>
        <row r="1008">
          <cell r="C1008" t="str">
            <v>Regulador factor potencia varlogic ref 52448</v>
          </cell>
        </row>
        <row r="1009">
          <cell r="C1009" t="str">
            <v xml:space="preserve">Rele bloque de pruebas </v>
          </cell>
        </row>
        <row r="1010">
          <cell r="C1010" t="str">
            <v xml:space="preserve">Rele de 11 pines </v>
          </cell>
        </row>
        <row r="1011">
          <cell r="C1011" t="str">
            <v>Rele de tiempo electronico multirango on - off - delay, estr - triangulo</v>
          </cell>
        </row>
        <row r="1012">
          <cell r="C1012" t="str">
            <v>Rele monitor de fase RM35TF30</v>
          </cell>
        </row>
        <row r="1013">
          <cell r="C1013" t="str">
            <v>Retenida 3/8 (3 toneladas)</v>
          </cell>
        </row>
        <row r="1014">
          <cell r="C1014" t="str">
            <v>Riel Omega</v>
          </cell>
        </row>
        <row r="1015">
          <cell r="C1015" t="str">
            <v>Riostras</v>
          </cell>
        </row>
        <row r="1016">
          <cell r="C1016" t="str">
            <v>Secador de manos</v>
          </cell>
        </row>
        <row r="1017">
          <cell r="C1017" t="str">
            <v>Selector de dos posiciones</v>
          </cell>
        </row>
        <row r="1018">
          <cell r="C1018" t="str">
            <v>Selector de tres posiciones 9001KS43FBH13</v>
          </cell>
        </row>
        <row r="1019">
          <cell r="C1019" t="str">
            <v>Sello Cortafuego explosion proof 1 1/2"</v>
          </cell>
        </row>
        <row r="1020">
          <cell r="C1020" t="str">
            <v>Sello Cortafuego explosion proof 1"</v>
          </cell>
        </row>
        <row r="1021">
          <cell r="C1021" t="str">
            <v>Sello Cortafuego explosion proof 1/2"</v>
          </cell>
        </row>
        <row r="1022">
          <cell r="C1022" t="str">
            <v>Sello Cortafuego explosion proof 2"</v>
          </cell>
        </row>
        <row r="1023">
          <cell r="C1023" t="str">
            <v>Sello Cortafuego explosion proof 3/4"</v>
          </cell>
        </row>
        <row r="1024">
          <cell r="C1024" t="str">
            <v>Sikabond</v>
          </cell>
        </row>
        <row r="1025">
          <cell r="C1025" t="str">
            <v>Sikasil C (Silicona)</v>
          </cell>
        </row>
        <row r="1026">
          <cell r="C1026" t="str">
            <v>Sikatop 122</v>
          </cell>
        </row>
        <row r="1027">
          <cell r="C1027" t="str">
            <v>Silla Para Cruceta</v>
          </cell>
        </row>
        <row r="1028">
          <cell r="C1028" t="str">
            <v>Sirena a 110 V o 220 V</v>
          </cell>
        </row>
        <row r="1029">
          <cell r="C1029" t="str">
            <v>Socket para tubo fluorescente</v>
          </cell>
        </row>
        <row r="1030">
          <cell r="C1030" t="str">
            <v>Soldadura electrodos</v>
          </cell>
        </row>
        <row r="1031">
          <cell r="C1031" t="str">
            <v>Soldadura Exotérmica De 115 gr</v>
          </cell>
        </row>
        <row r="1032">
          <cell r="C1032" t="str">
            <v>Soldadura Exotérmica De 150 gr</v>
          </cell>
        </row>
        <row r="1033">
          <cell r="C1033" t="str">
            <v>Soldadura Exotérmica De 200 gr</v>
          </cell>
        </row>
        <row r="1034">
          <cell r="C1034" t="str">
            <v>Soldadura Exotérmica De 45 gr</v>
          </cell>
        </row>
        <row r="1035">
          <cell r="C1035" t="str">
            <v>Soldadura Exotérmica De 65 gr</v>
          </cell>
        </row>
        <row r="1036">
          <cell r="C1036" t="str">
            <v>Soldadura Exotérmica De 90 gr</v>
          </cell>
        </row>
        <row r="1037">
          <cell r="C1037" t="str">
            <v>Soporte para montar modulos seis espacios 4x4 vela ref 685098</v>
          </cell>
        </row>
        <row r="1038">
          <cell r="C1038" t="str">
            <v>Soporte para montar modulos tres espacios vela ref 681599</v>
          </cell>
        </row>
        <row r="1039">
          <cell r="C1039" t="str">
            <v>Soporte peldaño 20 cms</v>
          </cell>
        </row>
        <row r="1040">
          <cell r="C1040" t="str">
            <v>Soporte Tipo Repisa Galvanizada en Caliente</v>
          </cell>
        </row>
        <row r="1041">
          <cell r="C1041" t="str">
            <v>Suiche selector de manija negra 2 posiciones ref XB4BD21</v>
          </cell>
        </row>
        <row r="1042">
          <cell r="C1042" t="str">
            <v>Suiche selector de manija negra 3 posiciones ref XB4BD33</v>
          </cell>
        </row>
        <row r="1043">
          <cell r="C1043" t="str">
            <v>Sujetador de Bandeja</v>
          </cell>
        </row>
        <row r="1044">
          <cell r="C1044" t="str">
            <v>Sujetador de Bandeja Vertical</v>
          </cell>
        </row>
        <row r="1045">
          <cell r="C1045" t="str">
            <v>Suministro trasporte e instalación de red canalizada en cable concéntrico antifraude Cu 75 C° 3X1/0+1/0 AWG 600V (PE/PVC)</v>
          </cell>
        </row>
        <row r="1046">
          <cell r="C1046" t="str">
            <v>Suplemento para caja 4x4 galvanizada</v>
          </cell>
        </row>
        <row r="1047">
          <cell r="C1047" t="str">
            <v>Suplemento para caja 4x4 plastica</v>
          </cell>
        </row>
        <row r="1048">
          <cell r="C1048" t="str">
            <v>Suplemento para caja 4x4 radwelt</v>
          </cell>
        </row>
        <row r="1049">
          <cell r="C1049" t="str">
            <v>Tabla cepillada</v>
          </cell>
        </row>
        <row r="1050">
          <cell r="C1050" t="str">
            <v>Tablero general 2,20 x 1,9i0 x 0,60 cms</v>
          </cell>
        </row>
        <row r="1051">
          <cell r="C1051" t="str">
            <v>Tablero trifasico NTQ 412 con puerta</v>
          </cell>
        </row>
        <row r="1052">
          <cell r="C1052" t="str">
            <v>Tablero trifasico NTQ 418 con puerta</v>
          </cell>
        </row>
        <row r="1053">
          <cell r="C1053" t="str">
            <v>Tablero trifasico NTQ 424 con puerta</v>
          </cell>
        </row>
        <row r="1054">
          <cell r="C1054" t="str">
            <v>Tablero trifasico NTQ 430 con puerta</v>
          </cell>
        </row>
        <row r="1055">
          <cell r="C1055" t="str">
            <v>Tablero trifasico NTQ 436 con puerta</v>
          </cell>
        </row>
        <row r="1056">
          <cell r="C1056" t="str">
            <v>Tablero trifasico NTQ 442 con puerta</v>
          </cell>
        </row>
        <row r="1057">
          <cell r="C1057" t="str">
            <v>Tablero trifasico NTQ -T-12 circuitos con espacio para totalizador</v>
          </cell>
        </row>
        <row r="1058">
          <cell r="C1058" t="str">
            <v>Tablero trifasico NTQ -T-18 circuitos con espacio para totalizador</v>
          </cell>
        </row>
        <row r="1059">
          <cell r="C1059" t="str">
            <v>Tablero trifasico NTQ -T-24 circuitos con espacio para totalizador</v>
          </cell>
        </row>
        <row r="1060">
          <cell r="C1060" t="str">
            <v>Tablero trifasico NTQ -T-30 circuitos con espacio para totalizador</v>
          </cell>
        </row>
        <row r="1061">
          <cell r="C1061" t="str">
            <v>Tablero trifasico NTQ -T-36 circuitos con espacio para totalizador</v>
          </cell>
        </row>
        <row r="1062">
          <cell r="C1062" t="str">
            <v>Tablero trifasico NTQ -T-42 circuitos con espacio para totalizador</v>
          </cell>
        </row>
        <row r="1063">
          <cell r="C1063" t="str">
            <v xml:space="preserve">Tablon Vitrificado Formato 0,2 X 0,2 </v>
          </cell>
        </row>
        <row r="1064">
          <cell r="C1064" t="str">
            <v>Talicon</v>
          </cell>
        </row>
        <row r="1065">
          <cell r="C1065" t="str">
            <v>Tapa Ciega 2x4</v>
          </cell>
        </row>
        <row r="1066">
          <cell r="C1066" t="str">
            <v xml:space="preserve">Tapa Ciega Metalica 4x4 </v>
          </cell>
        </row>
        <row r="1067">
          <cell r="C1067" t="str">
            <v>TAPA CIEGA MX BLANCA 10UND</v>
          </cell>
        </row>
        <row r="1068">
          <cell r="C1068" t="str">
            <v xml:space="preserve">Tapa Ciega Octagonal </v>
          </cell>
        </row>
        <row r="1069">
          <cell r="C1069" t="str">
            <v>Tapa Ciega Octagonal radwelt</v>
          </cell>
        </row>
        <row r="1070">
          <cell r="C1070" t="str">
            <v>Tapa Interruptor Sencillo</v>
          </cell>
        </row>
        <row r="1071">
          <cell r="C1071" t="str">
            <v>Tapa metalica toma 20 A y 30 A</v>
          </cell>
        </row>
        <row r="1072">
          <cell r="C1072" t="str">
            <v>Tapa Para Bandeja 10</v>
          </cell>
        </row>
        <row r="1073">
          <cell r="C1073" t="str">
            <v>Tapa Para Bandeja 20</v>
          </cell>
        </row>
        <row r="1074">
          <cell r="C1074" t="str">
            <v>Tapa Para Bandeja 30</v>
          </cell>
        </row>
        <row r="1075">
          <cell r="C1075" t="str">
            <v>Tapa Para Bandeja 40</v>
          </cell>
        </row>
        <row r="1076">
          <cell r="C1076" t="str">
            <v>Tapa Para Bandeja en Cruce x 10</v>
          </cell>
        </row>
        <row r="1077">
          <cell r="C1077" t="str">
            <v>Tapa Para Bandeja en Cruce x 20</v>
          </cell>
        </row>
        <row r="1078">
          <cell r="C1078" t="str">
            <v>Tapa Para Bandeja en Cruce x 30</v>
          </cell>
        </row>
        <row r="1079">
          <cell r="C1079" t="str">
            <v>Tapa Para Bandeja en Cruce x 40</v>
          </cell>
        </row>
        <row r="1080">
          <cell r="C1080" t="str">
            <v>Tapa Para Bandeja en Curva Horizontal 90º  30</v>
          </cell>
        </row>
        <row r="1081">
          <cell r="C1081" t="str">
            <v>Tapa Para Bandeja en Curva Horizontal 90º 10</v>
          </cell>
        </row>
        <row r="1082">
          <cell r="C1082" t="str">
            <v>Tapa Para Bandeja en Curva Horizontal 90º 20</v>
          </cell>
        </row>
        <row r="1083">
          <cell r="C1083" t="str">
            <v>Tapa Para Bandeja en Curva Horizontal 90º 40</v>
          </cell>
        </row>
        <row r="1084">
          <cell r="C1084" t="str">
            <v>Tapa Para Bandeja en Curva Vertical 90º 10</v>
          </cell>
        </row>
        <row r="1085">
          <cell r="C1085" t="str">
            <v>Tapa Para Bandeja en Curva Vertical 90º 20</v>
          </cell>
        </row>
        <row r="1086">
          <cell r="C1086" t="str">
            <v>Tapa Para Bandeja en Curva Vertical 90º 30</v>
          </cell>
        </row>
        <row r="1087">
          <cell r="C1087" t="str">
            <v>Tapa Para Bandeja en Curva Vertical 90º 40</v>
          </cell>
        </row>
        <row r="1088">
          <cell r="C1088" t="str">
            <v xml:space="preserve">Tapa Para Bandeja en Te 10 </v>
          </cell>
        </row>
        <row r="1089">
          <cell r="C1089" t="str">
            <v>Tapa Para Bandeja en Te 20</v>
          </cell>
        </row>
        <row r="1090">
          <cell r="C1090" t="str">
            <v>Tapa Para Bandeja en Te 30</v>
          </cell>
        </row>
        <row r="1091">
          <cell r="C1091" t="str">
            <v>Tapa Para Bandeja en Te 40</v>
          </cell>
        </row>
        <row r="1092">
          <cell r="C1092" t="str">
            <v xml:space="preserve">Tapa Toma Doble </v>
          </cell>
        </row>
        <row r="1093">
          <cell r="C1093" t="str">
            <v>Tapa Toma Doble Seguridad Intemperie</v>
          </cell>
        </row>
        <row r="1094">
          <cell r="C1094" t="str">
            <v>Tapa Toma metalica locking ref 84020  20 y 30 A</v>
          </cell>
        </row>
        <row r="1095">
          <cell r="C1095" t="str">
            <v>Tapa Toma Trifilar</v>
          </cell>
        </row>
        <row r="1096">
          <cell r="C1096" t="str">
            <v>Tapa troquel 12x5 universal color almendra</v>
          </cell>
        </row>
        <row r="1097">
          <cell r="C1097" t="str">
            <v xml:space="preserve">Tapa troquel datos 11x5 </v>
          </cell>
        </row>
        <row r="1098">
          <cell r="C1098" t="str">
            <v xml:space="preserve">Tapa troquel datos doble 11x5 </v>
          </cell>
        </row>
        <row r="1099">
          <cell r="C1099" t="str">
            <v xml:space="preserve">Tapa troquel energia 11x5 </v>
          </cell>
        </row>
        <row r="1100">
          <cell r="C1100" t="str">
            <v xml:space="preserve">Tapa troquel universal doble 11x5 </v>
          </cell>
        </row>
        <row r="1101">
          <cell r="C1101" t="str">
            <v>Tapon de 1"</v>
          </cell>
        </row>
        <row r="1102">
          <cell r="C1102" t="str">
            <v>Tapon de 3" soldado PVC</v>
          </cell>
        </row>
        <row r="1103">
          <cell r="C1103" t="str">
            <v>Te Para Bandeja en 10</v>
          </cell>
        </row>
        <row r="1104">
          <cell r="C1104" t="str">
            <v>Te Para Bandeja en 20</v>
          </cell>
        </row>
        <row r="1105">
          <cell r="C1105" t="str">
            <v>Tee bandeja 20 cms liv</v>
          </cell>
        </row>
        <row r="1106">
          <cell r="C1106" t="str">
            <v>Temporizador programable</v>
          </cell>
        </row>
        <row r="1107">
          <cell r="C1107" t="str">
            <v>Tensor de 1/8" x 8</v>
          </cell>
        </row>
        <row r="1108">
          <cell r="C1108" t="str">
            <v>Tensor de 1/4x3 1/2</v>
          </cell>
        </row>
        <row r="1109">
          <cell r="C1109" t="str">
            <v>Tensor de 5/16x 4 1/4</v>
          </cell>
        </row>
        <row r="1110">
          <cell r="C1110" t="str">
            <v>Tensor de 3/8 x 6</v>
          </cell>
        </row>
        <row r="1111">
          <cell r="C1111" t="str">
            <v>Terminal  bimetalico 750  2 huecos</v>
          </cell>
        </row>
        <row r="1112">
          <cell r="C1112" t="str">
            <v>Terminal Campana PVC 1"</v>
          </cell>
        </row>
        <row r="1113">
          <cell r="C1113" t="str">
            <v>Terminal Campana PVC 11/2"</v>
          </cell>
        </row>
        <row r="1114">
          <cell r="C1114" t="str">
            <v>Terminal Campana PVC 2"</v>
          </cell>
        </row>
        <row r="1115">
          <cell r="C1115" t="str">
            <v>Terminal Campana PVC 3/4"</v>
          </cell>
        </row>
        <row r="1116">
          <cell r="C1116" t="str">
            <v>Terminal de cobre de compresión marca Burndy para cable N. 1/0 AWG Catalog Number: YA25L4-BOX</v>
          </cell>
        </row>
        <row r="1117">
          <cell r="C1117" t="str">
            <v>terminal de cobre de compresión marca Burndy para cable No. 4 AWG  Catalog Number YA4CL4-BOX.</v>
          </cell>
        </row>
        <row r="1118">
          <cell r="C1118" t="str">
            <v>Terminal de cobre de compresión marca Burndy para cable No.14 AWG Catalog Number: YAV10-BOX</v>
          </cell>
        </row>
        <row r="1119">
          <cell r="C1119" t="str">
            <v>terminal de compresion para cable 2 AWG Burndy Catalog Number YA2CL6-BOX</v>
          </cell>
        </row>
        <row r="1120">
          <cell r="C1120" t="str">
            <v>Terminal de compresion para cable 2/0 AWG Burndy Catalog Number YA26L-BOX</v>
          </cell>
        </row>
        <row r="1121">
          <cell r="C1121" t="str">
            <v xml:space="preserve">Terminal de gorrito </v>
          </cell>
        </row>
        <row r="1122">
          <cell r="C1122" t="str">
            <v>Terminal de un hueco No 1/0</v>
          </cell>
        </row>
        <row r="1123">
          <cell r="C1123" t="str">
            <v>Terminal de un hueco No 1/0 bimetalico</v>
          </cell>
        </row>
        <row r="1124">
          <cell r="C1124" t="str">
            <v>Terminal de un hueco No 2</v>
          </cell>
        </row>
        <row r="1125">
          <cell r="C1125" t="str">
            <v>Terminal de un hueco No 2 bimetalico</v>
          </cell>
        </row>
        <row r="1126">
          <cell r="C1126" t="str">
            <v>Terminal de un hueco No 2/0</v>
          </cell>
        </row>
        <row r="1127">
          <cell r="C1127" t="str">
            <v>Terminal de un hueco No 2/0 bimetalico</v>
          </cell>
        </row>
        <row r="1128">
          <cell r="C1128" t="str">
            <v>Terminal de un hueco No 250</v>
          </cell>
        </row>
        <row r="1129">
          <cell r="C1129" t="str">
            <v>Terminal de un hueco No 3/0</v>
          </cell>
        </row>
        <row r="1130">
          <cell r="C1130" t="str">
            <v>Terminal de un hueco No 3/0 bimetalico</v>
          </cell>
        </row>
        <row r="1131">
          <cell r="C1131" t="str">
            <v>Terminal de un hueco No 300</v>
          </cell>
        </row>
        <row r="1132">
          <cell r="C1132" t="str">
            <v>Terminal de un hueco No 300 bimetalico</v>
          </cell>
        </row>
        <row r="1133">
          <cell r="C1133" t="str">
            <v>Terminal de un hueco No 350</v>
          </cell>
        </row>
        <row r="1134">
          <cell r="C1134" t="str">
            <v>Terminal de un hueco No 350 bimetalico</v>
          </cell>
        </row>
        <row r="1135">
          <cell r="C1135" t="str">
            <v>Terminal de un hueco No 4</v>
          </cell>
        </row>
        <row r="1136">
          <cell r="C1136" t="str">
            <v>Terminal de un hueco No 4/0</v>
          </cell>
        </row>
        <row r="1137">
          <cell r="C1137" t="str">
            <v>Terminal de un hueco No 4/0 bimetalico</v>
          </cell>
        </row>
        <row r="1138">
          <cell r="C1138" t="str">
            <v>Terminal de un hueco No 500</v>
          </cell>
        </row>
        <row r="1139">
          <cell r="C1139" t="str">
            <v>Terminal de un hueco No 6</v>
          </cell>
        </row>
        <row r="1140">
          <cell r="C1140" t="str">
            <v xml:space="preserve">Terminal dos huecos 250 MCM </v>
          </cell>
        </row>
        <row r="1141">
          <cell r="C1141" t="str">
            <v xml:space="preserve">Terminal dos huecos 350 MCM </v>
          </cell>
        </row>
        <row r="1142">
          <cell r="C1142" t="str">
            <v>Terminal dos huecos 4/0 MCM</v>
          </cell>
        </row>
        <row r="1143">
          <cell r="C1143" t="str">
            <v>Terminal dos huecos 500 MCM 3M</v>
          </cell>
        </row>
        <row r="1144">
          <cell r="C1144" t="str">
            <v>Terminal dos huecos No 2/0 bimetalico</v>
          </cell>
        </row>
        <row r="1145">
          <cell r="C1145" t="str">
            <v>Terminal dos huecos No 300 bimetalico</v>
          </cell>
        </row>
        <row r="1146">
          <cell r="C1146" t="str">
            <v>Terminal dos huecos No 350 bimetalico</v>
          </cell>
        </row>
        <row r="1147">
          <cell r="C1147" t="str">
            <v>Terminal dos huecos No 4/0 bimetalico</v>
          </cell>
        </row>
        <row r="1148">
          <cell r="C1148" t="str">
            <v>Terminal dos huecos No 500 bimetalico</v>
          </cell>
        </row>
        <row r="1149">
          <cell r="C1149" t="str">
            <v xml:space="preserve">Terminal en U  16 - 14 </v>
          </cell>
        </row>
        <row r="1150">
          <cell r="C1150" t="str">
            <v>Terminal No.10-12</v>
          </cell>
        </row>
        <row r="1151">
          <cell r="C1151" t="str">
            <v>Terminal No.8</v>
          </cell>
        </row>
        <row r="1152">
          <cell r="C1152" t="str">
            <v>Terminal Premoldeado De 2 Awg-4/0 Tipo Intemperie, 15kv</v>
          </cell>
        </row>
        <row r="1153">
          <cell r="C1153" t="str">
            <v>Terminal Premoldeado De 2awg-4/0 Tipo Interior, 15kv</v>
          </cell>
        </row>
        <row r="1154">
          <cell r="C1154" t="str">
            <v>Terminal Premoldeado De 3/0-600MCM Tipo Intemperie, 15kv</v>
          </cell>
        </row>
        <row r="1155">
          <cell r="C1155" t="str">
            <v>Terminal Premoldeado De 3/0-600MCM Tipo Interior, 15kv</v>
          </cell>
        </row>
        <row r="1156">
          <cell r="C1156" t="str">
            <v>Terminales Lug</v>
          </cell>
        </row>
        <row r="1157">
          <cell r="C1157" t="str">
            <v>Termoencogible 10 a 3</v>
          </cell>
        </row>
        <row r="1158">
          <cell r="C1158" t="str">
            <v>Termoencogible 16 a 5</v>
          </cell>
        </row>
        <row r="1159">
          <cell r="C1159" t="str">
            <v>Termoencogible 25 a 8</v>
          </cell>
        </row>
        <row r="1160">
          <cell r="C1160" t="str">
            <v>Termoencogible 600v 2 A 4/0</v>
          </cell>
        </row>
        <row r="1161">
          <cell r="C1161" t="str">
            <v>Termoencogible  250 MCM – 500 MCM</v>
          </cell>
        </row>
        <row r="1162">
          <cell r="C1162" t="str">
            <v>Thinner</v>
          </cell>
        </row>
        <row r="1163">
          <cell r="C1163" t="str">
            <v>Thinner 21050</v>
          </cell>
        </row>
        <row r="1164">
          <cell r="C1164" t="str">
            <v xml:space="preserve">Timbre pulsador </v>
          </cell>
        </row>
        <row r="1165">
          <cell r="C1165" t="str">
            <v>Timbre tipo campana</v>
          </cell>
        </row>
        <row r="1166">
          <cell r="C1166" t="str">
            <v>toma 220v</v>
          </cell>
        </row>
        <row r="1167">
          <cell r="C1167" t="str">
            <v xml:space="preserve">Toma  30 Amps 250V ref 2620 </v>
          </cell>
        </row>
        <row r="1168">
          <cell r="C1168" t="str">
            <v xml:space="preserve">Toma  63 Amps 250Vol  trifasica </v>
          </cell>
        </row>
        <row r="1169">
          <cell r="C1169" t="str">
            <v>Toma  Codelca 20 Amps</v>
          </cell>
        </row>
        <row r="1170">
          <cell r="C1170" t="str">
            <v>Toma  Doble Levinton 15 Amps blanco</v>
          </cell>
        </row>
        <row r="1171">
          <cell r="C1171" t="str">
            <v>Toma  Doble Levinton 15 Amps crema</v>
          </cell>
        </row>
        <row r="1172">
          <cell r="C1172" t="str">
            <v>Toma  Doble Levinton 20 Amps</v>
          </cell>
        </row>
        <row r="1173">
          <cell r="C1173" t="str">
            <v>Toma de DATO Luminex vela ref 682856</v>
          </cell>
        </row>
        <row r="1174">
          <cell r="C1174" t="str">
            <v>Toma de incrustar L 15- 30 ref 2720  30 amp</v>
          </cell>
        </row>
        <row r="1175">
          <cell r="C1175" t="str">
            <v>Toma de incrustar L 21- 30 ref 2810  30 amp</v>
          </cell>
        </row>
        <row r="1176">
          <cell r="C1176" t="str">
            <v>Toma de incrustar L 6-30 ref 2620  30 amp</v>
          </cell>
        </row>
        <row r="1177">
          <cell r="C1177" t="str">
            <v>toma interruptor mixto</v>
          </cell>
        </row>
        <row r="1178">
          <cell r="C1178" t="str">
            <v>Toma Doble GFCI 15A 125v</v>
          </cell>
        </row>
        <row r="1179">
          <cell r="C1179" t="str">
            <v>Toma Doble HGR 15A 125v 8200</v>
          </cell>
        </row>
        <row r="1180">
          <cell r="C1180" t="str">
            <v>Toma Doble Luminex vela 220 V ref 681547</v>
          </cell>
        </row>
        <row r="1181">
          <cell r="C1181" t="str">
            <v>Toma Doble Luminex vela 681542</v>
          </cell>
        </row>
        <row r="1182">
          <cell r="C1182" t="str">
            <v>Toma doble vela (promedio)</v>
          </cell>
        </row>
        <row r="1183">
          <cell r="C1183" t="str">
            <v>Toma wallplate c/tapa ref VPG 1601</v>
          </cell>
        </row>
        <row r="1184">
          <cell r="C1184" t="str">
            <v>Tomacorriente 20A Twis Lock Leviton O Similar</v>
          </cell>
        </row>
        <row r="1185">
          <cell r="C1185" t="str">
            <v>Tomacorriente 30A Twis Lock Leviton</v>
          </cell>
        </row>
        <row r="1186">
          <cell r="C1186" t="str">
            <v>Tomacorriente Doble 15A Twis Lock Leviton</v>
          </cell>
        </row>
        <row r="1187">
          <cell r="C1187" t="str">
            <v>Tomacorriente doble Grado Hosp naranja 8200 IG</v>
          </cell>
        </row>
        <row r="1188">
          <cell r="C1188" t="str">
            <v>Tornillo  1/4, 3/8</v>
          </cell>
        </row>
        <row r="1189">
          <cell r="C1189" t="str">
            <v>tornillo autoperforante 1/4 x 1</v>
          </cell>
        </row>
        <row r="1190">
          <cell r="C1190" t="str">
            <v>tornillo autoperforante 5/16x 1</v>
          </cell>
        </row>
        <row r="1191">
          <cell r="C1191" t="str">
            <v xml:space="preserve">tornillo autoperforante 5/16 </v>
          </cell>
        </row>
        <row r="1192">
          <cell r="C1192" t="str">
            <v>Tornillo acero inoxidable 3/8x1"</v>
          </cell>
        </row>
        <row r="1193">
          <cell r="C1193" t="str">
            <v>Tramites ante Electricaribe</v>
          </cell>
        </row>
        <row r="1194">
          <cell r="C1194" t="str">
            <v>Transformador corriente 10/20/5</v>
          </cell>
        </row>
        <row r="1195">
          <cell r="C1195" t="str">
            <v>Transformador De Control De 300VA</v>
          </cell>
        </row>
        <row r="1196">
          <cell r="C1196" t="str">
            <v>Transformador de corriente de 1200 a 5</v>
          </cell>
        </row>
        <row r="1197">
          <cell r="C1197" t="str">
            <v xml:space="preserve">Transformador de corriente de 300 a 5 </v>
          </cell>
        </row>
        <row r="1198">
          <cell r="C1198" t="str">
            <v>Transformador de corriente de 800 a 5</v>
          </cell>
        </row>
        <row r="1199">
          <cell r="C1199" t="str">
            <v>Transformador potencial 13200/120V</v>
          </cell>
        </row>
        <row r="1200">
          <cell r="C1200" t="str">
            <v>Transformador Trifasico 112,5 KVA 
13,200/120/220 V pad mounted</v>
          </cell>
        </row>
        <row r="1201">
          <cell r="C1201" t="str">
            <v>Transformador Trifasico 45 KVA 13,2/120/220 V</v>
          </cell>
        </row>
        <row r="1202">
          <cell r="C1202" t="str">
            <v>Transformador trifasico seco ahorrador suntec 225 KVA 13200/220/127 V</v>
          </cell>
        </row>
        <row r="1203">
          <cell r="C1203" t="str">
            <v>Transformador monofasico en vacio 10kva 13,2kv/240-120</v>
          </cell>
        </row>
        <row r="1204">
          <cell r="C1204" t="str">
            <v>Transformador monofasico en vacio 15kva 13,2kv/240-120</v>
          </cell>
        </row>
        <row r="1205">
          <cell r="C1205" t="str">
            <v>Transformador monofasico de 50kva.13,2kv 240/120</v>
          </cell>
        </row>
        <row r="1206">
          <cell r="C1206" t="str">
            <v>Triturado</v>
          </cell>
        </row>
        <row r="1207">
          <cell r="C1207" t="str">
            <v>Tuberia Acero 1" sch 40</v>
          </cell>
        </row>
        <row r="1208">
          <cell r="C1208" t="str">
            <v>Tuberia Acero 1/2" sch 40</v>
          </cell>
        </row>
        <row r="1209">
          <cell r="C1209" t="str">
            <v>Tuberia Acero 3/4" sch 40</v>
          </cell>
        </row>
        <row r="1210">
          <cell r="C1210" t="str">
            <v>Tuberia conduflex 1/2</v>
          </cell>
        </row>
        <row r="1211">
          <cell r="C1211" t="str">
            <v>Tuberia conduflex 3/4</v>
          </cell>
        </row>
        <row r="1212">
          <cell r="C1212" t="str">
            <v>Tuberia conduflex 1</v>
          </cell>
        </row>
        <row r="1213">
          <cell r="C1213" t="str">
            <v>Tuberia Conduit Galv. (IMC) De 1 1/2"</v>
          </cell>
        </row>
        <row r="1214">
          <cell r="C1214" t="str">
            <v>Tuberia Conduit Galv. (IMC) De 1 1/4"</v>
          </cell>
        </row>
        <row r="1215">
          <cell r="C1215" t="str">
            <v>Tuberia Conduit Galv. (IMC) De 1"</v>
          </cell>
        </row>
        <row r="1216">
          <cell r="C1216" t="str">
            <v>Tuberia Conduit Galv. (IMC) De 1/2"</v>
          </cell>
        </row>
        <row r="1217">
          <cell r="C1217" t="str">
            <v>Tuberia Conduit Galv. (IMC) De 2"</v>
          </cell>
        </row>
        <row r="1218">
          <cell r="C1218" t="str">
            <v>Tuberia Conduit Galv. (IMC) De 3"</v>
          </cell>
        </row>
        <row r="1219">
          <cell r="C1219" t="str">
            <v>Tuberia Conduit Galv. (IMC) De 3/4"</v>
          </cell>
        </row>
        <row r="1220">
          <cell r="C1220" t="str">
            <v>Tuberia Conduit Galv. (IMC) De 4"</v>
          </cell>
        </row>
        <row r="1221">
          <cell r="C1221" t="str">
            <v>Tuberia Conduit Galv. (Ridgid) De 1 1/2"</v>
          </cell>
        </row>
        <row r="1222">
          <cell r="C1222" t="str">
            <v>Tuberia Conduit Galv. (Ridgid) De 1 1/4"</v>
          </cell>
        </row>
        <row r="1223">
          <cell r="C1223" t="str">
            <v>Tuberia Conduit Galv. (Ridgid) De 1"</v>
          </cell>
        </row>
        <row r="1224">
          <cell r="C1224" t="str">
            <v>Tuberia Conduit Galv. (Ridgid) De 1/2"</v>
          </cell>
        </row>
        <row r="1225">
          <cell r="C1225" t="str">
            <v>Tuberia Conduit Galv. (Ridgid) De 2"</v>
          </cell>
        </row>
        <row r="1226">
          <cell r="C1226" t="str">
            <v>Tuberia Conduit Galv. (Ridgid) De 3"</v>
          </cell>
        </row>
        <row r="1227">
          <cell r="C1227" t="str">
            <v>Tuberia Conduit Galv. (Ridgid) De 3/4"</v>
          </cell>
        </row>
        <row r="1228">
          <cell r="C1228" t="str">
            <v>Tuberia Conduit Galv. (Ridgid) De 4"</v>
          </cell>
        </row>
        <row r="1229">
          <cell r="C1229" t="str">
            <v>Tuberia EMT De 1 1/2"</v>
          </cell>
        </row>
        <row r="1230">
          <cell r="C1230" t="str">
            <v>Tuberia EMT De 1 1/4"</v>
          </cell>
        </row>
        <row r="1231">
          <cell r="C1231" t="str">
            <v>Tuberia EMT De 1"</v>
          </cell>
        </row>
        <row r="1232">
          <cell r="C1232" t="str">
            <v>Tuberia EMT De 1/2"</v>
          </cell>
        </row>
        <row r="1233">
          <cell r="C1233" t="str">
            <v>Tubería EMT De 2"</v>
          </cell>
        </row>
        <row r="1234">
          <cell r="C1234" t="str">
            <v>Tuberia EMT De 3"</v>
          </cell>
        </row>
        <row r="1235">
          <cell r="C1235" t="str">
            <v>Tuberia EMT De 3/4"</v>
          </cell>
        </row>
        <row r="1236">
          <cell r="C1236" t="str">
            <v>Tuberia EMT De 4"</v>
          </cell>
        </row>
        <row r="1237">
          <cell r="C1237" t="str">
            <v>Tuberia Galv de 3/4"</v>
          </cell>
        </row>
        <row r="1238">
          <cell r="C1238" t="str">
            <v>Tuberia PVC De 1 1/2"</v>
          </cell>
        </row>
        <row r="1239">
          <cell r="C1239" t="str">
            <v>Tuberia PVC De 1"</v>
          </cell>
        </row>
        <row r="1240">
          <cell r="C1240" t="str">
            <v>Tuberia PVC De 1/2"</v>
          </cell>
        </row>
        <row r="1241">
          <cell r="C1241" t="str">
            <v>Tuberia PVC De 11/4"</v>
          </cell>
        </row>
        <row r="1242">
          <cell r="C1242" t="str">
            <v>Tuberia PVC De 2"</v>
          </cell>
        </row>
        <row r="1243">
          <cell r="C1243" t="str">
            <v>Tuberia PVC De 3"</v>
          </cell>
        </row>
        <row r="1244">
          <cell r="C1244" t="str">
            <v>Tuberia PVC De 3/4"</v>
          </cell>
        </row>
        <row r="1245">
          <cell r="C1245" t="str">
            <v>Tuberia PVC De 4"</v>
          </cell>
        </row>
        <row r="1246">
          <cell r="C1246" t="str">
            <v xml:space="preserve">Tubo termocontractil 10 -3 </v>
          </cell>
        </row>
        <row r="1247">
          <cell r="C1247" t="str">
            <v xml:space="preserve">Tubo termocontractil 16 -5 </v>
          </cell>
        </row>
        <row r="1248">
          <cell r="C1248" t="str">
            <v xml:space="preserve">Tubo termocontractil 25 -8 </v>
          </cell>
        </row>
        <row r="1249">
          <cell r="C1249" t="str">
            <v>Tubo Fluoresentes 54w t5 blanco caja 25 un</v>
          </cell>
        </row>
        <row r="1250">
          <cell r="C1250" t="str">
            <v>Tubos Fluoresentes 32w t-8 Azul caja 25 un</v>
          </cell>
        </row>
        <row r="1251">
          <cell r="C1251" t="str">
            <v>Tubos Fluoresentes 32w t-8 Rojo  caja 25 un</v>
          </cell>
        </row>
        <row r="1252">
          <cell r="C1252" t="str">
            <v>Tubos Fluoresentes 32w t-8 Verde  caja 25 un</v>
          </cell>
        </row>
        <row r="1253">
          <cell r="C1253" t="str">
            <v>tubos fluorecentes t8 17w</v>
          </cell>
        </row>
        <row r="1254">
          <cell r="C1254" t="str">
            <v>tubos fluorecentes t8 32 w</v>
          </cell>
        </row>
        <row r="1255">
          <cell r="C1255" t="str">
            <v>tubos fluorecentes t12 48 w</v>
          </cell>
        </row>
        <row r="1256">
          <cell r="C1256" t="str">
            <v>Tuerca de ojo  5/8 - 3/4</v>
          </cell>
        </row>
        <row r="1257">
          <cell r="C1257" t="str">
            <v xml:space="preserve">Tuerca galvanizada </v>
          </cell>
        </row>
        <row r="1258">
          <cell r="C1258" t="str">
            <v>Tuerca Hexagonal de 1/2"</v>
          </cell>
        </row>
        <row r="1259">
          <cell r="C1259" t="str">
            <v>Tuerca Rectangular con Resorte</v>
          </cell>
        </row>
        <row r="1260">
          <cell r="C1260" t="str">
            <v>Tuercas De Ojo De 5/8"</v>
          </cell>
        </row>
        <row r="1261">
          <cell r="C1261" t="str">
            <v>Union 1" sch 40</v>
          </cell>
        </row>
        <row r="1262">
          <cell r="C1262" t="str">
            <v>Union 1/2" sch 40</v>
          </cell>
        </row>
        <row r="1263">
          <cell r="C1263" t="str">
            <v>Union 3/4" sch 40</v>
          </cell>
        </row>
        <row r="1264">
          <cell r="C1264" t="str">
            <v>Union conduit galvanizada (IMC) de 1 1/4"</v>
          </cell>
        </row>
        <row r="1265">
          <cell r="C1265" t="str">
            <v>Union conduit galvanizada (IMC) de 1"</v>
          </cell>
        </row>
        <row r="1266">
          <cell r="C1266" t="str">
            <v>Union conduit galvanizada (IMC) de 1/2"</v>
          </cell>
        </row>
        <row r="1267">
          <cell r="C1267" t="str">
            <v>Union conduit galvanizada (IMC) de 1-1/2"</v>
          </cell>
        </row>
        <row r="1268">
          <cell r="C1268" t="str">
            <v>Union conduit galvanizada (IMC) de 2"</v>
          </cell>
        </row>
        <row r="1269">
          <cell r="C1269" t="str">
            <v>Union conduit galvanizada (IMC) de 3"</v>
          </cell>
        </row>
        <row r="1270">
          <cell r="C1270" t="str">
            <v>Union conduit galvanizada (IMC) de 3/4"</v>
          </cell>
        </row>
        <row r="1271">
          <cell r="C1271" t="str">
            <v>Union conduit galvanizada (IMC) de 4"</v>
          </cell>
        </row>
        <row r="1272">
          <cell r="C1272" t="str">
            <v>Union conduit galvanizada (RIGID) de 1 1/2"</v>
          </cell>
        </row>
        <row r="1273">
          <cell r="C1273" t="str">
            <v>Union conduit galvanizada (RIGID) de 1"</v>
          </cell>
        </row>
        <row r="1274">
          <cell r="C1274" t="str">
            <v>Union conduit galvanizada (RIGID) de 1/2"</v>
          </cell>
        </row>
        <row r="1275">
          <cell r="C1275" t="str">
            <v>Union conduit galvanizada (RIGID) de 2"</v>
          </cell>
        </row>
        <row r="1276">
          <cell r="C1276" t="str">
            <v>Union conduit galvanizada (RIGID) de 3"</v>
          </cell>
        </row>
        <row r="1277">
          <cell r="C1277" t="str">
            <v>Union conduit galvanizada (RIGID) de 3/4"</v>
          </cell>
        </row>
        <row r="1278">
          <cell r="C1278" t="str">
            <v>Union conduit galvanizada (RIGID) de 4"</v>
          </cell>
        </row>
        <row r="1279">
          <cell r="C1279" t="str">
            <v>Union conduit PVC de 1"</v>
          </cell>
        </row>
        <row r="1280">
          <cell r="C1280" t="str">
            <v>Union conduit PVC de 1/2"</v>
          </cell>
        </row>
        <row r="1281">
          <cell r="C1281" t="str">
            <v>Union conduit PVC de 1-1/2"</v>
          </cell>
        </row>
        <row r="1282">
          <cell r="C1282" t="str">
            <v>Union conduit PVC de 2"</v>
          </cell>
        </row>
        <row r="1283">
          <cell r="C1283" t="str">
            <v>Union conduit PVC de 3"</v>
          </cell>
        </row>
        <row r="1284">
          <cell r="C1284" t="str">
            <v>Union conduit PVC de 3/4"</v>
          </cell>
        </row>
        <row r="1285">
          <cell r="C1285" t="str">
            <v>Union conduit PVC de 4"</v>
          </cell>
        </row>
        <row r="1286">
          <cell r="C1286" t="str">
            <v>Union EMT de 1</v>
          </cell>
        </row>
        <row r="1287">
          <cell r="C1287" t="str">
            <v>Union EMT de 1/2</v>
          </cell>
        </row>
        <row r="1288">
          <cell r="C1288" t="str">
            <v>Union EMT de 1-1/2</v>
          </cell>
        </row>
        <row r="1289">
          <cell r="C1289" t="str">
            <v>Union EMT de 2</v>
          </cell>
        </row>
        <row r="1290">
          <cell r="C1290" t="str">
            <v>Union EMT de 3</v>
          </cell>
        </row>
        <row r="1291">
          <cell r="C1291" t="str">
            <v>Union EMT de 3/4</v>
          </cell>
        </row>
        <row r="1292">
          <cell r="C1292" t="str">
            <v>Union EMT de 4</v>
          </cell>
        </row>
        <row r="1293">
          <cell r="C1293" t="str">
            <v>Union Universal De 1 1/2"</v>
          </cell>
        </row>
        <row r="1294">
          <cell r="C1294" t="str">
            <v>Union Universal De 1"</v>
          </cell>
        </row>
        <row r="1295">
          <cell r="C1295" t="str">
            <v>Union Universal De 1/2"</v>
          </cell>
        </row>
        <row r="1296">
          <cell r="C1296" t="str">
            <v>Union Universal De 2"</v>
          </cell>
        </row>
        <row r="1297">
          <cell r="C1297" t="str">
            <v>Union Universal De 3/4"</v>
          </cell>
        </row>
        <row r="1298">
          <cell r="C1298" t="str">
            <v>Varilla Copperweld 5/8 x 2,4 mts</v>
          </cell>
        </row>
        <row r="1299">
          <cell r="C1299" t="str">
            <v>Varilla Corrugada 1/2</v>
          </cell>
        </row>
        <row r="1300">
          <cell r="C1300" t="str">
            <v>Varilla Corrugada 3/8</v>
          </cell>
        </row>
        <row r="1301">
          <cell r="C1301" t="str">
            <v>Varilla De Anclaje De Acero Galvanizado 5/8" x 1,80 mts</v>
          </cell>
        </row>
        <row r="1302">
          <cell r="C1302" t="str">
            <v>Varilla Roscada</v>
          </cell>
        </row>
        <row r="1303">
          <cell r="C1303" t="str">
            <v>Vaselina</v>
          </cell>
        </row>
      </sheetData>
      <sheetData sheetId="2">
        <row r="3">
          <cell r="B3" t="str">
            <v>-</v>
          </cell>
        </row>
        <row r="4">
          <cell r="B4" t="str">
            <v>Apertura de seccionadores</v>
          </cell>
        </row>
        <row r="5">
          <cell r="B5" t="str">
            <v>Apertura y cierre Cajas Primarias</v>
          </cell>
        </row>
        <row r="6">
          <cell r="B6" t="str">
            <v>Armada de cofre metalico 40x30x20</v>
          </cell>
        </row>
        <row r="7">
          <cell r="B7" t="str">
            <v>Balanceo de cargas tablero principal</v>
          </cell>
        </row>
        <row r="8">
          <cell r="B8" t="str">
            <v>Camion turbito</v>
          </cell>
        </row>
        <row r="9">
          <cell r="B9" t="str">
            <v>Camion turbo</v>
          </cell>
        </row>
        <row r="10">
          <cell r="B10" t="str">
            <v>camioneta 4x4</v>
          </cell>
        </row>
        <row r="11">
          <cell r="B11" t="str">
            <v>Conexión a tablero</v>
          </cell>
        </row>
        <row r="12">
          <cell r="B12" t="str">
            <v>Conexión y Desconexion de Terminales Premoldeados tipo exterior 15 kv</v>
          </cell>
        </row>
        <row r="13">
          <cell r="B13" t="str">
            <v>Cuadrilla stand by</v>
          </cell>
        </row>
        <row r="14">
          <cell r="B14" t="str">
            <v>Demolición concreto manual y retiro</v>
          </cell>
        </row>
        <row r="15">
          <cell r="B15" t="str">
            <v>Deshincada de poste 10mts hombro</v>
          </cell>
        </row>
        <row r="16">
          <cell r="B16" t="str">
            <v>Desmonte e instalacion de puentes en red energizada</v>
          </cell>
        </row>
        <row r="17">
          <cell r="B17" t="str">
            <v>Excavacion alrededor del poste de concreto</v>
          </cell>
        </row>
        <row r="18">
          <cell r="B18" t="str">
            <v>Excavación de hueco para poste</v>
          </cell>
        </row>
        <row r="19">
          <cell r="B19" t="str">
            <v xml:space="preserve">Grua carga postes brazo extensor hidraulico </v>
          </cell>
        </row>
        <row r="20">
          <cell r="B20" t="str">
            <v>Grua hidraulica carro canasta</v>
          </cell>
        </row>
        <row r="21">
          <cell r="B21" t="str">
            <v xml:space="preserve">Hincada de poste 12mts" </v>
          </cell>
        </row>
        <row r="22">
          <cell r="B22" t="str">
            <v>Instalacion de bajante en tuberia de 2" para acometida secundaria transformador 45KVA</v>
          </cell>
        </row>
        <row r="23">
          <cell r="B23" t="str">
            <v>Instalacion de bjante de puesta a tierra  crucetas metalicas.</v>
          </cell>
        </row>
        <row r="24">
          <cell r="B24" t="str">
            <v xml:space="preserve">Instalacion de bjante de puesta a tierra  DPS  </v>
          </cell>
        </row>
        <row r="25">
          <cell r="B25" t="str">
            <v>Instalacion de bjante de puesta a tierra transformador</v>
          </cell>
        </row>
        <row r="26">
          <cell r="B26" t="str">
            <v>Instalación de Sistema de Puesta a Tierra</v>
          </cell>
        </row>
        <row r="27">
          <cell r="B27" t="str">
            <v>Instalación de Subida a Poste</v>
          </cell>
        </row>
        <row r="28">
          <cell r="B28" t="str">
            <v>instalacion de terminal ponchable bimetalico para calibre 2 AWG</v>
          </cell>
        </row>
        <row r="29">
          <cell r="B29" t="str">
            <v>instalacion de tuberia Galvanizada IMC de 2" para bajante de Acometida trafo 30kva</v>
          </cell>
        </row>
        <row r="30">
          <cell r="B30" t="str">
            <v>Instalacion tuberia emt 1 1/4"</v>
          </cell>
        </row>
        <row r="31">
          <cell r="B31" t="str">
            <v>Instalacion tuberia pvc 1 1/4"</v>
          </cell>
        </row>
        <row r="32">
          <cell r="B32" t="str">
            <v>Instalacion tuberia pvc 2"</v>
          </cell>
        </row>
        <row r="33">
          <cell r="B33" t="str">
            <v>Limpieza equipos de media tension</v>
          </cell>
        </row>
        <row r="34">
          <cell r="B34" t="str">
            <v>Mantenimiento general tablero principal de distribucion (Limpieza y reapretar conexiones)</v>
          </cell>
        </row>
        <row r="35">
          <cell r="B35" t="str">
            <v>Montaje en poste  de transformador de 45 kv 13.2 kv/220v/127v</v>
          </cell>
        </row>
        <row r="36">
          <cell r="B36" t="str">
            <v>Pajarita</v>
          </cell>
        </row>
        <row r="37">
          <cell r="B37" t="str">
            <v>Protección para poste</v>
          </cell>
        </row>
        <row r="38">
          <cell r="B38" t="str">
            <v>Pruebas, energización y puesta en servicio</v>
          </cell>
        </row>
        <row r="39">
          <cell r="B39" t="str">
            <v>Reparacion sistema electrico sistema de control</v>
          </cell>
        </row>
        <row r="40">
          <cell r="B40" t="str">
            <v>Retiro e instalacion cable mensajero</v>
          </cell>
        </row>
        <row r="41">
          <cell r="B41" t="str">
            <v>Retiro e instalación cruceta sencilla (con grapas)</v>
          </cell>
        </row>
        <row r="42">
          <cell r="B42" t="str">
            <v>Retiro e instalación de aislador line post</v>
          </cell>
        </row>
        <row r="43">
          <cell r="B43" t="str">
            <v>Retiro e instalación de aislador line post en Caliente</v>
          </cell>
        </row>
        <row r="44">
          <cell r="B44" t="str">
            <v>Retiro e instalación de armado cruceta doble</v>
          </cell>
        </row>
        <row r="45">
          <cell r="B45" t="str">
            <v>Retiro e instalación de cortacircuitos</v>
          </cell>
        </row>
        <row r="46">
          <cell r="B46" t="str">
            <v>Retiro e instalación de cortacircuitos en Caliente</v>
          </cell>
        </row>
        <row r="47">
          <cell r="B47" t="str">
            <v>Retiro e instalación de descargadores de sobretensión</v>
          </cell>
        </row>
        <row r="48">
          <cell r="B48" t="str">
            <v>Retiro e instalación de descargadores de sobretensión en caliente</v>
          </cell>
        </row>
        <row r="49">
          <cell r="B49" t="str">
            <v>Retiro e instalación de lampara</v>
          </cell>
        </row>
        <row r="50">
          <cell r="B50" t="str">
            <v>Retiro e instalación de lineas baja tension y alumbrado</v>
          </cell>
        </row>
        <row r="51">
          <cell r="B51" t="str">
            <v>Retiro e instalacion de percha red baja tension y alumbrado</v>
          </cell>
        </row>
        <row r="52">
          <cell r="B52" t="str">
            <v>Retiro e instalación de premoldeados tipo exterior</v>
          </cell>
        </row>
        <row r="53">
          <cell r="B53" t="str">
            <v>Retiro y colocacion de amarre</v>
          </cell>
        </row>
        <row r="54">
          <cell r="B54" t="str">
            <v>Revision de conexión cajas primarias</v>
          </cell>
        </row>
        <row r="55">
          <cell r="B55" t="str">
            <v>Tendido de cable encachetado 4x8 mas tierra n. 10</v>
          </cell>
        </row>
        <row r="56">
          <cell r="B56" t="str">
            <v>Tendido de cable n. 10</v>
          </cell>
        </row>
        <row r="57">
          <cell r="B57" t="str">
            <v>Volqueta</v>
          </cell>
        </row>
        <row r="58">
          <cell r="B58" t="str">
            <v>Instalacion de fusibles de 200 Amp</v>
          </cell>
        </row>
        <row r="59">
          <cell r="B59" t="str">
            <v xml:space="preserve">Instalacion de fusibles  </v>
          </cell>
        </row>
        <row r="60">
          <cell r="B60" t="str">
            <v>Pruebas con fusibles 2 Amp</v>
          </cell>
        </row>
        <row r="61">
          <cell r="B61" t="str">
            <v>Relleno y Compactacion de huecos</v>
          </cell>
        </row>
      </sheetData>
      <sheetData sheetId="3" refreshError="1"/>
      <sheetData sheetId="4" refreshError="1"/>
      <sheetData sheetId="5" refreshError="1"/>
      <sheetData sheetId="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STOS"/>
      <sheetName val="APU"/>
      <sheetName val="Materiales "/>
      <sheetName val="Hoja1"/>
      <sheetName val="Mano Obra"/>
      <sheetName val="Equip, Herr y Transp"/>
      <sheetName val="Presupuesto EPP"/>
      <sheetName val="RELACION EXTRA"/>
      <sheetName val="Directorio"/>
      <sheetName val="Lista Maestra Materiales"/>
    </sheetNames>
    <sheetDataSet>
      <sheetData sheetId="0">
        <row r="14">
          <cell r="C14" t="str">
            <v>MODERNIZACION TEGNOLOGIA LED MUNICIPIO DE MOMPOX</v>
          </cell>
        </row>
        <row r="16">
          <cell r="D16" t="str">
            <v>Luminarias</v>
          </cell>
        </row>
      </sheetData>
      <sheetData sheetId="1"/>
      <sheetData sheetId="2">
        <row r="2">
          <cell r="C2" t="str">
            <v>-</v>
          </cell>
          <cell r="D2" t="str">
            <v>-</v>
          </cell>
          <cell r="E2" t="str">
            <v>-</v>
          </cell>
          <cell r="F2">
            <v>0</v>
          </cell>
        </row>
        <row r="3">
          <cell r="C3" t="str">
            <v>Aislador tipo carrete (ansi 53-2)</v>
          </cell>
          <cell r="D3">
            <v>148</v>
          </cell>
          <cell r="E3" t="str">
            <v>Und</v>
          </cell>
          <cell r="F3">
            <v>2677.5</v>
          </cell>
        </row>
        <row r="4">
          <cell r="C4" t="str">
            <v>Aislador Line post 23 kv</v>
          </cell>
          <cell r="D4">
            <v>151</v>
          </cell>
          <cell r="E4" t="str">
            <v>Und</v>
          </cell>
          <cell r="F4">
            <v>0</v>
          </cell>
        </row>
        <row r="5">
          <cell r="C5" t="str">
            <v>Aislador suspensión polimerico 15kV</v>
          </cell>
          <cell r="D5">
            <v>153</v>
          </cell>
          <cell r="E5" t="str">
            <v>Und</v>
          </cell>
          <cell r="F5">
            <v>53550</v>
          </cell>
        </row>
        <row r="6">
          <cell r="C6" t="str">
            <v>Aislador tensor 3/8</v>
          </cell>
          <cell r="D6">
            <v>156</v>
          </cell>
          <cell r="E6" t="str">
            <v>Und</v>
          </cell>
          <cell r="F6">
            <v>7623.1399999999994</v>
          </cell>
        </row>
        <row r="7">
          <cell r="C7" t="str">
            <v>Alambre acero galvanizado 10 grado comun</v>
          </cell>
          <cell r="D7">
            <v>10165</v>
          </cell>
          <cell r="E7" t="str">
            <v>Und</v>
          </cell>
          <cell r="F7">
            <v>0</v>
          </cell>
        </row>
        <row r="8">
          <cell r="C8" t="str">
            <v>Alambre aluminio aislado # 8</v>
          </cell>
          <cell r="D8">
            <v>176</v>
          </cell>
          <cell r="E8" t="str">
            <v>Und</v>
          </cell>
          <cell r="F8">
            <v>0</v>
          </cell>
        </row>
        <row r="9">
          <cell r="C9" t="str">
            <v>Alambre aluminio aislado # 6</v>
          </cell>
          <cell r="D9">
            <v>9614</v>
          </cell>
          <cell r="E9" t="str">
            <v>Und</v>
          </cell>
          <cell r="F9">
            <v>1904</v>
          </cell>
        </row>
        <row r="10">
          <cell r="C10" t="str">
            <v>Amarra plastica de 100 mm</v>
          </cell>
          <cell r="D10">
            <v>8809</v>
          </cell>
          <cell r="E10" t="str">
            <v>Und</v>
          </cell>
          <cell r="F10">
            <v>55.001799999999996</v>
          </cell>
        </row>
        <row r="11">
          <cell r="C11" t="str">
            <v>Amarra plastica de 200 mm</v>
          </cell>
          <cell r="D11">
            <v>9647</v>
          </cell>
          <cell r="E11" t="str">
            <v>Und</v>
          </cell>
          <cell r="F11">
            <v>80.92</v>
          </cell>
        </row>
        <row r="12">
          <cell r="C12" t="str">
            <v>Amarra plastica de 300 mm</v>
          </cell>
          <cell r="D12">
            <v>8808</v>
          </cell>
          <cell r="E12" t="str">
            <v>Und</v>
          </cell>
          <cell r="F12">
            <v>97.496700000000004</v>
          </cell>
        </row>
        <row r="13">
          <cell r="C13" t="str">
            <v>Arandela plana redonda 1/2</v>
          </cell>
          <cell r="D13">
            <v>4279</v>
          </cell>
          <cell r="E13" t="str">
            <v>Und</v>
          </cell>
          <cell r="F13">
            <v>267.47629999999998</v>
          </cell>
        </row>
        <row r="14">
          <cell r="C14" t="str">
            <v>Arandela plana redonda 1/4</v>
          </cell>
          <cell r="D14">
            <v>4280</v>
          </cell>
          <cell r="E14" t="str">
            <v>Und</v>
          </cell>
          <cell r="F14">
            <v>178.5</v>
          </cell>
        </row>
        <row r="15">
          <cell r="C15" t="str">
            <v>Arandela plana redonda 5/8</v>
          </cell>
          <cell r="D15">
            <v>4286</v>
          </cell>
          <cell r="E15" t="str">
            <v>Und</v>
          </cell>
          <cell r="F15">
            <v>282.7559</v>
          </cell>
        </row>
        <row r="16">
          <cell r="C16" t="str">
            <v>Arandela Presion 1/2</v>
          </cell>
          <cell r="D16">
            <v>288</v>
          </cell>
          <cell r="E16" t="str">
            <v>Und</v>
          </cell>
          <cell r="F16">
            <v>952</v>
          </cell>
        </row>
        <row r="17">
          <cell r="C17" t="str">
            <v>Arandela Presion 5/8</v>
          </cell>
          <cell r="D17">
            <v>4297</v>
          </cell>
          <cell r="E17" t="str">
            <v>Und</v>
          </cell>
          <cell r="F17">
            <v>328.97549999999995</v>
          </cell>
        </row>
        <row r="18">
          <cell r="C18" t="str">
            <v>Arandela cuadrada de 5/8 x 2 x 2</v>
          </cell>
          <cell r="D18">
            <v>272</v>
          </cell>
          <cell r="E18" t="str">
            <v>Und</v>
          </cell>
          <cell r="F18">
            <v>738.99</v>
          </cell>
        </row>
        <row r="19">
          <cell r="C19" t="str">
            <v>Arandela cuadrada de 5/8 x 4 x 4</v>
          </cell>
          <cell r="D19">
            <v>276</v>
          </cell>
          <cell r="E19" t="str">
            <v>Und</v>
          </cell>
          <cell r="F19">
            <v>4320.8899999999994</v>
          </cell>
        </row>
        <row r="20">
          <cell r="C20" t="str">
            <v>BALA LED de piso 18w</v>
          </cell>
          <cell r="D20"/>
          <cell r="E20" t="str">
            <v>Und</v>
          </cell>
          <cell r="F20">
            <v>196588</v>
          </cell>
        </row>
        <row r="21">
          <cell r="C21" t="str">
            <v>BALA LED de piso 14w, 1020lm</v>
          </cell>
          <cell r="D21">
            <v>6757</v>
          </cell>
          <cell r="E21" t="str">
            <v>Und</v>
          </cell>
          <cell r="F21">
            <v>148750</v>
          </cell>
        </row>
        <row r="22">
          <cell r="C22" t="str">
            <v>Base para fotocelda con soporte en L</v>
          </cell>
          <cell r="D22">
            <v>372</v>
          </cell>
          <cell r="E22" t="str">
            <v>Und</v>
          </cell>
          <cell r="F22">
            <v>4879</v>
          </cell>
        </row>
        <row r="23">
          <cell r="C23" t="str">
            <v>Base para cortacircuito  en L</v>
          </cell>
          <cell r="D23">
            <v>10267</v>
          </cell>
          <cell r="E23" t="str">
            <v>Und</v>
          </cell>
          <cell r="F23">
            <v>17850</v>
          </cell>
        </row>
        <row r="24">
          <cell r="C24" t="str">
            <v>Brazo metalico galvanizado 1 1/2", angulo 52°/0°, 2 metros, para soporte con collarin.</v>
          </cell>
          <cell r="D24">
            <v>7173</v>
          </cell>
          <cell r="E24" t="str">
            <v>Und</v>
          </cell>
          <cell r="F24">
            <v>36057</v>
          </cell>
        </row>
        <row r="25">
          <cell r="C25" t="str">
            <v>Brazo metalico galvanizado 1 1/2", angulo 52°/0°, 1.5 metros, para soporte con collarin.</v>
          </cell>
          <cell r="D25">
            <v>7172</v>
          </cell>
          <cell r="E25" t="str">
            <v>Und</v>
          </cell>
          <cell r="F25">
            <v>27846</v>
          </cell>
        </row>
        <row r="26">
          <cell r="C26" t="str">
            <v>Bloque anclaje de  400x300x100mm</v>
          </cell>
          <cell r="D26">
            <v>10168</v>
          </cell>
          <cell r="E26" t="str">
            <v>Und</v>
          </cell>
          <cell r="F26">
            <v>77350</v>
          </cell>
        </row>
        <row r="27">
          <cell r="C27" t="str">
            <v>Cable de acero Galvanizado 3/8" extra alta resistencia</v>
          </cell>
          <cell r="D27">
            <v>710</v>
          </cell>
          <cell r="E27" t="str">
            <v>Ml</v>
          </cell>
          <cell r="F27">
            <v>2439.5</v>
          </cell>
        </row>
        <row r="28">
          <cell r="C28" t="str">
            <v>Cable de acero Galvanizado 1/4" extra alta resistencia</v>
          </cell>
          <cell r="D28">
            <v>10169</v>
          </cell>
          <cell r="E28" t="str">
            <v>Ml</v>
          </cell>
          <cell r="F28">
            <v>1984.9199999999998</v>
          </cell>
        </row>
        <row r="29">
          <cell r="C29" t="str">
            <v>Cable ACSR 4 awg</v>
          </cell>
          <cell r="D29">
            <v>6438</v>
          </cell>
          <cell r="E29" t="str">
            <v>Ml</v>
          </cell>
          <cell r="F29">
            <v>1487.5</v>
          </cell>
        </row>
        <row r="30">
          <cell r="C30" t="str">
            <v>Cable ACSR 2 awg</v>
          </cell>
          <cell r="D30">
            <v>662</v>
          </cell>
          <cell r="E30" t="str">
            <v>Ml</v>
          </cell>
          <cell r="F30">
            <v>1588.6499999999999</v>
          </cell>
        </row>
        <row r="31">
          <cell r="C31" t="str">
            <v>Cable AAAC 1/0 awg</v>
          </cell>
          <cell r="D31">
            <v>10543</v>
          </cell>
          <cell r="E31" t="str">
            <v>Ml</v>
          </cell>
          <cell r="F31">
            <v>3300.0722999999998</v>
          </cell>
        </row>
        <row r="32">
          <cell r="C32" t="str">
            <v>Cable poder manguera led</v>
          </cell>
          <cell r="D32">
            <v>709</v>
          </cell>
          <cell r="E32" t="str">
            <v>Ml</v>
          </cell>
          <cell r="F32">
            <v>1428</v>
          </cell>
        </row>
        <row r="33">
          <cell r="C33" t="str">
            <v xml:space="preserve">Cable Cu THHN-2 # 12 AWG </v>
          </cell>
          <cell r="D33"/>
          <cell r="E33" t="str">
            <v>Ml</v>
          </cell>
          <cell r="F33">
            <v>1487.5</v>
          </cell>
        </row>
        <row r="34">
          <cell r="C34" t="str">
            <v xml:space="preserve">Cable Cu THHN-2 # 14 AWG </v>
          </cell>
          <cell r="D34"/>
          <cell r="E34" t="str">
            <v>Ml</v>
          </cell>
          <cell r="F34">
            <v>1309</v>
          </cell>
        </row>
        <row r="35">
          <cell r="C35" t="str">
            <v>Cable Aluminio THHW # 4 AWG S 8000</v>
          </cell>
          <cell r="D35">
            <v>10264</v>
          </cell>
          <cell r="E35" t="str">
            <v>Ml</v>
          </cell>
          <cell r="F35">
            <v>2142</v>
          </cell>
        </row>
        <row r="36">
          <cell r="C36" t="str">
            <v>Cable Aluminio THHW # 2 AWG S 8000</v>
          </cell>
          <cell r="D36">
            <v>9032</v>
          </cell>
          <cell r="E36" t="str">
            <v>Ml</v>
          </cell>
          <cell r="F36">
            <v>2669.6460000000002</v>
          </cell>
        </row>
        <row r="37">
          <cell r="C37" t="str">
            <v>Cable Aluminio THHW # 6 AWG S 8000</v>
          </cell>
          <cell r="D37">
            <v>4341</v>
          </cell>
          <cell r="E37" t="str">
            <v>Ml</v>
          </cell>
          <cell r="F37">
            <v>1025.78</v>
          </cell>
        </row>
        <row r="38">
          <cell r="C38" t="str">
            <v>Cable encauchetado 3 x 8 AWG</v>
          </cell>
          <cell r="D38">
            <v>704</v>
          </cell>
          <cell r="E38" t="str">
            <v>Ml</v>
          </cell>
          <cell r="F38">
            <v>21420</v>
          </cell>
        </row>
        <row r="39">
          <cell r="C39" t="str">
            <v>Cable encauchetado 3 x 10 AWG</v>
          </cell>
          <cell r="D39">
            <v>700</v>
          </cell>
          <cell r="E39" t="str">
            <v>Ml</v>
          </cell>
          <cell r="F39">
            <v>11400.199999999999</v>
          </cell>
        </row>
        <row r="40">
          <cell r="C40" t="str">
            <v>Cable encauchetado 3 x 12 AWG</v>
          </cell>
          <cell r="D40">
            <v>701</v>
          </cell>
          <cell r="E40" t="str">
            <v>Ml</v>
          </cell>
          <cell r="F40">
            <v>6499.78</v>
          </cell>
        </row>
        <row r="41">
          <cell r="C41" t="str">
            <v>Cable encauchetado 3 x 14 AWG</v>
          </cell>
          <cell r="D41">
            <v>6734</v>
          </cell>
          <cell r="E41" t="str">
            <v>Ml</v>
          </cell>
          <cell r="F41">
            <v>4522</v>
          </cell>
        </row>
        <row r="42">
          <cell r="C42" t="str">
            <v>Cable Cuadruplex 3 x 2 + 2 AWG Al autosoportado</v>
          </cell>
          <cell r="D42">
            <v>9490</v>
          </cell>
          <cell r="E42" t="str">
            <v>Ml</v>
          </cell>
          <cell r="F42">
            <v>13030.5</v>
          </cell>
        </row>
        <row r="43">
          <cell r="C43" t="str">
            <v>Cable Cuadruplex 3 x 4 + 4 AWG Al autosoportado</v>
          </cell>
          <cell r="D43">
            <v>9613</v>
          </cell>
          <cell r="E43" t="str">
            <v>Ml</v>
          </cell>
          <cell r="F43">
            <v>10293.5</v>
          </cell>
        </row>
        <row r="44">
          <cell r="C44" t="str">
            <v>Cable triplex 2 x 1/0 + 1/0 AWG Al autosoportado</v>
          </cell>
          <cell r="D44">
            <v>667</v>
          </cell>
          <cell r="E44" t="str">
            <v>Ml</v>
          </cell>
          <cell r="F44">
            <v>0</v>
          </cell>
        </row>
        <row r="45">
          <cell r="C45" t="str">
            <v>Cable triplex 2 x 2 + 2  AWG Al autosoportado</v>
          </cell>
          <cell r="D45">
            <v>719</v>
          </cell>
          <cell r="E45" t="str">
            <v>Ml</v>
          </cell>
          <cell r="F45">
            <v>8541.82</v>
          </cell>
        </row>
        <row r="46">
          <cell r="C46" t="str">
            <v>Cable triplex 2 x 4 + 4  AWG Al autosoportado</v>
          </cell>
          <cell r="D46">
            <v>670</v>
          </cell>
          <cell r="E46" t="str">
            <v>Ml</v>
          </cell>
          <cell r="F46">
            <v>5950</v>
          </cell>
        </row>
        <row r="47">
          <cell r="C47" t="str">
            <v>Cable concentrico aluminio 8+8</v>
          </cell>
          <cell r="D47"/>
          <cell r="E47" t="str">
            <v>Ml</v>
          </cell>
          <cell r="F47">
            <v>4165</v>
          </cell>
        </row>
        <row r="48">
          <cell r="C48" t="str">
            <v>Cable #6 Cu forrado AWG THHN/THWN-2, 90 C°, 600 V.</v>
          </cell>
          <cell r="D48">
            <v>7220</v>
          </cell>
          <cell r="E48" t="str">
            <v>Ml</v>
          </cell>
          <cell r="F48">
            <v>7437.5</v>
          </cell>
        </row>
        <row r="49">
          <cell r="C49" t="str">
            <v>Cable #8 Cu forrado AWG THHN/THWN-2, 90 C°, 600 V.</v>
          </cell>
          <cell r="D49">
            <v>687</v>
          </cell>
          <cell r="E49" t="str">
            <v>Ml</v>
          </cell>
          <cell r="F49">
            <v>3760.3999999999996</v>
          </cell>
        </row>
        <row r="50">
          <cell r="C50" t="str">
            <v>Cable de cu Desnudo # 2</v>
          </cell>
          <cell r="D50">
            <v>5385</v>
          </cell>
          <cell r="E50" t="str">
            <v>Ml</v>
          </cell>
          <cell r="F50">
            <v>10513.65</v>
          </cell>
        </row>
        <row r="51">
          <cell r="C51" t="str">
            <v>Cable de cu Desnudo # 8</v>
          </cell>
          <cell r="D51">
            <v>7325</v>
          </cell>
          <cell r="E51" t="str">
            <v>Ml</v>
          </cell>
          <cell r="F51">
            <v>2795.31</v>
          </cell>
        </row>
        <row r="52">
          <cell r="C52" t="str">
            <v>Caja radwelt octagonal - 3 salidas 3/4</v>
          </cell>
          <cell r="D52"/>
          <cell r="E52" t="str">
            <v>Und</v>
          </cell>
          <cell r="F52">
            <v>11662</v>
          </cell>
        </row>
        <row r="53">
          <cell r="C53" t="str">
            <v>Caja radwelt 2x2 - 3 salidas 3/4</v>
          </cell>
          <cell r="D53">
            <v>731</v>
          </cell>
          <cell r="E53" t="str">
            <v>Und</v>
          </cell>
          <cell r="F53">
            <v>10472</v>
          </cell>
        </row>
        <row r="54">
          <cell r="C54" t="str">
            <v>Caja radwelt 4x4 - 3 salidas 3/4</v>
          </cell>
          <cell r="D54">
            <v>734</v>
          </cell>
          <cell r="E54" t="str">
            <v>Und</v>
          </cell>
          <cell r="F54">
            <v>15232</v>
          </cell>
        </row>
        <row r="55">
          <cell r="C55" t="str">
            <v xml:space="preserve">Caja prefabricada de 30x30 cm </v>
          </cell>
          <cell r="D55">
            <v>6233</v>
          </cell>
          <cell r="E55" t="str">
            <v>Und</v>
          </cell>
          <cell r="F55">
            <v>96390</v>
          </cell>
        </row>
        <row r="56">
          <cell r="C56" t="str">
            <v xml:space="preserve">Caja prefabricada de 40x40 cm </v>
          </cell>
          <cell r="D56">
            <v>10971</v>
          </cell>
          <cell r="E56" t="str">
            <v>Und</v>
          </cell>
          <cell r="F56">
            <v>158270</v>
          </cell>
        </row>
        <row r="57">
          <cell r="C57" t="str">
            <v>Capacete galvanizado de 2"</v>
          </cell>
          <cell r="D57">
            <v>808</v>
          </cell>
          <cell r="E57" t="str">
            <v>Und</v>
          </cell>
          <cell r="F57">
            <v>11155.06</v>
          </cell>
        </row>
        <row r="58">
          <cell r="C58" t="str">
            <v>Capacete galvanizado de 1 1/2"</v>
          </cell>
          <cell r="D58">
            <v>9994</v>
          </cell>
          <cell r="E58" t="str">
            <v>Und</v>
          </cell>
          <cell r="F58">
            <v>6240.36</v>
          </cell>
        </row>
        <row r="59">
          <cell r="C59" t="str">
            <v>Capacete galvanizado de 1"</v>
          </cell>
          <cell r="D59">
            <v>809</v>
          </cell>
          <cell r="E59" t="str">
            <v>Und</v>
          </cell>
          <cell r="F59">
            <v>2499</v>
          </cell>
        </row>
        <row r="60">
          <cell r="C60" t="str">
            <v>Capacete galvanizado de 3/4"</v>
          </cell>
          <cell r="D60">
            <v>807</v>
          </cell>
          <cell r="E60" t="str">
            <v>Und</v>
          </cell>
          <cell r="F60">
            <v>2462.1099999999997</v>
          </cell>
        </row>
        <row r="61">
          <cell r="C61" t="str">
            <v>Cimentacion concreto 3000 psi</v>
          </cell>
          <cell r="D61"/>
          <cell r="E61" t="str">
            <v>Rollo</v>
          </cell>
          <cell r="F61">
            <v>115192</v>
          </cell>
        </row>
        <row r="62">
          <cell r="C62" t="str">
            <v>Cinta aislante  23</v>
          </cell>
          <cell r="D62">
            <v>971</v>
          </cell>
          <cell r="E62" t="str">
            <v>Rollo</v>
          </cell>
          <cell r="F62">
            <v>38199</v>
          </cell>
        </row>
        <row r="63">
          <cell r="C63" t="str">
            <v>Cinta aislante Super 33</v>
          </cell>
          <cell r="D63">
            <v>968</v>
          </cell>
          <cell r="E63" t="str">
            <v>Rollo</v>
          </cell>
          <cell r="F63">
            <v>16660</v>
          </cell>
        </row>
        <row r="64">
          <cell r="C64" t="str">
            <v xml:space="preserve">Cinta aislante temflex color rojo </v>
          </cell>
          <cell r="D64">
            <v>1007</v>
          </cell>
          <cell r="E64" t="str">
            <v>Rollo</v>
          </cell>
          <cell r="F64">
            <v>3267.145</v>
          </cell>
        </row>
        <row r="65">
          <cell r="C65" t="str">
            <v>Cinta aislante temflex color blanco</v>
          </cell>
          <cell r="D65">
            <v>1004</v>
          </cell>
          <cell r="E65" t="str">
            <v>Rollo</v>
          </cell>
          <cell r="F65">
            <v>3267.145</v>
          </cell>
        </row>
        <row r="66">
          <cell r="C66" t="str">
            <v>Cinta aislante temflex color verde</v>
          </cell>
          <cell r="D66">
            <v>1008</v>
          </cell>
          <cell r="E66" t="str">
            <v>Rollo</v>
          </cell>
          <cell r="F66">
            <v>3266.5499999999997</v>
          </cell>
        </row>
        <row r="67">
          <cell r="C67" t="str">
            <v>Cinta señalizacion Amarillo negro peligro</v>
          </cell>
          <cell r="D67">
            <v>998</v>
          </cell>
          <cell r="E67" t="str">
            <v>Rollo</v>
          </cell>
          <cell r="F67">
            <v>20230</v>
          </cell>
        </row>
        <row r="68">
          <cell r="C68" t="str">
            <v>Cinta bandit 1/2" en acero marca eagle o similar</v>
          </cell>
          <cell r="D68">
            <v>7324</v>
          </cell>
          <cell r="E68" t="str">
            <v>Ml</v>
          </cell>
          <cell r="F68">
            <v>1720.7756999999999</v>
          </cell>
        </row>
        <row r="69">
          <cell r="C69" t="str">
            <v>Cinta bandit 5/8" en acero marca eagle o similar</v>
          </cell>
          <cell r="D69">
            <v>973</v>
          </cell>
          <cell r="E69" t="str">
            <v>Ml</v>
          </cell>
          <cell r="F69">
            <v>2082.5</v>
          </cell>
        </row>
        <row r="70">
          <cell r="C70" t="str">
            <v>Cinta bandit 3/4" en acero marca eagle o similar</v>
          </cell>
          <cell r="D70">
            <v>972</v>
          </cell>
          <cell r="E70" t="str">
            <v>Ml</v>
          </cell>
          <cell r="F70">
            <v>3110.66</v>
          </cell>
        </row>
        <row r="71">
          <cell r="C71" t="str">
            <v>Collarin de 5" a 6" una salida con tornillos 5/8 x 4"</v>
          </cell>
          <cell r="D71">
            <v>5360</v>
          </cell>
          <cell r="E71" t="str">
            <v>Und</v>
          </cell>
          <cell r="F71">
            <v>14042</v>
          </cell>
        </row>
        <row r="72">
          <cell r="C72" t="str">
            <v>Collarin de 5" a 6" dos salidas con tornillos 5/8 x 4"</v>
          </cell>
          <cell r="D72">
            <v>6740</v>
          </cell>
          <cell r="E72" t="str">
            <v>Und</v>
          </cell>
          <cell r="F72">
            <v>14339.5</v>
          </cell>
        </row>
        <row r="73">
          <cell r="C73" t="str">
            <v>Collarin de 6" a 7" una salida con tornillos 5/8 x 4"</v>
          </cell>
          <cell r="D73">
            <v>9607</v>
          </cell>
          <cell r="E73" t="str">
            <v>Und</v>
          </cell>
          <cell r="F73">
            <v>15351</v>
          </cell>
        </row>
        <row r="74">
          <cell r="C74" t="str">
            <v>Collarin de 6" a 7" dos salidas con tornillos 5/8 x 4"</v>
          </cell>
          <cell r="D74">
            <v>9604</v>
          </cell>
          <cell r="E74" t="str">
            <v>Und</v>
          </cell>
          <cell r="F74">
            <v>15922.199999999999</v>
          </cell>
        </row>
        <row r="75">
          <cell r="C75" t="str">
            <v>Collarin de 7" a 8" una salida con tornillos 5/8 x 10"</v>
          </cell>
          <cell r="D75">
            <v>1124</v>
          </cell>
          <cell r="E75" t="str">
            <v>Und</v>
          </cell>
          <cell r="F75">
            <v>15940.05</v>
          </cell>
        </row>
        <row r="76">
          <cell r="C76" t="str">
            <v>Collarin de 7" a 8" dos salidas con tornillos 5/8 x 10"</v>
          </cell>
          <cell r="D76">
            <v>7446</v>
          </cell>
          <cell r="E76" t="str">
            <v>Und</v>
          </cell>
          <cell r="F76">
            <v>16065</v>
          </cell>
        </row>
        <row r="77">
          <cell r="C77" t="str">
            <v>Collarin de 8" a 9" Una salida con tornillos 5/8 x 4"</v>
          </cell>
          <cell r="D77">
            <v>1125</v>
          </cell>
          <cell r="E77" t="str">
            <v>Und</v>
          </cell>
          <cell r="F77">
            <v>17731</v>
          </cell>
        </row>
        <row r="78">
          <cell r="C78" t="str">
            <v>Collarin de 8" a 9" dos salidas con tornillos 5/8 x 4"</v>
          </cell>
          <cell r="D78">
            <v>7447</v>
          </cell>
          <cell r="E78" t="str">
            <v>Und</v>
          </cell>
          <cell r="F78">
            <v>18088</v>
          </cell>
        </row>
        <row r="79">
          <cell r="C79" t="str">
            <v>Collarin para transformador</v>
          </cell>
          <cell r="D79">
            <v>1134</v>
          </cell>
          <cell r="E79" t="str">
            <v>Und</v>
          </cell>
          <cell r="F79">
            <v>27608</v>
          </cell>
        </row>
        <row r="80">
          <cell r="C80" t="str">
            <v>Platina de sujeccion para retenida</v>
          </cell>
          <cell r="D80">
            <v>2902</v>
          </cell>
          <cell r="E80" t="str">
            <v>Und</v>
          </cell>
          <cell r="F80">
            <v>13328</v>
          </cell>
        </row>
        <row r="81">
          <cell r="C81" t="str">
            <v>Collarin antiescalante</v>
          </cell>
          <cell r="D81">
            <v>5633</v>
          </cell>
          <cell r="E81" t="str">
            <v>Und</v>
          </cell>
          <cell r="F81">
            <v>15351</v>
          </cell>
        </row>
        <row r="82">
          <cell r="C82" t="str">
            <v>Conector de perforación CP120</v>
          </cell>
          <cell r="D82">
            <v>6742</v>
          </cell>
          <cell r="E82" t="str">
            <v>Und</v>
          </cell>
          <cell r="F82">
            <v>10353</v>
          </cell>
        </row>
        <row r="83">
          <cell r="C83" t="str">
            <v>Conector de perforación CP70</v>
          </cell>
          <cell r="D83">
            <v>1193</v>
          </cell>
          <cell r="E83" t="str">
            <v>Und</v>
          </cell>
          <cell r="F83">
            <v>6699.7</v>
          </cell>
        </row>
        <row r="84">
          <cell r="C84" t="str">
            <v>Conector ponchable AP1</v>
          </cell>
          <cell r="D84">
            <v>6555</v>
          </cell>
          <cell r="E84" t="str">
            <v>Und</v>
          </cell>
          <cell r="F84">
            <v>1547</v>
          </cell>
        </row>
        <row r="85">
          <cell r="C85" t="str">
            <v>Conector ponchable AP2</v>
          </cell>
          <cell r="D85">
            <v>1209</v>
          </cell>
          <cell r="E85" t="str">
            <v>Und</v>
          </cell>
          <cell r="F85">
            <v>1904</v>
          </cell>
        </row>
        <row r="86">
          <cell r="C86" t="str">
            <v>Conector ponchable en gel 6-2/ 14-8</v>
          </cell>
          <cell r="D86">
            <v>6735</v>
          </cell>
          <cell r="E86" t="str">
            <v>Und</v>
          </cell>
          <cell r="F86">
            <v>27009.43</v>
          </cell>
        </row>
        <row r="87">
          <cell r="C87" t="str">
            <v>Conector resorte rojo</v>
          </cell>
          <cell r="D87">
            <v>1221</v>
          </cell>
          <cell r="E87" t="str">
            <v>Und</v>
          </cell>
          <cell r="F87">
            <v>193.97</v>
          </cell>
        </row>
        <row r="88">
          <cell r="C88" t="str">
            <v>Conector recto coraza 1 1/2"</v>
          </cell>
          <cell r="D88">
            <v>1203</v>
          </cell>
          <cell r="E88" t="str">
            <v>Und</v>
          </cell>
          <cell r="F88">
            <v>7984.9</v>
          </cell>
        </row>
        <row r="89">
          <cell r="C89" t="str">
            <v>Conector recto coraza 1"</v>
          </cell>
          <cell r="D89">
            <v>1202</v>
          </cell>
          <cell r="E89" t="str">
            <v>Und</v>
          </cell>
          <cell r="F89">
            <v>5414.5</v>
          </cell>
        </row>
        <row r="90">
          <cell r="C90" t="str">
            <v>Coraza LT 1 1/2"</v>
          </cell>
          <cell r="D90">
            <v>1249</v>
          </cell>
          <cell r="E90" t="str">
            <v>Ml</v>
          </cell>
          <cell r="F90">
            <v>11305</v>
          </cell>
        </row>
        <row r="91">
          <cell r="C91" t="str">
            <v>Coraza LT 1"</v>
          </cell>
          <cell r="D91">
            <v>1251</v>
          </cell>
          <cell r="E91" t="str">
            <v>Ml</v>
          </cell>
          <cell r="F91">
            <v>7021</v>
          </cell>
        </row>
        <row r="92">
          <cell r="C92" t="str">
            <v>Cruceta metalica autosoportada de 1,5 m</v>
          </cell>
          <cell r="D92">
            <v>9282</v>
          </cell>
          <cell r="E92" t="str">
            <v>Und</v>
          </cell>
          <cell r="F92">
            <v>100257.5</v>
          </cell>
        </row>
        <row r="93">
          <cell r="C93" t="str">
            <v>Cruceta metalica autosoportada de 2,4 m</v>
          </cell>
          <cell r="D93">
            <v>1288</v>
          </cell>
          <cell r="E93" t="str">
            <v>Und</v>
          </cell>
          <cell r="F93">
            <v>165000.04499999998</v>
          </cell>
        </row>
        <row r="94">
          <cell r="C94" t="str">
            <v xml:space="preserve">Conduleta  1 1/2 LB                </v>
          </cell>
          <cell r="D94">
            <v>1163</v>
          </cell>
          <cell r="E94" t="str">
            <v>Und</v>
          </cell>
          <cell r="F94">
            <v>22848</v>
          </cell>
        </row>
        <row r="95">
          <cell r="C95" t="str">
            <v xml:space="preserve">Conduleta 1 1/2 LL                 </v>
          </cell>
          <cell r="D95">
            <v>1164</v>
          </cell>
          <cell r="E95" t="str">
            <v>Und</v>
          </cell>
          <cell r="F95">
            <v>22848</v>
          </cell>
        </row>
        <row r="96">
          <cell r="C96" t="str">
            <v xml:space="preserve">Conduleta 1 1/2 C </v>
          </cell>
          <cell r="D96">
            <v>5596</v>
          </cell>
          <cell r="E96" t="str">
            <v>Und</v>
          </cell>
          <cell r="F96">
            <v>22848</v>
          </cell>
        </row>
        <row r="97">
          <cell r="C97" t="str">
            <v>Conduleta 1 1/2 LR</v>
          </cell>
          <cell r="D97">
            <v>5600</v>
          </cell>
          <cell r="E97" t="str">
            <v>Und</v>
          </cell>
          <cell r="F97">
            <v>22848</v>
          </cell>
        </row>
        <row r="98">
          <cell r="C98" t="str">
            <v xml:space="preserve">Conduleta  1  LB                </v>
          </cell>
          <cell r="D98">
            <v>1167</v>
          </cell>
          <cell r="E98" t="str">
            <v>Und</v>
          </cell>
          <cell r="F98">
            <v>21816.27</v>
          </cell>
        </row>
        <row r="99">
          <cell r="C99" t="str">
            <v xml:space="preserve">Conduleta 1  T </v>
          </cell>
          <cell r="D99">
            <v>10299</v>
          </cell>
          <cell r="E99" t="str">
            <v>Und</v>
          </cell>
          <cell r="F99">
            <v>21816.27</v>
          </cell>
        </row>
        <row r="100">
          <cell r="C100" t="str">
            <v>Conduleta 1 LR</v>
          </cell>
          <cell r="D100">
            <v>4397</v>
          </cell>
          <cell r="E100" t="str">
            <v>Und</v>
          </cell>
          <cell r="F100">
            <v>21816.27</v>
          </cell>
        </row>
        <row r="101">
          <cell r="C101" t="str">
            <v xml:space="preserve">Conduleta  3/4  LB                </v>
          </cell>
          <cell r="D101">
            <v>1180</v>
          </cell>
          <cell r="E101" t="str">
            <v>Und</v>
          </cell>
          <cell r="F101">
            <v>17850</v>
          </cell>
        </row>
        <row r="102">
          <cell r="C102" t="str">
            <v xml:space="preserve">Conduleta 3/4  T </v>
          </cell>
          <cell r="D102">
            <v>1182</v>
          </cell>
          <cell r="E102" t="str">
            <v>Und</v>
          </cell>
          <cell r="F102">
            <v>17850</v>
          </cell>
        </row>
        <row r="103">
          <cell r="C103" t="str">
            <v>Conduleta 3/4 LR</v>
          </cell>
          <cell r="D103">
            <v>1181</v>
          </cell>
          <cell r="E103" t="str">
            <v>Und</v>
          </cell>
          <cell r="F103">
            <v>17850</v>
          </cell>
        </row>
        <row r="104">
          <cell r="C104" t="str">
            <v xml:space="preserve">Conduleta  1/2  LB                </v>
          </cell>
          <cell r="D104">
            <v>1170</v>
          </cell>
          <cell r="E104" t="str">
            <v>Und</v>
          </cell>
          <cell r="F104">
            <v>6307</v>
          </cell>
        </row>
        <row r="105">
          <cell r="C105" t="str">
            <v xml:space="preserve">Conduleta 1/2  T </v>
          </cell>
          <cell r="D105">
            <v>1175</v>
          </cell>
          <cell r="E105" t="str">
            <v>Und</v>
          </cell>
          <cell r="F105">
            <v>6307</v>
          </cell>
        </row>
        <row r="106">
          <cell r="C106" t="str">
            <v>Conduleta 1/2 LR</v>
          </cell>
          <cell r="D106">
            <v>1172</v>
          </cell>
          <cell r="E106" t="str">
            <v>Und</v>
          </cell>
          <cell r="F106">
            <v>6307</v>
          </cell>
        </row>
        <row r="107">
          <cell r="C107" t="str">
            <v>Conector amovible P 4/0 - 2  S 6-4/0</v>
          </cell>
          <cell r="D107">
            <v>1185</v>
          </cell>
          <cell r="E107" t="str">
            <v>Und</v>
          </cell>
          <cell r="F107">
            <v>17850</v>
          </cell>
        </row>
        <row r="108">
          <cell r="C108" t="str">
            <v>Conector ampac con estribo 1/0-2/0</v>
          </cell>
          <cell r="D108">
            <v>1587</v>
          </cell>
          <cell r="E108" t="str">
            <v>Und</v>
          </cell>
          <cell r="F108">
            <v>15589</v>
          </cell>
        </row>
        <row r="109">
          <cell r="C109" t="str">
            <v xml:space="preserve">Conector varilla / Cable cobre </v>
          </cell>
          <cell r="D109">
            <v>8653</v>
          </cell>
          <cell r="E109" t="str">
            <v>Und</v>
          </cell>
          <cell r="F109">
            <v>4165</v>
          </cell>
        </row>
        <row r="110">
          <cell r="C110" t="str">
            <v>Conector Emt 1/2"</v>
          </cell>
          <cell r="D110"/>
          <cell r="E110" t="str">
            <v>Und</v>
          </cell>
          <cell r="F110">
            <v>773.5</v>
          </cell>
        </row>
        <row r="111">
          <cell r="C111" t="str">
            <v>Conector Emt 1"</v>
          </cell>
          <cell r="D111"/>
          <cell r="E111" t="str">
            <v>Und</v>
          </cell>
          <cell r="F111">
            <v>1963.5</v>
          </cell>
        </row>
        <row r="112">
          <cell r="C112" t="str">
            <v>Conector PVC 2"</v>
          </cell>
          <cell r="D112">
            <v>8213</v>
          </cell>
          <cell r="E112" t="str">
            <v>Und</v>
          </cell>
          <cell r="F112">
            <v>0</v>
          </cell>
        </row>
        <row r="113">
          <cell r="C113" t="str">
            <v>Conector PVC 1 1/2"</v>
          </cell>
          <cell r="D113">
            <v>7205</v>
          </cell>
          <cell r="E113" t="str">
            <v>Und</v>
          </cell>
          <cell r="F113">
            <v>0</v>
          </cell>
        </row>
        <row r="114">
          <cell r="C114" t="str">
            <v>Conector PVC 1"</v>
          </cell>
          <cell r="D114">
            <v>7207</v>
          </cell>
          <cell r="E114" t="str">
            <v>Und</v>
          </cell>
          <cell r="F114">
            <v>0</v>
          </cell>
        </row>
        <row r="115">
          <cell r="C115" t="str">
            <v>Conector PVC 3/4"</v>
          </cell>
          <cell r="D115">
            <v>7203</v>
          </cell>
          <cell r="E115" t="str">
            <v>Und</v>
          </cell>
          <cell r="F115">
            <v>0</v>
          </cell>
        </row>
        <row r="116">
          <cell r="C116" t="str">
            <v>Conector tipo H</v>
          </cell>
          <cell r="D116">
            <v>9617</v>
          </cell>
          <cell r="E116" t="str">
            <v>Und</v>
          </cell>
          <cell r="F116">
            <v>1071</v>
          </cell>
        </row>
        <row r="117">
          <cell r="C117" t="str">
            <v>Conector compresion cobre 2-2</v>
          </cell>
          <cell r="D117">
            <v>1194</v>
          </cell>
          <cell r="E117" t="str">
            <v>Und</v>
          </cell>
          <cell r="F117">
            <v>7735</v>
          </cell>
        </row>
        <row r="118">
          <cell r="C118" t="str">
            <v xml:space="preserve">Cortacircuito completo 15KVA 200A               </v>
          </cell>
          <cell r="D118">
            <v>1268</v>
          </cell>
          <cell r="E118" t="str">
            <v>Und</v>
          </cell>
          <cell r="F118">
            <v>357000</v>
          </cell>
        </row>
        <row r="119">
          <cell r="C119" t="str">
            <v>Contrapeso tipo tuerca de ojo</v>
          </cell>
          <cell r="D119">
            <v>6733</v>
          </cell>
          <cell r="E119" t="str">
            <v>Und</v>
          </cell>
          <cell r="F119">
            <v>8330</v>
          </cell>
        </row>
        <row r="120">
          <cell r="C120" t="str">
            <v>Curva PVC pesada de 2"</v>
          </cell>
          <cell r="D120">
            <v>1316</v>
          </cell>
          <cell r="E120" t="str">
            <v>Und</v>
          </cell>
          <cell r="F120">
            <v>5355</v>
          </cell>
        </row>
        <row r="121">
          <cell r="C121" t="str">
            <v>Curva PVC pesada de 1 1/2"</v>
          </cell>
          <cell r="D121">
            <v>1312</v>
          </cell>
          <cell r="E121" t="str">
            <v>Und</v>
          </cell>
          <cell r="F121">
            <v>2737</v>
          </cell>
        </row>
        <row r="122">
          <cell r="C122" t="str">
            <v>Curva PVC pesada de 1"</v>
          </cell>
          <cell r="D122">
            <v>1314</v>
          </cell>
          <cell r="E122" t="str">
            <v>Und</v>
          </cell>
          <cell r="F122">
            <v>1011.5</v>
          </cell>
        </row>
        <row r="123">
          <cell r="C123" t="str">
            <v>Curva PVC pesada de 3/4"</v>
          </cell>
          <cell r="D123">
            <v>1318</v>
          </cell>
          <cell r="E123" t="str">
            <v>Und</v>
          </cell>
          <cell r="F123">
            <v>1142.3999999999999</v>
          </cell>
        </row>
        <row r="124">
          <cell r="C124" t="str">
            <v>Descargadores de sobretension de 15Kv</v>
          </cell>
          <cell r="D124">
            <v>9487</v>
          </cell>
          <cell r="E124" t="str">
            <v>Und</v>
          </cell>
          <cell r="F124">
            <v>123462.5</v>
          </cell>
        </row>
        <row r="125">
          <cell r="C125" t="str">
            <v>Esparrago de 5/8 x 12"</v>
          </cell>
          <cell r="D125">
            <v>1549</v>
          </cell>
          <cell r="E125" t="str">
            <v>Und</v>
          </cell>
          <cell r="F125">
            <v>9520</v>
          </cell>
        </row>
        <row r="126">
          <cell r="C126" t="str">
            <v>Esparrago de 5/8 x 18"</v>
          </cell>
          <cell r="D126">
            <v>1550</v>
          </cell>
          <cell r="E126" t="str">
            <v>Und</v>
          </cell>
          <cell r="F126">
            <v>0</v>
          </cell>
        </row>
        <row r="127">
          <cell r="C127" t="str">
            <v>Escuadra 90 grados recta en acero o niquel de 50x50 mm</v>
          </cell>
          <cell r="D127">
            <v>10970</v>
          </cell>
          <cell r="E127" t="str">
            <v>Und</v>
          </cell>
          <cell r="F127">
            <v>0</v>
          </cell>
        </row>
        <row r="128">
          <cell r="C128" t="str">
            <v>Fotocelda</v>
          </cell>
          <cell r="D128">
            <v>1700</v>
          </cell>
          <cell r="E128" t="str">
            <v>Und</v>
          </cell>
          <cell r="F128">
            <v>10472</v>
          </cell>
        </row>
        <row r="129">
          <cell r="C129" t="str">
            <v>Fusible de expulsión 0.4 (SR) tipo D</v>
          </cell>
          <cell r="D129">
            <v>1716</v>
          </cell>
          <cell r="E129" t="str">
            <v>Und</v>
          </cell>
          <cell r="F129">
            <v>12138</v>
          </cell>
        </row>
        <row r="130">
          <cell r="C130" t="str">
            <v>Fusible de expulsión 2 (VS)</v>
          </cell>
          <cell r="D130">
            <v>1714</v>
          </cell>
          <cell r="E130" t="str">
            <v>Und</v>
          </cell>
          <cell r="F130">
            <v>13090</v>
          </cell>
        </row>
        <row r="131">
          <cell r="C131" t="str">
            <v>Grapa tipo pistola 1/0</v>
          </cell>
          <cell r="D131">
            <v>1798</v>
          </cell>
          <cell r="E131" t="str">
            <v>Und</v>
          </cell>
          <cell r="F131">
            <v>36890</v>
          </cell>
        </row>
        <row r="132">
          <cell r="C132" t="str">
            <v>Grapa tres pernos 1 1/2 x 3/8</v>
          </cell>
          <cell r="D132">
            <v>11148</v>
          </cell>
          <cell r="E132" t="str">
            <v>Und</v>
          </cell>
          <cell r="F132">
            <v>10472</v>
          </cell>
        </row>
        <row r="133">
          <cell r="C133" t="str">
            <v>Grillete largo recto 5/8</v>
          </cell>
          <cell r="D133">
            <v>1811</v>
          </cell>
          <cell r="E133" t="str">
            <v>Und</v>
          </cell>
          <cell r="F133">
            <v>12999.9527</v>
          </cell>
        </row>
        <row r="134">
          <cell r="C134" t="str">
            <v>Guardacabo 5/8</v>
          </cell>
          <cell r="D134">
            <v>1837</v>
          </cell>
          <cell r="E134" t="str">
            <v>Und</v>
          </cell>
          <cell r="F134">
            <v>1323.28</v>
          </cell>
        </row>
        <row r="135">
          <cell r="C135" t="str">
            <v>Hebilla bandit 5/8"</v>
          </cell>
          <cell r="D135">
            <v>1852</v>
          </cell>
          <cell r="E135" t="str">
            <v>Und</v>
          </cell>
          <cell r="F135">
            <v>642.6</v>
          </cell>
        </row>
        <row r="136">
          <cell r="C136" t="str">
            <v>Hebilla bandit 1/2"</v>
          </cell>
          <cell r="D136">
            <v>6124</v>
          </cell>
          <cell r="E136" t="str">
            <v>Und</v>
          </cell>
          <cell r="F136">
            <v>421.26</v>
          </cell>
        </row>
        <row r="137">
          <cell r="C137" t="str">
            <v>Hebilla bandit 3/4"</v>
          </cell>
          <cell r="D137">
            <v>1851</v>
          </cell>
          <cell r="E137" t="str">
            <v>Und</v>
          </cell>
          <cell r="F137">
            <v>571.19999999999993</v>
          </cell>
        </row>
        <row r="138">
          <cell r="C138" t="str">
            <v>Kit stavol para SPT</v>
          </cell>
          <cell r="D138">
            <v>1965</v>
          </cell>
          <cell r="E138" t="str">
            <v>Und</v>
          </cell>
          <cell r="F138">
            <v>181475</v>
          </cell>
        </row>
        <row r="139">
          <cell r="C139" t="str">
            <v>Reflector Metal Halide 100w</v>
          </cell>
          <cell r="D139"/>
          <cell r="E139" t="str">
            <v>Und</v>
          </cell>
          <cell r="F139">
            <v>309740.62470513064</v>
          </cell>
        </row>
        <row r="140">
          <cell r="C140" t="str">
            <v>Reflector Metal Halide 150w</v>
          </cell>
          <cell r="D140"/>
          <cell r="E140" t="str">
            <v>Und</v>
          </cell>
          <cell r="F140">
            <v>390470.89391019131</v>
          </cell>
        </row>
        <row r="141">
          <cell r="C141" t="str">
            <v>Reflector Metal Halide 250w</v>
          </cell>
          <cell r="D141"/>
          <cell r="E141" t="str">
            <v>Und</v>
          </cell>
          <cell r="F141">
            <v>851786.71793910919</v>
          </cell>
        </row>
        <row r="142">
          <cell r="C142" t="str">
            <v>Reflector Metal Halide 400w</v>
          </cell>
          <cell r="D142"/>
          <cell r="E142" t="str">
            <v>Und</v>
          </cell>
          <cell r="F142">
            <v>823613.50154305762</v>
          </cell>
        </row>
        <row r="143">
          <cell r="C143" t="str">
            <v>Reflector Metal Halide 1000w</v>
          </cell>
          <cell r="D143"/>
          <cell r="E143" t="str">
            <v>Und</v>
          </cell>
          <cell r="F143">
            <v>1713458.7749645528</v>
          </cell>
        </row>
        <row r="144">
          <cell r="C144" t="str">
            <v>Luminaria Sodio 70w</v>
          </cell>
          <cell r="D144"/>
          <cell r="E144" t="str">
            <v>Und</v>
          </cell>
          <cell r="F144">
            <v>488665.2621677753</v>
          </cell>
        </row>
        <row r="145">
          <cell r="C145" t="str">
            <v>Luminaria Sodio 150w</v>
          </cell>
          <cell r="D145"/>
          <cell r="E145" t="str">
            <v>Und</v>
          </cell>
          <cell r="F145">
            <v>520627.85854692169</v>
          </cell>
        </row>
        <row r="146">
          <cell r="C146" t="str">
            <v>Luminaria Sodio 250w</v>
          </cell>
          <cell r="D146"/>
          <cell r="E146" t="str">
            <v>Und</v>
          </cell>
          <cell r="F146">
            <v>593120.34518003743</v>
          </cell>
        </row>
        <row r="147">
          <cell r="C147" t="str">
            <v>Luminaria Sodio 400w</v>
          </cell>
          <cell r="D147"/>
          <cell r="E147" t="str">
            <v>Und</v>
          </cell>
          <cell r="F147">
            <v>662317.71878437512</v>
          </cell>
        </row>
        <row r="148">
          <cell r="C148" t="str">
            <v>Farol con luminaria sodio 70w</v>
          </cell>
          <cell r="D148"/>
          <cell r="E148" t="str">
            <v>Und</v>
          </cell>
          <cell r="F148">
            <v>1003361.9172628967</v>
          </cell>
        </row>
        <row r="149">
          <cell r="C149" t="str">
            <v>Farol con luminaria sodio 150w</v>
          </cell>
          <cell r="D149"/>
          <cell r="E149" t="str">
            <v>Und</v>
          </cell>
          <cell r="F149">
            <v>1070911.7343528452</v>
          </cell>
        </row>
        <row r="150">
          <cell r="C150" t="str">
            <v>Farol con luminaria incandescente 100w</v>
          </cell>
          <cell r="D150"/>
          <cell r="E150" t="str">
            <v>Und</v>
          </cell>
          <cell r="F150">
            <v>985238.79560461803</v>
          </cell>
        </row>
        <row r="151">
          <cell r="C151" t="str">
            <v>Luminaria con bombillo incandescente 100w</v>
          </cell>
          <cell r="D151"/>
          <cell r="E151" t="str">
            <v>Und</v>
          </cell>
          <cell r="F151">
            <v>311388.18121951964</v>
          </cell>
        </row>
        <row r="152">
          <cell r="C152" t="str">
            <v>Luminaria Mercurio 100w</v>
          </cell>
          <cell r="D152"/>
          <cell r="E152" t="str">
            <v>Und</v>
          </cell>
          <cell r="F152">
            <v>411889.12859724817</v>
          </cell>
        </row>
        <row r="153">
          <cell r="C153" t="str">
            <v>Luminaria Mixta 160w</v>
          </cell>
          <cell r="D153"/>
          <cell r="E153" t="str">
            <v>Und</v>
          </cell>
          <cell r="F153">
            <v>436931.98761596082</v>
          </cell>
        </row>
        <row r="154">
          <cell r="C154" t="str">
            <v>Farol con luminaria fluorescente 32w</v>
          </cell>
          <cell r="D154"/>
          <cell r="E154" t="str">
            <v>Und</v>
          </cell>
          <cell r="F154">
            <v>522275.41506131086</v>
          </cell>
        </row>
        <row r="155">
          <cell r="C155" t="str">
            <v>Luminaria con bombillo led 20w</v>
          </cell>
          <cell r="D155"/>
          <cell r="E155" t="str">
            <v>Und</v>
          </cell>
          <cell r="F155">
            <v>228480</v>
          </cell>
        </row>
        <row r="156">
          <cell r="C156" t="str">
            <v>Luminaria con bombillo fluorescente 32w</v>
          </cell>
          <cell r="D156"/>
          <cell r="E156" t="str">
            <v>Und</v>
          </cell>
          <cell r="F156">
            <v>222749.64074539187</v>
          </cell>
        </row>
        <row r="157">
          <cell r="C157" t="str">
            <v>Luminaria con bombillo fluorescente 45w</v>
          </cell>
          <cell r="D157"/>
          <cell r="E157" t="str">
            <v>Und</v>
          </cell>
          <cell r="F157">
            <v>257348.32754756068</v>
          </cell>
        </row>
        <row r="158">
          <cell r="C158" t="str">
            <v>Luminaria con bombillo fluorescente 80w</v>
          </cell>
          <cell r="D158"/>
          <cell r="E158" t="str">
            <v>Und</v>
          </cell>
          <cell r="F158">
            <v>278272.29528030095</v>
          </cell>
        </row>
        <row r="159">
          <cell r="C159"/>
          <cell r="D159"/>
          <cell r="E159" t="str">
            <v>Und</v>
          </cell>
          <cell r="F159">
            <v>0</v>
          </cell>
        </row>
        <row r="160">
          <cell r="C160" t="str">
            <v>Luminaria Led 150W Kingsun</v>
          </cell>
          <cell r="D160">
            <v>4966</v>
          </cell>
          <cell r="E160" t="str">
            <v>Und</v>
          </cell>
          <cell r="F160">
            <v>1797405.75</v>
          </cell>
        </row>
        <row r="161">
          <cell r="C161" t="str">
            <v>Luminaria Led 106,5W</v>
          </cell>
          <cell r="D161">
            <v>9508</v>
          </cell>
          <cell r="E161" t="str">
            <v>Und</v>
          </cell>
          <cell r="F161">
            <v>0</v>
          </cell>
        </row>
        <row r="162">
          <cell r="C162" t="str">
            <v>Luminaria Led 120,4W</v>
          </cell>
          <cell r="D162">
            <v>9509</v>
          </cell>
          <cell r="E162" t="str">
            <v>Und</v>
          </cell>
          <cell r="F162">
            <v>0</v>
          </cell>
        </row>
        <row r="163">
          <cell r="C163" t="str">
            <v>Luminaria Led 110W Kingsun</v>
          </cell>
          <cell r="D163">
            <v>5404</v>
          </cell>
          <cell r="E163" t="str">
            <v>Und</v>
          </cell>
          <cell r="F163">
            <v>1366120</v>
          </cell>
        </row>
        <row r="164">
          <cell r="C164" t="str">
            <v>Luminaria Led 30w Sylvania</v>
          </cell>
          <cell r="D164"/>
          <cell r="E164" t="str">
            <v>Und</v>
          </cell>
          <cell r="F164">
            <v>321300</v>
          </cell>
        </row>
        <row r="165">
          <cell r="C165" t="str">
            <v>Luminaria Led 60w Sylvania</v>
          </cell>
          <cell r="D165"/>
          <cell r="E165" t="str">
            <v>Und</v>
          </cell>
          <cell r="F165">
            <v>368900</v>
          </cell>
        </row>
        <row r="166">
          <cell r="C166" t="str">
            <v>Luminaria Led 35w Kingsun</v>
          </cell>
          <cell r="D166">
            <v>4962</v>
          </cell>
          <cell r="E166" t="str">
            <v>Und</v>
          </cell>
          <cell r="F166">
            <v>927010</v>
          </cell>
        </row>
        <row r="167">
          <cell r="C167" t="str">
            <v>Luminaria Led 52w Kingsun</v>
          </cell>
          <cell r="D167">
            <v>5402</v>
          </cell>
          <cell r="E167" t="str">
            <v>Und</v>
          </cell>
          <cell r="F167">
            <v>951405</v>
          </cell>
        </row>
        <row r="168">
          <cell r="C168" t="str">
            <v>Luminaria Led 75w Kingsun</v>
          </cell>
          <cell r="D168">
            <v>4964</v>
          </cell>
          <cell r="E168" t="str">
            <v>Und</v>
          </cell>
          <cell r="F168">
            <v>975800</v>
          </cell>
        </row>
        <row r="169">
          <cell r="C169" t="str">
            <v>Luminaria farol LED 31w</v>
          </cell>
          <cell r="D169">
            <v>5399</v>
          </cell>
          <cell r="E169" t="str">
            <v>Und</v>
          </cell>
          <cell r="F169">
            <v>2341920</v>
          </cell>
        </row>
        <row r="170">
          <cell r="C170" t="str">
            <v>Luminaria farol LED 62w</v>
          </cell>
          <cell r="D170">
            <v>5400</v>
          </cell>
          <cell r="E170" t="str">
            <v>Und</v>
          </cell>
          <cell r="F170">
            <v>2439500</v>
          </cell>
        </row>
        <row r="171">
          <cell r="C171" t="str">
            <v>Cinta led de 3,6w x 1m - 240V</v>
          </cell>
          <cell r="D171">
            <v>983</v>
          </cell>
          <cell r="E171" t="str">
            <v>Ml</v>
          </cell>
          <cell r="F171">
            <v>8854.7899999999991</v>
          </cell>
        </row>
        <row r="172">
          <cell r="C172" t="str">
            <v>Medidor Monofasico 480/240</v>
          </cell>
          <cell r="D172">
            <v>8991</v>
          </cell>
          <cell r="E172" t="str">
            <v>Und</v>
          </cell>
          <cell r="F172">
            <v>773799.88</v>
          </cell>
        </row>
        <row r="173">
          <cell r="C173" t="str">
            <v>Medidor Trifasico 480/240</v>
          </cell>
          <cell r="D173">
            <v>2513</v>
          </cell>
          <cell r="E173" t="str">
            <v>Und</v>
          </cell>
          <cell r="F173">
            <v>963900</v>
          </cell>
        </row>
        <row r="174">
          <cell r="C174" t="str">
            <v>breaker 2 polo 15 amperios riel</v>
          </cell>
          <cell r="D174">
            <v>490</v>
          </cell>
          <cell r="E174" t="str">
            <v>Und</v>
          </cell>
          <cell r="F174">
            <v>26299</v>
          </cell>
        </row>
        <row r="175">
          <cell r="C175" t="str">
            <v>breaker 2 polo 20 amperios riel</v>
          </cell>
          <cell r="D175">
            <v>491</v>
          </cell>
          <cell r="E175" t="str">
            <v>Und</v>
          </cell>
          <cell r="F175">
            <v>26299</v>
          </cell>
        </row>
        <row r="176">
          <cell r="C176" t="str">
            <v>breaker 2 polo 40 amperios riel</v>
          </cell>
          <cell r="D176">
            <v>495</v>
          </cell>
          <cell r="E176" t="str">
            <v>Und</v>
          </cell>
          <cell r="F176">
            <v>44987.95</v>
          </cell>
        </row>
        <row r="177">
          <cell r="C177" t="str">
            <v>breaker 2 polo 60 amperios riel</v>
          </cell>
          <cell r="D177">
            <v>496</v>
          </cell>
          <cell r="E177" t="str">
            <v>Und</v>
          </cell>
          <cell r="F177">
            <v>44987.95</v>
          </cell>
        </row>
        <row r="178">
          <cell r="C178" t="str">
            <v>breaker 1 polo 20 amperios riel</v>
          </cell>
          <cell r="D178">
            <v>7240</v>
          </cell>
          <cell r="E178" t="str">
            <v>Und</v>
          </cell>
          <cell r="F178">
            <v>10103.1</v>
          </cell>
        </row>
        <row r="179">
          <cell r="C179" t="str">
            <v>breaker 1 polo 50 amperios riel</v>
          </cell>
          <cell r="D179">
            <v>5553</v>
          </cell>
          <cell r="E179" t="str">
            <v>Und</v>
          </cell>
          <cell r="F179">
            <v>15322.439999999999</v>
          </cell>
        </row>
        <row r="180">
          <cell r="C180" t="str">
            <v>Pecha de un puesto ANSI 53-2</v>
          </cell>
          <cell r="D180">
            <v>2757</v>
          </cell>
          <cell r="E180" t="str">
            <v>Und</v>
          </cell>
          <cell r="F180">
            <v>5844.09</v>
          </cell>
        </row>
        <row r="181">
          <cell r="C181" t="str">
            <v>Perno 5/8 x 4"</v>
          </cell>
          <cell r="D181">
            <v>9659</v>
          </cell>
          <cell r="E181" t="str">
            <v>Und</v>
          </cell>
          <cell r="F181">
            <v>2305.0299999999997</v>
          </cell>
        </row>
        <row r="182">
          <cell r="C182" t="str">
            <v>Perno 5/8 x 10"</v>
          </cell>
          <cell r="D182">
            <v>2784</v>
          </cell>
          <cell r="E182" t="str">
            <v>Und</v>
          </cell>
          <cell r="F182">
            <v>6290.34</v>
          </cell>
        </row>
        <row r="183">
          <cell r="C183" t="str">
            <v>Perno 5/8 x 12"</v>
          </cell>
          <cell r="D183">
            <v>2796</v>
          </cell>
          <cell r="E183" t="str">
            <v>Und</v>
          </cell>
          <cell r="F183">
            <v>7254.24</v>
          </cell>
        </row>
        <row r="184">
          <cell r="C184" t="str">
            <v>Perno de ojo de 5/8 x 12</v>
          </cell>
          <cell r="D184">
            <v>10948</v>
          </cell>
          <cell r="E184" t="str">
            <v>Und</v>
          </cell>
          <cell r="F184">
            <v>12138</v>
          </cell>
        </row>
        <row r="185">
          <cell r="C185" t="str">
            <v xml:space="preserve">Pinza de Retensión en baja tensión de Ø 4 a 22 mm </v>
          </cell>
          <cell r="D185">
            <v>10969</v>
          </cell>
          <cell r="E185" t="str">
            <v>Und</v>
          </cell>
          <cell r="F185">
            <v>0</v>
          </cell>
        </row>
        <row r="186">
          <cell r="C186" t="str">
            <v>Poste metalico de 3m</v>
          </cell>
          <cell r="D186">
            <v>6231</v>
          </cell>
          <cell r="E186" t="str">
            <v>Und</v>
          </cell>
          <cell r="F186">
            <v>291550</v>
          </cell>
        </row>
        <row r="187">
          <cell r="C187" t="str">
            <v>Poste metalico de 4m</v>
          </cell>
          <cell r="D187">
            <v>6231</v>
          </cell>
          <cell r="E187" t="str">
            <v>Und</v>
          </cell>
          <cell r="F187">
            <v>327250</v>
          </cell>
        </row>
        <row r="188">
          <cell r="C188" t="str">
            <v>Poste metalico de 5m</v>
          </cell>
          <cell r="D188"/>
          <cell r="E188" t="str">
            <v>Und</v>
          </cell>
          <cell r="F188">
            <v>547400</v>
          </cell>
        </row>
        <row r="189">
          <cell r="C189" t="str">
            <v>Poste metalico de 8m</v>
          </cell>
          <cell r="D189"/>
          <cell r="E189" t="str">
            <v>Und</v>
          </cell>
          <cell r="F189">
            <v>1065288</v>
          </cell>
        </row>
        <row r="190">
          <cell r="C190" t="str">
            <v>Poste metalico de 12m</v>
          </cell>
          <cell r="D190"/>
          <cell r="E190" t="str">
            <v>Und</v>
          </cell>
          <cell r="F190">
            <v>1567825</v>
          </cell>
        </row>
        <row r="191">
          <cell r="C191" t="str">
            <v>Poste de 10 mts 510 KGF de fibra de vidrio</v>
          </cell>
          <cell r="D191">
            <v>10974</v>
          </cell>
          <cell r="E191" t="str">
            <v>Und</v>
          </cell>
          <cell r="F191">
            <v>0</v>
          </cell>
        </row>
        <row r="192">
          <cell r="C192" t="str">
            <v>Poste de 10 mts 750 KGF de fibra de vidrio</v>
          </cell>
          <cell r="D192"/>
          <cell r="E192" t="str">
            <v>Und</v>
          </cell>
          <cell r="F192">
            <v>0</v>
          </cell>
        </row>
        <row r="193">
          <cell r="C193" t="str">
            <v>Poste de 8 mts 510 KGF de fibra de vidrio</v>
          </cell>
          <cell r="D193">
            <v>2978</v>
          </cell>
          <cell r="E193" t="str">
            <v>Und</v>
          </cell>
          <cell r="F193">
            <v>0</v>
          </cell>
        </row>
        <row r="194">
          <cell r="C194" t="str">
            <v>Poste de 12 mts 510 KGF de fibra de vidrio</v>
          </cell>
          <cell r="D194">
            <v>2976</v>
          </cell>
          <cell r="E194" t="str">
            <v>Und</v>
          </cell>
          <cell r="F194">
            <v>0</v>
          </cell>
        </row>
        <row r="195">
          <cell r="C195" t="str">
            <v>Poste de 12 mts 750 KGF de fibra de vidrio</v>
          </cell>
          <cell r="D195">
            <v>2977</v>
          </cell>
          <cell r="E195" t="str">
            <v>Und</v>
          </cell>
          <cell r="F195">
            <v>0</v>
          </cell>
        </row>
        <row r="196">
          <cell r="C196" t="str">
            <v>Poste de 12 mts 350 KGF de fibra de vidrio</v>
          </cell>
          <cell r="D196">
            <v>7149</v>
          </cell>
          <cell r="E196" t="str">
            <v>Und</v>
          </cell>
          <cell r="F196">
            <v>1313702.8799999999</v>
          </cell>
        </row>
        <row r="197">
          <cell r="C197" t="str">
            <v>Poste de 8 mts 750 KGF de concreto</v>
          </cell>
          <cell r="D197"/>
          <cell r="E197" t="str">
            <v>Und</v>
          </cell>
          <cell r="F197">
            <v>487900</v>
          </cell>
        </row>
        <row r="198">
          <cell r="C198" t="str">
            <v>Poste de 8 mts 510 KGF de concreto</v>
          </cell>
          <cell r="D198">
            <v>5838</v>
          </cell>
          <cell r="E198" t="str">
            <v>Und</v>
          </cell>
          <cell r="F198">
            <v>420070</v>
          </cell>
        </row>
        <row r="199">
          <cell r="C199" t="str">
            <v>Poste de 10 mts 750 KGF de concreto</v>
          </cell>
          <cell r="D199">
            <v>5838</v>
          </cell>
          <cell r="E199" t="str">
            <v>Und</v>
          </cell>
          <cell r="F199">
            <v>733040</v>
          </cell>
        </row>
        <row r="200">
          <cell r="C200" t="str">
            <v>Poste de 12 mts 750 KGF de concreto</v>
          </cell>
          <cell r="D200">
            <v>10162</v>
          </cell>
          <cell r="E200" t="str">
            <v>Und</v>
          </cell>
          <cell r="F200">
            <v>0</v>
          </cell>
        </row>
        <row r="201">
          <cell r="C201" t="str">
            <v>Poste de 12 mts 1050 KGF de concreto</v>
          </cell>
          <cell r="D201">
            <v>8709</v>
          </cell>
          <cell r="E201" t="str">
            <v>Und</v>
          </cell>
          <cell r="F201">
            <v>0</v>
          </cell>
        </row>
        <row r="202">
          <cell r="C202" t="str">
            <v>Poste de 12 mts 1350 KGF de concreto</v>
          </cell>
          <cell r="D202">
            <v>5839</v>
          </cell>
          <cell r="E202" t="str">
            <v>Und</v>
          </cell>
          <cell r="F202">
            <v>1243550</v>
          </cell>
        </row>
        <row r="203">
          <cell r="C203" t="str">
            <v>Poste de 10 mts 750 KGF Translucido</v>
          </cell>
          <cell r="D203">
            <v>10742</v>
          </cell>
          <cell r="E203" t="str">
            <v>Und</v>
          </cell>
          <cell r="F203">
            <v>1606500</v>
          </cell>
        </row>
        <row r="204">
          <cell r="C204" t="str">
            <v>Poste de 10 mts 510 KGF Translucido</v>
          </cell>
          <cell r="D204">
            <v>10474</v>
          </cell>
          <cell r="E204" t="str">
            <v>Und</v>
          </cell>
          <cell r="F204">
            <v>0</v>
          </cell>
        </row>
        <row r="205">
          <cell r="C205" t="str">
            <v>Poste de 10 mts 350 KGF Translucido</v>
          </cell>
          <cell r="D205">
            <v>10740</v>
          </cell>
          <cell r="E205" t="str">
            <v>Und</v>
          </cell>
          <cell r="F205">
            <v>1178100</v>
          </cell>
        </row>
        <row r="206">
          <cell r="C206" t="str">
            <v>Poste de 12 mts 510 KGF Translucido</v>
          </cell>
          <cell r="D206">
            <v>10503</v>
          </cell>
          <cell r="E206" t="str">
            <v>Und</v>
          </cell>
          <cell r="F206">
            <v>1666000</v>
          </cell>
        </row>
        <row r="207">
          <cell r="C207" t="str">
            <v>Poste de 12 mts 750 KGF Translucido</v>
          </cell>
          <cell r="D207">
            <v>9493</v>
          </cell>
          <cell r="E207" t="str">
            <v>Und</v>
          </cell>
          <cell r="F207">
            <v>1753108</v>
          </cell>
        </row>
        <row r="208">
          <cell r="C208" t="str">
            <v>Prensa estopa 1/2</v>
          </cell>
          <cell r="D208">
            <v>2991</v>
          </cell>
          <cell r="E208" t="str">
            <v>Und</v>
          </cell>
          <cell r="F208">
            <v>595</v>
          </cell>
        </row>
        <row r="209">
          <cell r="C209" t="str">
            <v>Prensa estopa 3/4</v>
          </cell>
          <cell r="D209">
            <v>2992</v>
          </cell>
          <cell r="E209" t="str">
            <v>Und</v>
          </cell>
          <cell r="F209">
            <v>1309</v>
          </cell>
        </row>
        <row r="210">
          <cell r="C210" t="str">
            <v>Reflector Led baja eficiencia 50w</v>
          </cell>
          <cell r="D210"/>
          <cell r="E210" t="str">
            <v>Und</v>
          </cell>
          <cell r="F210">
            <v>54978</v>
          </cell>
        </row>
        <row r="211">
          <cell r="C211" t="str">
            <v>Reflector Led baja eficiencia 100w</v>
          </cell>
          <cell r="D211"/>
          <cell r="E211" t="str">
            <v>Und</v>
          </cell>
          <cell r="F211">
            <v>728280</v>
          </cell>
        </row>
        <row r="212">
          <cell r="C212" t="str">
            <v>Reflector Led baja eficiencia 150w</v>
          </cell>
          <cell r="D212"/>
          <cell r="E212" t="str">
            <v>Und</v>
          </cell>
          <cell r="F212">
            <v>918709.75</v>
          </cell>
        </row>
        <row r="213">
          <cell r="C213" t="str">
            <v>Reflector Led baja eficiencia 200w</v>
          </cell>
          <cell r="D213"/>
          <cell r="E213" t="str">
            <v>Und</v>
          </cell>
          <cell r="F213">
            <v>1059100</v>
          </cell>
        </row>
        <row r="214">
          <cell r="C214" t="str">
            <v>Reflector Led 400w</v>
          </cell>
          <cell r="D214">
            <v>9516</v>
          </cell>
          <cell r="E214" t="str">
            <v>Und</v>
          </cell>
          <cell r="F214">
            <v>2683450</v>
          </cell>
        </row>
        <row r="215">
          <cell r="C215" t="str">
            <v>Reflector Led 110w</v>
          </cell>
          <cell r="D215">
            <v>5408</v>
          </cell>
          <cell r="E215" t="str">
            <v>Und</v>
          </cell>
          <cell r="F215">
            <v>1366120</v>
          </cell>
        </row>
        <row r="216">
          <cell r="C216" t="str">
            <v>Reflector Led 210w</v>
          </cell>
          <cell r="D216">
            <v>5409</v>
          </cell>
          <cell r="E216" t="str">
            <v>Und</v>
          </cell>
          <cell r="F216">
            <v>1610070</v>
          </cell>
        </row>
        <row r="217">
          <cell r="C217" t="str">
            <v>Reflector Led 35w</v>
          </cell>
          <cell r="D217">
            <v>4962</v>
          </cell>
          <cell r="E217" t="str">
            <v>Und</v>
          </cell>
          <cell r="F217">
            <v>955715.40609999991</v>
          </cell>
        </row>
        <row r="218">
          <cell r="C218" t="str">
            <v>Reflector Led 300w</v>
          </cell>
          <cell r="D218">
            <v>9515</v>
          </cell>
          <cell r="E218" t="str">
            <v>Und</v>
          </cell>
          <cell r="F218">
            <v>0</v>
          </cell>
        </row>
        <row r="219">
          <cell r="C219" t="str">
            <v>Reflector Led 400w</v>
          </cell>
          <cell r="D219">
            <v>9516</v>
          </cell>
          <cell r="E219" t="str">
            <v>Und</v>
          </cell>
          <cell r="F219">
            <v>2683450</v>
          </cell>
        </row>
        <row r="220">
          <cell r="C220" t="str">
            <v>SPOT LED 18w, 650lm</v>
          </cell>
          <cell r="D220"/>
          <cell r="E220" t="str">
            <v>Und</v>
          </cell>
          <cell r="F220">
            <v>79054.080000000002</v>
          </cell>
        </row>
        <row r="221">
          <cell r="C221" t="str">
            <v>SPOT LED 14w, 650lm</v>
          </cell>
          <cell r="D221"/>
          <cell r="E221" t="str">
            <v>Und</v>
          </cell>
          <cell r="F221">
            <v>69020</v>
          </cell>
        </row>
        <row r="222">
          <cell r="C222" t="str">
            <v>Silicona liquida</v>
          </cell>
          <cell r="D222"/>
          <cell r="E222" t="str">
            <v>Und</v>
          </cell>
          <cell r="F222">
            <v>11900</v>
          </cell>
        </row>
        <row r="223">
          <cell r="C223" t="str">
            <v>Soldadura PVC x 1/8</v>
          </cell>
          <cell r="D223">
            <v>3360</v>
          </cell>
          <cell r="E223" t="str">
            <v>Und</v>
          </cell>
          <cell r="F223">
            <v>13328</v>
          </cell>
        </row>
        <row r="224">
          <cell r="C224" t="str">
            <v>Tapa redonda metalica para radwelt</v>
          </cell>
          <cell r="D224"/>
          <cell r="E224" t="str">
            <v>Und</v>
          </cell>
          <cell r="F224">
            <v>3689</v>
          </cell>
        </row>
        <row r="225">
          <cell r="C225" t="str">
            <v>Tapon sellador para cable 2</v>
          </cell>
          <cell r="D225">
            <v>9491</v>
          </cell>
          <cell r="E225" t="str">
            <v>Und</v>
          </cell>
          <cell r="F225">
            <v>0</v>
          </cell>
        </row>
        <row r="226">
          <cell r="C226" t="str">
            <v>Tapon sellador para cable 4</v>
          </cell>
          <cell r="D226">
            <v>9615</v>
          </cell>
          <cell r="E226" t="str">
            <v>Und</v>
          </cell>
          <cell r="F226">
            <v>0</v>
          </cell>
        </row>
        <row r="227">
          <cell r="C227" t="str">
            <v>Tornillo y tuerca 5/8"x3"</v>
          </cell>
          <cell r="D227">
            <v>5334</v>
          </cell>
          <cell r="E227" t="str">
            <v>Und</v>
          </cell>
          <cell r="F227">
            <v>2728.67</v>
          </cell>
        </row>
        <row r="228">
          <cell r="C228" t="str">
            <v>Tablero para medida directa con espacio para Interruptor</v>
          </cell>
          <cell r="D228">
            <v>11149</v>
          </cell>
          <cell r="E228" t="str">
            <v>Und</v>
          </cell>
          <cell r="F228">
            <v>181237</v>
          </cell>
        </row>
        <row r="229">
          <cell r="C229" t="str">
            <v>Terminal aluminio cable # 1/0</v>
          </cell>
          <cell r="D229">
            <v>3664</v>
          </cell>
          <cell r="E229" t="str">
            <v>Und</v>
          </cell>
          <cell r="F229">
            <v>0</v>
          </cell>
        </row>
        <row r="230">
          <cell r="C230" t="str">
            <v>Terminal aluminio cable # 2</v>
          </cell>
          <cell r="D230">
            <v>10285</v>
          </cell>
          <cell r="E230" t="str">
            <v>Und</v>
          </cell>
          <cell r="F230">
            <v>1999.1999999999998</v>
          </cell>
        </row>
        <row r="231">
          <cell r="C231" t="str">
            <v>Terminal aluminio cable # 4</v>
          </cell>
          <cell r="D231">
            <v>3669</v>
          </cell>
          <cell r="E231" t="str">
            <v>Und</v>
          </cell>
          <cell r="F231">
            <v>0</v>
          </cell>
        </row>
        <row r="232">
          <cell r="C232" t="str">
            <v>Transformador Monofasico 5 kVA 13200/480-240</v>
          </cell>
          <cell r="D232">
            <v>3848</v>
          </cell>
          <cell r="E232" t="str">
            <v>Und</v>
          </cell>
          <cell r="F232">
            <v>0</v>
          </cell>
        </row>
        <row r="233">
          <cell r="C233" t="str">
            <v>Transformador Monofasico 10 kVA 13200/480-240</v>
          </cell>
          <cell r="D233">
            <v>3846</v>
          </cell>
          <cell r="E233" t="str">
            <v>Und</v>
          </cell>
          <cell r="F233">
            <v>2023000</v>
          </cell>
        </row>
        <row r="234">
          <cell r="C234" t="str">
            <v>Transformador Monofasico 15 kVA 13200/480-240</v>
          </cell>
          <cell r="D234">
            <v>3849</v>
          </cell>
          <cell r="E234" t="str">
            <v>Und</v>
          </cell>
          <cell r="F234">
            <v>0</v>
          </cell>
        </row>
        <row r="235">
          <cell r="C235" t="str">
            <v>Tubo metálico EMT de 1" x 3 mts</v>
          </cell>
          <cell r="D235"/>
          <cell r="E235" t="str">
            <v>Und</v>
          </cell>
          <cell r="F235">
            <v>39270</v>
          </cell>
        </row>
        <row r="236">
          <cell r="C236" t="str">
            <v>Tubo metálico EMT de 1/2" x 3 mts</v>
          </cell>
          <cell r="D236"/>
          <cell r="E236" t="str">
            <v>Und</v>
          </cell>
          <cell r="F236">
            <v>14637</v>
          </cell>
        </row>
        <row r="237">
          <cell r="C237" t="str">
            <v>Tubo metálico IMC de 2" x 3 mts</v>
          </cell>
          <cell r="D237">
            <v>3907</v>
          </cell>
          <cell r="E237" t="str">
            <v>Und</v>
          </cell>
          <cell r="F237">
            <v>0</v>
          </cell>
        </row>
        <row r="238">
          <cell r="C238" t="str">
            <v>Tubo metálico IMC de 1 1/2" x 3 mts</v>
          </cell>
          <cell r="D238">
            <v>7150</v>
          </cell>
          <cell r="E238" t="str">
            <v>Und</v>
          </cell>
          <cell r="F238">
            <v>76160</v>
          </cell>
        </row>
        <row r="239">
          <cell r="C239" t="str">
            <v>Tubo metálico IMC de 1" x 3 mts</v>
          </cell>
          <cell r="D239">
            <v>3905</v>
          </cell>
          <cell r="E239" t="str">
            <v>Und</v>
          </cell>
          <cell r="F239">
            <v>49798.524999999994</v>
          </cell>
        </row>
        <row r="240">
          <cell r="C240" t="str">
            <v>Tubo metálico IMC de 3/4" x 3 mts</v>
          </cell>
          <cell r="D240">
            <v>3908</v>
          </cell>
          <cell r="E240" t="str">
            <v>Und</v>
          </cell>
          <cell r="F240">
            <v>0</v>
          </cell>
        </row>
        <row r="241">
          <cell r="C241" t="str">
            <v>Tubo metálico IMC de 1/2" x 3 mts</v>
          </cell>
          <cell r="D241"/>
          <cell r="E241" t="str">
            <v>Und</v>
          </cell>
          <cell r="F241">
            <v>38080</v>
          </cell>
        </row>
        <row r="242">
          <cell r="C242" t="str">
            <v>Tubo PVC pesado de 2" x 3 mts</v>
          </cell>
          <cell r="D242">
            <v>3965</v>
          </cell>
          <cell r="E242" t="str">
            <v>Und</v>
          </cell>
          <cell r="F242">
            <v>22015</v>
          </cell>
        </row>
        <row r="243">
          <cell r="C243" t="str">
            <v>Tubo PVC pesado de 1 1/2" x 3 mts</v>
          </cell>
          <cell r="D243">
            <v>3961</v>
          </cell>
          <cell r="E243" t="str">
            <v>Und</v>
          </cell>
          <cell r="F243">
            <v>10964.66</v>
          </cell>
        </row>
        <row r="244">
          <cell r="C244" t="str">
            <v>Tubo PVC pesado de 1" x 3 mts</v>
          </cell>
          <cell r="D244">
            <v>3963</v>
          </cell>
          <cell r="E244" t="str">
            <v>Und</v>
          </cell>
          <cell r="F244">
            <v>10412.5</v>
          </cell>
        </row>
        <row r="245">
          <cell r="C245" t="str">
            <v>Tubo PVC pesado de 3/4" x 3 mts</v>
          </cell>
          <cell r="D245">
            <v>3967</v>
          </cell>
          <cell r="E245" t="str">
            <v>Und</v>
          </cell>
          <cell r="F245">
            <v>7775.46</v>
          </cell>
        </row>
        <row r="246">
          <cell r="C246" t="str">
            <v>Tubo PVC pesado de 1/2" x 3 mts</v>
          </cell>
          <cell r="D246"/>
          <cell r="E246" t="str">
            <v>Und</v>
          </cell>
          <cell r="F246">
            <v>4998</v>
          </cell>
        </row>
        <row r="247">
          <cell r="C247" t="str">
            <v>Union manguera led</v>
          </cell>
          <cell r="D247">
            <v>9494</v>
          </cell>
          <cell r="E247" t="str">
            <v>Und</v>
          </cell>
          <cell r="F247">
            <v>1300.0036</v>
          </cell>
        </row>
        <row r="248">
          <cell r="C248" t="str">
            <v>Unión EMT 1/2"</v>
          </cell>
          <cell r="D248"/>
          <cell r="E248" t="str">
            <v>Und</v>
          </cell>
          <cell r="F248">
            <v>773.5</v>
          </cell>
        </row>
        <row r="249">
          <cell r="C249" t="str">
            <v>Unión EMT 1"</v>
          </cell>
          <cell r="D249"/>
          <cell r="E249" t="str">
            <v>Und</v>
          </cell>
          <cell r="F249">
            <v>1785</v>
          </cell>
        </row>
        <row r="250">
          <cell r="C250" t="str">
            <v>Unión IMC 1 1/2"</v>
          </cell>
          <cell r="D250">
            <v>7148</v>
          </cell>
          <cell r="E250" t="str">
            <v>Und</v>
          </cell>
          <cell r="F250">
            <v>4522</v>
          </cell>
        </row>
        <row r="251">
          <cell r="C251" t="str">
            <v>Varilla corrugada 3/8" x  1 m</v>
          </cell>
          <cell r="D251">
            <v>4796</v>
          </cell>
          <cell r="E251" t="str">
            <v>Und</v>
          </cell>
          <cell r="F251">
            <v>9314.1299999999992</v>
          </cell>
        </row>
        <row r="252">
          <cell r="C252" t="str">
            <v>Varilla corrugada 5/8" x 1 m</v>
          </cell>
          <cell r="D252">
            <v>4798</v>
          </cell>
          <cell r="E252" t="str">
            <v>Und</v>
          </cell>
          <cell r="F252">
            <v>9518.81</v>
          </cell>
        </row>
        <row r="253">
          <cell r="C253" t="str">
            <v>Varilla cooperweld 5/8" x 2,4 m</v>
          </cell>
          <cell r="D253">
            <v>4118</v>
          </cell>
          <cell r="E253" t="str">
            <v>Und</v>
          </cell>
          <cell r="F253">
            <v>129733.97849999998</v>
          </cell>
        </row>
        <row r="254">
          <cell r="C254" t="str">
            <v>Varilla anclaje 5/8 x 1500mm</v>
          </cell>
          <cell r="D254">
            <v>10167</v>
          </cell>
          <cell r="E254" t="str">
            <v>Und</v>
          </cell>
          <cell r="F254">
            <v>21158.2</v>
          </cell>
        </row>
        <row r="255">
          <cell r="C255" t="str">
            <v>Accesorios de Fijacion</v>
          </cell>
          <cell r="D255"/>
          <cell r="E255" t="str">
            <v>Und</v>
          </cell>
          <cell r="F255">
            <v>29750</v>
          </cell>
        </row>
        <row r="256">
          <cell r="C256" t="str">
            <v>WALLPACK LED 30w, 3180lm</v>
          </cell>
          <cell r="D256"/>
          <cell r="E256" t="str">
            <v>Und</v>
          </cell>
          <cell r="F256">
            <v>505750</v>
          </cell>
        </row>
        <row r="257">
          <cell r="C257" t="str">
            <v>BAÑADOR LINEAL DE SOBREPONER 1 METRO, 45w, 4300lm</v>
          </cell>
          <cell r="D257">
            <v>648</v>
          </cell>
          <cell r="E257" t="str">
            <v>Und</v>
          </cell>
          <cell r="F257">
            <v>85382.5</v>
          </cell>
        </row>
        <row r="258">
          <cell r="C258" t="str">
            <v>Conector emt 1/2"</v>
          </cell>
          <cell r="D258"/>
          <cell r="E258" t="str">
            <v>Und</v>
          </cell>
          <cell r="F258">
            <v>1130.5</v>
          </cell>
        </row>
        <row r="259">
          <cell r="C259" t="str">
            <v>Union Emt 1/2"</v>
          </cell>
          <cell r="D259"/>
          <cell r="E259" t="str">
            <v>Und</v>
          </cell>
          <cell r="F259">
            <v>1130.5</v>
          </cell>
        </row>
        <row r="260">
          <cell r="C260" t="str">
            <v>Caja de paso tipo intemperie de 40x20x12</v>
          </cell>
          <cell r="D260"/>
          <cell r="E260" t="str">
            <v>Und</v>
          </cell>
          <cell r="F260">
            <v>64260</v>
          </cell>
        </row>
        <row r="261">
          <cell r="C261" t="str">
            <v>Gabinete doble fondo 40x30x20</v>
          </cell>
          <cell r="D261"/>
          <cell r="E261" t="str">
            <v>Und</v>
          </cell>
          <cell r="F261">
            <v>354620</v>
          </cell>
        </row>
        <row r="262">
          <cell r="C262" t="str">
            <v>Contactor de 2x20</v>
          </cell>
          <cell r="D262"/>
          <cell r="E262" t="str">
            <v>Und</v>
          </cell>
          <cell r="F262">
            <v>59500</v>
          </cell>
        </row>
        <row r="263">
          <cell r="C263" t="str">
            <v>Timmer</v>
          </cell>
          <cell r="D263"/>
          <cell r="E263" t="str">
            <v>Und</v>
          </cell>
          <cell r="F263">
            <v>92820</v>
          </cell>
        </row>
        <row r="264">
          <cell r="C264" t="str">
            <v>Cableado control</v>
          </cell>
          <cell r="D264"/>
          <cell r="E264" t="str">
            <v>Glb</v>
          </cell>
          <cell r="F264">
            <v>17850</v>
          </cell>
        </row>
        <row r="265">
          <cell r="C265" t="str">
            <v>Canaleta ranurada 25x30</v>
          </cell>
          <cell r="D265"/>
          <cell r="E265" t="str">
            <v>Und</v>
          </cell>
          <cell r="F265">
            <v>24905.000000000004</v>
          </cell>
        </row>
        <row r="266">
          <cell r="C266"/>
          <cell r="D266"/>
          <cell r="E266"/>
          <cell r="F266"/>
        </row>
        <row r="267">
          <cell r="C267"/>
          <cell r="D267"/>
          <cell r="E267"/>
          <cell r="F267"/>
        </row>
        <row r="268">
          <cell r="C268"/>
          <cell r="D268"/>
          <cell r="E268"/>
          <cell r="F268"/>
        </row>
        <row r="269">
          <cell r="C269"/>
          <cell r="D269"/>
          <cell r="E269"/>
          <cell r="F269"/>
        </row>
        <row r="270">
          <cell r="C270"/>
          <cell r="D270"/>
          <cell r="E270"/>
          <cell r="F270"/>
        </row>
        <row r="271">
          <cell r="C271"/>
          <cell r="D271"/>
          <cell r="E271"/>
          <cell r="F271"/>
        </row>
        <row r="272">
          <cell r="C272"/>
          <cell r="D272"/>
          <cell r="E272"/>
          <cell r="F272"/>
        </row>
        <row r="273">
          <cell r="C273"/>
          <cell r="D273"/>
          <cell r="E273"/>
          <cell r="F273"/>
        </row>
        <row r="274">
          <cell r="C274"/>
          <cell r="D274"/>
          <cell r="E274"/>
          <cell r="F274"/>
        </row>
        <row r="275">
          <cell r="C275"/>
          <cell r="D275"/>
          <cell r="E275"/>
          <cell r="F275"/>
        </row>
        <row r="276">
          <cell r="C276"/>
          <cell r="D276"/>
          <cell r="E276"/>
          <cell r="F276"/>
        </row>
        <row r="277">
          <cell r="C277"/>
          <cell r="D277"/>
          <cell r="E277"/>
          <cell r="F277"/>
        </row>
        <row r="278">
          <cell r="C278"/>
          <cell r="D278"/>
          <cell r="E278"/>
          <cell r="F278"/>
        </row>
        <row r="279">
          <cell r="C279"/>
          <cell r="D279"/>
          <cell r="E279"/>
          <cell r="F279"/>
        </row>
        <row r="280">
          <cell r="C280"/>
          <cell r="D280"/>
          <cell r="E280"/>
          <cell r="F280"/>
        </row>
        <row r="281">
          <cell r="C281"/>
          <cell r="D281"/>
          <cell r="E281"/>
          <cell r="F281"/>
        </row>
        <row r="282">
          <cell r="C282"/>
          <cell r="D282"/>
          <cell r="E282"/>
          <cell r="F282"/>
        </row>
        <row r="283">
          <cell r="C283"/>
          <cell r="D283"/>
          <cell r="E283"/>
          <cell r="F283"/>
        </row>
        <row r="284">
          <cell r="C284"/>
          <cell r="D284"/>
          <cell r="E284"/>
          <cell r="F284"/>
        </row>
        <row r="285">
          <cell r="C285"/>
          <cell r="D285"/>
          <cell r="E285"/>
          <cell r="F285"/>
        </row>
        <row r="286">
          <cell r="C286"/>
          <cell r="D286"/>
          <cell r="E286"/>
          <cell r="F286"/>
        </row>
        <row r="287">
          <cell r="C287"/>
          <cell r="D287"/>
          <cell r="E287"/>
          <cell r="F287"/>
        </row>
        <row r="288">
          <cell r="C288"/>
          <cell r="D288"/>
          <cell r="E288"/>
          <cell r="F288"/>
        </row>
        <row r="289">
          <cell r="C289"/>
          <cell r="D289"/>
          <cell r="E289"/>
          <cell r="F289"/>
        </row>
        <row r="290">
          <cell r="C290"/>
          <cell r="D290"/>
          <cell r="E290"/>
          <cell r="F290"/>
        </row>
        <row r="291">
          <cell r="C291"/>
          <cell r="D291"/>
          <cell r="E291"/>
          <cell r="F291"/>
        </row>
        <row r="292">
          <cell r="C292"/>
          <cell r="D292"/>
          <cell r="E292"/>
          <cell r="F292"/>
        </row>
        <row r="293">
          <cell r="C293"/>
          <cell r="D293"/>
          <cell r="E293"/>
          <cell r="F293"/>
        </row>
        <row r="294">
          <cell r="C294"/>
          <cell r="D294"/>
          <cell r="E294"/>
          <cell r="F294"/>
        </row>
        <row r="295">
          <cell r="C295"/>
          <cell r="D295"/>
          <cell r="E295"/>
          <cell r="F295"/>
        </row>
        <row r="296">
          <cell r="C296"/>
          <cell r="D296"/>
          <cell r="E296"/>
          <cell r="F296"/>
        </row>
        <row r="297">
          <cell r="C297"/>
          <cell r="D297"/>
          <cell r="E297"/>
          <cell r="F297"/>
        </row>
        <row r="298">
          <cell r="C298"/>
          <cell r="D298"/>
          <cell r="E298"/>
          <cell r="F298"/>
        </row>
        <row r="299">
          <cell r="C299"/>
          <cell r="D299"/>
          <cell r="E299"/>
          <cell r="F299"/>
        </row>
        <row r="300">
          <cell r="C300"/>
          <cell r="D300"/>
          <cell r="E300"/>
          <cell r="F300"/>
        </row>
        <row r="301">
          <cell r="C301"/>
          <cell r="D301"/>
          <cell r="E301"/>
          <cell r="F301"/>
        </row>
        <row r="302">
          <cell r="C302"/>
          <cell r="D302"/>
          <cell r="E302"/>
          <cell r="F302"/>
        </row>
        <row r="303">
          <cell r="C303"/>
          <cell r="D303"/>
          <cell r="E303"/>
          <cell r="F303"/>
        </row>
        <row r="304">
          <cell r="C304"/>
          <cell r="D304"/>
          <cell r="E304"/>
          <cell r="F304"/>
        </row>
        <row r="305">
          <cell r="C305"/>
          <cell r="D305"/>
          <cell r="E305"/>
          <cell r="F305"/>
        </row>
        <row r="306">
          <cell r="C306"/>
          <cell r="D306"/>
          <cell r="E306"/>
          <cell r="F306"/>
        </row>
        <row r="307">
          <cell r="C307"/>
          <cell r="D307"/>
          <cell r="E307"/>
          <cell r="F307"/>
        </row>
        <row r="308">
          <cell r="C308"/>
          <cell r="D308"/>
          <cell r="E308"/>
          <cell r="F308"/>
        </row>
        <row r="309">
          <cell r="C309"/>
          <cell r="D309"/>
          <cell r="E309"/>
          <cell r="F309"/>
        </row>
        <row r="310">
          <cell r="C310"/>
          <cell r="D310"/>
          <cell r="E310"/>
          <cell r="F310"/>
        </row>
        <row r="311">
          <cell r="C311"/>
          <cell r="D311"/>
          <cell r="E311"/>
          <cell r="F311"/>
        </row>
        <row r="312">
          <cell r="C312"/>
          <cell r="D312"/>
          <cell r="E312"/>
          <cell r="F312"/>
        </row>
        <row r="313">
          <cell r="C313"/>
          <cell r="D313"/>
          <cell r="E313"/>
          <cell r="F313"/>
        </row>
        <row r="314">
          <cell r="C314"/>
          <cell r="D314"/>
          <cell r="E314"/>
          <cell r="F314"/>
        </row>
        <row r="315">
          <cell r="C315"/>
          <cell r="D315"/>
          <cell r="E315"/>
          <cell r="F315"/>
        </row>
        <row r="316">
          <cell r="C316"/>
          <cell r="D316"/>
          <cell r="E316"/>
          <cell r="F316"/>
        </row>
        <row r="317">
          <cell r="C317"/>
          <cell r="D317"/>
          <cell r="E317"/>
          <cell r="F317"/>
        </row>
        <row r="318">
          <cell r="C318"/>
          <cell r="D318"/>
          <cell r="E318"/>
          <cell r="F318"/>
        </row>
        <row r="319">
          <cell r="C319"/>
          <cell r="D319"/>
          <cell r="E319"/>
          <cell r="F319"/>
        </row>
        <row r="320">
          <cell r="C320"/>
          <cell r="D320"/>
          <cell r="E320"/>
          <cell r="F320"/>
        </row>
        <row r="321">
          <cell r="C321"/>
          <cell r="D321"/>
          <cell r="E321"/>
          <cell r="F321"/>
        </row>
        <row r="322">
          <cell r="C322"/>
          <cell r="D322"/>
          <cell r="E322"/>
          <cell r="F322"/>
        </row>
        <row r="323">
          <cell r="C323"/>
          <cell r="D323"/>
          <cell r="E323"/>
          <cell r="F323"/>
        </row>
        <row r="324">
          <cell r="C324"/>
          <cell r="D324"/>
          <cell r="E324"/>
          <cell r="F324"/>
        </row>
        <row r="325">
          <cell r="C325"/>
          <cell r="D325"/>
          <cell r="E325"/>
          <cell r="F325"/>
        </row>
        <row r="326">
          <cell r="C326"/>
          <cell r="D326"/>
          <cell r="E326"/>
          <cell r="F326"/>
        </row>
        <row r="327">
          <cell r="C327"/>
          <cell r="D327"/>
          <cell r="E327"/>
          <cell r="F327"/>
        </row>
        <row r="328">
          <cell r="C328"/>
          <cell r="D328"/>
          <cell r="E328"/>
          <cell r="F328"/>
        </row>
        <row r="329">
          <cell r="C329"/>
          <cell r="D329"/>
          <cell r="E329"/>
          <cell r="F329"/>
        </row>
        <row r="330">
          <cell r="C330"/>
          <cell r="D330"/>
          <cell r="E330"/>
          <cell r="F330"/>
        </row>
        <row r="331">
          <cell r="C331"/>
          <cell r="D331"/>
          <cell r="E331"/>
          <cell r="F331"/>
        </row>
        <row r="332">
          <cell r="C332"/>
          <cell r="D332"/>
          <cell r="E332"/>
          <cell r="F332"/>
        </row>
        <row r="333">
          <cell r="C333"/>
          <cell r="D333"/>
          <cell r="E333"/>
          <cell r="F333"/>
        </row>
        <row r="334">
          <cell r="C334"/>
          <cell r="D334"/>
          <cell r="E334"/>
          <cell r="F334"/>
        </row>
        <row r="335">
          <cell r="C335"/>
          <cell r="D335"/>
          <cell r="E335"/>
          <cell r="F335"/>
        </row>
        <row r="336">
          <cell r="C336"/>
          <cell r="D336"/>
          <cell r="E336"/>
          <cell r="F336"/>
        </row>
        <row r="337">
          <cell r="C337"/>
          <cell r="D337"/>
          <cell r="E337"/>
          <cell r="F337"/>
        </row>
        <row r="338">
          <cell r="C338"/>
          <cell r="D338"/>
          <cell r="E338"/>
          <cell r="F338"/>
        </row>
        <row r="339">
          <cell r="C339"/>
          <cell r="D339"/>
          <cell r="E339"/>
          <cell r="F339"/>
        </row>
        <row r="340">
          <cell r="C340"/>
          <cell r="D340"/>
          <cell r="E340"/>
          <cell r="F340"/>
        </row>
        <row r="341">
          <cell r="C341"/>
          <cell r="D341"/>
          <cell r="E341"/>
          <cell r="F341"/>
        </row>
        <row r="342">
          <cell r="C342"/>
          <cell r="D342"/>
          <cell r="E342"/>
          <cell r="F342"/>
        </row>
        <row r="343">
          <cell r="C343"/>
          <cell r="D343"/>
          <cell r="E343"/>
          <cell r="F343"/>
        </row>
        <row r="344">
          <cell r="C344"/>
          <cell r="D344"/>
          <cell r="E344"/>
          <cell r="F344"/>
        </row>
        <row r="345">
          <cell r="C345"/>
          <cell r="D345"/>
          <cell r="E345"/>
          <cell r="F345"/>
        </row>
        <row r="346">
          <cell r="C346"/>
          <cell r="D346"/>
          <cell r="E346"/>
          <cell r="F346"/>
        </row>
        <row r="347">
          <cell r="C347"/>
          <cell r="D347"/>
          <cell r="E347"/>
          <cell r="F347"/>
        </row>
        <row r="348">
          <cell r="C348"/>
          <cell r="D348"/>
          <cell r="E348"/>
          <cell r="F348"/>
        </row>
        <row r="349">
          <cell r="C349"/>
          <cell r="D349"/>
          <cell r="E349"/>
          <cell r="F349"/>
        </row>
        <row r="350">
          <cell r="C350"/>
          <cell r="D350"/>
          <cell r="E350"/>
          <cell r="F350"/>
        </row>
        <row r="351">
          <cell r="C351"/>
          <cell r="D351"/>
          <cell r="E351"/>
          <cell r="F351"/>
        </row>
        <row r="352">
          <cell r="C352"/>
          <cell r="D352"/>
          <cell r="E352"/>
          <cell r="F352"/>
        </row>
        <row r="353">
          <cell r="C353"/>
          <cell r="D353"/>
          <cell r="E353"/>
          <cell r="F353"/>
        </row>
        <row r="354">
          <cell r="C354"/>
          <cell r="D354"/>
          <cell r="E354"/>
          <cell r="F354"/>
        </row>
        <row r="355">
          <cell r="C355"/>
          <cell r="D355"/>
          <cell r="E355"/>
          <cell r="F355"/>
        </row>
        <row r="356">
          <cell r="C356"/>
          <cell r="D356"/>
          <cell r="E356"/>
          <cell r="F356"/>
        </row>
        <row r="357">
          <cell r="C357"/>
          <cell r="D357"/>
          <cell r="E357"/>
          <cell r="F357"/>
        </row>
        <row r="358">
          <cell r="C358"/>
          <cell r="D358"/>
          <cell r="E358"/>
          <cell r="F358"/>
        </row>
        <row r="359">
          <cell r="C359"/>
          <cell r="D359"/>
          <cell r="E359"/>
          <cell r="F359"/>
        </row>
        <row r="360">
          <cell r="C360"/>
          <cell r="D360"/>
          <cell r="E360"/>
          <cell r="F360"/>
        </row>
        <row r="361">
          <cell r="C361"/>
          <cell r="D361"/>
          <cell r="E361"/>
          <cell r="F361"/>
        </row>
        <row r="362">
          <cell r="C362"/>
          <cell r="D362"/>
          <cell r="E362"/>
          <cell r="F362"/>
        </row>
        <row r="363">
          <cell r="C363"/>
          <cell r="D363"/>
          <cell r="E363"/>
          <cell r="F363"/>
        </row>
        <row r="364">
          <cell r="C364"/>
          <cell r="D364"/>
          <cell r="E364"/>
          <cell r="F364"/>
        </row>
        <row r="365">
          <cell r="C365"/>
          <cell r="D365"/>
          <cell r="E365"/>
          <cell r="F365"/>
        </row>
        <row r="366">
          <cell r="C366"/>
          <cell r="D366"/>
          <cell r="E366"/>
          <cell r="F366"/>
        </row>
        <row r="367">
          <cell r="C367"/>
          <cell r="D367"/>
          <cell r="E367"/>
          <cell r="F367"/>
        </row>
        <row r="368">
          <cell r="C368"/>
          <cell r="D368"/>
          <cell r="E368"/>
          <cell r="F368"/>
        </row>
        <row r="369">
          <cell r="C369"/>
          <cell r="D369"/>
          <cell r="E369"/>
          <cell r="F369"/>
        </row>
        <row r="370">
          <cell r="C370"/>
          <cell r="D370"/>
          <cell r="E370"/>
          <cell r="F370"/>
        </row>
        <row r="371">
          <cell r="C371"/>
          <cell r="D371"/>
          <cell r="E371"/>
          <cell r="F371"/>
        </row>
        <row r="372">
          <cell r="C372"/>
          <cell r="D372"/>
          <cell r="E372"/>
          <cell r="F372"/>
        </row>
        <row r="373">
          <cell r="C373"/>
          <cell r="D373"/>
          <cell r="E373"/>
          <cell r="F373"/>
        </row>
        <row r="374">
          <cell r="C374"/>
          <cell r="D374"/>
          <cell r="E374"/>
          <cell r="F374"/>
        </row>
        <row r="375">
          <cell r="C375"/>
          <cell r="D375"/>
          <cell r="E375"/>
          <cell r="F375"/>
        </row>
        <row r="376">
          <cell r="C376"/>
          <cell r="D376"/>
          <cell r="E376"/>
          <cell r="F376"/>
        </row>
        <row r="377">
          <cell r="C377"/>
          <cell r="D377"/>
          <cell r="E377"/>
          <cell r="F377"/>
        </row>
        <row r="378">
          <cell r="C378"/>
          <cell r="D378"/>
          <cell r="E378"/>
          <cell r="F378"/>
        </row>
        <row r="379">
          <cell r="C379"/>
          <cell r="D379"/>
          <cell r="E379"/>
          <cell r="F379"/>
        </row>
        <row r="380">
          <cell r="C380"/>
          <cell r="D380"/>
          <cell r="E380"/>
          <cell r="F380"/>
        </row>
        <row r="381">
          <cell r="C381"/>
          <cell r="D381"/>
          <cell r="E381"/>
          <cell r="F381"/>
        </row>
        <row r="382">
          <cell r="C382"/>
          <cell r="D382"/>
          <cell r="E382"/>
          <cell r="F382"/>
        </row>
        <row r="383">
          <cell r="C383"/>
          <cell r="D383"/>
          <cell r="E383"/>
          <cell r="F383"/>
        </row>
        <row r="384">
          <cell r="C384"/>
          <cell r="D384"/>
          <cell r="E384"/>
          <cell r="F384"/>
        </row>
        <row r="385">
          <cell r="C385"/>
          <cell r="D385"/>
          <cell r="E385"/>
          <cell r="F385"/>
        </row>
        <row r="386">
          <cell r="C386"/>
          <cell r="D386"/>
          <cell r="E386"/>
          <cell r="F386"/>
        </row>
        <row r="387">
          <cell r="C387"/>
          <cell r="D387"/>
          <cell r="E387"/>
          <cell r="F387"/>
        </row>
        <row r="388">
          <cell r="C388"/>
          <cell r="D388"/>
          <cell r="E388"/>
          <cell r="F388"/>
        </row>
        <row r="389">
          <cell r="C389"/>
          <cell r="D389"/>
          <cell r="E389"/>
          <cell r="F389"/>
        </row>
        <row r="390">
          <cell r="C390"/>
          <cell r="D390"/>
          <cell r="E390"/>
          <cell r="F390"/>
        </row>
        <row r="391">
          <cell r="C391"/>
          <cell r="D391"/>
          <cell r="E391"/>
          <cell r="F391"/>
        </row>
        <row r="392">
          <cell r="C392"/>
          <cell r="D392"/>
          <cell r="E392"/>
          <cell r="F392"/>
        </row>
        <row r="393">
          <cell r="C393"/>
          <cell r="D393"/>
          <cell r="E393"/>
          <cell r="F393"/>
        </row>
        <row r="394">
          <cell r="C394"/>
          <cell r="D394"/>
          <cell r="E394"/>
          <cell r="F394"/>
        </row>
        <row r="395">
          <cell r="C395"/>
          <cell r="D395"/>
          <cell r="E395"/>
          <cell r="F395"/>
        </row>
        <row r="396">
          <cell r="C396"/>
          <cell r="D396"/>
          <cell r="E396"/>
          <cell r="F396"/>
        </row>
        <row r="397">
          <cell r="C397"/>
          <cell r="D397"/>
          <cell r="E397"/>
          <cell r="F397"/>
        </row>
        <row r="398">
          <cell r="C398"/>
          <cell r="D398"/>
          <cell r="E398"/>
          <cell r="F398"/>
        </row>
        <row r="399">
          <cell r="C399"/>
          <cell r="D399"/>
          <cell r="E399"/>
          <cell r="F399"/>
        </row>
        <row r="400">
          <cell r="C400"/>
          <cell r="D400"/>
          <cell r="E400"/>
          <cell r="F400"/>
        </row>
        <row r="401">
          <cell r="C401"/>
          <cell r="D401"/>
          <cell r="E401"/>
          <cell r="F401"/>
        </row>
        <row r="402">
          <cell r="C402"/>
          <cell r="D402"/>
          <cell r="E402"/>
          <cell r="F402"/>
        </row>
        <row r="403">
          <cell r="C403"/>
          <cell r="D403"/>
          <cell r="E403"/>
          <cell r="F403"/>
        </row>
        <row r="404">
          <cell r="C404"/>
          <cell r="D404"/>
          <cell r="E404"/>
          <cell r="F404"/>
        </row>
        <row r="405">
          <cell r="C405"/>
          <cell r="D405"/>
          <cell r="E405"/>
          <cell r="F405"/>
        </row>
        <row r="406">
          <cell r="C406"/>
          <cell r="D406"/>
          <cell r="E406"/>
          <cell r="F406"/>
        </row>
        <row r="407">
          <cell r="C407"/>
          <cell r="D407"/>
          <cell r="E407"/>
          <cell r="F407"/>
        </row>
        <row r="408">
          <cell r="C408"/>
          <cell r="D408"/>
          <cell r="E408"/>
          <cell r="F408"/>
        </row>
        <row r="409">
          <cell r="C409"/>
          <cell r="D409"/>
          <cell r="E409"/>
          <cell r="F409"/>
        </row>
        <row r="410">
          <cell r="C410"/>
          <cell r="D410"/>
          <cell r="E410"/>
          <cell r="F410"/>
        </row>
        <row r="411">
          <cell r="C411"/>
          <cell r="D411"/>
          <cell r="E411"/>
          <cell r="F411"/>
        </row>
        <row r="412">
          <cell r="C412"/>
          <cell r="D412"/>
          <cell r="E412"/>
          <cell r="F412"/>
        </row>
        <row r="413">
          <cell r="C413"/>
          <cell r="D413"/>
          <cell r="E413"/>
          <cell r="F413"/>
        </row>
        <row r="414">
          <cell r="C414"/>
          <cell r="D414"/>
          <cell r="E414"/>
          <cell r="F414"/>
        </row>
        <row r="415">
          <cell r="C415"/>
          <cell r="D415"/>
          <cell r="E415"/>
          <cell r="F415"/>
        </row>
        <row r="416">
          <cell r="C416"/>
          <cell r="D416"/>
          <cell r="E416"/>
          <cell r="F416"/>
        </row>
        <row r="417">
          <cell r="C417"/>
          <cell r="D417"/>
          <cell r="E417"/>
          <cell r="F417"/>
        </row>
        <row r="418">
          <cell r="C418"/>
          <cell r="D418"/>
          <cell r="E418"/>
          <cell r="F418"/>
        </row>
        <row r="419">
          <cell r="C419"/>
          <cell r="D419"/>
          <cell r="E419"/>
          <cell r="F419"/>
        </row>
        <row r="420">
          <cell r="C420"/>
          <cell r="D420"/>
          <cell r="E420"/>
          <cell r="F420"/>
        </row>
        <row r="421">
          <cell r="C421"/>
          <cell r="D421"/>
          <cell r="E421"/>
          <cell r="F421"/>
        </row>
        <row r="422">
          <cell r="C422"/>
          <cell r="D422"/>
          <cell r="E422"/>
          <cell r="F422"/>
        </row>
        <row r="423">
          <cell r="C423"/>
          <cell r="D423"/>
          <cell r="E423"/>
          <cell r="F423"/>
        </row>
        <row r="424">
          <cell r="C424"/>
          <cell r="D424"/>
          <cell r="E424"/>
          <cell r="F424"/>
        </row>
        <row r="425">
          <cell r="C425"/>
          <cell r="D425"/>
          <cell r="E425"/>
          <cell r="F425"/>
        </row>
        <row r="426">
          <cell r="C426"/>
          <cell r="D426"/>
          <cell r="E426"/>
          <cell r="F426"/>
        </row>
        <row r="427">
          <cell r="C427"/>
          <cell r="D427"/>
          <cell r="E427"/>
          <cell r="F427"/>
        </row>
        <row r="428">
          <cell r="C428"/>
          <cell r="D428"/>
          <cell r="E428"/>
          <cell r="F428"/>
        </row>
        <row r="429">
          <cell r="C429"/>
          <cell r="D429"/>
          <cell r="E429"/>
          <cell r="F429"/>
        </row>
        <row r="430">
          <cell r="C430"/>
          <cell r="D430"/>
          <cell r="E430"/>
          <cell r="F430"/>
        </row>
        <row r="431">
          <cell r="C431"/>
          <cell r="D431"/>
          <cell r="E431"/>
          <cell r="F431"/>
        </row>
        <row r="432">
          <cell r="C432"/>
          <cell r="D432"/>
          <cell r="E432"/>
          <cell r="F432"/>
        </row>
        <row r="433">
          <cell r="C433"/>
          <cell r="D433"/>
          <cell r="E433"/>
          <cell r="F433"/>
        </row>
        <row r="434">
          <cell r="C434"/>
          <cell r="D434"/>
          <cell r="E434"/>
          <cell r="F434"/>
        </row>
        <row r="435">
          <cell r="C435"/>
          <cell r="D435"/>
          <cell r="E435"/>
          <cell r="F435"/>
        </row>
        <row r="436">
          <cell r="C436"/>
          <cell r="D436"/>
          <cell r="E436"/>
          <cell r="F436"/>
        </row>
        <row r="437">
          <cell r="C437"/>
          <cell r="D437"/>
          <cell r="E437"/>
          <cell r="F437"/>
        </row>
        <row r="438">
          <cell r="C438"/>
          <cell r="D438"/>
          <cell r="E438"/>
          <cell r="F438"/>
        </row>
        <row r="439">
          <cell r="C439"/>
          <cell r="D439"/>
          <cell r="E439"/>
          <cell r="F439"/>
        </row>
        <row r="440">
          <cell r="C440"/>
          <cell r="D440"/>
          <cell r="E440"/>
          <cell r="F440"/>
        </row>
        <row r="441">
          <cell r="C441"/>
          <cell r="D441"/>
          <cell r="E441"/>
          <cell r="F441"/>
        </row>
        <row r="442">
          <cell r="C442"/>
          <cell r="D442"/>
          <cell r="E442"/>
          <cell r="F442"/>
        </row>
        <row r="443">
          <cell r="C443"/>
          <cell r="D443"/>
          <cell r="E443"/>
          <cell r="F443"/>
        </row>
        <row r="444">
          <cell r="C444"/>
          <cell r="D444"/>
          <cell r="E444"/>
          <cell r="F444"/>
        </row>
        <row r="445">
          <cell r="C445"/>
          <cell r="D445"/>
          <cell r="E445"/>
          <cell r="F445"/>
        </row>
        <row r="446">
          <cell r="C446"/>
          <cell r="D446"/>
          <cell r="E446"/>
          <cell r="F446"/>
        </row>
        <row r="447">
          <cell r="C447"/>
          <cell r="D447"/>
          <cell r="E447"/>
          <cell r="F447"/>
        </row>
        <row r="448">
          <cell r="C448"/>
          <cell r="D448"/>
          <cell r="E448"/>
          <cell r="F448"/>
        </row>
        <row r="449">
          <cell r="C449"/>
          <cell r="D449"/>
          <cell r="E449"/>
          <cell r="F449"/>
        </row>
        <row r="450">
          <cell r="C450"/>
          <cell r="D450"/>
          <cell r="E450"/>
          <cell r="F450"/>
        </row>
        <row r="451">
          <cell r="C451"/>
          <cell r="D451"/>
          <cell r="E451"/>
          <cell r="F451"/>
        </row>
        <row r="452">
          <cell r="C452"/>
          <cell r="D452"/>
          <cell r="E452"/>
          <cell r="F452"/>
        </row>
        <row r="453">
          <cell r="C453"/>
          <cell r="D453"/>
          <cell r="E453"/>
          <cell r="F453"/>
        </row>
        <row r="454">
          <cell r="C454"/>
          <cell r="D454"/>
          <cell r="E454"/>
          <cell r="F454"/>
        </row>
        <row r="455">
          <cell r="C455"/>
          <cell r="D455"/>
          <cell r="E455"/>
          <cell r="F455"/>
        </row>
        <row r="456">
          <cell r="C456"/>
          <cell r="D456"/>
          <cell r="E456"/>
          <cell r="F456"/>
        </row>
        <row r="457">
          <cell r="C457"/>
          <cell r="D457"/>
          <cell r="E457"/>
          <cell r="F457"/>
        </row>
        <row r="458">
          <cell r="C458"/>
          <cell r="D458"/>
          <cell r="E458"/>
          <cell r="F458"/>
        </row>
        <row r="459">
          <cell r="C459"/>
          <cell r="D459"/>
          <cell r="E459"/>
          <cell r="F459"/>
        </row>
        <row r="460">
          <cell r="C460"/>
          <cell r="D460"/>
          <cell r="E460"/>
          <cell r="F460"/>
        </row>
        <row r="461">
          <cell r="C461"/>
          <cell r="D461"/>
          <cell r="E461"/>
          <cell r="F461"/>
        </row>
        <row r="462">
          <cell r="C462"/>
          <cell r="D462"/>
          <cell r="E462"/>
          <cell r="F462"/>
        </row>
        <row r="463">
          <cell r="C463"/>
          <cell r="D463"/>
          <cell r="E463"/>
          <cell r="F463"/>
        </row>
        <row r="464">
          <cell r="C464"/>
          <cell r="D464"/>
          <cell r="E464"/>
          <cell r="F464"/>
        </row>
        <row r="465">
          <cell r="C465"/>
          <cell r="D465"/>
          <cell r="E465"/>
          <cell r="F465"/>
        </row>
        <row r="466">
          <cell r="C466"/>
          <cell r="D466"/>
          <cell r="E466"/>
          <cell r="F466"/>
        </row>
        <row r="467">
          <cell r="C467"/>
          <cell r="D467"/>
          <cell r="E467"/>
          <cell r="F467"/>
        </row>
        <row r="468">
          <cell r="C468"/>
          <cell r="D468"/>
          <cell r="E468"/>
          <cell r="F468"/>
        </row>
        <row r="469">
          <cell r="C469"/>
          <cell r="D469"/>
          <cell r="E469"/>
          <cell r="F469"/>
        </row>
        <row r="470">
          <cell r="C470"/>
          <cell r="D470"/>
          <cell r="E470"/>
          <cell r="F470"/>
        </row>
        <row r="471">
          <cell r="C471"/>
          <cell r="D471"/>
          <cell r="E471"/>
          <cell r="F471"/>
        </row>
        <row r="472">
          <cell r="C472"/>
          <cell r="D472"/>
          <cell r="E472"/>
          <cell r="F472"/>
        </row>
        <row r="473">
          <cell r="C473"/>
          <cell r="D473"/>
          <cell r="E473"/>
          <cell r="F473"/>
        </row>
        <row r="474">
          <cell r="C474"/>
          <cell r="D474"/>
          <cell r="E474"/>
          <cell r="F474"/>
        </row>
        <row r="475">
          <cell r="C475"/>
          <cell r="D475"/>
          <cell r="E475"/>
          <cell r="F475"/>
        </row>
        <row r="476">
          <cell r="C476"/>
          <cell r="D476"/>
          <cell r="E476"/>
          <cell r="F476"/>
        </row>
        <row r="477">
          <cell r="C477"/>
          <cell r="D477"/>
          <cell r="E477"/>
          <cell r="F477"/>
        </row>
        <row r="478">
          <cell r="C478"/>
          <cell r="D478"/>
          <cell r="E478"/>
          <cell r="F478"/>
        </row>
        <row r="479">
          <cell r="C479"/>
          <cell r="D479"/>
          <cell r="E479"/>
          <cell r="F479"/>
        </row>
        <row r="480">
          <cell r="C480"/>
          <cell r="D480"/>
          <cell r="E480"/>
          <cell r="F480"/>
        </row>
        <row r="481">
          <cell r="C481"/>
          <cell r="D481"/>
          <cell r="E481"/>
          <cell r="F481"/>
        </row>
        <row r="482">
          <cell r="C482"/>
          <cell r="D482"/>
          <cell r="E482"/>
          <cell r="F482"/>
        </row>
        <row r="483">
          <cell r="C483"/>
          <cell r="D483"/>
          <cell r="E483"/>
          <cell r="F483"/>
        </row>
        <row r="484">
          <cell r="C484"/>
          <cell r="D484"/>
          <cell r="E484"/>
          <cell r="F484"/>
        </row>
        <row r="485">
          <cell r="C485"/>
          <cell r="D485"/>
          <cell r="E485"/>
          <cell r="F485"/>
        </row>
        <row r="486">
          <cell r="C486"/>
          <cell r="D486"/>
          <cell r="E486"/>
          <cell r="F486"/>
        </row>
        <row r="487">
          <cell r="C487"/>
          <cell r="D487"/>
          <cell r="E487"/>
          <cell r="F487"/>
        </row>
        <row r="488">
          <cell r="C488"/>
          <cell r="D488"/>
          <cell r="E488"/>
          <cell r="F488"/>
        </row>
        <row r="489">
          <cell r="C489"/>
          <cell r="D489"/>
          <cell r="E489"/>
          <cell r="F489"/>
        </row>
        <row r="490">
          <cell r="C490"/>
          <cell r="D490"/>
          <cell r="E490"/>
          <cell r="F490"/>
        </row>
        <row r="491">
          <cell r="C491"/>
          <cell r="D491"/>
          <cell r="E491"/>
          <cell r="F491"/>
        </row>
        <row r="492">
          <cell r="C492"/>
          <cell r="D492"/>
          <cell r="E492"/>
          <cell r="F492"/>
        </row>
        <row r="493">
          <cell r="C493"/>
          <cell r="D493"/>
          <cell r="E493"/>
          <cell r="F493"/>
        </row>
        <row r="494">
          <cell r="C494"/>
          <cell r="D494"/>
          <cell r="E494"/>
          <cell r="F494"/>
        </row>
        <row r="495">
          <cell r="C495"/>
          <cell r="D495"/>
          <cell r="E495"/>
          <cell r="F495"/>
        </row>
        <row r="496">
          <cell r="C496"/>
          <cell r="D496"/>
          <cell r="E496"/>
          <cell r="F496"/>
        </row>
        <row r="497">
          <cell r="C497"/>
          <cell r="D497"/>
          <cell r="E497"/>
          <cell r="F497"/>
        </row>
        <row r="498">
          <cell r="C498"/>
          <cell r="D498"/>
          <cell r="E498"/>
          <cell r="F498"/>
        </row>
        <row r="499">
          <cell r="C499"/>
          <cell r="D499"/>
          <cell r="E499"/>
          <cell r="F499"/>
        </row>
        <row r="500">
          <cell r="C500"/>
          <cell r="D500"/>
          <cell r="E500"/>
          <cell r="F500"/>
        </row>
        <row r="501">
          <cell r="C501"/>
          <cell r="D501"/>
          <cell r="E501"/>
          <cell r="F501"/>
        </row>
        <row r="502">
          <cell r="C502"/>
          <cell r="D502"/>
          <cell r="E502"/>
          <cell r="F502"/>
        </row>
        <row r="503">
          <cell r="C503"/>
          <cell r="D503"/>
          <cell r="E503"/>
          <cell r="F503"/>
        </row>
        <row r="504">
          <cell r="C504"/>
          <cell r="D504"/>
          <cell r="E504"/>
          <cell r="F504"/>
        </row>
        <row r="505">
          <cell r="C505"/>
          <cell r="D505"/>
          <cell r="E505"/>
          <cell r="F505"/>
        </row>
        <row r="506">
          <cell r="C506"/>
          <cell r="D506"/>
          <cell r="E506"/>
          <cell r="F506"/>
        </row>
        <row r="507">
          <cell r="C507"/>
          <cell r="D507"/>
          <cell r="E507"/>
          <cell r="F507"/>
        </row>
        <row r="508">
          <cell r="C508"/>
          <cell r="D508"/>
          <cell r="E508"/>
          <cell r="F508"/>
        </row>
        <row r="509">
          <cell r="C509"/>
          <cell r="D509"/>
          <cell r="E509"/>
          <cell r="F509"/>
        </row>
        <row r="510">
          <cell r="C510"/>
          <cell r="D510"/>
          <cell r="E510"/>
          <cell r="F510"/>
        </row>
        <row r="511">
          <cell r="C511"/>
          <cell r="D511"/>
          <cell r="E511"/>
          <cell r="F511"/>
        </row>
        <row r="512">
          <cell r="C512"/>
          <cell r="D512"/>
          <cell r="E512"/>
          <cell r="F512"/>
        </row>
        <row r="513">
          <cell r="C513"/>
          <cell r="D513"/>
          <cell r="E513"/>
          <cell r="F513"/>
        </row>
        <row r="514">
          <cell r="C514"/>
          <cell r="D514"/>
          <cell r="E514"/>
          <cell r="F514"/>
        </row>
        <row r="515">
          <cell r="C515"/>
          <cell r="D515"/>
          <cell r="E515"/>
          <cell r="F515"/>
        </row>
        <row r="516">
          <cell r="C516"/>
          <cell r="D516"/>
          <cell r="E516"/>
          <cell r="F516"/>
        </row>
        <row r="517">
          <cell r="C517"/>
          <cell r="D517"/>
          <cell r="E517"/>
          <cell r="F517"/>
        </row>
        <row r="518">
          <cell r="C518"/>
          <cell r="D518"/>
          <cell r="E518"/>
          <cell r="F518"/>
        </row>
        <row r="519">
          <cell r="C519"/>
          <cell r="D519"/>
          <cell r="E519"/>
          <cell r="F519"/>
        </row>
        <row r="520">
          <cell r="C520"/>
          <cell r="D520"/>
          <cell r="E520"/>
          <cell r="F520"/>
        </row>
        <row r="521">
          <cell r="C521"/>
          <cell r="D521"/>
          <cell r="E521"/>
          <cell r="F521"/>
        </row>
        <row r="522">
          <cell r="C522"/>
          <cell r="D522"/>
          <cell r="E522"/>
          <cell r="F522"/>
        </row>
        <row r="523">
          <cell r="C523"/>
          <cell r="D523"/>
          <cell r="E523"/>
          <cell r="F523"/>
        </row>
        <row r="524">
          <cell r="C524"/>
          <cell r="D524"/>
          <cell r="E524"/>
          <cell r="F524"/>
        </row>
        <row r="525">
          <cell r="C525"/>
          <cell r="D525"/>
          <cell r="E525"/>
          <cell r="F525"/>
        </row>
        <row r="526">
          <cell r="C526"/>
          <cell r="D526"/>
          <cell r="E526"/>
          <cell r="F526"/>
        </row>
        <row r="527">
          <cell r="C527"/>
          <cell r="D527"/>
          <cell r="E527"/>
          <cell r="F527"/>
        </row>
        <row r="528">
          <cell r="C528"/>
          <cell r="D528"/>
          <cell r="E528"/>
          <cell r="F528"/>
        </row>
        <row r="529">
          <cell r="C529"/>
          <cell r="D529"/>
          <cell r="E529"/>
          <cell r="F529"/>
        </row>
        <row r="530">
          <cell r="C530"/>
          <cell r="D530"/>
          <cell r="E530"/>
          <cell r="F530"/>
        </row>
        <row r="531">
          <cell r="C531"/>
          <cell r="D531"/>
          <cell r="E531"/>
          <cell r="F531"/>
        </row>
        <row r="532">
          <cell r="C532"/>
          <cell r="D532"/>
          <cell r="E532"/>
          <cell r="F532"/>
        </row>
        <row r="533">
          <cell r="C533"/>
          <cell r="D533"/>
          <cell r="E533"/>
          <cell r="F533"/>
        </row>
        <row r="534">
          <cell r="C534"/>
          <cell r="D534"/>
          <cell r="E534"/>
          <cell r="F534"/>
        </row>
        <row r="535">
          <cell r="C535"/>
          <cell r="D535"/>
          <cell r="E535"/>
          <cell r="F535"/>
        </row>
        <row r="536">
          <cell r="C536"/>
          <cell r="D536"/>
          <cell r="E536"/>
          <cell r="F536"/>
        </row>
        <row r="537">
          <cell r="C537"/>
          <cell r="D537"/>
          <cell r="E537"/>
          <cell r="F537"/>
        </row>
        <row r="538">
          <cell r="C538"/>
          <cell r="D538"/>
          <cell r="E538"/>
          <cell r="F538"/>
        </row>
        <row r="539">
          <cell r="C539"/>
          <cell r="D539"/>
          <cell r="E539"/>
          <cell r="F539"/>
        </row>
        <row r="540">
          <cell r="C540"/>
          <cell r="D540"/>
          <cell r="E540"/>
          <cell r="F540"/>
        </row>
        <row r="541">
          <cell r="C541"/>
          <cell r="D541"/>
          <cell r="E541"/>
          <cell r="F541"/>
        </row>
        <row r="542">
          <cell r="C542"/>
          <cell r="D542"/>
          <cell r="E542"/>
          <cell r="F542"/>
        </row>
        <row r="543">
          <cell r="C543"/>
          <cell r="D543"/>
          <cell r="E543"/>
          <cell r="F543"/>
        </row>
        <row r="544">
          <cell r="C544"/>
          <cell r="D544"/>
          <cell r="E544"/>
          <cell r="F544"/>
        </row>
        <row r="545">
          <cell r="C545"/>
          <cell r="D545"/>
          <cell r="E545"/>
          <cell r="F545"/>
        </row>
        <row r="546">
          <cell r="C546"/>
          <cell r="D546"/>
          <cell r="E546"/>
          <cell r="F546"/>
        </row>
        <row r="547">
          <cell r="C547"/>
          <cell r="D547"/>
          <cell r="E547"/>
          <cell r="F547"/>
        </row>
        <row r="548">
          <cell r="C548"/>
          <cell r="D548"/>
          <cell r="E548"/>
          <cell r="F548"/>
        </row>
        <row r="549">
          <cell r="C549"/>
          <cell r="D549"/>
          <cell r="E549"/>
          <cell r="F549"/>
        </row>
        <row r="550">
          <cell r="C550"/>
          <cell r="D550"/>
          <cell r="E550"/>
          <cell r="F550"/>
        </row>
        <row r="551">
          <cell r="C551"/>
          <cell r="D551"/>
          <cell r="E551"/>
          <cell r="F551"/>
        </row>
        <row r="552">
          <cell r="C552"/>
          <cell r="D552"/>
          <cell r="E552"/>
          <cell r="F552"/>
        </row>
        <row r="553">
          <cell r="C553"/>
          <cell r="D553"/>
          <cell r="E553"/>
          <cell r="F553"/>
        </row>
        <row r="554">
          <cell r="C554"/>
          <cell r="D554"/>
          <cell r="E554"/>
          <cell r="F554"/>
        </row>
        <row r="555">
          <cell r="C555"/>
          <cell r="D555"/>
          <cell r="E555"/>
          <cell r="F555"/>
        </row>
        <row r="556">
          <cell r="C556"/>
          <cell r="D556"/>
          <cell r="E556"/>
          <cell r="F556"/>
        </row>
        <row r="557">
          <cell r="C557"/>
          <cell r="D557"/>
          <cell r="E557"/>
          <cell r="F557"/>
        </row>
        <row r="558">
          <cell r="C558"/>
          <cell r="D558"/>
          <cell r="E558"/>
          <cell r="F558"/>
        </row>
        <row r="559">
          <cell r="C559"/>
          <cell r="D559"/>
          <cell r="E559"/>
          <cell r="F559"/>
        </row>
        <row r="560">
          <cell r="C560"/>
          <cell r="D560"/>
          <cell r="E560"/>
          <cell r="F560"/>
        </row>
        <row r="561">
          <cell r="C561"/>
          <cell r="D561"/>
          <cell r="E561"/>
          <cell r="F561"/>
        </row>
        <row r="562">
          <cell r="C562"/>
          <cell r="D562"/>
          <cell r="E562"/>
          <cell r="F562"/>
        </row>
        <row r="563">
          <cell r="C563"/>
          <cell r="D563"/>
          <cell r="E563"/>
          <cell r="F563"/>
        </row>
        <row r="564">
          <cell r="C564"/>
          <cell r="D564"/>
          <cell r="E564"/>
          <cell r="F564"/>
        </row>
        <row r="565">
          <cell r="C565"/>
          <cell r="D565"/>
          <cell r="E565"/>
          <cell r="F565"/>
        </row>
        <row r="566">
          <cell r="C566"/>
          <cell r="D566"/>
          <cell r="E566"/>
          <cell r="F566"/>
        </row>
        <row r="567">
          <cell r="C567"/>
          <cell r="D567"/>
          <cell r="E567"/>
          <cell r="F567"/>
        </row>
        <row r="568">
          <cell r="C568"/>
          <cell r="D568"/>
          <cell r="E568"/>
          <cell r="F568"/>
        </row>
        <row r="569">
          <cell r="C569"/>
          <cell r="D569"/>
          <cell r="E569"/>
          <cell r="F569"/>
        </row>
        <row r="570">
          <cell r="C570"/>
          <cell r="D570"/>
          <cell r="E570"/>
          <cell r="F570"/>
        </row>
        <row r="571">
          <cell r="C571"/>
          <cell r="D571"/>
          <cell r="E571"/>
          <cell r="F571"/>
        </row>
        <row r="572">
          <cell r="C572"/>
          <cell r="D572"/>
          <cell r="E572"/>
          <cell r="F572"/>
        </row>
        <row r="573">
          <cell r="C573"/>
          <cell r="D573"/>
          <cell r="E573"/>
          <cell r="F573"/>
        </row>
        <row r="574">
          <cell r="C574"/>
          <cell r="D574"/>
          <cell r="E574"/>
          <cell r="F574"/>
        </row>
        <row r="575">
          <cell r="C575"/>
          <cell r="D575"/>
          <cell r="E575"/>
          <cell r="F575"/>
        </row>
        <row r="576">
          <cell r="C576"/>
          <cell r="D576"/>
          <cell r="E576"/>
          <cell r="F576"/>
        </row>
        <row r="577">
          <cell r="C577"/>
          <cell r="D577"/>
          <cell r="E577"/>
          <cell r="F577"/>
        </row>
        <row r="578">
          <cell r="C578"/>
          <cell r="D578"/>
          <cell r="E578"/>
          <cell r="F578"/>
        </row>
        <row r="579">
          <cell r="C579"/>
          <cell r="D579"/>
          <cell r="E579"/>
          <cell r="F579"/>
        </row>
        <row r="580">
          <cell r="C580"/>
          <cell r="D580"/>
          <cell r="E580"/>
          <cell r="F580"/>
        </row>
        <row r="581">
          <cell r="C581"/>
          <cell r="D581"/>
          <cell r="E581"/>
          <cell r="F581"/>
        </row>
        <row r="582">
          <cell r="C582"/>
          <cell r="D582"/>
          <cell r="E582"/>
          <cell r="F582"/>
        </row>
        <row r="583">
          <cell r="C583"/>
          <cell r="D583"/>
          <cell r="E583"/>
          <cell r="F583"/>
        </row>
        <row r="584">
          <cell r="C584"/>
          <cell r="D584"/>
          <cell r="E584"/>
          <cell r="F584"/>
        </row>
        <row r="585">
          <cell r="C585"/>
          <cell r="D585"/>
          <cell r="E585"/>
          <cell r="F585"/>
        </row>
        <row r="586">
          <cell r="C586"/>
          <cell r="D586"/>
          <cell r="E586"/>
          <cell r="F586"/>
        </row>
        <row r="587">
          <cell r="C587"/>
          <cell r="D587"/>
          <cell r="E587"/>
          <cell r="F587"/>
        </row>
        <row r="588">
          <cell r="C588"/>
          <cell r="D588"/>
          <cell r="E588"/>
          <cell r="F588"/>
        </row>
        <row r="589">
          <cell r="C589"/>
          <cell r="D589"/>
          <cell r="E589"/>
          <cell r="F589"/>
        </row>
        <row r="590">
          <cell r="C590"/>
          <cell r="D590"/>
          <cell r="E590"/>
          <cell r="F590"/>
        </row>
        <row r="591">
          <cell r="C591"/>
          <cell r="D591"/>
          <cell r="E591"/>
          <cell r="F591"/>
        </row>
        <row r="592">
          <cell r="C592"/>
          <cell r="D592"/>
          <cell r="E592"/>
          <cell r="F592"/>
        </row>
        <row r="593">
          <cell r="C593"/>
          <cell r="D593"/>
          <cell r="E593"/>
          <cell r="F593"/>
        </row>
        <row r="594">
          <cell r="C594"/>
          <cell r="D594"/>
          <cell r="E594"/>
          <cell r="F594"/>
        </row>
        <row r="595">
          <cell r="C595"/>
          <cell r="D595"/>
          <cell r="E595"/>
          <cell r="F595"/>
        </row>
        <row r="596">
          <cell r="C596"/>
          <cell r="D596"/>
          <cell r="E596"/>
          <cell r="F596"/>
        </row>
        <row r="597">
          <cell r="C597"/>
          <cell r="D597"/>
          <cell r="E597"/>
          <cell r="F597"/>
        </row>
        <row r="598">
          <cell r="C598"/>
          <cell r="D598"/>
          <cell r="E598"/>
          <cell r="F598"/>
        </row>
        <row r="599">
          <cell r="C599"/>
          <cell r="D599"/>
          <cell r="E599"/>
          <cell r="F599"/>
        </row>
        <row r="600">
          <cell r="C600"/>
          <cell r="D600"/>
          <cell r="E600"/>
          <cell r="F600"/>
        </row>
        <row r="601">
          <cell r="C601"/>
          <cell r="D601"/>
          <cell r="E601"/>
          <cell r="F601"/>
        </row>
        <row r="602">
          <cell r="C602"/>
          <cell r="D602"/>
          <cell r="E602"/>
          <cell r="F602"/>
        </row>
        <row r="603">
          <cell r="C603"/>
          <cell r="D603"/>
          <cell r="E603"/>
          <cell r="F603"/>
        </row>
        <row r="604">
          <cell r="C604"/>
          <cell r="D604"/>
          <cell r="E604"/>
          <cell r="F604"/>
        </row>
        <row r="605">
          <cell r="C605"/>
          <cell r="D605"/>
          <cell r="E605"/>
          <cell r="F605"/>
        </row>
        <row r="606">
          <cell r="C606"/>
          <cell r="D606"/>
          <cell r="E606"/>
          <cell r="F606"/>
        </row>
        <row r="607">
          <cell r="C607"/>
          <cell r="D607"/>
          <cell r="E607"/>
          <cell r="F607"/>
        </row>
        <row r="608">
          <cell r="C608"/>
          <cell r="D608"/>
          <cell r="E608"/>
          <cell r="F608"/>
        </row>
        <row r="609">
          <cell r="C609"/>
          <cell r="D609"/>
          <cell r="E609"/>
          <cell r="F609"/>
        </row>
        <row r="610">
          <cell r="C610"/>
          <cell r="D610"/>
          <cell r="E610"/>
          <cell r="F610"/>
        </row>
        <row r="611">
          <cell r="C611"/>
          <cell r="D611"/>
          <cell r="E611"/>
          <cell r="F611"/>
        </row>
        <row r="612">
          <cell r="C612"/>
          <cell r="D612"/>
          <cell r="E612"/>
          <cell r="F612"/>
        </row>
        <row r="613">
          <cell r="C613"/>
          <cell r="D613"/>
          <cell r="E613"/>
          <cell r="F613"/>
        </row>
        <row r="614">
          <cell r="C614"/>
          <cell r="D614"/>
          <cell r="E614"/>
          <cell r="F614"/>
        </row>
        <row r="615">
          <cell r="C615"/>
          <cell r="D615"/>
          <cell r="E615"/>
          <cell r="F615"/>
        </row>
        <row r="616">
          <cell r="C616"/>
          <cell r="D616"/>
          <cell r="E616"/>
          <cell r="F616"/>
        </row>
        <row r="617">
          <cell r="C617"/>
          <cell r="D617"/>
          <cell r="E617"/>
          <cell r="F617"/>
        </row>
        <row r="618">
          <cell r="C618"/>
          <cell r="D618"/>
          <cell r="E618"/>
          <cell r="F618"/>
        </row>
        <row r="619">
          <cell r="C619"/>
          <cell r="D619"/>
          <cell r="E619"/>
          <cell r="F619"/>
        </row>
        <row r="620">
          <cell r="C620"/>
          <cell r="D620"/>
          <cell r="E620"/>
          <cell r="F620"/>
        </row>
        <row r="621">
          <cell r="C621"/>
          <cell r="D621"/>
          <cell r="E621"/>
          <cell r="F621"/>
        </row>
        <row r="622">
          <cell r="C622"/>
          <cell r="D622"/>
          <cell r="E622"/>
          <cell r="F622"/>
        </row>
        <row r="623">
          <cell r="C623"/>
          <cell r="D623"/>
          <cell r="E623"/>
          <cell r="F623"/>
        </row>
        <row r="624">
          <cell r="C624"/>
          <cell r="D624"/>
          <cell r="E624"/>
          <cell r="F624"/>
        </row>
        <row r="625">
          <cell r="C625"/>
          <cell r="D625"/>
          <cell r="E625"/>
          <cell r="F625"/>
        </row>
        <row r="626">
          <cell r="C626"/>
          <cell r="D626"/>
          <cell r="E626"/>
          <cell r="F626"/>
        </row>
        <row r="627">
          <cell r="C627"/>
          <cell r="D627"/>
          <cell r="E627"/>
          <cell r="F627"/>
        </row>
        <row r="628">
          <cell r="C628"/>
          <cell r="D628"/>
          <cell r="E628"/>
          <cell r="F628"/>
        </row>
        <row r="629">
          <cell r="C629"/>
          <cell r="D629"/>
          <cell r="E629"/>
          <cell r="F629"/>
        </row>
        <row r="630">
          <cell r="C630"/>
          <cell r="D630"/>
          <cell r="E630"/>
          <cell r="F630"/>
        </row>
        <row r="631">
          <cell r="C631"/>
          <cell r="D631"/>
          <cell r="E631"/>
          <cell r="F631"/>
        </row>
        <row r="632">
          <cell r="C632"/>
          <cell r="D632"/>
          <cell r="E632"/>
          <cell r="F632"/>
        </row>
        <row r="633">
          <cell r="C633"/>
          <cell r="D633"/>
          <cell r="E633"/>
          <cell r="F633"/>
        </row>
        <row r="634">
          <cell r="C634"/>
          <cell r="D634"/>
          <cell r="E634"/>
          <cell r="F634"/>
        </row>
        <row r="635">
          <cell r="C635"/>
          <cell r="D635"/>
          <cell r="E635"/>
          <cell r="F635"/>
        </row>
        <row r="636">
          <cell r="C636"/>
          <cell r="D636"/>
          <cell r="E636"/>
          <cell r="F636"/>
        </row>
        <row r="637">
          <cell r="C637"/>
          <cell r="D637"/>
          <cell r="E637"/>
          <cell r="F637"/>
        </row>
        <row r="638">
          <cell r="C638"/>
          <cell r="D638"/>
          <cell r="E638"/>
          <cell r="F638"/>
        </row>
        <row r="639">
          <cell r="C639"/>
          <cell r="D639"/>
          <cell r="E639"/>
          <cell r="F639"/>
        </row>
        <row r="640">
          <cell r="C640"/>
          <cell r="D640"/>
          <cell r="E640"/>
          <cell r="F640"/>
        </row>
        <row r="641">
          <cell r="C641"/>
          <cell r="D641"/>
          <cell r="E641"/>
          <cell r="F641"/>
        </row>
        <row r="642">
          <cell r="C642"/>
          <cell r="D642"/>
          <cell r="E642"/>
          <cell r="F642"/>
        </row>
        <row r="643">
          <cell r="C643"/>
          <cell r="D643"/>
          <cell r="E643"/>
          <cell r="F643"/>
        </row>
        <row r="644">
          <cell r="C644"/>
          <cell r="D644"/>
          <cell r="E644"/>
          <cell r="F644"/>
        </row>
        <row r="645">
          <cell r="C645"/>
          <cell r="D645"/>
          <cell r="E645"/>
          <cell r="F645"/>
        </row>
        <row r="646">
          <cell r="C646"/>
          <cell r="D646"/>
          <cell r="E646"/>
          <cell r="F646"/>
        </row>
        <row r="647">
          <cell r="C647"/>
          <cell r="D647"/>
          <cell r="E647"/>
          <cell r="F647"/>
        </row>
        <row r="648">
          <cell r="C648"/>
          <cell r="D648"/>
          <cell r="E648"/>
          <cell r="F648"/>
        </row>
        <row r="649">
          <cell r="C649"/>
          <cell r="D649"/>
          <cell r="E649"/>
          <cell r="F649"/>
        </row>
        <row r="650">
          <cell r="C650"/>
          <cell r="D650"/>
          <cell r="E650"/>
          <cell r="F650"/>
        </row>
        <row r="651">
          <cell r="C651"/>
          <cell r="D651"/>
          <cell r="E651"/>
          <cell r="F651"/>
        </row>
        <row r="652">
          <cell r="C652"/>
          <cell r="D652"/>
          <cell r="E652"/>
          <cell r="F652"/>
        </row>
        <row r="653">
          <cell r="C653"/>
          <cell r="D653"/>
          <cell r="E653"/>
          <cell r="F653"/>
        </row>
        <row r="654">
          <cell r="C654"/>
          <cell r="D654"/>
          <cell r="E654"/>
          <cell r="F654"/>
        </row>
        <row r="655">
          <cell r="C655"/>
          <cell r="D655"/>
          <cell r="E655"/>
          <cell r="F655"/>
        </row>
        <row r="656">
          <cell r="C656"/>
          <cell r="D656"/>
          <cell r="E656"/>
          <cell r="F656"/>
        </row>
        <row r="657">
          <cell r="C657"/>
          <cell r="D657"/>
          <cell r="E657"/>
          <cell r="F657"/>
        </row>
        <row r="658">
          <cell r="C658"/>
          <cell r="D658"/>
          <cell r="E658"/>
          <cell r="F658"/>
        </row>
        <row r="659">
          <cell r="C659"/>
          <cell r="D659"/>
          <cell r="E659"/>
          <cell r="F659"/>
        </row>
        <row r="660">
          <cell r="C660"/>
          <cell r="D660"/>
          <cell r="E660"/>
          <cell r="F660"/>
        </row>
        <row r="661">
          <cell r="C661"/>
          <cell r="D661"/>
          <cell r="E661"/>
          <cell r="F661"/>
        </row>
        <row r="662">
          <cell r="C662"/>
          <cell r="D662"/>
          <cell r="E662"/>
          <cell r="F662"/>
        </row>
        <row r="663">
          <cell r="C663"/>
          <cell r="D663"/>
          <cell r="E663"/>
          <cell r="F663"/>
        </row>
        <row r="664">
          <cell r="C664"/>
          <cell r="D664"/>
          <cell r="E664"/>
          <cell r="F664"/>
        </row>
        <row r="665">
          <cell r="C665"/>
          <cell r="D665"/>
          <cell r="E665"/>
          <cell r="F665"/>
        </row>
        <row r="666">
          <cell r="C666"/>
          <cell r="D666"/>
          <cell r="E666"/>
          <cell r="F666"/>
        </row>
        <row r="667">
          <cell r="C667"/>
          <cell r="D667"/>
          <cell r="E667"/>
          <cell r="F667"/>
        </row>
        <row r="668">
          <cell r="C668"/>
          <cell r="D668"/>
          <cell r="E668"/>
          <cell r="F668"/>
        </row>
        <row r="669">
          <cell r="C669"/>
          <cell r="D669"/>
          <cell r="E669"/>
          <cell r="F669"/>
        </row>
        <row r="670">
          <cell r="C670"/>
          <cell r="D670"/>
          <cell r="E670"/>
          <cell r="F670"/>
        </row>
        <row r="671">
          <cell r="C671"/>
          <cell r="D671"/>
          <cell r="E671"/>
          <cell r="F671"/>
        </row>
        <row r="672">
          <cell r="C672"/>
          <cell r="D672"/>
          <cell r="E672"/>
          <cell r="F672"/>
        </row>
        <row r="673">
          <cell r="C673"/>
          <cell r="D673"/>
          <cell r="E673"/>
          <cell r="F673"/>
        </row>
        <row r="674">
          <cell r="C674"/>
          <cell r="D674"/>
          <cell r="E674"/>
          <cell r="F674"/>
        </row>
        <row r="675">
          <cell r="C675"/>
          <cell r="D675"/>
          <cell r="E675"/>
          <cell r="F675"/>
        </row>
        <row r="676">
          <cell r="C676"/>
          <cell r="D676"/>
          <cell r="E676"/>
          <cell r="F676"/>
        </row>
        <row r="677">
          <cell r="C677"/>
          <cell r="D677"/>
          <cell r="E677"/>
          <cell r="F677"/>
        </row>
        <row r="678">
          <cell r="C678"/>
          <cell r="D678"/>
          <cell r="E678"/>
          <cell r="F678"/>
        </row>
        <row r="679">
          <cell r="C679"/>
          <cell r="D679"/>
          <cell r="E679"/>
          <cell r="F679"/>
        </row>
        <row r="680">
          <cell r="C680"/>
          <cell r="D680"/>
          <cell r="E680"/>
          <cell r="F680"/>
        </row>
        <row r="681">
          <cell r="C681"/>
          <cell r="D681"/>
          <cell r="E681"/>
          <cell r="F681"/>
        </row>
        <row r="682">
          <cell r="C682"/>
          <cell r="D682"/>
          <cell r="E682"/>
          <cell r="F682"/>
        </row>
        <row r="683">
          <cell r="C683"/>
          <cell r="D683"/>
          <cell r="E683"/>
          <cell r="F683"/>
        </row>
        <row r="684">
          <cell r="C684"/>
          <cell r="D684"/>
          <cell r="E684"/>
          <cell r="F684"/>
        </row>
        <row r="685">
          <cell r="C685"/>
          <cell r="D685"/>
          <cell r="E685"/>
          <cell r="F685"/>
        </row>
        <row r="686">
          <cell r="C686"/>
          <cell r="D686"/>
          <cell r="E686"/>
          <cell r="F686"/>
        </row>
        <row r="687">
          <cell r="C687"/>
          <cell r="D687"/>
          <cell r="E687"/>
          <cell r="F687"/>
        </row>
        <row r="688">
          <cell r="C688"/>
          <cell r="D688"/>
          <cell r="E688"/>
          <cell r="F688"/>
        </row>
        <row r="689">
          <cell r="C689"/>
          <cell r="D689"/>
          <cell r="E689"/>
          <cell r="F689"/>
        </row>
        <row r="690">
          <cell r="C690"/>
          <cell r="D690"/>
          <cell r="E690"/>
          <cell r="F690"/>
        </row>
        <row r="691">
          <cell r="C691"/>
          <cell r="D691"/>
          <cell r="E691"/>
          <cell r="F691"/>
        </row>
        <row r="692">
          <cell r="C692"/>
          <cell r="D692"/>
          <cell r="E692"/>
          <cell r="F692"/>
        </row>
        <row r="693">
          <cell r="C693"/>
          <cell r="D693"/>
          <cell r="E693"/>
          <cell r="F693"/>
        </row>
        <row r="694">
          <cell r="C694"/>
          <cell r="D694"/>
          <cell r="E694"/>
          <cell r="F694"/>
        </row>
        <row r="695">
          <cell r="C695"/>
          <cell r="D695"/>
          <cell r="E695"/>
          <cell r="F695"/>
        </row>
        <row r="696">
          <cell r="C696"/>
          <cell r="D696"/>
          <cell r="E696"/>
          <cell r="F696"/>
        </row>
        <row r="697">
          <cell r="C697"/>
          <cell r="D697"/>
          <cell r="E697"/>
          <cell r="F697"/>
        </row>
        <row r="698">
          <cell r="C698"/>
          <cell r="D698"/>
          <cell r="E698"/>
          <cell r="F698"/>
        </row>
        <row r="699">
          <cell r="C699"/>
          <cell r="D699"/>
          <cell r="E699"/>
          <cell r="F699"/>
        </row>
        <row r="700">
          <cell r="C700"/>
          <cell r="D700"/>
          <cell r="E700"/>
          <cell r="F700"/>
        </row>
        <row r="701">
          <cell r="C701"/>
          <cell r="D701"/>
          <cell r="E701"/>
          <cell r="F701"/>
        </row>
        <row r="702">
          <cell r="C702"/>
          <cell r="D702"/>
          <cell r="E702"/>
          <cell r="F702"/>
        </row>
        <row r="703">
          <cell r="C703"/>
          <cell r="D703"/>
          <cell r="E703"/>
          <cell r="F703"/>
        </row>
        <row r="704">
          <cell r="C704"/>
          <cell r="D704"/>
          <cell r="E704"/>
          <cell r="F704"/>
        </row>
        <row r="705">
          <cell r="C705"/>
          <cell r="D705"/>
          <cell r="E705"/>
          <cell r="F705"/>
        </row>
        <row r="706">
          <cell r="C706"/>
          <cell r="D706"/>
          <cell r="E706"/>
          <cell r="F706"/>
        </row>
        <row r="707">
          <cell r="C707"/>
          <cell r="D707"/>
          <cell r="E707"/>
          <cell r="F707"/>
        </row>
        <row r="708">
          <cell r="C708"/>
          <cell r="D708"/>
          <cell r="E708"/>
          <cell r="F708"/>
        </row>
        <row r="709">
          <cell r="C709"/>
          <cell r="D709"/>
          <cell r="E709"/>
          <cell r="F709"/>
        </row>
        <row r="710">
          <cell r="C710"/>
          <cell r="D710"/>
          <cell r="E710"/>
          <cell r="F710"/>
        </row>
        <row r="711">
          <cell r="C711"/>
          <cell r="D711"/>
          <cell r="E711"/>
          <cell r="F711"/>
        </row>
        <row r="712">
          <cell r="C712"/>
          <cell r="D712"/>
          <cell r="E712"/>
          <cell r="F712"/>
        </row>
        <row r="713">
          <cell r="C713"/>
          <cell r="D713"/>
          <cell r="E713"/>
          <cell r="F713"/>
        </row>
        <row r="714">
          <cell r="C714"/>
          <cell r="D714"/>
          <cell r="E714"/>
          <cell r="F714"/>
        </row>
        <row r="715">
          <cell r="C715"/>
          <cell r="D715"/>
          <cell r="E715"/>
          <cell r="F715"/>
        </row>
        <row r="716">
          <cell r="C716"/>
          <cell r="D716"/>
          <cell r="E716"/>
          <cell r="F716"/>
        </row>
        <row r="717">
          <cell r="C717"/>
          <cell r="D717"/>
          <cell r="E717"/>
          <cell r="F717"/>
        </row>
        <row r="718">
          <cell r="C718"/>
          <cell r="D718"/>
          <cell r="E718"/>
          <cell r="F718"/>
        </row>
        <row r="719">
          <cell r="C719"/>
          <cell r="D719"/>
          <cell r="E719"/>
          <cell r="F719"/>
        </row>
        <row r="720">
          <cell r="C720"/>
          <cell r="D720"/>
          <cell r="E720"/>
          <cell r="F720"/>
        </row>
        <row r="721">
          <cell r="C721"/>
          <cell r="D721"/>
          <cell r="E721"/>
          <cell r="F721"/>
        </row>
        <row r="722">
          <cell r="C722"/>
          <cell r="D722"/>
          <cell r="E722"/>
          <cell r="F722"/>
        </row>
        <row r="723">
          <cell r="C723"/>
          <cell r="D723"/>
          <cell r="E723"/>
          <cell r="F723"/>
        </row>
        <row r="724">
          <cell r="C724"/>
          <cell r="D724"/>
          <cell r="E724"/>
          <cell r="F724"/>
        </row>
        <row r="725">
          <cell r="C725"/>
          <cell r="D725"/>
          <cell r="E725"/>
          <cell r="F725"/>
        </row>
        <row r="726">
          <cell r="C726"/>
          <cell r="D726"/>
          <cell r="E726"/>
          <cell r="F726"/>
        </row>
        <row r="727">
          <cell r="C727"/>
          <cell r="D727"/>
          <cell r="E727"/>
          <cell r="F727"/>
        </row>
        <row r="728">
          <cell r="C728"/>
          <cell r="D728"/>
          <cell r="E728"/>
          <cell r="F728"/>
        </row>
        <row r="729">
          <cell r="C729"/>
          <cell r="D729"/>
          <cell r="E729"/>
          <cell r="F729"/>
        </row>
        <row r="730">
          <cell r="C730"/>
          <cell r="D730"/>
          <cell r="E730"/>
          <cell r="F730"/>
        </row>
        <row r="731">
          <cell r="C731"/>
          <cell r="D731"/>
          <cell r="E731"/>
          <cell r="F731"/>
        </row>
        <row r="732">
          <cell r="C732"/>
          <cell r="D732"/>
          <cell r="E732"/>
          <cell r="F732"/>
        </row>
        <row r="733">
          <cell r="C733"/>
          <cell r="D733"/>
          <cell r="E733"/>
          <cell r="F733"/>
        </row>
        <row r="734">
          <cell r="C734"/>
          <cell r="D734"/>
          <cell r="E734"/>
          <cell r="F734"/>
        </row>
        <row r="735">
          <cell r="C735"/>
          <cell r="D735"/>
          <cell r="E735"/>
          <cell r="F735"/>
        </row>
        <row r="736">
          <cell r="C736"/>
          <cell r="D736"/>
          <cell r="E736"/>
          <cell r="F736"/>
        </row>
        <row r="737">
          <cell r="C737"/>
          <cell r="D737"/>
          <cell r="E737"/>
          <cell r="F737"/>
        </row>
        <row r="738">
          <cell r="C738"/>
          <cell r="D738"/>
          <cell r="E738"/>
          <cell r="F738"/>
        </row>
        <row r="739">
          <cell r="C739"/>
          <cell r="D739"/>
          <cell r="E739"/>
          <cell r="F739"/>
        </row>
        <row r="740">
          <cell r="C740"/>
          <cell r="D740"/>
          <cell r="E740"/>
          <cell r="F740"/>
        </row>
        <row r="741">
          <cell r="C741"/>
          <cell r="D741"/>
          <cell r="E741"/>
          <cell r="F741"/>
        </row>
        <row r="742">
          <cell r="C742"/>
          <cell r="D742"/>
          <cell r="E742"/>
          <cell r="F742"/>
        </row>
        <row r="743">
          <cell r="C743"/>
          <cell r="D743"/>
          <cell r="E743"/>
          <cell r="F743"/>
        </row>
        <row r="744">
          <cell r="C744"/>
          <cell r="D744"/>
          <cell r="E744"/>
          <cell r="F744"/>
        </row>
        <row r="745">
          <cell r="C745"/>
          <cell r="D745"/>
          <cell r="E745"/>
          <cell r="F745"/>
        </row>
        <row r="746">
          <cell r="C746"/>
          <cell r="D746"/>
          <cell r="E746"/>
          <cell r="F746"/>
        </row>
        <row r="747">
          <cell r="C747"/>
          <cell r="D747"/>
          <cell r="E747"/>
          <cell r="F747"/>
        </row>
        <row r="748">
          <cell r="C748"/>
          <cell r="D748"/>
          <cell r="E748"/>
          <cell r="F748"/>
        </row>
        <row r="749">
          <cell r="C749"/>
          <cell r="D749"/>
          <cell r="E749"/>
          <cell r="F749"/>
        </row>
        <row r="750">
          <cell r="C750"/>
          <cell r="D750"/>
          <cell r="E750"/>
          <cell r="F750"/>
        </row>
        <row r="751">
          <cell r="C751"/>
          <cell r="D751"/>
          <cell r="E751"/>
          <cell r="F751"/>
        </row>
        <row r="752">
          <cell r="C752"/>
          <cell r="D752"/>
          <cell r="E752"/>
          <cell r="F752"/>
        </row>
        <row r="753">
          <cell r="C753"/>
          <cell r="D753"/>
          <cell r="E753"/>
          <cell r="F753"/>
        </row>
        <row r="754">
          <cell r="C754"/>
          <cell r="D754"/>
          <cell r="E754"/>
          <cell r="F754"/>
        </row>
        <row r="755">
          <cell r="C755"/>
          <cell r="D755"/>
          <cell r="E755"/>
          <cell r="F755"/>
        </row>
        <row r="756">
          <cell r="C756"/>
          <cell r="D756"/>
          <cell r="E756"/>
          <cell r="F756"/>
        </row>
        <row r="757">
          <cell r="C757"/>
          <cell r="D757"/>
          <cell r="E757"/>
          <cell r="F757"/>
        </row>
        <row r="758">
          <cell r="C758"/>
          <cell r="D758"/>
          <cell r="E758"/>
          <cell r="F758"/>
        </row>
        <row r="759">
          <cell r="C759"/>
          <cell r="D759"/>
          <cell r="E759"/>
          <cell r="F759"/>
        </row>
        <row r="760">
          <cell r="C760"/>
          <cell r="D760"/>
          <cell r="E760"/>
          <cell r="F760"/>
        </row>
        <row r="761">
          <cell r="C761"/>
          <cell r="D761"/>
          <cell r="E761"/>
          <cell r="F761"/>
        </row>
        <row r="762">
          <cell r="C762"/>
          <cell r="D762"/>
          <cell r="E762"/>
          <cell r="F762"/>
        </row>
        <row r="763">
          <cell r="C763"/>
          <cell r="D763"/>
          <cell r="E763"/>
          <cell r="F763"/>
        </row>
        <row r="764">
          <cell r="C764"/>
          <cell r="D764"/>
          <cell r="E764"/>
          <cell r="F764"/>
        </row>
        <row r="765">
          <cell r="C765"/>
          <cell r="D765"/>
          <cell r="E765"/>
          <cell r="F765"/>
        </row>
        <row r="766">
          <cell r="C766"/>
          <cell r="D766"/>
          <cell r="E766"/>
          <cell r="F766"/>
        </row>
        <row r="767">
          <cell r="C767"/>
          <cell r="D767"/>
          <cell r="E767"/>
          <cell r="F767"/>
        </row>
        <row r="768">
          <cell r="C768"/>
          <cell r="D768"/>
          <cell r="E768"/>
          <cell r="F768"/>
        </row>
        <row r="769">
          <cell r="C769"/>
          <cell r="D769"/>
          <cell r="E769"/>
          <cell r="F769"/>
        </row>
        <row r="770">
          <cell r="C770"/>
          <cell r="D770"/>
          <cell r="E770"/>
          <cell r="F770"/>
        </row>
        <row r="771">
          <cell r="C771"/>
          <cell r="D771"/>
          <cell r="E771"/>
          <cell r="F771"/>
        </row>
        <row r="772">
          <cell r="C772"/>
          <cell r="D772"/>
          <cell r="E772"/>
          <cell r="F772"/>
        </row>
        <row r="773">
          <cell r="C773"/>
          <cell r="D773"/>
          <cell r="E773"/>
          <cell r="F773"/>
        </row>
        <row r="774">
          <cell r="C774"/>
          <cell r="D774"/>
          <cell r="E774"/>
          <cell r="F774"/>
        </row>
        <row r="775">
          <cell r="C775"/>
          <cell r="D775"/>
          <cell r="E775"/>
          <cell r="F775"/>
        </row>
        <row r="776">
          <cell r="C776"/>
          <cell r="D776"/>
          <cell r="E776"/>
          <cell r="F776"/>
        </row>
        <row r="777">
          <cell r="C777"/>
          <cell r="D777"/>
          <cell r="E777"/>
          <cell r="F777"/>
        </row>
        <row r="778">
          <cell r="C778"/>
          <cell r="D778"/>
          <cell r="E778"/>
          <cell r="F778"/>
        </row>
        <row r="779">
          <cell r="C779"/>
          <cell r="D779"/>
          <cell r="E779"/>
          <cell r="F779"/>
        </row>
        <row r="780">
          <cell r="C780"/>
          <cell r="D780"/>
          <cell r="E780"/>
          <cell r="F780"/>
        </row>
        <row r="781">
          <cell r="C781"/>
          <cell r="D781"/>
          <cell r="E781"/>
          <cell r="F781"/>
        </row>
        <row r="782">
          <cell r="C782"/>
          <cell r="D782"/>
          <cell r="E782"/>
          <cell r="F782"/>
        </row>
        <row r="783">
          <cell r="C783"/>
          <cell r="D783"/>
          <cell r="E783"/>
          <cell r="F783"/>
        </row>
        <row r="784">
          <cell r="C784"/>
          <cell r="D784"/>
          <cell r="E784"/>
          <cell r="F784"/>
        </row>
        <row r="785">
          <cell r="C785"/>
          <cell r="D785"/>
          <cell r="E785"/>
          <cell r="F785"/>
        </row>
        <row r="786">
          <cell r="C786"/>
          <cell r="D786"/>
          <cell r="E786"/>
          <cell r="F786"/>
        </row>
        <row r="787">
          <cell r="C787"/>
          <cell r="D787"/>
          <cell r="E787"/>
          <cell r="F787"/>
        </row>
        <row r="788">
          <cell r="C788"/>
          <cell r="D788"/>
          <cell r="E788"/>
          <cell r="F788"/>
        </row>
        <row r="789">
          <cell r="C789"/>
          <cell r="D789"/>
          <cell r="E789"/>
          <cell r="F789"/>
        </row>
        <row r="790">
          <cell r="C790"/>
          <cell r="D790"/>
          <cell r="E790"/>
          <cell r="F790"/>
        </row>
        <row r="791">
          <cell r="C791"/>
          <cell r="D791"/>
          <cell r="E791"/>
          <cell r="F791"/>
        </row>
        <row r="792">
          <cell r="C792"/>
          <cell r="D792"/>
          <cell r="E792"/>
          <cell r="F792"/>
        </row>
        <row r="793">
          <cell r="C793"/>
          <cell r="D793"/>
          <cell r="E793"/>
          <cell r="F793"/>
        </row>
        <row r="794">
          <cell r="C794"/>
          <cell r="D794"/>
          <cell r="E794"/>
          <cell r="F794"/>
        </row>
        <row r="795">
          <cell r="C795"/>
          <cell r="D795"/>
          <cell r="E795"/>
          <cell r="F795"/>
        </row>
        <row r="796">
          <cell r="C796"/>
          <cell r="D796"/>
          <cell r="E796"/>
          <cell r="F796"/>
        </row>
        <row r="797">
          <cell r="C797"/>
          <cell r="D797"/>
          <cell r="E797"/>
          <cell r="F797"/>
        </row>
        <row r="798">
          <cell r="C798"/>
          <cell r="D798"/>
          <cell r="E798"/>
          <cell r="F798"/>
        </row>
        <row r="799">
          <cell r="C799"/>
          <cell r="D799"/>
          <cell r="E799"/>
          <cell r="F799"/>
        </row>
        <row r="800">
          <cell r="C800"/>
          <cell r="D800"/>
          <cell r="E800"/>
          <cell r="F800"/>
        </row>
        <row r="801">
          <cell r="C801"/>
          <cell r="D801"/>
          <cell r="E801"/>
          <cell r="F801"/>
        </row>
        <row r="802">
          <cell r="C802"/>
          <cell r="D802"/>
          <cell r="E802"/>
          <cell r="F802"/>
        </row>
        <row r="803">
          <cell r="C803"/>
          <cell r="D803"/>
          <cell r="E803"/>
          <cell r="F803"/>
        </row>
        <row r="804">
          <cell r="C804"/>
          <cell r="D804"/>
          <cell r="E804"/>
          <cell r="F804"/>
        </row>
        <row r="805">
          <cell r="C805"/>
          <cell r="D805"/>
          <cell r="E805"/>
          <cell r="F805"/>
        </row>
        <row r="806">
          <cell r="C806"/>
          <cell r="D806"/>
          <cell r="E806"/>
          <cell r="F806"/>
        </row>
        <row r="807">
          <cell r="C807"/>
          <cell r="D807"/>
          <cell r="E807"/>
          <cell r="F807"/>
        </row>
        <row r="808">
          <cell r="C808"/>
          <cell r="D808"/>
          <cell r="E808"/>
          <cell r="F808"/>
        </row>
        <row r="809">
          <cell r="C809"/>
          <cell r="D809"/>
          <cell r="E809"/>
          <cell r="F809"/>
        </row>
        <row r="810">
          <cell r="C810"/>
          <cell r="D810"/>
          <cell r="E810"/>
          <cell r="F810"/>
        </row>
        <row r="811">
          <cell r="C811"/>
          <cell r="D811"/>
          <cell r="E811"/>
          <cell r="F811"/>
        </row>
        <row r="812">
          <cell r="C812"/>
          <cell r="D812"/>
          <cell r="E812"/>
          <cell r="F812"/>
        </row>
        <row r="813">
          <cell r="C813"/>
          <cell r="D813"/>
          <cell r="E813"/>
          <cell r="F813"/>
        </row>
        <row r="814">
          <cell r="C814"/>
          <cell r="D814"/>
          <cell r="E814"/>
          <cell r="F814"/>
        </row>
        <row r="815">
          <cell r="C815"/>
          <cell r="D815"/>
          <cell r="E815"/>
          <cell r="F815"/>
        </row>
        <row r="816">
          <cell r="C816"/>
          <cell r="D816"/>
          <cell r="E816"/>
          <cell r="F816"/>
        </row>
        <row r="817">
          <cell r="C817"/>
          <cell r="D817"/>
          <cell r="E817"/>
          <cell r="F817"/>
        </row>
        <row r="818">
          <cell r="C818"/>
          <cell r="D818"/>
          <cell r="E818"/>
          <cell r="F818"/>
        </row>
        <row r="819">
          <cell r="C819"/>
          <cell r="D819"/>
          <cell r="E819"/>
          <cell r="F819"/>
        </row>
        <row r="820">
          <cell r="C820"/>
          <cell r="D820"/>
          <cell r="E820"/>
          <cell r="F820"/>
        </row>
        <row r="821">
          <cell r="C821"/>
          <cell r="D821"/>
          <cell r="E821"/>
          <cell r="F821"/>
        </row>
        <row r="822">
          <cell r="C822"/>
          <cell r="D822"/>
          <cell r="E822"/>
          <cell r="F822"/>
        </row>
        <row r="823">
          <cell r="C823"/>
          <cell r="D823"/>
          <cell r="E823"/>
          <cell r="F823"/>
        </row>
        <row r="824">
          <cell r="C824"/>
          <cell r="D824"/>
          <cell r="E824"/>
          <cell r="F824"/>
        </row>
        <row r="825">
          <cell r="C825"/>
          <cell r="D825"/>
          <cell r="E825"/>
          <cell r="F825"/>
        </row>
        <row r="826">
          <cell r="C826"/>
          <cell r="D826"/>
          <cell r="E826"/>
          <cell r="F826"/>
        </row>
        <row r="827">
          <cell r="C827"/>
          <cell r="D827"/>
          <cell r="E827"/>
          <cell r="F827"/>
        </row>
        <row r="828">
          <cell r="C828"/>
          <cell r="D828"/>
          <cell r="E828"/>
          <cell r="F828"/>
        </row>
        <row r="829">
          <cell r="C829"/>
          <cell r="D829"/>
          <cell r="E829"/>
          <cell r="F829"/>
        </row>
        <row r="830">
          <cell r="C830"/>
          <cell r="D830"/>
          <cell r="E830"/>
          <cell r="F830"/>
        </row>
        <row r="831">
          <cell r="C831"/>
          <cell r="D831"/>
          <cell r="E831"/>
          <cell r="F831"/>
        </row>
        <row r="832">
          <cell r="C832"/>
          <cell r="D832"/>
          <cell r="E832"/>
          <cell r="F832"/>
        </row>
        <row r="833">
          <cell r="C833"/>
          <cell r="D833"/>
          <cell r="E833"/>
          <cell r="F833"/>
        </row>
        <row r="834">
          <cell r="C834"/>
          <cell r="D834"/>
          <cell r="E834"/>
          <cell r="F834"/>
        </row>
        <row r="835">
          <cell r="C835"/>
          <cell r="D835"/>
          <cell r="E835"/>
          <cell r="F835"/>
        </row>
        <row r="836">
          <cell r="C836"/>
          <cell r="D836"/>
          <cell r="E836"/>
          <cell r="F836"/>
        </row>
        <row r="837">
          <cell r="C837"/>
          <cell r="D837"/>
          <cell r="E837"/>
          <cell r="F837"/>
        </row>
        <row r="838">
          <cell r="C838"/>
          <cell r="D838"/>
          <cell r="E838"/>
          <cell r="F838"/>
        </row>
        <row r="839">
          <cell r="C839"/>
          <cell r="D839"/>
          <cell r="E839"/>
          <cell r="F839"/>
        </row>
        <row r="840">
          <cell r="C840"/>
          <cell r="D840"/>
          <cell r="E840"/>
          <cell r="F840"/>
        </row>
        <row r="841">
          <cell r="C841"/>
          <cell r="D841"/>
          <cell r="E841"/>
          <cell r="F841"/>
        </row>
        <row r="842">
          <cell r="C842"/>
          <cell r="D842"/>
          <cell r="E842"/>
          <cell r="F842"/>
        </row>
        <row r="843">
          <cell r="C843"/>
          <cell r="D843"/>
          <cell r="E843"/>
          <cell r="F843"/>
        </row>
        <row r="844">
          <cell r="C844"/>
          <cell r="D844"/>
          <cell r="E844"/>
          <cell r="F844"/>
        </row>
        <row r="845">
          <cell r="C845"/>
          <cell r="D845"/>
          <cell r="E845"/>
          <cell r="F845"/>
        </row>
        <row r="846">
          <cell r="C846"/>
          <cell r="D846"/>
          <cell r="E846"/>
          <cell r="F846"/>
        </row>
        <row r="847">
          <cell r="C847"/>
          <cell r="D847"/>
          <cell r="E847"/>
          <cell r="F847"/>
        </row>
        <row r="848">
          <cell r="C848"/>
          <cell r="D848"/>
          <cell r="E848"/>
          <cell r="F848"/>
        </row>
        <row r="849">
          <cell r="C849"/>
          <cell r="D849"/>
          <cell r="E849"/>
          <cell r="F849"/>
        </row>
        <row r="850">
          <cell r="C850"/>
          <cell r="D850"/>
          <cell r="E850"/>
          <cell r="F850"/>
        </row>
        <row r="851">
          <cell r="C851"/>
          <cell r="D851"/>
          <cell r="E851"/>
          <cell r="F851"/>
        </row>
        <row r="852">
          <cell r="C852"/>
          <cell r="D852"/>
          <cell r="E852"/>
          <cell r="F852"/>
        </row>
        <row r="853">
          <cell r="C853"/>
          <cell r="D853"/>
          <cell r="E853"/>
          <cell r="F853"/>
        </row>
        <row r="854">
          <cell r="C854"/>
          <cell r="D854"/>
          <cell r="E854"/>
          <cell r="F854"/>
        </row>
        <row r="855">
          <cell r="C855"/>
          <cell r="D855"/>
          <cell r="E855"/>
          <cell r="F855"/>
        </row>
        <row r="856">
          <cell r="C856"/>
          <cell r="D856"/>
          <cell r="E856"/>
          <cell r="F856"/>
        </row>
        <row r="857">
          <cell r="C857"/>
          <cell r="D857"/>
          <cell r="E857"/>
          <cell r="F857"/>
        </row>
        <row r="858">
          <cell r="C858"/>
          <cell r="D858"/>
          <cell r="E858"/>
          <cell r="F858"/>
        </row>
        <row r="859">
          <cell r="C859"/>
          <cell r="D859"/>
          <cell r="E859"/>
          <cell r="F859"/>
        </row>
        <row r="860">
          <cell r="C860"/>
          <cell r="D860"/>
          <cell r="E860"/>
          <cell r="F860"/>
        </row>
        <row r="861">
          <cell r="C861"/>
          <cell r="D861"/>
          <cell r="E861"/>
          <cell r="F861"/>
        </row>
        <row r="862">
          <cell r="C862"/>
          <cell r="D862"/>
          <cell r="E862"/>
          <cell r="F862"/>
        </row>
        <row r="863">
          <cell r="C863"/>
          <cell r="D863"/>
          <cell r="E863"/>
          <cell r="F863"/>
        </row>
        <row r="864">
          <cell r="C864"/>
          <cell r="D864"/>
          <cell r="E864"/>
          <cell r="F864"/>
        </row>
        <row r="865">
          <cell r="C865"/>
          <cell r="D865"/>
          <cell r="E865"/>
          <cell r="F865"/>
        </row>
        <row r="866">
          <cell r="C866"/>
          <cell r="D866"/>
          <cell r="E866"/>
          <cell r="F866"/>
        </row>
        <row r="867">
          <cell r="C867"/>
          <cell r="D867"/>
          <cell r="E867"/>
          <cell r="F867"/>
        </row>
        <row r="868">
          <cell r="C868"/>
          <cell r="D868"/>
          <cell r="E868"/>
          <cell r="F868"/>
        </row>
        <row r="869">
          <cell r="C869"/>
          <cell r="D869"/>
          <cell r="E869"/>
          <cell r="F869"/>
        </row>
        <row r="870">
          <cell r="C870"/>
          <cell r="D870"/>
          <cell r="E870"/>
          <cell r="F870"/>
        </row>
        <row r="871">
          <cell r="C871"/>
          <cell r="D871"/>
          <cell r="E871"/>
          <cell r="F871"/>
        </row>
        <row r="872">
          <cell r="C872"/>
          <cell r="D872"/>
          <cell r="E872"/>
          <cell r="F872"/>
        </row>
        <row r="873">
          <cell r="C873"/>
          <cell r="D873"/>
          <cell r="E873"/>
          <cell r="F873"/>
        </row>
        <row r="874">
          <cell r="C874"/>
          <cell r="D874"/>
          <cell r="E874"/>
          <cell r="F874"/>
        </row>
        <row r="875">
          <cell r="C875"/>
          <cell r="D875"/>
          <cell r="E875"/>
          <cell r="F875"/>
        </row>
        <row r="876">
          <cell r="C876"/>
          <cell r="D876"/>
          <cell r="E876"/>
          <cell r="F876"/>
        </row>
        <row r="877">
          <cell r="C877"/>
          <cell r="D877"/>
          <cell r="E877"/>
          <cell r="F877"/>
        </row>
        <row r="878">
          <cell r="C878"/>
          <cell r="D878"/>
          <cell r="E878"/>
          <cell r="F878"/>
        </row>
        <row r="879">
          <cell r="C879"/>
          <cell r="D879"/>
          <cell r="E879"/>
          <cell r="F879"/>
        </row>
        <row r="880">
          <cell r="C880"/>
          <cell r="D880"/>
          <cell r="E880"/>
          <cell r="F880"/>
        </row>
        <row r="881">
          <cell r="C881"/>
          <cell r="D881"/>
          <cell r="E881"/>
          <cell r="F881"/>
        </row>
        <row r="882">
          <cell r="C882"/>
          <cell r="D882"/>
          <cell r="E882"/>
          <cell r="F882"/>
        </row>
        <row r="883">
          <cell r="C883"/>
          <cell r="D883"/>
          <cell r="E883"/>
          <cell r="F883"/>
        </row>
        <row r="884">
          <cell r="C884"/>
          <cell r="D884"/>
          <cell r="E884"/>
          <cell r="F884"/>
        </row>
        <row r="885">
          <cell r="C885"/>
          <cell r="D885"/>
          <cell r="E885"/>
          <cell r="F885"/>
        </row>
        <row r="886">
          <cell r="C886"/>
          <cell r="D886"/>
          <cell r="E886"/>
          <cell r="F886"/>
        </row>
        <row r="887">
          <cell r="C887"/>
          <cell r="D887"/>
          <cell r="E887"/>
          <cell r="F887"/>
        </row>
        <row r="888">
          <cell r="C888"/>
          <cell r="D888"/>
          <cell r="E888"/>
          <cell r="F888"/>
        </row>
        <row r="889">
          <cell r="C889"/>
          <cell r="D889"/>
          <cell r="E889"/>
          <cell r="F889"/>
        </row>
        <row r="890">
          <cell r="C890"/>
          <cell r="D890"/>
          <cell r="E890"/>
          <cell r="F890"/>
        </row>
        <row r="891">
          <cell r="C891"/>
          <cell r="D891"/>
          <cell r="E891"/>
          <cell r="F891"/>
        </row>
        <row r="892">
          <cell r="C892"/>
          <cell r="D892"/>
          <cell r="E892"/>
          <cell r="F892"/>
        </row>
        <row r="893">
          <cell r="C893"/>
          <cell r="D893"/>
          <cell r="E893"/>
          <cell r="F893"/>
        </row>
        <row r="894">
          <cell r="C894"/>
          <cell r="D894"/>
          <cell r="E894"/>
          <cell r="F894"/>
        </row>
        <row r="895">
          <cell r="C895"/>
          <cell r="D895"/>
          <cell r="E895"/>
          <cell r="F895"/>
        </row>
        <row r="896">
          <cell r="C896"/>
          <cell r="D896"/>
          <cell r="E896"/>
          <cell r="F896"/>
        </row>
        <row r="897">
          <cell r="C897"/>
          <cell r="D897"/>
          <cell r="E897"/>
          <cell r="F897"/>
        </row>
        <row r="898">
          <cell r="C898"/>
          <cell r="D898"/>
          <cell r="E898"/>
          <cell r="F898"/>
        </row>
        <row r="899">
          <cell r="C899"/>
          <cell r="D899"/>
          <cell r="E899"/>
          <cell r="F899"/>
        </row>
        <row r="900">
          <cell r="C900"/>
          <cell r="D900"/>
          <cell r="E900"/>
          <cell r="F900"/>
        </row>
        <row r="901">
          <cell r="C901"/>
          <cell r="D901"/>
          <cell r="E901"/>
          <cell r="F901"/>
        </row>
        <row r="902">
          <cell r="C902"/>
          <cell r="D902"/>
          <cell r="E902"/>
          <cell r="F902"/>
        </row>
        <row r="903">
          <cell r="C903"/>
          <cell r="D903"/>
          <cell r="E903"/>
          <cell r="F903"/>
        </row>
        <row r="904">
          <cell r="C904"/>
          <cell r="D904"/>
          <cell r="E904"/>
          <cell r="F904"/>
        </row>
        <row r="905">
          <cell r="C905"/>
          <cell r="D905"/>
          <cell r="E905"/>
          <cell r="F905"/>
        </row>
        <row r="906">
          <cell r="C906"/>
          <cell r="D906"/>
          <cell r="E906"/>
          <cell r="F906"/>
        </row>
        <row r="907">
          <cell r="C907"/>
          <cell r="D907"/>
          <cell r="E907"/>
          <cell r="F907"/>
        </row>
        <row r="908">
          <cell r="C908"/>
          <cell r="D908"/>
          <cell r="E908"/>
          <cell r="F908"/>
        </row>
        <row r="909">
          <cell r="C909"/>
          <cell r="D909"/>
          <cell r="E909"/>
          <cell r="F909"/>
        </row>
        <row r="910">
          <cell r="C910"/>
          <cell r="D910"/>
          <cell r="E910"/>
          <cell r="F910"/>
        </row>
        <row r="911">
          <cell r="C911"/>
          <cell r="D911"/>
          <cell r="E911"/>
          <cell r="F911"/>
        </row>
        <row r="912">
          <cell r="C912"/>
          <cell r="D912"/>
          <cell r="E912"/>
          <cell r="F912"/>
        </row>
        <row r="913">
          <cell r="C913"/>
          <cell r="D913"/>
          <cell r="E913"/>
          <cell r="F913"/>
        </row>
        <row r="914">
          <cell r="C914"/>
          <cell r="D914"/>
          <cell r="E914"/>
          <cell r="F914"/>
        </row>
        <row r="915">
          <cell r="C915"/>
          <cell r="D915"/>
          <cell r="E915"/>
          <cell r="F915"/>
        </row>
        <row r="916">
          <cell r="C916"/>
          <cell r="D916"/>
          <cell r="E916"/>
          <cell r="F916"/>
        </row>
        <row r="917">
          <cell r="C917"/>
          <cell r="D917"/>
          <cell r="E917"/>
          <cell r="F917"/>
        </row>
        <row r="918">
          <cell r="C918"/>
          <cell r="D918"/>
          <cell r="E918"/>
          <cell r="F918"/>
        </row>
        <row r="919">
          <cell r="C919"/>
          <cell r="D919"/>
          <cell r="E919"/>
          <cell r="F919"/>
        </row>
        <row r="920">
          <cell r="C920"/>
          <cell r="D920"/>
          <cell r="E920"/>
          <cell r="F920"/>
        </row>
        <row r="921">
          <cell r="C921"/>
          <cell r="D921"/>
          <cell r="E921"/>
          <cell r="F921"/>
        </row>
        <row r="922">
          <cell r="C922"/>
          <cell r="D922"/>
          <cell r="E922"/>
          <cell r="F922"/>
        </row>
        <row r="923">
          <cell r="C923"/>
          <cell r="D923"/>
          <cell r="E923"/>
          <cell r="F923"/>
        </row>
        <row r="924">
          <cell r="C924"/>
          <cell r="D924"/>
          <cell r="E924"/>
          <cell r="F924"/>
        </row>
        <row r="925">
          <cell r="C925"/>
          <cell r="D925"/>
          <cell r="E925"/>
          <cell r="F925"/>
        </row>
        <row r="926">
          <cell r="C926"/>
          <cell r="D926"/>
          <cell r="E926"/>
          <cell r="F926"/>
        </row>
        <row r="927">
          <cell r="C927"/>
          <cell r="D927"/>
          <cell r="E927"/>
          <cell r="F927"/>
        </row>
        <row r="928">
          <cell r="C928"/>
          <cell r="D928"/>
          <cell r="E928"/>
          <cell r="F928"/>
        </row>
        <row r="929">
          <cell r="C929"/>
          <cell r="D929"/>
          <cell r="E929"/>
          <cell r="F929"/>
        </row>
        <row r="930">
          <cell r="C930"/>
          <cell r="D930"/>
          <cell r="E930"/>
          <cell r="F930"/>
        </row>
        <row r="931">
          <cell r="C931"/>
          <cell r="D931"/>
          <cell r="E931"/>
          <cell r="F931"/>
        </row>
        <row r="932">
          <cell r="C932"/>
          <cell r="D932"/>
          <cell r="E932"/>
          <cell r="F932"/>
        </row>
        <row r="933">
          <cell r="C933"/>
          <cell r="D933"/>
          <cell r="E933"/>
          <cell r="F933"/>
        </row>
        <row r="934">
          <cell r="C934"/>
          <cell r="D934"/>
          <cell r="E934"/>
          <cell r="F934"/>
        </row>
        <row r="935">
          <cell r="C935"/>
          <cell r="D935"/>
          <cell r="E935"/>
          <cell r="F935"/>
        </row>
        <row r="936">
          <cell r="C936"/>
          <cell r="D936"/>
          <cell r="E936"/>
          <cell r="F936"/>
        </row>
        <row r="937">
          <cell r="C937"/>
          <cell r="D937"/>
          <cell r="E937"/>
          <cell r="F937"/>
        </row>
        <row r="938">
          <cell r="C938"/>
          <cell r="D938"/>
          <cell r="E938"/>
          <cell r="F938"/>
        </row>
        <row r="939">
          <cell r="C939"/>
          <cell r="D939"/>
          <cell r="E939"/>
          <cell r="F939"/>
        </row>
        <row r="940">
          <cell r="C940"/>
          <cell r="D940"/>
          <cell r="E940"/>
          <cell r="F940"/>
        </row>
        <row r="941">
          <cell r="C941"/>
          <cell r="D941"/>
          <cell r="E941"/>
          <cell r="F941"/>
        </row>
        <row r="942">
          <cell r="C942"/>
          <cell r="D942"/>
          <cell r="E942"/>
          <cell r="F942"/>
        </row>
        <row r="943">
          <cell r="C943"/>
          <cell r="D943"/>
          <cell r="E943"/>
          <cell r="F943"/>
        </row>
        <row r="944">
          <cell r="C944"/>
          <cell r="D944"/>
          <cell r="E944"/>
          <cell r="F944"/>
        </row>
        <row r="945">
          <cell r="C945"/>
          <cell r="D945"/>
          <cell r="E945"/>
          <cell r="F945"/>
        </row>
        <row r="946">
          <cell r="C946"/>
          <cell r="D946"/>
          <cell r="E946"/>
          <cell r="F946"/>
        </row>
        <row r="947">
          <cell r="C947"/>
          <cell r="D947"/>
          <cell r="E947"/>
          <cell r="F947"/>
        </row>
        <row r="948">
          <cell r="C948"/>
          <cell r="D948"/>
          <cell r="E948"/>
          <cell r="F948"/>
        </row>
        <row r="949">
          <cell r="C949"/>
          <cell r="D949"/>
          <cell r="E949"/>
          <cell r="F949"/>
        </row>
        <row r="950">
          <cell r="C950"/>
          <cell r="D950"/>
          <cell r="E950"/>
          <cell r="F950"/>
        </row>
        <row r="951">
          <cell r="C951"/>
          <cell r="D951"/>
          <cell r="E951"/>
          <cell r="F951"/>
        </row>
        <row r="952">
          <cell r="C952"/>
          <cell r="D952"/>
          <cell r="E952"/>
          <cell r="F952"/>
        </row>
        <row r="953">
          <cell r="C953"/>
          <cell r="D953"/>
          <cell r="E953"/>
          <cell r="F953"/>
        </row>
        <row r="954">
          <cell r="C954"/>
          <cell r="D954"/>
          <cell r="E954"/>
          <cell r="F954"/>
        </row>
        <row r="955">
          <cell r="C955"/>
          <cell r="D955"/>
          <cell r="E955"/>
          <cell r="F955"/>
        </row>
        <row r="956">
          <cell r="C956"/>
          <cell r="D956"/>
          <cell r="E956"/>
          <cell r="F956"/>
        </row>
        <row r="957">
          <cell r="C957"/>
          <cell r="D957"/>
          <cell r="E957"/>
          <cell r="F957"/>
        </row>
        <row r="958">
          <cell r="C958"/>
          <cell r="D958"/>
          <cell r="E958"/>
          <cell r="F958"/>
        </row>
        <row r="959">
          <cell r="C959"/>
          <cell r="D959"/>
          <cell r="E959"/>
          <cell r="F959"/>
        </row>
        <row r="960">
          <cell r="C960"/>
          <cell r="D960"/>
          <cell r="E960"/>
          <cell r="F960"/>
        </row>
        <row r="961">
          <cell r="C961"/>
          <cell r="D961"/>
          <cell r="E961"/>
          <cell r="F961"/>
        </row>
        <row r="962">
          <cell r="C962"/>
          <cell r="D962"/>
          <cell r="E962"/>
          <cell r="F962"/>
        </row>
        <row r="963">
          <cell r="C963"/>
          <cell r="D963"/>
          <cell r="E963"/>
          <cell r="F963"/>
        </row>
        <row r="964">
          <cell r="C964"/>
          <cell r="D964"/>
          <cell r="E964"/>
          <cell r="F964"/>
        </row>
        <row r="965">
          <cell r="C965"/>
          <cell r="D965"/>
          <cell r="E965"/>
          <cell r="F965"/>
        </row>
        <row r="966">
          <cell r="C966"/>
          <cell r="D966"/>
          <cell r="E966"/>
          <cell r="F966"/>
        </row>
        <row r="967">
          <cell r="C967"/>
          <cell r="D967"/>
          <cell r="E967"/>
          <cell r="F967"/>
        </row>
        <row r="968">
          <cell r="C968"/>
          <cell r="D968"/>
          <cell r="E968"/>
          <cell r="F968"/>
        </row>
        <row r="969">
          <cell r="C969"/>
          <cell r="D969"/>
          <cell r="E969"/>
          <cell r="F969"/>
        </row>
        <row r="970">
          <cell r="C970"/>
          <cell r="D970"/>
          <cell r="E970"/>
          <cell r="F970"/>
        </row>
        <row r="971">
          <cell r="C971"/>
          <cell r="D971"/>
          <cell r="E971"/>
          <cell r="F971"/>
        </row>
        <row r="972">
          <cell r="C972"/>
          <cell r="D972"/>
          <cell r="E972"/>
          <cell r="F972"/>
        </row>
        <row r="973">
          <cell r="C973"/>
          <cell r="D973"/>
          <cell r="E973"/>
          <cell r="F973"/>
        </row>
        <row r="974">
          <cell r="C974"/>
          <cell r="D974"/>
          <cell r="E974"/>
          <cell r="F974"/>
        </row>
        <row r="975">
          <cell r="C975"/>
          <cell r="D975"/>
          <cell r="E975"/>
          <cell r="F975"/>
        </row>
        <row r="976">
          <cell r="C976"/>
          <cell r="D976"/>
          <cell r="E976"/>
          <cell r="F976"/>
        </row>
        <row r="977">
          <cell r="C977"/>
          <cell r="D977"/>
          <cell r="E977"/>
          <cell r="F977"/>
        </row>
        <row r="978">
          <cell r="C978"/>
          <cell r="D978"/>
          <cell r="E978"/>
          <cell r="F978"/>
        </row>
        <row r="979">
          <cell r="C979"/>
          <cell r="D979"/>
          <cell r="E979"/>
          <cell r="F979"/>
        </row>
        <row r="980">
          <cell r="C980"/>
          <cell r="D980"/>
          <cell r="E980"/>
          <cell r="F980"/>
        </row>
        <row r="981">
          <cell r="C981"/>
          <cell r="D981"/>
          <cell r="E981"/>
          <cell r="F981"/>
        </row>
        <row r="982">
          <cell r="C982"/>
          <cell r="D982"/>
          <cell r="E982"/>
          <cell r="F982"/>
        </row>
        <row r="983">
          <cell r="C983"/>
          <cell r="D983"/>
          <cell r="E983"/>
          <cell r="F983"/>
        </row>
        <row r="984">
          <cell r="C984"/>
          <cell r="D984"/>
          <cell r="E984"/>
          <cell r="F984"/>
        </row>
        <row r="985">
          <cell r="C985"/>
          <cell r="D985"/>
          <cell r="E985"/>
          <cell r="F985"/>
        </row>
        <row r="986">
          <cell r="C986"/>
          <cell r="D986"/>
          <cell r="E986"/>
          <cell r="F986"/>
        </row>
        <row r="987">
          <cell r="C987"/>
          <cell r="D987"/>
          <cell r="E987"/>
          <cell r="F987"/>
        </row>
        <row r="988">
          <cell r="C988"/>
          <cell r="D988"/>
          <cell r="E988"/>
          <cell r="F988"/>
        </row>
        <row r="989">
          <cell r="C989"/>
          <cell r="D989"/>
          <cell r="E989"/>
          <cell r="F989"/>
        </row>
        <row r="990">
          <cell r="C990"/>
          <cell r="D990"/>
          <cell r="E990"/>
          <cell r="F990"/>
        </row>
        <row r="991">
          <cell r="C991"/>
          <cell r="D991"/>
          <cell r="E991"/>
          <cell r="F991"/>
        </row>
        <row r="992">
          <cell r="C992"/>
          <cell r="D992"/>
          <cell r="E992"/>
          <cell r="F992"/>
        </row>
        <row r="993">
          <cell r="C993"/>
          <cell r="D993"/>
          <cell r="E993"/>
          <cell r="F993"/>
        </row>
        <row r="994">
          <cell r="C994"/>
          <cell r="D994"/>
          <cell r="E994"/>
          <cell r="F994"/>
        </row>
        <row r="995">
          <cell r="C995"/>
          <cell r="D995"/>
          <cell r="E995"/>
          <cell r="F995"/>
        </row>
        <row r="996">
          <cell r="C996"/>
          <cell r="D996"/>
          <cell r="E996"/>
          <cell r="F996"/>
        </row>
        <row r="997">
          <cell r="C997"/>
          <cell r="D997"/>
          <cell r="E997"/>
          <cell r="F997"/>
        </row>
        <row r="998">
          <cell r="C998"/>
          <cell r="D998"/>
          <cell r="E998"/>
          <cell r="F998"/>
        </row>
        <row r="999">
          <cell r="C999"/>
          <cell r="D999"/>
          <cell r="E999"/>
          <cell r="F999"/>
        </row>
        <row r="1000">
          <cell r="C1000"/>
          <cell r="D1000"/>
          <cell r="E1000"/>
          <cell r="F1000"/>
        </row>
        <row r="1001">
          <cell r="C1001"/>
          <cell r="D1001"/>
          <cell r="E1001"/>
          <cell r="F1001"/>
        </row>
        <row r="1002">
          <cell r="C1002"/>
          <cell r="D1002"/>
          <cell r="E1002"/>
          <cell r="F1002"/>
        </row>
        <row r="1003">
          <cell r="C1003"/>
          <cell r="D1003"/>
          <cell r="E1003"/>
          <cell r="F1003"/>
        </row>
        <row r="1004">
          <cell r="C1004"/>
          <cell r="D1004"/>
          <cell r="E1004"/>
          <cell r="F1004"/>
        </row>
        <row r="1005">
          <cell r="C1005"/>
          <cell r="D1005"/>
          <cell r="E1005"/>
          <cell r="F1005"/>
        </row>
        <row r="1006">
          <cell r="C1006"/>
          <cell r="D1006"/>
          <cell r="E1006"/>
          <cell r="F1006"/>
        </row>
        <row r="1007">
          <cell r="C1007"/>
          <cell r="D1007"/>
          <cell r="E1007"/>
          <cell r="F1007"/>
        </row>
        <row r="1008">
          <cell r="C1008"/>
          <cell r="D1008"/>
          <cell r="E1008"/>
          <cell r="F1008"/>
        </row>
        <row r="1009">
          <cell r="C1009"/>
          <cell r="D1009"/>
          <cell r="E1009"/>
          <cell r="F1009"/>
        </row>
        <row r="1010">
          <cell r="C1010"/>
          <cell r="D1010"/>
          <cell r="E1010"/>
          <cell r="F1010"/>
        </row>
        <row r="1011">
          <cell r="C1011"/>
          <cell r="D1011"/>
          <cell r="E1011"/>
          <cell r="F1011"/>
        </row>
        <row r="1012">
          <cell r="C1012"/>
          <cell r="D1012"/>
          <cell r="E1012"/>
          <cell r="F1012"/>
        </row>
        <row r="1013">
          <cell r="C1013"/>
          <cell r="D1013"/>
          <cell r="E1013"/>
          <cell r="F1013"/>
        </row>
        <row r="1014">
          <cell r="C1014"/>
          <cell r="D1014"/>
          <cell r="E1014"/>
          <cell r="F1014"/>
        </row>
        <row r="1015">
          <cell r="C1015"/>
          <cell r="D1015"/>
          <cell r="E1015"/>
          <cell r="F1015"/>
        </row>
        <row r="1016">
          <cell r="C1016"/>
          <cell r="D1016"/>
          <cell r="E1016"/>
          <cell r="F1016"/>
        </row>
        <row r="1017">
          <cell r="C1017"/>
          <cell r="D1017"/>
          <cell r="E1017"/>
          <cell r="F1017"/>
        </row>
        <row r="1018">
          <cell r="C1018"/>
          <cell r="D1018"/>
          <cell r="E1018"/>
          <cell r="F1018"/>
        </row>
        <row r="1019">
          <cell r="C1019"/>
          <cell r="D1019"/>
          <cell r="E1019"/>
          <cell r="F1019"/>
        </row>
        <row r="1020">
          <cell r="C1020"/>
          <cell r="D1020"/>
          <cell r="E1020"/>
          <cell r="F1020"/>
        </row>
        <row r="1021">
          <cell r="C1021"/>
          <cell r="D1021"/>
          <cell r="E1021"/>
          <cell r="F1021"/>
        </row>
        <row r="1022">
          <cell r="C1022"/>
          <cell r="D1022"/>
          <cell r="E1022"/>
          <cell r="F1022"/>
        </row>
        <row r="1023">
          <cell r="C1023"/>
          <cell r="D1023"/>
          <cell r="E1023"/>
          <cell r="F1023"/>
        </row>
        <row r="1024">
          <cell r="C1024"/>
          <cell r="D1024"/>
          <cell r="E1024"/>
          <cell r="F1024"/>
        </row>
        <row r="1025">
          <cell r="C1025"/>
          <cell r="D1025"/>
          <cell r="E1025"/>
          <cell r="F1025"/>
        </row>
        <row r="1026">
          <cell r="C1026"/>
          <cell r="D1026"/>
          <cell r="E1026"/>
          <cell r="F1026"/>
        </row>
        <row r="1027">
          <cell r="C1027"/>
          <cell r="D1027"/>
          <cell r="E1027"/>
          <cell r="F1027"/>
        </row>
        <row r="1028">
          <cell r="C1028"/>
          <cell r="D1028"/>
          <cell r="E1028"/>
          <cell r="F1028"/>
        </row>
        <row r="1029">
          <cell r="C1029"/>
          <cell r="D1029"/>
          <cell r="E1029"/>
          <cell r="F1029"/>
        </row>
        <row r="1030">
          <cell r="C1030"/>
          <cell r="D1030"/>
          <cell r="E1030"/>
          <cell r="F1030"/>
        </row>
        <row r="1031">
          <cell r="C1031"/>
          <cell r="D1031"/>
          <cell r="E1031"/>
          <cell r="F1031"/>
        </row>
        <row r="1032">
          <cell r="C1032"/>
          <cell r="D1032"/>
          <cell r="E1032"/>
          <cell r="F1032"/>
        </row>
        <row r="1033">
          <cell r="C1033"/>
          <cell r="D1033"/>
          <cell r="E1033"/>
          <cell r="F1033"/>
        </row>
        <row r="1034">
          <cell r="C1034"/>
          <cell r="D1034"/>
          <cell r="E1034"/>
          <cell r="F1034"/>
        </row>
        <row r="1035">
          <cell r="C1035"/>
          <cell r="D1035"/>
          <cell r="E1035"/>
          <cell r="F1035"/>
        </row>
        <row r="1036">
          <cell r="C1036"/>
          <cell r="D1036"/>
          <cell r="E1036"/>
          <cell r="F1036"/>
        </row>
        <row r="1037">
          <cell r="C1037"/>
          <cell r="D1037"/>
          <cell r="E1037"/>
          <cell r="F1037"/>
        </row>
        <row r="1038">
          <cell r="C1038"/>
          <cell r="D1038"/>
          <cell r="E1038"/>
          <cell r="F1038"/>
        </row>
        <row r="1039">
          <cell r="C1039"/>
          <cell r="D1039"/>
          <cell r="E1039"/>
          <cell r="F1039"/>
        </row>
        <row r="1040">
          <cell r="C1040"/>
          <cell r="D1040"/>
          <cell r="E1040"/>
          <cell r="F1040"/>
        </row>
        <row r="1041">
          <cell r="C1041"/>
          <cell r="D1041"/>
          <cell r="E1041"/>
          <cell r="F1041"/>
        </row>
        <row r="1042">
          <cell r="C1042"/>
          <cell r="D1042"/>
          <cell r="E1042"/>
          <cell r="F1042"/>
        </row>
        <row r="1043">
          <cell r="C1043"/>
          <cell r="D1043"/>
          <cell r="E1043"/>
          <cell r="F1043"/>
        </row>
        <row r="1044">
          <cell r="C1044"/>
          <cell r="D1044"/>
          <cell r="E1044"/>
          <cell r="F1044"/>
        </row>
        <row r="1045">
          <cell r="C1045"/>
          <cell r="D1045"/>
          <cell r="E1045"/>
          <cell r="F1045"/>
        </row>
        <row r="1046">
          <cell r="C1046"/>
          <cell r="D1046"/>
          <cell r="E1046"/>
          <cell r="F1046"/>
        </row>
        <row r="1047">
          <cell r="C1047"/>
          <cell r="D1047"/>
          <cell r="E1047"/>
          <cell r="F1047"/>
        </row>
        <row r="1048">
          <cell r="C1048"/>
          <cell r="D1048"/>
          <cell r="E1048"/>
          <cell r="F1048"/>
        </row>
        <row r="1049">
          <cell r="C1049"/>
          <cell r="D1049"/>
          <cell r="E1049"/>
          <cell r="F1049"/>
        </row>
        <row r="1050">
          <cell r="C1050"/>
          <cell r="D1050"/>
          <cell r="E1050"/>
          <cell r="F1050"/>
        </row>
        <row r="1051">
          <cell r="C1051"/>
          <cell r="D1051"/>
          <cell r="E1051"/>
          <cell r="F1051"/>
        </row>
        <row r="1052">
          <cell r="C1052"/>
          <cell r="D1052"/>
          <cell r="E1052"/>
          <cell r="F1052"/>
        </row>
        <row r="1053">
          <cell r="C1053"/>
          <cell r="D1053"/>
          <cell r="E1053"/>
          <cell r="F1053"/>
        </row>
        <row r="1054">
          <cell r="C1054"/>
          <cell r="D1054"/>
          <cell r="E1054"/>
          <cell r="F1054"/>
        </row>
        <row r="1055">
          <cell r="C1055"/>
          <cell r="D1055"/>
          <cell r="E1055"/>
          <cell r="F1055"/>
        </row>
        <row r="1056">
          <cell r="C1056"/>
          <cell r="D1056"/>
          <cell r="E1056"/>
          <cell r="F1056"/>
        </row>
        <row r="1057">
          <cell r="C1057"/>
          <cell r="D1057"/>
          <cell r="E1057"/>
          <cell r="F1057"/>
        </row>
        <row r="1058">
          <cell r="C1058"/>
          <cell r="D1058"/>
          <cell r="E1058"/>
          <cell r="F1058"/>
        </row>
        <row r="1059">
          <cell r="C1059"/>
          <cell r="D1059"/>
          <cell r="E1059"/>
          <cell r="F1059"/>
        </row>
        <row r="1060">
          <cell r="C1060"/>
          <cell r="D1060"/>
          <cell r="E1060"/>
          <cell r="F1060"/>
        </row>
        <row r="1061">
          <cell r="C1061"/>
          <cell r="D1061"/>
          <cell r="E1061"/>
          <cell r="F1061"/>
        </row>
        <row r="1062">
          <cell r="C1062"/>
          <cell r="D1062"/>
          <cell r="E1062"/>
          <cell r="F1062"/>
        </row>
        <row r="1063">
          <cell r="C1063"/>
          <cell r="D1063"/>
          <cell r="E1063"/>
          <cell r="F1063"/>
        </row>
        <row r="1064">
          <cell r="C1064"/>
          <cell r="D1064"/>
          <cell r="E1064"/>
          <cell r="F1064"/>
        </row>
        <row r="1065">
          <cell r="C1065"/>
          <cell r="D1065"/>
          <cell r="E1065"/>
          <cell r="F1065"/>
        </row>
        <row r="1066">
          <cell r="C1066"/>
          <cell r="D1066"/>
          <cell r="E1066"/>
          <cell r="F1066"/>
        </row>
        <row r="1067">
          <cell r="C1067"/>
          <cell r="D1067"/>
          <cell r="E1067"/>
          <cell r="F1067"/>
        </row>
        <row r="1068">
          <cell r="C1068"/>
          <cell r="D1068"/>
          <cell r="E1068"/>
          <cell r="F1068"/>
        </row>
        <row r="1069">
          <cell r="C1069"/>
          <cell r="D1069"/>
          <cell r="E1069"/>
          <cell r="F1069"/>
        </row>
        <row r="1070">
          <cell r="C1070"/>
          <cell r="D1070"/>
          <cell r="E1070"/>
          <cell r="F1070"/>
        </row>
        <row r="1071">
          <cell r="C1071"/>
          <cell r="D1071"/>
          <cell r="E1071"/>
          <cell r="F1071"/>
        </row>
        <row r="1072">
          <cell r="C1072"/>
          <cell r="D1072"/>
          <cell r="E1072"/>
          <cell r="F1072"/>
        </row>
        <row r="1073">
          <cell r="C1073"/>
          <cell r="D1073"/>
          <cell r="E1073"/>
          <cell r="F1073"/>
        </row>
        <row r="1074">
          <cell r="C1074"/>
          <cell r="D1074"/>
          <cell r="E1074"/>
          <cell r="F1074"/>
        </row>
        <row r="1075">
          <cell r="C1075"/>
          <cell r="D1075"/>
          <cell r="E1075"/>
          <cell r="F1075"/>
        </row>
        <row r="1076">
          <cell r="C1076"/>
          <cell r="D1076"/>
          <cell r="E1076"/>
          <cell r="F1076"/>
        </row>
        <row r="1077">
          <cell r="C1077"/>
          <cell r="D1077"/>
          <cell r="E1077"/>
          <cell r="F1077"/>
        </row>
        <row r="1078">
          <cell r="C1078"/>
          <cell r="D1078"/>
          <cell r="E1078"/>
          <cell r="F1078"/>
        </row>
        <row r="1079">
          <cell r="C1079"/>
          <cell r="D1079"/>
          <cell r="E1079"/>
          <cell r="F1079"/>
        </row>
        <row r="1080">
          <cell r="C1080"/>
          <cell r="D1080"/>
          <cell r="E1080"/>
          <cell r="F1080"/>
        </row>
        <row r="1081">
          <cell r="C1081"/>
          <cell r="D1081"/>
          <cell r="E1081"/>
          <cell r="F1081"/>
        </row>
        <row r="1082">
          <cell r="C1082"/>
          <cell r="D1082"/>
          <cell r="E1082"/>
          <cell r="F1082"/>
        </row>
        <row r="1083">
          <cell r="C1083"/>
          <cell r="D1083"/>
          <cell r="E1083"/>
          <cell r="F1083"/>
        </row>
        <row r="1084">
          <cell r="C1084"/>
          <cell r="D1084"/>
          <cell r="E1084"/>
          <cell r="F1084"/>
        </row>
        <row r="1085">
          <cell r="C1085"/>
          <cell r="D1085"/>
          <cell r="E1085"/>
          <cell r="F1085"/>
        </row>
        <row r="1086">
          <cell r="C1086"/>
          <cell r="D1086"/>
          <cell r="E1086"/>
          <cell r="F1086"/>
        </row>
        <row r="1087">
          <cell r="C1087"/>
          <cell r="D1087"/>
          <cell r="E1087"/>
          <cell r="F1087"/>
        </row>
        <row r="1088">
          <cell r="C1088"/>
          <cell r="D1088"/>
          <cell r="E1088"/>
          <cell r="F1088"/>
        </row>
        <row r="1089">
          <cell r="C1089"/>
          <cell r="D1089"/>
          <cell r="E1089"/>
          <cell r="F1089"/>
        </row>
        <row r="1090">
          <cell r="C1090"/>
          <cell r="D1090"/>
          <cell r="E1090"/>
          <cell r="F1090"/>
        </row>
        <row r="1091">
          <cell r="C1091"/>
          <cell r="D1091"/>
          <cell r="E1091"/>
          <cell r="F1091"/>
        </row>
        <row r="1092">
          <cell r="C1092"/>
          <cell r="D1092"/>
          <cell r="E1092"/>
          <cell r="F1092"/>
        </row>
        <row r="1093">
          <cell r="C1093"/>
          <cell r="D1093"/>
          <cell r="E1093"/>
          <cell r="F1093"/>
        </row>
        <row r="1094">
          <cell r="C1094"/>
          <cell r="D1094"/>
          <cell r="E1094"/>
          <cell r="F1094"/>
        </row>
        <row r="1095">
          <cell r="C1095"/>
          <cell r="D1095"/>
          <cell r="E1095"/>
          <cell r="F1095"/>
        </row>
        <row r="1096">
          <cell r="C1096"/>
          <cell r="D1096"/>
          <cell r="E1096"/>
          <cell r="F1096"/>
        </row>
        <row r="1097">
          <cell r="C1097"/>
          <cell r="D1097"/>
          <cell r="E1097"/>
          <cell r="F1097"/>
        </row>
        <row r="1098">
          <cell r="C1098"/>
          <cell r="D1098"/>
          <cell r="E1098"/>
          <cell r="F1098"/>
        </row>
        <row r="1099">
          <cell r="C1099"/>
          <cell r="D1099"/>
          <cell r="E1099"/>
          <cell r="F1099"/>
        </row>
        <row r="1100">
          <cell r="C1100"/>
          <cell r="D1100"/>
          <cell r="E1100"/>
          <cell r="F1100"/>
        </row>
        <row r="1101">
          <cell r="C1101"/>
          <cell r="D1101"/>
          <cell r="E1101"/>
          <cell r="F1101"/>
        </row>
        <row r="1102">
          <cell r="C1102"/>
          <cell r="D1102"/>
          <cell r="E1102"/>
          <cell r="F1102"/>
        </row>
        <row r="1103">
          <cell r="C1103"/>
          <cell r="D1103"/>
          <cell r="E1103"/>
          <cell r="F1103"/>
        </row>
        <row r="1104">
          <cell r="C1104"/>
          <cell r="D1104"/>
          <cell r="E1104"/>
          <cell r="F1104"/>
        </row>
        <row r="1105">
          <cell r="C1105"/>
          <cell r="D1105"/>
          <cell r="E1105"/>
          <cell r="F1105"/>
        </row>
        <row r="1106">
          <cell r="C1106"/>
          <cell r="D1106"/>
          <cell r="E1106"/>
          <cell r="F1106"/>
        </row>
        <row r="1107">
          <cell r="C1107"/>
          <cell r="D1107"/>
          <cell r="E1107"/>
          <cell r="F1107"/>
        </row>
        <row r="1108">
          <cell r="C1108"/>
          <cell r="D1108"/>
          <cell r="E1108"/>
          <cell r="F1108"/>
        </row>
        <row r="1109">
          <cell r="C1109"/>
          <cell r="D1109"/>
          <cell r="E1109"/>
          <cell r="F1109"/>
        </row>
        <row r="1110">
          <cell r="C1110"/>
          <cell r="D1110"/>
          <cell r="E1110"/>
          <cell r="F1110"/>
        </row>
        <row r="1111">
          <cell r="C1111"/>
          <cell r="D1111"/>
          <cell r="E1111"/>
          <cell r="F1111"/>
        </row>
        <row r="1112">
          <cell r="C1112"/>
          <cell r="D1112"/>
          <cell r="E1112"/>
          <cell r="F1112"/>
        </row>
        <row r="1113">
          <cell r="C1113"/>
          <cell r="D1113"/>
          <cell r="E1113"/>
          <cell r="F1113"/>
        </row>
        <row r="1114">
          <cell r="C1114"/>
          <cell r="D1114"/>
          <cell r="E1114"/>
          <cell r="F1114"/>
        </row>
        <row r="1115">
          <cell r="C1115"/>
          <cell r="D1115"/>
          <cell r="E1115"/>
          <cell r="F1115"/>
        </row>
        <row r="1116">
          <cell r="C1116"/>
          <cell r="D1116"/>
          <cell r="E1116"/>
          <cell r="F1116"/>
        </row>
        <row r="1117">
          <cell r="C1117"/>
          <cell r="D1117"/>
          <cell r="E1117"/>
          <cell r="F1117"/>
        </row>
        <row r="1118">
          <cell r="C1118"/>
          <cell r="D1118"/>
          <cell r="E1118"/>
          <cell r="F1118"/>
        </row>
        <row r="1119">
          <cell r="C1119"/>
          <cell r="D1119"/>
          <cell r="E1119"/>
          <cell r="F1119"/>
        </row>
        <row r="1120">
          <cell r="C1120"/>
          <cell r="D1120"/>
          <cell r="E1120"/>
          <cell r="F1120"/>
        </row>
        <row r="1121">
          <cell r="C1121"/>
          <cell r="D1121"/>
          <cell r="E1121"/>
          <cell r="F1121"/>
        </row>
        <row r="1122">
          <cell r="C1122"/>
          <cell r="D1122"/>
          <cell r="E1122"/>
          <cell r="F1122"/>
        </row>
        <row r="1123">
          <cell r="C1123"/>
          <cell r="D1123"/>
          <cell r="E1123"/>
          <cell r="F1123"/>
        </row>
        <row r="1124">
          <cell r="C1124"/>
          <cell r="D1124"/>
          <cell r="E1124"/>
          <cell r="F1124"/>
        </row>
        <row r="1125">
          <cell r="C1125"/>
          <cell r="D1125"/>
          <cell r="E1125"/>
          <cell r="F1125"/>
        </row>
        <row r="1126">
          <cell r="C1126"/>
          <cell r="D1126"/>
          <cell r="E1126"/>
          <cell r="F1126"/>
        </row>
        <row r="1127">
          <cell r="C1127"/>
          <cell r="D1127"/>
          <cell r="E1127"/>
          <cell r="F1127"/>
        </row>
        <row r="1128">
          <cell r="C1128"/>
          <cell r="D1128"/>
          <cell r="E1128"/>
          <cell r="F1128"/>
        </row>
        <row r="1129">
          <cell r="C1129"/>
          <cell r="D1129"/>
          <cell r="E1129"/>
          <cell r="F1129"/>
        </row>
        <row r="1130">
          <cell r="C1130"/>
          <cell r="D1130"/>
          <cell r="E1130"/>
          <cell r="F1130"/>
        </row>
        <row r="1131">
          <cell r="E1131"/>
          <cell r="F1131"/>
        </row>
        <row r="1132">
          <cell r="E1132"/>
          <cell r="F1132"/>
        </row>
      </sheetData>
      <sheetData sheetId="3"/>
      <sheetData sheetId="4">
        <row r="3">
          <cell r="B3" t="str">
            <v>-</v>
          </cell>
          <cell r="C3" t="str">
            <v>-</v>
          </cell>
          <cell r="D3"/>
        </row>
        <row r="4">
          <cell r="B4" t="str">
            <v>Almacenista</v>
          </cell>
          <cell r="C4">
            <v>908526</v>
          </cell>
          <cell r="D4">
            <v>0</v>
          </cell>
          <cell r="M4">
            <v>324623.86833333335</v>
          </cell>
        </row>
        <row r="5">
          <cell r="B5" t="str">
            <v>Ayudante Almacenista</v>
          </cell>
          <cell r="C5">
            <v>908526</v>
          </cell>
          <cell r="D5">
            <v>0</v>
          </cell>
          <cell r="M5">
            <v>324623.86833333335</v>
          </cell>
        </row>
        <row r="6">
          <cell r="B6" t="str">
            <v>Ayudante Eléctricista</v>
          </cell>
          <cell r="C6">
            <v>908526</v>
          </cell>
          <cell r="D6">
            <v>0</v>
          </cell>
          <cell r="M6">
            <v>324623.86833333335</v>
          </cell>
        </row>
        <row r="7">
          <cell r="B7" t="str">
            <v>Ayudante Emp FO</v>
          </cell>
          <cell r="C7">
            <v>908526</v>
          </cell>
          <cell r="D7">
            <v>0</v>
          </cell>
        </row>
        <row r="8">
          <cell r="B8" t="str">
            <v>Ayudante Liniería</v>
          </cell>
          <cell r="C8">
            <v>908526</v>
          </cell>
          <cell r="D8">
            <v>0</v>
          </cell>
        </row>
        <row r="9">
          <cell r="B9" t="str">
            <v>Ayudante Metalmecánico</v>
          </cell>
          <cell r="C9">
            <v>908526</v>
          </cell>
          <cell r="D9">
            <v>0</v>
          </cell>
        </row>
        <row r="10">
          <cell r="B10" t="str">
            <v>Ayudante O.Civil</v>
          </cell>
          <cell r="C10">
            <v>908526</v>
          </cell>
          <cell r="D10">
            <v>0</v>
          </cell>
        </row>
        <row r="11">
          <cell r="B11" t="str">
            <v>Ayudante Pintura</v>
          </cell>
          <cell r="C11">
            <v>908526</v>
          </cell>
          <cell r="D11">
            <v>0</v>
          </cell>
        </row>
        <row r="12">
          <cell r="B12" t="str">
            <v>Contador</v>
          </cell>
          <cell r="C12">
            <v>2500000</v>
          </cell>
          <cell r="D12">
            <v>0</v>
          </cell>
        </row>
        <row r="13">
          <cell r="B13" t="str">
            <v>Dibujante - Digitador</v>
          </cell>
          <cell r="C13">
            <v>1400000</v>
          </cell>
          <cell r="D13">
            <v>0</v>
          </cell>
        </row>
        <row r="14">
          <cell r="B14" t="str">
            <v>Director de Proyecto</v>
          </cell>
          <cell r="C14">
            <v>5000000</v>
          </cell>
          <cell r="D14">
            <v>0</v>
          </cell>
        </row>
        <row r="15">
          <cell r="B15" t="str">
            <v>Empalmador de FO</v>
          </cell>
          <cell r="C15">
            <v>0</v>
          </cell>
          <cell r="D15">
            <v>0</v>
          </cell>
        </row>
        <row r="16">
          <cell r="B16" t="str">
            <v>Gerente General</v>
          </cell>
          <cell r="C16">
            <v>0</v>
          </cell>
          <cell r="D16">
            <v>0</v>
          </cell>
        </row>
        <row r="17">
          <cell r="B17" t="str">
            <v>Ingenierio Residente</v>
          </cell>
          <cell r="C17">
            <v>2700000</v>
          </cell>
          <cell r="D17">
            <v>0</v>
          </cell>
        </row>
        <row r="18">
          <cell r="B18" t="str">
            <v>Oficial Eléctricista</v>
          </cell>
          <cell r="C18">
            <v>1700000</v>
          </cell>
          <cell r="D18">
            <v>0</v>
          </cell>
        </row>
        <row r="19">
          <cell r="B19" t="str">
            <v>Oficial Metalmecánico</v>
          </cell>
          <cell r="C19">
            <v>1700000</v>
          </cell>
          <cell r="D19">
            <v>0</v>
          </cell>
        </row>
        <row r="20">
          <cell r="B20" t="str">
            <v>Oficial O.Civil</v>
          </cell>
          <cell r="C20">
            <v>1700000</v>
          </cell>
          <cell r="D20">
            <v>0</v>
          </cell>
        </row>
        <row r="21">
          <cell r="B21" t="str">
            <v>SISO</v>
          </cell>
          <cell r="C21">
            <v>908526</v>
          </cell>
          <cell r="D21">
            <v>0</v>
          </cell>
        </row>
        <row r="22">
          <cell r="B22"/>
          <cell r="C22"/>
          <cell r="D22"/>
        </row>
        <row r="23">
          <cell r="B23"/>
          <cell r="C23"/>
          <cell r="D23"/>
        </row>
        <row r="24">
          <cell r="B24"/>
          <cell r="C24"/>
          <cell r="D24"/>
        </row>
        <row r="25">
          <cell r="B25"/>
          <cell r="C25"/>
          <cell r="D25"/>
        </row>
        <row r="26">
          <cell r="B26"/>
          <cell r="C26"/>
          <cell r="D26"/>
        </row>
        <row r="27">
          <cell r="B27"/>
          <cell r="C27"/>
          <cell r="D27"/>
        </row>
        <row r="28">
          <cell r="B28"/>
          <cell r="C28"/>
          <cell r="D28"/>
        </row>
        <row r="29">
          <cell r="B29"/>
          <cell r="C29"/>
          <cell r="D29"/>
        </row>
        <row r="30">
          <cell r="B30"/>
          <cell r="C30"/>
          <cell r="D30"/>
        </row>
        <row r="31">
          <cell r="B31"/>
          <cell r="C31"/>
          <cell r="D31"/>
        </row>
        <row r="32">
          <cell r="B32"/>
          <cell r="C32"/>
          <cell r="D32"/>
        </row>
        <row r="33">
          <cell r="B33"/>
          <cell r="C33"/>
          <cell r="D33"/>
        </row>
        <row r="34">
          <cell r="B34"/>
          <cell r="C34"/>
          <cell r="D34"/>
        </row>
        <row r="35">
          <cell r="B35"/>
          <cell r="C35"/>
          <cell r="D35"/>
        </row>
        <row r="36">
          <cell r="B36"/>
          <cell r="C36"/>
          <cell r="D36"/>
        </row>
        <row r="37">
          <cell r="B37"/>
          <cell r="C37"/>
          <cell r="D37"/>
        </row>
        <row r="38">
          <cell r="B38"/>
          <cell r="C38"/>
          <cell r="D38"/>
        </row>
        <row r="39">
          <cell r="B39"/>
          <cell r="C39"/>
          <cell r="D39"/>
        </row>
        <row r="40">
          <cell r="B40"/>
          <cell r="C40"/>
          <cell r="D40"/>
        </row>
        <row r="41">
          <cell r="B41"/>
          <cell r="C41"/>
          <cell r="D41"/>
        </row>
        <row r="42">
          <cell r="B42"/>
          <cell r="C42"/>
          <cell r="D42"/>
        </row>
        <row r="43">
          <cell r="B43"/>
          <cell r="C43"/>
          <cell r="D43"/>
        </row>
        <row r="44">
          <cell r="B44"/>
          <cell r="C44"/>
          <cell r="D44"/>
        </row>
        <row r="45">
          <cell r="B45"/>
          <cell r="C45"/>
          <cell r="D45"/>
        </row>
      </sheetData>
      <sheetData sheetId="5">
        <row r="2">
          <cell r="B2" t="str">
            <v>-</v>
          </cell>
          <cell r="C2"/>
          <cell r="D2"/>
        </row>
        <row r="3">
          <cell r="B3" t="str">
            <v>Alicate</v>
          </cell>
          <cell r="C3" t="str">
            <v>EQU</v>
          </cell>
          <cell r="D3">
            <v>747.5</v>
          </cell>
        </row>
        <row r="4">
          <cell r="B4" t="str">
            <v>Alquiler Computador</v>
          </cell>
          <cell r="C4"/>
          <cell r="D4">
            <v>50000</v>
          </cell>
        </row>
        <row r="5">
          <cell r="B5" t="str">
            <v>Analizador de redes</v>
          </cell>
          <cell r="C5" t="str">
            <v>ELEC</v>
          </cell>
          <cell r="D5">
            <v>120000</v>
          </cell>
        </row>
        <row r="6">
          <cell r="B6" t="str">
            <v>Andamios</v>
          </cell>
          <cell r="C6" t="str">
            <v>SEG</v>
          </cell>
          <cell r="D6">
            <v>64050</v>
          </cell>
        </row>
        <row r="7">
          <cell r="B7" t="str">
            <v>Antenaya</v>
          </cell>
          <cell r="C7" t="str">
            <v>SEG</v>
          </cell>
          <cell r="D7">
            <v>6752</v>
          </cell>
        </row>
        <row r="8">
          <cell r="B8" t="str">
            <v>Arnes</v>
          </cell>
          <cell r="C8" t="str">
            <v>SEG</v>
          </cell>
          <cell r="D8">
            <v>6500</v>
          </cell>
        </row>
        <row r="9">
          <cell r="B9" t="str">
            <v>Bandeja plastica</v>
          </cell>
          <cell r="C9" t="str">
            <v>EQU</v>
          </cell>
          <cell r="D9">
            <v>96.714999999999975</v>
          </cell>
        </row>
        <row r="10">
          <cell r="B10" t="str">
            <v>Barra</v>
          </cell>
          <cell r="C10" t="str">
            <v>EQU</v>
          </cell>
          <cell r="D10">
            <v>1625</v>
          </cell>
        </row>
        <row r="11">
          <cell r="B11" t="str">
            <v>Brocha</v>
          </cell>
          <cell r="C11" t="str">
            <v>EQU</v>
          </cell>
          <cell r="D11">
            <v>433.54999999999995</v>
          </cell>
        </row>
        <row r="12">
          <cell r="B12" t="str">
            <v>Caja de herramientas</v>
          </cell>
          <cell r="C12" t="str">
            <v>EQU</v>
          </cell>
          <cell r="D12">
            <v>14130</v>
          </cell>
        </row>
        <row r="13">
          <cell r="B13" t="str">
            <v>Calentador manual</v>
          </cell>
          <cell r="C13" t="str">
            <v>ELEC</v>
          </cell>
          <cell r="D13">
            <v>7247.5</v>
          </cell>
        </row>
        <row r="14">
          <cell r="B14" t="str">
            <v>Cámara Fotográfica Digital</v>
          </cell>
          <cell r="C14"/>
          <cell r="D14">
            <v>7500</v>
          </cell>
        </row>
        <row r="15">
          <cell r="B15" t="str">
            <v>Camion turbito</v>
          </cell>
          <cell r="C15" t="str">
            <v>TR</v>
          </cell>
          <cell r="D15">
            <v>174000</v>
          </cell>
        </row>
        <row r="16">
          <cell r="B16" t="str">
            <v>Camion turbo</v>
          </cell>
          <cell r="C16" t="str">
            <v>TR</v>
          </cell>
          <cell r="D16">
            <v>255199.99999999997</v>
          </cell>
        </row>
        <row r="17">
          <cell r="B17" t="str">
            <v>Camioneta 4x4</v>
          </cell>
          <cell r="C17" t="str">
            <v>TR</v>
          </cell>
          <cell r="D17">
            <v>160000</v>
          </cell>
        </row>
        <row r="18">
          <cell r="B18" t="str">
            <v>Carretilla</v>
          </cell>
          <cell r="C18" t="str">
            <v>EQU</v>
          </cell>
          <cell r="D18">
            <v>2500</v>
          </cell>
        </row>
        <row r="19">
          <cell r="B19" t="str">
            <v>Caucho dobla tubo 1/2</v>
          </cell>
          <cell r="C19" t="str">
            <v>EQU</v>
          </cell>
          <cell r="D19">
            <v>310.5</v>
          </cell>
        </row>
        <row r="20">
          <cell r="B20" t="str">
            <v>Caucho dobla tubo 3/4</v>
          </cell>
          <cell r="C20" t="str">
            <v>EQU</v>
          </cell>
          <cell r="D20">
            <v>594.65</v>
          </cell>
        </row>
        <row r="21">
          <cell r="B21" t="str">
            <v>Cegueta</v>
          </cell>
          <cell r="C21" t="str">
            <v>EQU</v>
          </cell>
          <cell r="D21">
            <v>997.5</v>
          </cell>
        </row>
        <row r="22">
          <cell r="B22" t="str">
            <v>Celular</v>
          </cell>
          <cell r="C22" t="str">
            <v>EQU</v>
          </cell>
          <cell r="D22">
            <v>23750</v>
          </cell>
        </row>
        <row r="23">
          <cell r="B23" t="str">
            <v>Cincel</v>
          </cell>
          <cell r="C23" t="str">
            <v>EQU</v>
          </cell>
          <cell r="D23">
            <v>122.5</v>
          </cell>
        </row>
        <row r="24">
          <cell r="B24" t="str">
            <v>Cinta metrica x 30 mts</v>
          </cell>
          <cell r="C24" t="str">
            <v>EQU</v>
          </cell>
          <cell r="D24">
            <v>997.5</v>
          </cell>
        </row>
        <row r="25">
          <cell r="B25" t="str">
            <v>Cinta peligro</v>
          </cell>
          <cell r="C25" t="str">
            <v>SEG</v>
          </cell>
          <cell r="D25">
            <v>178.52500000000001</v>
          </cell>
        </row>
        <row r="26">
          <cell r="B26" t="str">
            <v>Cinturon herramientas</v>
          </cell>
          <cell r="C26" t="str">
            <v>SEG</v>
          </cell>
          <cell r="D26">
            <v>1122.5</v>
          </cell>
        </row>
        <row r="27">
          <cell r="B27" t="str">
            <v>Cizalla</v>
          </cell>
          <cell r="C27" t="str">
            <v>EQU</v>
          </cell>
          <cell r="D27">
            <v>2122.5</v>
          </cell>
        </row>
        <row r="28">
          <cell r="B28" t="str">
            <v xml:space="preserve">Colombina plastica </v>
          </cell>
          <cell r="C28" t="str">
            <v>SEG</v>
          </cell>
          <cell r="D28">
            <v>1197.5</v>
          </cell>
        </row>
        <row r="29">
          <cell r="B29" t="str">
            <v>Compresor + Equipo Pintura</v>
          </cell>
          <cell r="C29" t="str">
            <v>EQU</v>
          </cell>
          <cell r="D29">
            <v>35000</v>
          </cell>
        </row>
        <row r="30">
          <cell r="B30" t="str">
            <v>Cono de 70 cm</v>
          </cell>
          <cell r="C30" t="str">
            <v>SEG</v>
          </cell>
          <cell r="D30">
            <v>1022.5</v>
          </cell>
        </row>
        <row r="31">
          <cell r="B31" t="str">
            <v>Copa cierra</v>
          </cell>
          <cell r="C31" t="str">
            <v>EQU</v>
          </cell>
          <cell r="D31">
            <v>8890</v>
          </cell>
        </row>
        <row r="32">
          <cell r="B32" t="str">
            <v>Corta frio</v>
          </cell>
          <cell r="C32" t="str">
            <v>EQU</v>
          </cell>
          <cell r="D32">
            <v>797.5</v>
          </cell>
        </row>
        <row r="33">
          <cell r="B33" t="str">
            <v>Cortadora de concreto</v>
          </cell>
          <cell r="C33" t="str">
            <v>EQU</v>
          </cell>
          <cell r="D33">
            <v>50000</v>
          </cell>
        </row>
        <row r="34">
          <cell r="B34" t="str">
            <v>Destonilladores</v>
          </cell>
          <cell r="C34" t="str">
            <v>EQU</v>
          </cell>
          <cell r="D34">
            <v>625</v>
          </cell>
        </row>
        <row r="35">
          <cell r="B35" t="str">
            <v>Dobla tubo</v>
          </cell>
          <cell r="C35" t="str">
            <v>EQU</v>
          </cell>
          <cell r="D35">
            <v>1875</v>
          </cell>
        </row>
        <row r="36">
          <cell r="B36" t="str">
            <v>Equipo extracción de nucleos</v>
          </cell>
          <cell r="C36" t="str">
            <v>EQU</v>
          </cell>
          <cell r="D36">
            <v>1200000</v>
          </cell>
        </row>
        <row r="37">
          <cell r="B37" t="str">
            <v>Equipo perforación dirigida</v>
          </cell>
          <cell r="C37" t="str">
            <v>EQU</v>
          </cell>
          <cell r="D37">
            <v>1800000</v>
          </cell>
        </row>
        <row r="38">
          <cell r="B38" t="str">
            <v>Equipo perforación neumática</v>
          </cell>
          <cell r="C38" t="str">
            <v>EQU</v>
          </cell>
          <cell r="D38">
            <v>960000</v>
          </cell>
        </row>
        <row r="39">
          <cell r="B39" t="str">
            <v>Escalera de extension hasta 24 pasos</v>
          </cell>
          <cell r="C39" t="str">
            <v>EQU</v>
          </cell>
          <cell r="D39">
            <v>26672.5</v>
          </cell>
        </row>
        <row r="40">
          <cell r="B40" t="str">
            <v>Escalera de tijera hasta 10 pasos</v>
          </cell>
          <cell r="C40" t="str">
            <v>EQU</v>
          </cell>
          <cell r="D40">
            <v>7747.5</v>
          </cell>
        </row>
        <row r="41">
          <cell r="B41" t="str">
            <v>Escuadra profesional</v>
          </cell>
          <cell r="C41" t="str">
            <v>EQU</v>
          </cell>
          <cell r="D41">
            <v>272.5</v>
          </cell>
        </row>
        <row r="42">
          <cell r="B42" t="str">
            <v>Espatula</v>
          </cell>
          <cell r="C42" t="str">
            <v>EQU</v>
          </cell>
          <cell r="D42">
            <v>200.09999999999997</v>
          </cell>
        </row>
        <row r="43">
          <cell r="B43" t="str">
            <v>Extensión industrial 30 m</v>
          </cell>
          <cell r="C43" t="str">
            <v>ELEC</v>
          </cell>
          <cell r="D43">
            <v>5022.5</v>
          </cell>
        </row>
        <row r="44">
          <cell r="B44" t="str">
            <v>Formaleta metálica bordillo</v>
          </cell>
          <cell r="C44"/>
          <cell r="D44">
            <v>904</v>
          </cell>
        </row>
        <row r="45">
          <cell r="B45" t="str">
            <v>Formaleta metálica cámara 2F1</v>
          </cell>
          <cell r="C45"/>
          <cell r="D45">
            <v>5944</v>
          </cell>
        </row>
        <row r="46">
          <cell r="B46" t="str">
            <v>Formaleta metálica cámara P4</v>
          </cell>
          <cell r="C46"/>
          <cell r="D46">
            <v>4456</v>
          </cell>
        </row>
        <row r="47">
          <cell r="B47" t="str">
            <v>Formaleta metálica cámara prefabricada 40 x 40</v>
          </cell>
          <cell r="C47"/>
          <cell r="D47">
            <v>8916</v>
          </cell>
        </row>
        <row r="48">
          <cell r="B48" t="str">
            <v>Fusionadora de FO Fujikura 12S</v>
          </cell>
          <cell r="C48"/>
          <cell r="D48">
            <v>86664</v>
          </cell>
        </row>
        <row r="49">
          <cell r="B49" t="str">
            <v>Gato hidraulico</v>
          </cell>
          <cell r="C49" t="str">
            <v>EQU</v>
          </cell>
          <cell r="D49">
            <v>30000</v>
          </cell>
        </row>
        <row r="50">
          <cell r="B50" t="str">
            <v xml:space="preserve">Grua carga postes brazo extensor hidraulico </v>
          </cell>
          <cell r="C50" t="str">
            <v>TR</v>
          </cell>
          <cell r="D50">
            <v>960000</v>
          </cell>
        </row>
        <row r="51">
          <cell r="B51" t="str">
            <v>Grua hidraulica carro canasta</v>
          </cell>
          <cell r="C51" t="str">
            <v>TR</v>
          </cell>
          <cell r="D51">
            <v>960000</v>
          </cell>
        </row>
        <row r="52">
          <cell r="B52" t="str">
            <v>Guantes primarios</v>
          </cell>
          <cell r="C52" t="str">
            <v>EQU</v>
          </cell>
          <cell r="D52">
            <v>20000</v>
          </cell>
        </row>
        <row r="53">
          <cell r="B53" t="str">
            <v>Hacha con cabo</v>
          </cell>
          <cell r="C53"/>
          <cell r="D53">
            <v>1075</v>
          </cell>
        </row>
        <row r="54">
          <cell r="B54" t="str">
            <v>Juego 4 ruedas para andamio</v>
          </cell>
          <cell r="C54" t="str">
            <v>EQU</v>
          </cell>
          <cell r="D54">
            <v>5000</v>
          </cell>
        </row>
        <row r="55">
          <cell r="B55" t="str">
            <v>Juego de Tablas</v>
          </cell>
          <cell r="C55" t="str">
            <v>EQU</v>
          </cell>
          <cell r="D55">
            <v>125</v>
          </cell>
        </row>
        <row r="56">
          <cell r="B56" t="str">
            <v>Juego llave allen</v>
          </cell>
          <cell r="C56" t="str">
            <v>EQU</v>
          </cell>
          <cell r="D56">
            <v>297.5</v>
          </cell>
        </row>
        <row r="57">
          <cell r="B57" t="str">
            <v>Juego llave ratchet</v>
          </cell>
          <cell r="C57" t="str">
            <v>EQU</v>
          </cell>
          <cell r="D57">
            <v>4997.5</v>
          </cell>
        </row>
        <row r="58">
          <cell r="B58" t="str">
            <v>Licencia Autocad</v>
          </cell>
          <cell r="C58"/>
          <cell r="D58">
            <v>25000</v>
          </cell>
        </row>
        <row r="59">
          <cell r="B59" t="str">
            <v>Llana madera</v>
          </cell>
          <cell r="C59" t="str">
            <v>EQU</v>
          </cell>
          <cell r="D59">
            <v>272.5</v>
          </cell>
        </row>
        <row r="60">
          <cell r="B60" t="str">
            <v>Llana metálica</v>
          </cell>
          <cell r="C60" t="str">
            <v>EQU</v>
          </cell>
          <cell r="D60">
            <v>272.5</v>
          </cell>
        </row>
        <row r="61">
          <cell r="B61" t="str">
            <v>Llaves mixtas</v>
          </cell>
          <cell r="C61" t="str">
            <v>EQU</v>
          </cell>
          <cell r="D61">
            <v>2372.5</v>
          </cell>
        </row>
        <row r="62">
          <cell r="B62" t="str">
            <v>Malacate</v>
          </cell>
          <cell r="C62"/>
          <cell r="D62">
            <v>5000</v>
          </cell>
        </row>
        <row r="63">
          <cell r="B63" t="str">
            <v>Manila de 1/2" x 20 mts</v>
          </cell>
          <cell r="C63" t="str">
            <v>EQU</v>
          </cell>
          <cell r="D63">
            <v>50</v>
          </cell>
        </row>
        <row r="64">
          <cell r="B64" t="str">
            <v>Maquina soldar</v>
          </cell>
          <cell r="C64" t="str">
            <v>EQU</v>
          </cell>
          <cell r="D64">
            <v>45000</v>
          </cell>
        </row>
        <row r="65">
          <cell r="B65" t="str">
            <v>Martillo</v>
          </cell>
          <cell r="C65" t="str">
            <v>EQU</v>
          </cell>
          <cell r="D65">
            <v>497.5</v>
          </cell>
        </row>
        <row r="66">
          <cell r="B66" t="str">
            <v>Martillo demoledor electrico</v>
          </cell>
          <cell r="C66" t="str">
            <v>EQU</v>
          </cell>
          <cell r="D66">
            <v>130000</v>
          </cell>
        </row>
        <row r="67">
          <cell r="B67" t="str">
            <v>Megger aislamiento</v>
          </cell>
          <cell r="C67" t="str">
            <v>ELEC</v>
          </cell>
          <cell r="D67">
            <v>56250</v>
          </cell>
        </row>
        <row r="68">
          <cell r="B68" t="str">
            <v>Metro</v>
          </cell>
          <cell r="C68" t="str">
            <v>EQU</v>
          </cell>
          <cell r="D68">
            <v>497.5</v>
          </cell>
        </row>
        <row r="69">
          <cell r="B69" t="str">
            <v>Mezcladora de concreto de 2 bultos</v>
          </cell>
          <cell r="C69" t="str">
            <v>ELEC</v>
          </cell>
          <cell r="D69">
            <v>75000</v>
          </cell>
        </row>
        <row r="70">
          <cell r="B70" t="str">
            <v>Molde cadweld</v>
          </cell>
          <cell r="C70" t="str">
            <v>ELEC</v>
          </cell>
          <cell r="D70">
            <v>7080</v>
          </cell>
        </row>
        <row r="71">
          <cell r="B71" t="str">
            <v>Mona 18 Lb</v>
          </cell>
          <cell r="C71" t="str">
            <v>EQU</v>
          </cell>
          <cell r="D71">
            <v>1697.5</v>
          </cell>
        </row>
        <row r="72">
          <cell r="B72" t="str">
            <v>Mona 4 Lb</v>
          </cell>
          <cell r="C72" t="str">
            <v>EQU</v>
          </cell>
          <cell r="D72">
            <v>722</v>
          </cell>
        </row>
        <row r="73">
          <cell r="B73" t="str">
            <v>Motobomba</v>
          </cell>
          <cell r="C73" t="str">
            <v>EQU</v>
          </cell>
          <cell r="D73">
            <v>55000</v>
          </cell>
        </row>
        <row r="74">
          <cell r="B74" t="str">
            <v>Navaja</v>
          </cell>
          <cell r="C74" t="str">
            <v>EQU</v>
          </cell>
          <cell r="D74">
            <v>222.5</v>
          </cell>
        </row>
        <row r="75">
          <cell r="B75" t="str">
            <v>Nivel</v>
          </cell>
          <cell r="C75" t="str">
            <v>EQU</v>
          </cell>
          <cell r="D75">
            <v>347.5</v>
          </cell>
        </row>
        <row r="76">
          <cell r="B76" t="str">
            <v>Odómetro</v>
          </cell>
          <cell r="C76"/>
          <cell r="D76">
            <v>4504</v>
          </cell>
        </row>
        <row r="77">
          <cell r="B77" t="str">
            <v>OTDR (Incluye VFL, Medidor Potencia y Bobina Lanzamiento)</v>
          </cell>
          <cell r="C77"/>
          <cell r="D77">
            <v>76666.666666666672</v>
          </cell>
        </row>
        <row r="78">
          <cell r="B78" t="str">
            <v>Overol enterizo Manga larga</v>
          </cell>
          <cell r="C78" t="str">
            <v>EQU</v>
          </cell>
          <cell r="D78">
            <v>1003.375</v>
          </cell>
        </row>
        <row r="79">
          <cell r="B79" t="str">
            <v xml:space="preserve">Pala </v>
          </cell>
          <cell r="C79" t="str">
            <v>EQU</v>
          </cell>
          <cell r="D79">
            <v>287.5</v>
          </cell>
        </row>
        <row r="80">
          <cell r="B80" t="str">
            <v>Paladraga</v>
          </cell>
          <cell r="C80" t="str">
            <v>EQU</v>
          </cell>
          <cell r="D80">
            <v>1000</v>
          </cell>
        </row>
        <row r="81">
          <cell r="B81" t="str">
            <v>Palustre</v>
          </cell>
          <cell r="C81" t="str">
            <v>EQU</v>
          </cell>
          <cell r="D81">
            <v>272.5</v>
          </cell>
        </row>
        <row r="82">
          <cell r="B82" t="str">
            <v>Pertiga</v>
          </cell>
          <cell r="C82" t="str">
            <v>ELEC</v>
          </cell>
          <cell r="D82">
            <v>42500</v>
          </cell>
        </row>
        <row r="83">
          <cell r="B83" t="str">
            <v>Pico</v>
          </cell>
          <cell r="C83" t="str">
            <v>EQU</v>
          </cell>
          <cell r="D83">
            <v>522.5</v>
          </cell>
        </row>
        <row r="84">
          <cell r="B84" t="str">
            <v>Pinza para molde</v>
          </cell>
          <cell r="C84" t="str">
            <v>ELEC</v>
          </cell>
          <cell r="D84">
            <v>4320</v>
          </cell>
        </row>
        <row r="85">
          <cell r="B85" t="str">
            <v>Pinza voltiamperimetrica</v>
          </cell>
          <cell r="C85" t="str">
            <v>ELEC</v>
          </cell>
          <cell r="D85">
            <v>5000</v>
          </cell>
        </row>
        <row r="86">
          <cell r="B86" t="str">
            <v>Pizon</v>
          </cell>
          <cell r="C86" t="str">
            <v>EQU</v>
          </cell>
          <cell r="D86">
            <v>1625</v>
          </cell>
        </row>
        <row r="87">
          <cell r="B87" t="str">
            <v xml:space="preserve">Planta electrica </v>
          </cell>
          <cell r="C87" t="str">
            <v>EQU</v>
          </cell>
          <cell r="D87">
            <v>75000</v>
          </cell>
        </row>
        <row r="88">
          <cell r="B88" t="str">
            <v>Ponchadora</v>
          </cell>
          <cell r="C88" t="str">
            <v>ELEC</v>
          </cell>
          <cell r="D88">
            <v>12000</v>
          </cell>
        </row>
        <row r="89">
          <cell r="B89" t="str">
            <v>Pretales</v>
          </cell>
          <cell r="C89" t="str">
            <v>SEG</v>
          </cell>
          <cell r="D89">
            <v>8500</v>
          </cell>
        </row>
        <row r="90">
          <cell r="B90" t="str">
            <v>Pulidora</v>
          </cell>
          <cell r="C90" t="str">
            <v>EQU</v>
          </cell>
          <cell r="D90">
            <v>5000</v>
          </cell>
        </row>
        <row r="91">
          <cell r="B91" t="str">
            <v>Remachadora</v>
          </cell>
          <cell r="C91" t="str">
            <v>EQU</v>
          </cell>
          <cell r="D91">
            <v>1622.5</v>
          </cell>
        </row>
        <row r="92">
          <cell r="B92" t="str">
            <v>Retrocargador</v>
          </cell>
          <cell r="C92" t="str">
            <v>TR</v>
          </cell>
          <cell r="D92">
            <v>788800</v>
          </cell>
        </row>
        <row r="93">
          <cell r="B93" t="str">
            <v>Rodillo Profesional</v>
          </cell>
          <cell r="C93" t="str">
            <v>EQU</v>
          </cell>
          <cell r="D93">
            <v>233.44999999999996</v>
          </cell>
        </row>
        <row r="94">
          <cell r="B94" t="str">
            <v>Sacabocado hidraulico</v>
          </cell>
          <cell r="C94" t="str">
            <v>EQU</v>
          </cell>
          <cell r="D94">
            <v>16250</v>
          </cell>
        </row>
        <row r="95">
          <cell r="B95" t="str">
            <v>Sonda electrica 30mts</v>
          </cell>
          <cell r="C95" t="str">
            <v>ELEC</v>
          </cell>
          <cell r="D95">
            <v>3256.125</v>
          </cell>
        </row>
        <row r="96">
          <cell r="B96" t="str">
            <v>Sonda pesada 200 mts</v>
          </cell>
          <cell r="C96" t="str">
            <v>EQU</v>
          </cell>
          <cell r="D96">
            <v>70000</v>
          </cell>
        </row>
        <row r="97">
          <cell r="B97" t="str">
            <v>Tablon</v>
          </cell>
          <cell r="C97" t="str">
            <v>EQU</v>
          </cell>
          <cell r="D97">
            <v>750</v>
          </cell>
        </row>
        <row r="98">
          <cell r="B98" t="str">
            <v xml:space="preserve">Taladro </v>
          </cell>
          <cell r="C98" t="str">
            <v>EQU</v>
          </cell>
          <cell r="D98">
            <v>6250</v>
          </cell>
        </row>
        <row r="99">
          <cell r="B99" t="str">
            <v>Taladro percutor</v>
          </cell>
          <cell r="C99" t="str">
            <v>EQU</v>
          </cell>
          <cell r="D99">
            <v>12500</v>
          </cell>
        </row>
        <row r="100">
          <cell r="B100" t="str">
            <v>Tripode</v>
          </cell>
          <cell r="C100" t="str">
            <v>EQU</v>
          </cell>
          <cell r="D100">
            <v>21375</v>
          </cell>
        </row>
        <row r="101">
          <cell r="B101" t="str">
            <v>Trozadora de metal</v>
          </cell>
          <cell r="C101" t="str">
            <v>EQU</v>
          </cell>
          <cell r="D101">
            <v>20000</v>
          </cell>
        </row>
        <row r="102">
          <cell r="B102" t="str">
            <v>Vibrocompactador tipo canguro</v>
          </cell>
          <cell r="C102" t="str">
            <v>EQU</v>
          </cell>
          <cell r="D102">
            <v>68000</v>
          </cell>
        </row>
        <row r="103">
          <cell r="B103" t="str">
            <v>Volqueta</v>
          </cell>
          <cell r="C103" t="str">
            <v>TR</v>
          </cell>
          <cell r="D103">
            <v>300000</v>
          </cell>
        </row>
        <row r="104">
          <cell r="B104" t="str">
            <v>Zunchadora</v>
          </cell>
          <cell r="C104" t="str">
            <v>ELEC</v>
          </cell>
          <cell r="D104">
            <v>7837.5</v>
          </cell>
        </row>
      </sheetData>
      <sheetData sheetId="6"/>
      <sheetData sheetId="7"/>
      <sheetData sheetId="8"/>
      <sheetData sheetId="9"/>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96B8E-04D1-40B8-843F-17F9497805AC}">
  <dimension ref="A1:I22"/>
  <sheetViews>
    <sheetView showGridLines="0" topLeftCell="A4" workbookViewId="0">
      <selection activeCell="B5" sqref="B5"/>
    </sheetView>
  </sheetViews>
  <sheetFormatPr baseColWidth="10" defaultRowHeight="14.25"/>
  <cols>
    <col min="1" max="1" width="17.85546875" style="416" customWidth="1"/>
    <col min="2" max="2" width="63.85546875" style="416" customWidth="1"/>
    <col min="3" max="3" width="12.7109375" style="416" customWidth="1"/>
    <col min="4" max="4" width="13.85546875" style="416" bestFit="1" customWidth="1"/>
    <col min="5" max="5" width="22.42578125" style="416" customWidth="1"/>
    <col min="6" max="6" width="24.5703125" style="416" customWidth="1"/>
    <col min="7" max="7" width="30" style="416" bestFit="1" customWidth="1"/>
    <col min="8" max="8" width="9.7109375" style="416" bestFit="1" customWidth="1"/>
    <col min="9" max="9" width="12.28515625" style="416" bestFit="1" customWidth="1"/>
    <col min="10" max="16384" width="11.42578125" style="416"/>
  </cols>
  <sheetData>
    <row r="1" spans="1:9" ht="18" customHeight="1">
      <c r="A1" s="475" t="s">
        <v>4915</v>
      </c>
      <c r="B1" s="475"/>
      <c r="C1" s="475"/>
      <c r="D1" s="475"/>
      <c r="E1" s="475"/>
      <c r="F1" s="475"/>
    </row>
    <row r="2" spans="1:9" ht="18" customHeight="1">
      <c r="A2" s="475"/>
      <c r="B2" s="475"/>
      <c r="C2" s="475"/>
      <c r="D2" s="475"/>
      <c r="E2" s="475"/>
      <c r="F2" s="475"/>
    </row>
    <row r="3" spans="1:9" ht="17.25" customHeight="1">
      <c r="A3" s="475"/>
      <c r="B3" s="475"/>
      <c r="C3" s="475"/>
      <c r="D3" s="475"/>
      <c r="E3" s="475"/>
      <c r="F3" s="475"/>
    </row>
    <row r="4" spans="1:9" ht="18">
      <c r="A4" s="427" t="s">
        <v>4916</v>
      </c>
      <c r="B4" s="476" t="str">
        <f>COSTOS!E8</f>
        <v>NUEVA GRANADA</v>
      </c>
      <c r="C4" s="476"/>
      <c r="D4" s="476"/>
      <c r="E4" s="476"/>
      <c r="F4" s="476"/>
    </row>
    <row r="5" spans="1:9" ht="27.75" customHeight="1">
      <c r="A5" s="427" t="s">
        <v>4410</v>
      </c>
      <c r="B5" s="428"/>
      <c r="C5" s="477" t="s">
        <v>4917</v>
      </c>
      <c r="D5" s="478"/>
      <c r="E5" s="479">
        <v>44473</v>
      </c>
      <c r="F5" s="480"/>
    </row>
    <row r="6" spans="1:9" ht="16.5" customHeight="1">
      <c r="A6" s="427" t="s">
        <v>4918</v>
      </c>
      <c r="B6" s="481" t="s">
        <v>4919</v>
      </c>
      <c r="C6" s="481"/>
      <c r="D6" s="481"/>
      <c r="E6" s="481"/>
      <c r="F6" s="481"/>
    </row>
    <row r="7" spans="1:9" ht="18">
      <c r="A7" s="429" t="s">
        <v>4920</v>
      </c>
      <c r="B7" s="429" t="s">
        <v>4921</v>
      </c>
      <c r="C7" s="429" t="s">
        <v>0</v>
      </c>
      <c r="D7" s="429" t="s">
        <v>4922</v>
      </c>
      <c r="E7" s="429" t="s">
        <v>2</v>
      </c>
      <c r="F7" s="429" t="s">
        <v>4923</v>
      </c>
      <c r="G7" s="430" t="s">
        <v>4924</v>
      </c>
      <c r="H7" s="430" t="s">
        <v>4925</v>
      </c>
      <c r="I7" s="430" t="s">
        <v>4926</v>
      </c>
    </row>
    <row r="8" spans="1:9" ht="18">
      <c r="A8" s="431"/>
      <c r="B8" s="432" t="s">
        <v>4927</v>
      </c>
      <c r="C8" s="433"/>
      <c r="D8" s="433"/>
      <c r="E8" s="433"/>
      <c r="F8" s="433"/>
      <c r="G8" s="433"/>
      <c r="H8" s="433"/>
      <c r="I8" s="433"/>
    </row>
    <row r="9" spans="1:9" ht="15.75" customHeight="1">
      <c r="A9" s="434">
        <v>1</v>
      </c>
      <c r="B9" s="435"/>
      <c r="C9" s="436">
        <f>IFERROR(VLOOKUP(B9,COSTOS!D:L,7,0),0)</f>
        <v>0</v>
      </c>
      <c r="D9" s="436">
        <f>IFERROR(VLOOKUP(B9,COSTOS!D:L,8,0),0)</f>
        <v>0</v>
      </c>
      <c r="E9" s="437">
        <f>IFERROR(VLOOKUP(B9,COSTOS!D:L,9,0),0)</f>
        <v>0</v>
      </c>
      <c r="F9" s="437">
        <f>+PRODUCT(D9,E9)</f>
        <v>0</v>
      </c>
      <c r="G9" s="437">
        <f>IFERROR(VLOOKUP(B9,COSTOS!D:Z,19,0),0)</f>
        <v>0</v>
      </c>
      <c r="H9" s="437">
        <f>+PRODUCT(G9,0.19)</f>
        <v>0</v>
      </c>
      <c r="I9" s="437">
        <f>+PRODUCT(D9,H9)</f>
        <v>0</v>
      </c>
    </row>
    <row r="10" spans="1:9" ht="15.75" customHeight="1">
      <c r="A10" s="434">
        <v>2</v>
      </c>
      <c r="B10" s="435"/>
      <c r="C10" s="436">
        <f>IFERROR(VLOOKUP(B10,COSTOS!D:L,7,0),0)</f>
        <v>0</v>
      </c>
      <c r="D10" s="436">
        <f>IFERROR(VLOOKUP(B10,COSTOS!D:L,8,0),0)</f>
        <v>0</v>
      </c>
      <c r="E10" s="437">
        <f>IFERROR(VLOOKUP(B10,COSTOS!D:L,9,0),0)</f>
        <v>0</v>
      </c>
      <c r="F10" s="437">
        <f t="shared" ref="F10:F18" si="0">+PRODUCT(D10,E10)</f>
        <v>0</v>
      </c>
      <c r="G10" s="437">
        <f>IFERROR(VLOOKUP(B10,COSTOS!D:Z,19,0),0)</f>
        <v>0</v>
      </c>
      <c r="H10" s="437">
        <f t="shared" ref="H10:H18" si="1">+PRODUCT(G10,0.19)</f>
        <v>0</v>
      </c>
      <c r="I10" s="437">
        <f t="shared" ref="I10:I18" si="2">+PRODUCT(D10,H10)</f>
        <v>0</v>
      </c>
    </row>
    <row r="11" spans="1:9" ht="15.75" customHeight="1">
      <c r="A11" s="434">
        <v>3</v>
      </c>
      <c r="B11" s="435"/>
      <c r="C11" s="436">
        <f>IFERROR(VLOOKUP(B11,COSTOS!D:L,7,0),0)</f>
        <v>0</v>
      </c>
      <c r="D11" s="436">
        <f>IFERROR(VLOOKUP(B11,COSTOS!D:L,8,0),0)</f>
        <v>0</v>
      </c>
      <c r="E11" s="437">
        <f>IFERROR(VLOOKUP(B11,COSTOS!D:L,9,0),0)</f>
        <v>0</v>
      </c>
      <c r="F11" s="437">
        <f t="shared" si="0"/>
        <v>0</v>
      </c>
      <c r="G11" s="437">
        <f>IFERROR(VLOOKUP(B11,COSTOS!D:Z,19,0),0)</f>
        <v>0</v>
      </c>
      <c r="H11" s="437">
        <f t="shared" si="1"/>
        <v>0</v>
      </c>
      <c r="I11" s="437">
        <f t="shared" si="2"/>
        <v>0</v>
      </c>
    </row>
    <row r="12" spans="1:9" ht="15.75" customHeight="1">
      <c r="A12" s="434">
        <v>4</v>
      </c>
      <c r="B12" s="435"/>
      <c r="C12" s="436">
        <f>IFERROR(VLOOKUP(B12,COSTOS!D:L,7,0),0)</f>
        <v>0</v>
      </c>
      <c r="D12" s="436">
        <f>IFERROR(VLOOKUP(B12,COSTOS!D:L,8,0),0)</f>
        <v>0</v>
      </c>
      <c r="E12" s="437">
        <f>IFERROR(VLOOKUP(B12,COSTOS!D:L,9,0),0)</f>
        <v>0</v>
      </c>
      <c r="F12" s="437">
        <f t="shared" si="0"/>
        <v>0</v>
      </c>
      <c r="G12" s="437">
        <f>IFERROR(VLOOKUP(B12,COSTOS!D:Z,19,0),0)</f>
        <v>0</v>
      </c>
      <c r="H12" s="437">
        <f t="shared" si="1"/>
        <v>0</v>
      </c>
      <c r="I12" s="437">
        <f t="shared" si="2"/>
        <v>0</v>
      </c>
    </row>
    <row r="13" spans="1:9" ht="15.75" customHeight="1">
      <c r="A13" s="434">
        <v>5</v>
      </c>
      <c r="B13" s="435"/>
      <c r="C13" s="436">
        <f>IFERROR(VLOOKUP(B13,COSTOS!D:L,7,0),0)</f>
        <v>0</v>
      </c>
      <c r="D13" s="436">
        <f>IFERROR(VLOOKUP(B13,COSTOS!D:L,8,0),0)</f>
        <v>0</v>
      </c>
      <c r="E13" s="437">
        <f>IFERROR(VLOOKUP(B13,COSTOS!D:L,9,0),0)</f>
        <v>0</v>
      </c>
      <c r="F13" s="437">
        <f t="shared" si="0"/>
        <v>0</v>
      </c>
      <c r="G13" s="437">
        <f>IFERROR(VLOOKUP(B13,COSTOS!D:Z,19,0),0)</f>
        <v>0</v>
      </c>
      <c r="H13" s="437">
        <f t="shared" si="1"/>
        <v>0</v>
      </c>
      <c r="I13" s="437">
        <f t="shared" si="2"/>
        <v>0</v>
      </c>
    </row>
    <row r="14" spans="1:9" ht="15.75" customHeight="1">
      <c r="A14" s="434">
        <v>6</v>
      </c>
      <c r="B14" s="435"/>
      <c r="C14" s="436">
        <f>IFERROR(VLOOKUP(B14,COSTOS!D:L,7,0),0)</f>
        <v>0</v>
      </c>
      <c r="D14" s="436">
        <f>IFERROR(VLOOKUP(B14,COSTOS!D:L,8,0),0)</f>
        <v>0</v>
      </c>
      <c r="E14" s="437">
        <f>IFERROR(VLOOKUP(B14,COSTOS!D:L,9,0),0)</f>
        <v>0</v>
      </c>
      <c r="F14" s="437">
        <f t="shared" si="0"/>
        <v>0</v>
      </c>
      <c r="G14" s="437">
        <f>IFERROR(VLOOKUP(B14,COSTOS!D:Z,19,0),0)</f>
        <v>0</v>
      </c>
      <c r="H14" s="437">
        <f t="shared" si="1"/>
        <v>0</v>
      </c>
      <c r="I14" s="437">
        <f t="shared" si="2"/>
        <v>0</v>
      </c>
    </row>
    <row r="15" spans="1:9" ht="15.75" customHeight="1">
      <c r="A15" s="434">
        <v>7</v>
      </c>
      <c r="B15" s="435"/>
      <c r="C15" s="436">
        <f>IFERROR(VLOOKUP(B15,COSTOS!D:L,7,0),0)</f>
        <v>0</v>
      </c>
      <c r="D15" s="436">
        <f>IFERROR(VLOOKUP(B15,COSTOS!D:L,8,0),0)</f>
        <v>0</v>
      </c>
      <c r="E15" s="437">
        <f>IFERROR(VLOOKUP(B15,COSTOS!D:L,9,0),0)</f>
        <v>0</v>
      </c>
      <c r="F15" s="437">
        <f t="shared" si="0"/>
        <v>0</v>
      </c>
      <c r="G15" s="437">
        <f>IFERROR(VLOOKUP(B15,COSTOS!D:Z,19,0),0)</f>
        <v>0</v>
      </c>
      <c r="H15" s="437">
        <f t="shared" si="1"/>
        <v>0</v>
      </c>
      <c r="I15" s="437">
        <f t="shared" si="2"/>
        <v>0</v>
      </c>
    </row>
    <row r="16" spans="1:9" ht="15.75" customHeight="1">
      <c r="A16" s="434">
        <v>8</v>
      </c>
      <c r="B16" s="435"/>
      <c r="C16" s="436">
        <f>IFERROR(VLOOKUP(B16,COSTOS!D:L,7,0),0)</f>
        <v>0</v>
      </c>
      <c r="D16" s="436">
        <f>IFERROR(VLOOKUP(B16,COSTOS!D:L,8,0),0)</f>
        <v>0</v>
      </c>
      <c r="E16" s="437">
        <f>IFERROR(VLOOKUP(B16,COSTOS!D:L,9,0),0)</f>
        <v>0</v>
      </c>
      <c r="F16" s="437">
        <f t="shared" si="0"/>
        <v>0</v>
      </c>
      <c r="G16" s="437">
        <f>IFERROR(VLOOKUP(B16,COSTOS!D:Z,19,0),0)</f>
        <v>0</v>
      </c>
      <c r="H16" s="437">
        <f t="shared" si="1"/>
        <v>0</v>
      </c>
      <c r="I16" s="437">
        <f t="shared" si="2"/>
        <v>0</v>
      </c>
    </row>
    <row r="17" spans="1:9" ht="15">
      <c r="A17" s="434">
        <v>9</v>
      </c>
      <c r="B17" s="438"/>
      <c r="C17" s="436">
        <f>IFERROR(VLOOKUP(B17,COSTOS!D:L,7,0),0)</f>
        <v>0</v>
      </c>
      <c r="D17" s="436">
        <f>IFERROR(VLOOKUP(B17,COSTOS!D:L,8,0),0)</f>
        <v>0</v>
      </c>
      <c r="E17" s="437">
        <f>IFERROR(VLOOKUP(B17,COSTOS!D:L,9,0),0)</f>
        <v>0</v>
      </c>
      <c r="F17" s="437">
        <f t="shared" si="0"/>
        <v>0</v>
      </c>
      <c r="G17" s="437">
        <f>IFERROR(VLOOKUP(B17,COSTOS!D:Z,19,0),0)</f>
        <v>0</v>
      </c>
      <c r="H17" s="437">
        <f t="shared" si="1"/>
        <v>0</v>
      </c>
      <c r="I17" s="437">
        <f t="shared" si="2"/>
        <v>0</v>
      </c>
    </row>
    <row r="18" spans="1:9" ht="15.75" customHeight="1">
      <c r="A18" s="434">
        <v>10</v>
      </c>
      <c r="B18" s="435"/>
      <c r="C18" s="436">
        <f>IFERROR(VLOOKUP(B18,COSTOS!D:L,7,0),0)</f>
        <v>0</v>
      </c>
      <c r="D18" s="436">
        <f>IFERROR(VLOOKUP(B18,COSTOS!D:L,8,0),0)</f>
        <v>0</v>
      </c>
      <c r="E18" s="437">
        <f>IFERROR(VLOOKUP(B18,COSTOS!D:L,9,0),0)</f>
        <v>0</v>
      </c>
      <c r="F18" s="437">
        <f t="shared" si="0"/>
        <v>0</v>
      </c>
      <c r="G18" s="437">
        <f>IFERROR(VLOOKUP(B18,COSTOS!D:Z,19,0),0)</f>
        <v>0</v>
      </c>
      <c r="H18" s="437">
        <f t="shared" si="1"/>
        <v>0</v>
      </c>
      <c r="I18" s="437">
        <f t="shared" si="2"/>
        <v>0</v>
      </c>
    </row>
    <row r="19" spans="1:9" ht="15.75" customHeight="1">
      <c r="A19" s="482" t="s">
        <v>4928</v>
      </c>
      <c r="B19" s="483"/>
      <c r="C19" s="483"/>
      <c r="D19" s="483"/>
      <c r="E19" s="484"/>
      <c r="F19" s="439">
        <f>+SUM(F9:F18)</f>
        <v>0</v>
      </c>
      <c r="I19" s="440">
        <f>+SUM(I9:I18)</f>
        <v>0</v>
      </c>
    </row>
    <row r="20" spans="1:9" ht="15.75" customHeight="1">
      <c r="A20" s="469" t="s">
        <v>4</v>
      </c>
      <c r="B20" s="470"/>
      <c r="C20" s="470"/>
      <c r="D20" s="470"/>
      <c r="E20" s="471"/>
      <c r="F20" s="441">
        <f>+F21/0.19</f>
        <v>0</v>
      </c>
    </row>
    <row r="21" spans="1:9" ht="15.75" customHeight="1">
      <c r="A21" s="469" t="s">
        <v>4210</v>
      </c>
      <c r="B21" s="470"/>
      <c r="C21" s="470"/>
      <c r="D21" s="470"/>
      <c r="E21" s="471"/>
      <c r="F21" s="441">
        <f>+I19</f>
        <v>0</v>
      </c>
    </row>
    <row r="22" spans="1:9" ht="15.75" customHeight="1">
      <c r="A22" s="472" t="s">
        <v>4851</v>
      </c>
      <c r="B22" s="473"/>
      <c r="C22" s="473"/>
      <c r="D22" s="473"/>
      <c r="E22" s="474"/>
      <c r="F22" s="442">
        <f>+F19+F20+F21</f>
        <v>0</v>
      </c>
    </row>
  </sheetData>
  <mergeCells count="9">
    <mergeCell ref="A20:E20"/>
    <mergeCell ref="A21:E21"/>
    <mergeCell ref="A22:E22"/>
    <mergeCell ref="A1:F3"/>
    <mergeCell ref="B4:F4"/>
    <mergeCell ref="C5:D5"/>
    <mergeCell ref="E5:F5"/>
    <mergeCell ref="B6:F6"/>
    <mergeCell ref="A19:E1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FFFF00"/>
    <pageSetUpPr fitToPage="1"/>
  </sheetPr>
  <dimension ref="B1:AD247"/>
  <sheetViews>
    <sheetView showGridLines="0" tabSelected="1" view="pageBreakPreview" topLeftCell="A10" zoomScale="90" zoomScaleNormal="85" zoomScaleSheetLayoutView="90" workbookViewId="0">
      <selection activeCell="A201" sqref="A201:XFD201"/>
    </sheetView>
  </sheetViews>
  <sheetFormatPr baseColWidth="10" defaultRowHeight="15"/>
  <cols>
    <col min="1" max="1" width="8.85546875" customWidth="1"/>
    <col min="2" max="2" width="0.85546875" customWidth="1"/>
    <col min="3" max="3" width="10.7109375" customWidth="1"/>
    <col min="4" max="4" width="11.42578125" customWidth="1"/>
    <col min="5" max="5" width="13.140625" customWidth="1"/>
    <col min="7" max="7" width="13.7109375" customWidth="1"/>
    <col min="8" max="8" width="13.42578125" customWidth="1"/>
    <col min="9" max="9" width="5.28515625" customWidth="1"/>
    <col min="10" max="10" width="13.85546875" customWidth="1"/>
    <col min="11" max="12" width="14.7109375" customWidth="1"/>
    <col min="13" max="13" width="21.140625" customWidth="1"/>
    <col min="14" max="14" width="1" customWidth="1"/>
    <col min="15" max="15" width="8.140625" customWidth="1"/>
    <col min="16" max="16" width="16.5703125" style="139" bestFit="1" customWidth="1"/>
    <col min="17" max="17" width="13.5703125" style="140" bestFit="1" customWidth="1"/>
    <col min="18" max="18" width="13.5703125" bestFit="1" customWidth="1"/>
    <col min="19" max="19" width="13.5703125" style="141" bestFit="1" customWidth="1"/>
    <col min="20" max="20" width="5" style="142" customWidth="1"/>
    <col min="21" max="21" width="12.85546875" customWidth="1"/>
    <col min="22" max="22" width="17.85546875" customWidth="1"/>
    <col min="23" max="23" width="14" customWidth="1"/>
    <col min="24" max="24" width="17.7109375" customWidth="1"/>
    <col min="25" max="26" width="14.7109375" customWidth="1"/>
    <col min="27" max="27" width="16.42578125" customWidth="1"/>
    <col min="28" max="28" width="13.85546875" customWidth="1"/>
    <col min="29" max="29" width="21.42578125" customWidth="1"/>
    <col min="30" max="30" width="16.140625" customWidth="1"/>
  </cols>
  <sheetData>
    <row r="1" spans="2:30" ht="16.149999999999999" customHeight="1">
      <c r="B1" s="137"/>
      <c r="C1" s="316"/>
      <c r="D1" s="316"/>
      <c r="E1" s="316"/>
      <c r="F1" s="316"/>
      <c r="G1" s="316"/>
      <c r="H1" s="316"/>
      <c r="I1" s="316"/>
      <c r="J1" s="316"/>
      <c r="K1" s="316"/>
      <c r="L1" s="316"/>
      <c r="M1" s="316"/>
      <c r="N1" s="138"/>
    </row>
    <row r="2" spans="2:30" ht="37.5" customHeight="1">
      <c r="B2" s="143"/>
      <c r="C2" s="317"/>
      <c r="D2" s="318"/>
      <c r="E2" s="318"/>
      <c r="F2" s="353"/>
      <c r="G2" s="510" t="s">
        <v>4406</v>
      </c>
      <c r="H2" s="510"/>
      <c r="I2" s="510"/>
      <c r="J2" s="510"/>
      <c r="K2" s="510"/>
      <c r="L2" s="364"/>
      <c r="M2" s="491" t="s">
        <v>4405</v>
      </c>
      <c r="N2" s="426"/>
      <c r="P2" s="144"/>
      <c r="Q2" s="145"/>
      <c r="R2" s="146"/>
      <c r="S2" s="147"/>
    </row>
    <row r="3" spans="2:30" ht="15.75" customHeight="1">
      <c r="B3" s="143"/>
      <c r="C3" s="319"/>
      <c r="D3" s="320"/>
      <c r="E3" s="320"/>
      <c r="F3" s="354"/>
      <c r="G3" s="511"/>
      <c r="H3" s="511"/>
      <c r="I3" s="511"/>
      <c r="J3" s="511"/>
      <c r="K3" s="511"/>
      <c r="L3" s="365"/>
      <c r="M3" s="492"/>
      <c r="N3" s="315"/>
      <c r="P3" s="144"/>
      <c r="Q3" s="148"/>
      <c r="R3" s="149"/>
      <c r="S3" s="150"/>
      <c r="T3" s="151"/>
    </row>
    <row r="4" spans="2:30" ht="25.5" customHeight="1">
      <c r="B4" s="143"/>
      <c r="C4" s="319"/>
      <c r="D4" s="320"/>
      <c r="E4" s="320"/>
      <c r="F4" s="354"/>
      <c r="G4" s="511"/>
      <c r="H4" s="511"/>
      <c r="I4" s="511"/>
      <c r="J4" s="511"/>
      <c r="K4" s="511"/>
      <c r="L4" s="365"/>
      <c r="M4" s="492"/>
      <c r="N4" s="315"/>
      <c r="P4" s="144"/>
      <c r="Q4" s="148"/>
      <c r="R4" s="149"/>
      <c r="S4" s="150"/>
      <c r="T4" s="151"/>
    </row>
    <row r="5" spans="2:30" ht="17.25" customHeight="1">
      <c r="B5" s="143"/>
      <c r="C5" s="321"/>
      <c r="D5" s="322"/>
      <c r="E5" s="322"/>
      <c r="F5" s="355"/>
      <c r="G5" s="512"/>
      <c r="H5" s="512"/>
      <c r="I5" s="512"/>
      <c r="J5" s="512"/>
      <c r="K5" s="512"/>
      <c r="L5" s="366"/>
      <c r="M5" s="493"/>
      <c r="N5" s="315"/>
      <c r="P5" s="144"/>
      <c r="Q5" s="148"/>
      <c r="R5" s="149"/>
      <c r="S5" s="150"/>
      <c r="T5" s="151"/>
    </row>
    <row r="6" spans="2:30" ht="24" customHeight="1">
      <c r="B6" s="143"/>
      <c r="C6" s="516" t="s">
        <v>4407</v>
      </c>
      <c r="D6" s="517"/>
      <c r="E6" s="517"/>
      <c r="F6" s="517"/>
      <c r="G6" s="517"/>
      <c r="H6" s="517"/>
      <c r="I6" s="517"/>
      <c r="J6" s="517"/>
      <c r="K6" s="517"/>
      <c r="L6" s="517"/>
      <c r="M6" s="518"/>
      <c r="N6" s="152"/>
      <c r="P6" s="144"/>
      <c r="Q6" s="153"/>
      <c r="R6" s="149"/>
      <c r="S6" s="149"/>
      <c r="T6" s="154"/>
    </row>
    <row r="7" spans="2:30" ht="18" customHeight="1">
      <c r="B7" s="143"/>
      <c r="C7" s="323"/>
      <c r="D7" s="323"/>
      <c r="E7" s="323"/>
      <c r="F7" s="323"/>
      <c r="G7" s="323"/>
      <c r="H7" s="323"/>
      <c r="I7" s="323"/>
      <c r="J7" s="318"/>
      <c r="K7" s="323"/>
      <c r="L7" s="323"/>
      <c r="M7" s="323"/>
      <c r="N7" s="152"/>
      <c r="P7" s="144"/>
      <c r="Q7" s="153"/>
      <c r="R7" s="149"/>
      <c r="S7" s="149"/>
      <c r="T7" s="154"/>
    </row>
    <row r="8" spans="2:30" s="155" customFormat="1" ht="23.25" customHeight="1">
      <c r="B8" s="324"/>
      <c r="C8" s="519" t="s">
        <v>4412</v>
      </c>
      <c r="D8" s="520"/>
      <c r="E8" s="502" t="s">
        <v>4780</v>
      </c>
      <c r="F8" s="502"/>
      <c r="G8" s="502"/>
      <c r="H8" s="502"/>
      <c r="I8" s="502"/>
      <c r="J8" s="502"/>
      <c r="K8" s="502"/>
      <c r="L8" s="502"/>
      <c r="M8" s="503"/>
      <c r="N8" s="325"/>
      <c r="P8" s="156"/>
      <c r="Q8" s="157"/>
      <c r="R8" s="158"/>
      <c r="S8" s="159"/>
      <c r="T8" s="160"/>
      <c r="U8" s="161"/>
      <c r="V8" s="161"/>
      <c r="W8" s="161"/>
    </row>
    <row r="9" spans="2:30" s="155" customFormat="1" ht="23.25" customHeight="1">
      <c r="B9" s="324"/>
      <c r="C9" s="498" t="s">
        <v>4911</v>
      </c>
      <c r="D9" s="499"/>
      <c r="E9" s="504" t="s">
        <v>8</v>
      </c>
      <c r="F9" s="504"/>
      <c r="G9" s="504"/>
      <c r="H9" s="504"/>
      <c r="I9" s="504"/>
      <c r="J9" s="504"/>
      <c r="K9" s="504"/>
      <c r="L9" s="504"/>
      <c r="M9" s="505"/>
      <c r="N9" s="326"/>
      <c r="P9" s="156"/>
      <c r="Q9" s="162"/>
      <c r="R9" s="163"/>
      <c r="S9" s="163"/>
      <c r="T9" s="160"/>
      <c r="U9" s="161"/>
      <c r="V9" s="161"/>
      <c r="W9" s="161"/>
    </row>
    <row r="10" spans="2:30" s="155" customFormat="1" ht="23.25" customHeight="1">
      <c r="B10" s="324"/>
      <c r="C10" s="500" t="s">
        <v>4413</v>
      </c>
      <c r="D10" s="501"/>
      <c r="E10" s="506">
        <f ca="1">TODAY()</f>
        <v>44889</v>
      </c>
      <c r="F10" s="506"/>
      <c r="G10" s="506"/>
      <c r="H10" s="506"/>
      <c r="I10" s="506"/>
      <c r="J10" s="506"/>
      <c r="K10" s="506"/>
      <c r="L10" s="506"/>
      <c r="M10" s="507"/>
      <c r="N10" s="327"/>
      <c r="P10" s="156"/>
      <c r="Q10" s="157"/>
      <c r="R10" s="158"/>
      <c r="S10" s="165"/>
      <c r="T10" s="166"/>
      <c r="U10" s="161"/>
      <c r="V10" s="161"/>
      <c r="W10" s="161"/>
    </row>
    <row r="11" spans="2:30" s="155" customFormat="1" ht="23.25" customHeight="1">
      <c r="B11" s="324"/>
      <c r="C11" s="513" t="s">
        <v>4414</v>
      </c>
      <c r="D11" s="514"/>
      <c r="E11" s="508" t="s">
        <v>4801</v>
      </c>
      <c r="F11" s="508"/>
      <c r="G11" s="508"/>
      <c r="H11" s="508"/>
      <c r="I11" s="508"/>
      <c r="J11" s="508"/>
      <c r="K11" s="508"/>
      <c r="L11" s="508"/>
      <c r="M11" s="509"/>
      <c r="N11" s="328"/>
      <c r="P11" s="522"/>
      <c r="Q11" s="522"/>
      <c r="R11" s="158"/>
      <c r="S11" s="165"/>
      <c r="T11" s="166"/>
      <c r="U11" s="161"/>
      <c r="V11" s="161"/>
      <c r="W11" s="161"/>
    </row>
    <row r="12" spans="2:30" s="155" customFormat="1" ht="23.25" customHeight="1">
      <c r="B12" s="324"/>
      <c r="C12" s="498" t="s">
        <v>4415</v>
      </c>
      <c r="D12" s="499"/>
      <c r="E12" s="504" t="s">
        <v>4416</v>
      </c>
      <c r="F12" s="504"/>
      <c r="G12" s="504"/>
      <c r="H12" s="504"/>
      <c r="I12" s="504"/>
      <c r="J12" s="504"/>
      <c r="K12" s="504"/>
      <c r="L12" s="504"/>
      <c r="M12" s="505"/>
      <c r="N12" s="328"/>
      <c r="P12" s="164"/>
      <c r="R12" s="161"/>
      <c r="S12" s="161"/>
      <c r="T12" s="167"/>
      <c r="U12" s="161"/>
      <c r="V12" s="161"/>
      <c r="W12" s="161"/>
    </row>
    <row r="13" spans="2:30" s="168" customFormat="1" ht="17.25" customHeight="1">
      <c r="B13" s="169"/>
      <c r="C13" s="351"/>
      <c r="D13" s="351"/>
      <c r="E13" s="351"/>
      <c r="F13" s="351"/>
      <c r="G13" s="351"/>
      <c r="H13" s="351"/>
      <c r="I13" s="351"/>
      <c r="J13" s="351"/>
      <c r="K13" s="351"/>
      <c r="L13" s="351"/>
      <c r="M13" s="351"/>
      <c r="N13" s="170"/>
      <c r="P13" s="171"/>
      <c r="Q13" s="171"/>
      <c r="R13" s="172"/>
      <c r="S13" s="172"/>
      <c r="T13" s="173"/>
      <c r="U13" s="172"/>
      <c r="V13" s="172"/>
      <c r="W13" s="172"/>
    </row>
    <row r="14" spans="2:30" s="168" customFormat="1" ht="25.5" customHeight="1">
      <c r="B14" s="169"/>
      <c r="C14" s="523" t="str">
        <f>E12</f>
        <v>MODERNIZACION A TECNOLOGIA LED</v>
      </c>
      <c r="D14" s="524"/>
      <c r="E14" s="524"/>
      <c r="F14" s="524"/>
      <c r="G14" s="524"/>
      <c r="H14" s="524"/>
      <c r="I14" s="524"/>
      <c r="J14" s="524"/>
      <c r="K14" s="524"/>
      <c r="L14" s="524"/>
      <c r="M14" s="525"/>
      <c r="N14" s="174"/>
      <c r="O14" s="175"/>
      <c r="P14" s="176"/>
      <c r="Q14" s="176"/>
      <c r="R14" s="172"/>
      <c r="S14" s="172"/>
      <c r="T14" s="173"/>
      <c r="U14" s="423">
        <v>0.08</v>
      </c>
      <c r="V14" s="423">
        <v>0.08</v>
      </c>
      <c r="W14" s="423">
        <v>0.01</v>
      </c>
      <c r="X14" s="423">
        <v>0.02</v>
      </c>
      <c r="Y14" s="423">
        <v>0.04</v>
      </c>
      <c r="Z14" s="423">
        <v>0.03</v>
      </c>
      <c r="AA14" s="424"/>
      <c r="AB14" s="425">
        <v>0.19</v>
      </c>
    </row>
    <row r="15" spans="2:30" s="168" customFormat="1" ht="49.5" customHeight="1">
      <c r="B15" s="329"/>
      <c r="C15" s="370" t="s">
        <v>4244</v>
      </c>
      <c r="D15" s="527" t="s">
        <v>4245</v>
      </c>
      <c r="E15" s="528"/>
      <c r="F15" s="528"/>
      <c r="G15" s="528"/>
      <c r="H15" s="528"/>
      <c r="I15" s="529"/>
      <c r="J15" s="371" t="s">
        <v>4243</v>
      </c>
      <c r="K15" s="371" t="s">
        <v>4246</v>
      </c>
      <c r="L15" s="372" t="s">
        <v>4914</v>
      </c>
      <c r="M15" s="370" t="s">
        <v>4913</v>
      </c>
      <c r="N15" s="330"/>
      <c r="O15" s="177"/>
      <c r="P15" s="422" t="s">
        <v>4391</v>
      </c>
      <c r="Q15" s="422" t="s">
        <v>4392</v>
      </c>
      <c r="R15" s="422" t="s">
        <v>4393</v>
      </c>
      <c r="S15" s="422" t="s">
        <v>4394</v>
      </c>
      <c r="T15" s="422"/>
      <c r="U15" s="422" t="s">
        <v>4846</v>
      </c>
      <c r="V15" s="422" t="s">
        <v>4847</v>
      </c>
      <c r="W15" s="422" t="s">
        <v>4848</v>
      </c>
      <c r="X15" s="422" t="s">
        <v>4849</v>
      </c>
      <c r="Y15" s="422" t="s">
        <v>5033</v>
      </c>
      <c r="Z15" s="422" t="s">
        <v>4850</v>
      </c>
      <c r="AA15" s="422" t="s">
        <v>4910</v>
      </c>
      <c r="AB15" s="422" t="s">
        <v>4210</v>
      </c>
      <c r="AC15" s="422" t="s">
        <v>4851</v>
      </c>
      <c r="AD15" s="370" t="s">
        <v>4852</v>
      </c>
    </row>
    <row r="16" spans="2:30" s="168" customFormat="1" ht="30.75" customHeight="1">
      <c r="B16" s="329"/>
      <c r="C16" s="367">
        <v>1</v>
      </c>
      <c r="D16" s="495" t="s">
        <v>4622</v>
      </c>
      <c r="E16" s="496"/>
      <c r="F16" s="496"/>
      <c r="G16" s="496"/>
      <c r="H16" s="496"/>
      <c r="I16" s="497"/>
      <c r="J16" s="368"/>
      <c r="K16" s="369"/>
      <c r="L16" s="369"/>
      <c r="M16" s="369"/>
      <c r="N16" s="335"/>
      <c r="O16" s="181"/>
      <c r="P16" s="181"/>
      <c r="Q16" s="182"/>
      <c r="R16" s="183"/>
      <c r="S16" s="184"/>
      <c r="T16" s="179"/>
      <c r="U16" s="404"/>
      <c r="V16" s="405"/>
      <c r="W16" s="406"/>
      <c r="X16" s="406"/>
      <c r="Y16" s="406"/>
      <c r="Z16" s="406"/>
      <c r="AB16" s="176"/>
      <c r="AC16" s="407"/>
      <c r="AD16" s="409"/>
    </row>
    <row r="17" spans="2:30" s="168" customFormat="1" ht="39.6" hidden="1" customHeight="1">
      <c r="B17" s="329"/>
      <c r="C17" s="361">
        <v>1.1000000000000001</v>
      </c>
      <c r="D17" s="488" t="s">
        <v>4612</v>
      </c>
      <c r="E17" s="489"/>
      <c r="F17" s="489"/>
      <c r="G17" s="489"/>
      <c r="H17" s="489"/>
      <c r="I17" s="490"/>
      <c r="J17" s="361" t="s">
        <v>4128</v>
      </c>
      <c r="K17" s="362"/>
      <c r="L17" s="333">
        <f ca="1">AA17</f>
        <v>1802131.0453386849</v>
      </c>
      <c r="M17" s="334">
        <f t="shared" ref="M17:M22" ca="1" si="0">L17*K17</f>
        <v>0</v>
      </c>
      <c r="N17" s="335"/>
      <c r="O17" s="181"/>
      <c r="P17" s="413">
        <f ca="1">IF(IFERROR(VLOOKUP(C17,APU!H:N,4,0),0),VLOOKUP(C17,APU!H:N,4,0),0)</f>
        <v>1404727.6459999999</v>
      </c>
      <c r="Q17" s="413">
        <f ca="1">IF(IFERROR(VLOOKUP(C17,APU!H:N,5,0),0),VLOOKUP(C17,APU!H:N,5,0),0)</f>
        <v>18742.662399999997</v>
      </c>
      <c r="R17" s="413">
        <f ca="1">IF(IFERROR(VLOOKUP(C17,APU!H:N,6,0),0),VLOOKUP(C17,APU!H:N,6,0),0)</f>
        <v>3363.18525</v>
      </c>
      <c r="S17" s="413">
        <f ca="1">IF(IFERROR(VLOOKUP(C17,APU!H:N,7,0),0),VLOOKUP(C17,APU!H:N,7,0),0)</f>
        <v>4800</v>
      </c>
      <c r="T17" s="179"/>
      <c r="U17" s="413">
        <f ca="1">(P17+Q17+R17+S17)*$U$14</f>
        <v>114530.67949200001</v>
      </c>
      <c r="V17" s="413">
        <f ca="1">(P17+Q17+R17+S17)*$V$14</f>
        <v>114530.67949200001</v>
      </c>
      <c r="W17" s="413">
        <f ca="1">(Q17+R17+S17)*$W$14</f>
        <v>269.05847649999998</v>
      </c>
      <c r="X17" s="413">
        <f ca="1">(P17+Q17+R17+S17)*$X$14</f>
        <v>28632.669873000003</v>
      </c>
      <c r="Y17" s="413">
        <f ca="1">(S17+P17+T17+U17+Q17+R17)*$Y$14</f>
        <v>61846.566925680003</v>
      </c>
      <c r="Z17" s="413">
        <f ca="1">(P17+Q17+U17+V17+W17+X17+R17+S17)*$Z$14</f>
        <v>50687.897429504999</v>
      </c>
      <c r="AA17" s="413">
        <f ca="1">R17+S17+U17+V17+W17+X17+Z17+Q17+P17+Y17</f>
        <v>1802131.0453386849</v>
      </c>
      <c r="AB17" s="413">
        <f ca="1">V17*$AB$14</f>
        <v>21760.829103480002</v>
      </c>
      <c r="AC17" s="413">
        <f ca="1">AA17*K17</f>
        <v>0</v>
      </c>
      <c r="AD17" s="413">
        <f ca="1">AB17*K17</f>
        <v>0</v>
      </c>
    </row>
    <row r="18" spans="2:30" s="168" customFormat="1" ht="30.75" hidden="1" customHeight="1">
      <c r="B18" s="329"/>
      <c r="C18" s="361">
        <v>1.2</v>
      </c>
      <c r="D18" s="488" t="s">
        <v>4613</v>
      </c>
      <c r="E18" s="489" t="s">
        <v>4613</v>
      </c>
      <c r="F18" s="489" t="s">
        <v>4613</v>
      </c>
      <c r="G18" s="489" t="s">
        <v>4613</v>
      </c>
      <c r="H18" s="489" t="s">
        <v>4613</v>
      </c>
      <c r="I18" s="490" t="s">
        <v>4613</v>
      </c>
      <c r="J18" s="361" t="s">
        <v>4128</v>
      </c>
      <c r="K18" s="362"/>
      <c r="L18" s="333">
        <f t="shared" ref="L18:L81" ca="1" si="1">AA18</f>
        <v>1842494.976638685</v>
      </c>
      <c r="M18" s="334">
        <f t="shared" ca="1" si="0"/>
        <v>0</v>
      </c>
      <c r="N18" s="335"/>
      <c r="O18" s="181"/>
      <c r="P18" s="413">
        <f ca="1">IF(IFERROR(VLOOKUP(C18,APU!H:N,4,0),0),VLOOKUP(C18,APU!H:N,4,0),0)</f>
        <v>1436798.1459999999</v>
      </c>
      <c r="Q18" s="413">
        <f ca="1">IF(IFERROR(VLOOKUP(C18,APU!H:N,5,0),0),VLOOKUP(C18,APU!H:N,5,0),0)</f>
        <v>18742.662399999997</v>
      </c>
      <c r="R18" s="413">
        <f ca="1">IF(IFERROR(VLOOKUP(C18,APU!H:N,6,0),0),VLOOKUP(C18,APU!H:N,6,0),0)</f>
        <v>3363.18525</v>
      </c>
      <c r="S18" s="413">
        <f ca="1">IF(IFERROR(VLOOKUP(C18,APU!H:N,7,0),0),VLOOKUP(C18,APU!H:N,7,0),0)</f>
        <v>4800</v>
      </c>
      <c r="T18" s="179"/>
      <c r="U18" s="413">
        <f t="shared" ref="U18:U81" ca="1" si="2">(P18+Q18+R18+S18)*$U$14</f>
        <v>117096.31949200001</v>
      </c>
      <c r="V18" s="413">
        <f t="shared" ref="V18:V81" ca="1" si="3">(P18+Q18+R18+S18)*$V$14</f>
        <v>117096.31949200001</v>
      </c>
      <c r="W18" s="413">
        <f t="shared" ref="W18:W81" ca="1" si="4">(Q18+R18+S18)*$W$14</f>
        <v>269.05847649999998</v>
      </c>
      <c r="X18" s="413">
        <f t="shared" ref="X18:X81" ca="1" si="5">(P18+Q18+R18+S18)*$X$14</f>
        <v>29274.079873000002</v>
      </c>
      <c r="Y18" s="413">
        <f t="shared" ref="Y18:Y81" ca="1" si="6">(S18+P18+T18+U18+Q18+R18)*$Y$14</f>
        <v>63232.012525680002</v>
      </c>
      <c r="Z18" s="413">
        <f ca="1">(P18+Q18+U18+V18+W18+X18+R18+S18)*$Z$14</f>
        <v>51823.193129504994</v>
      </c>
      <c r="AA18" s="413">
        <f t="shared" ref="AA18:AA81" ca="1" si="7">R18+S18+U18+V18+W18+X18+Z18+Q18+P18+Y18</f>
        <v>1842494.976638685</v>
      </c>
      <c r="AB18" s="413">
        <f ca="1">V18*$AB$14</f>
        <v>22248.300703480003</v>
      </c>
      <c r="AC18" s="413">
        <f ca="1">AA18*K18</f>
        <v>0</v>
      </c>
      <c r="AD18" s="413">
        <f ca="1">AB18*K18</f>
        <v>0</v>
      </c>
    </row>
    <row r="19" spans="2:30" s="168" customFormat="1" ht="30.75" hidden="1" customHeight="1">
      <c r="B19" s="329"/>
      <c r="C19" s="361">
        <v>1.3</v>
      </c>
      <c r="D19" s="488" t="s">
        <v>4614</v>
      </c>
      <c r="E19" s="489" t="s">
        <v>4614</v>
      </c>
      <c r="F19" s="489" t="s">
        <v>4614</v>
      </c>
      <c r="G19" s="489" t="s">
        <v>4614</v>
      </c>
      <c r="H19" s="489" t="s">
        <v>4614</v>
      </c>
      <c r="I19" s="490" t="s">
        <v>4614</v>
      </c>
      <c r="J19" s="361" t="s">
        <v>4128</v>
      </c>
      <c r="K19" s="362"/>
      <c r="L19" s="333">
        <f t="shared" ca="1" si="1"/>
        <v>14113055.205138685</v>
      </c>
      <c r="M19" s="334">
        <f t="shared" ca="1" si="0"/>
        <v>0</v>
      </c>
      <c r="N19" s="335"/>
      <c r="O19" s="181"/>
      <c r="P19" s="413">
        <f ca="1">IF(IFERROR(VLOOKUP(C19,APU!H:N,4,0),0),VLOOKUP(C19,APU!H:N,4,0),0)</f>
        <v>11186170.646</v>
      </c>
      <c r="Q19" s="413">
        <f ca="1">IF(IFERROR(VLOOKUP(C19,APU!H:N,5,0),0),VLOOKUP(C19,APU!H:N,5,0),0)</f>
        <v>18742.662399999997</v>
      </c>
      <c r="R19" s="413">
        <f ca="1">IF(IFERROR(VLOOKUP(C19,APU!H:N,6,0),0),VLOOKUP(C19,APU!H:N,6,0),0)</f>
        <v>3363.18525</v>
      </c>
      <c r="S19" s="413">
        <f ca="1">IF(IFERROR(VLOOKUP(C19,APU!H:N,7,0),0),VLOOKUP(C19,APU!H:N,7,0),0)</f>
        <v>4800</v>
      </c>
      <c r="T19" s="179"/>
      <c r="U19" s="413">
        <f t="shared" ca="1" si="2"/>
        <v>897046.11949199997</v>
      </c>
      <c r="V19" s="413">
        <f t="shared" ca="1" si="3"/>
        <v>897046.11949199997</v>
      </c>
      <c r="W19" s="413">
        <f t="shared" ca="1" si="4"/>
        <v>269.05847649999998</v>
      </c>
      <c r="X19" s="413">
        <f t="shared" ca="1" si="5"/>
        <v>224261.52987299999</v>
      </c>
      <c r="Y19" s="413">
        <f t="shared" ca="1" si="6"/>
        <v>484404.90452567994</v>
      </c>
      <c r="Z19" s="413">
        <f ca="1">(P19+Q19+U19+V19+W19+X19+R19+S19)*$Z$14</f>
        <v>396950.97962950496</v>
      </c>
      <c r="AA19" s="413">
        <f t="shared" ca="1" si="7"/>
        <v>14113055.205138685</v>
      </c>
      <c r="AB19" s="413">
        <f ca="1">V19*$AB$14</f>
        <v>170438.76270348</v>
      </c>
      <c r="AC19" s="413">
        <f ca="1">AA19*K19</f>
        <v>0</v>
      </c>
      <c r="AD19" s="413">
        <f ca="1">AB19*K19</f>
        <v>0</v>
      </c>
    </row>
    <row r="20" spans="2:30" s="168" customFormat="1" ht="30.75" hidden="1" customHeight="1">
      <c r="B20" s="329"/>
      <c r="C20" s="361">
        <v>1.4</v>
      </c>
      <c r="D20" s="488" t="s">
        <v>4615</v>
      </c>
      <c r="E20" s="489" t="s">
        <v>4615</v>
      </c>
      <c r="F20" s="489" t="s">
        <v>4615</v>
      </c>
      <c r="G20" s="489" t="s">
        <v>4615</v>
      </c>
      <c r="H20" s="489" t="s">
        <v>4615</v>
      </c>
      <c r="I20" s="490" t="s">
        <v>4615</v>
      </c>
      <c r="J20" s="361" t="s">
        <v>4128</v>
      </c>
      <c r="K20" s="362"/>
      <c r="L20" s="333">
        <f t="shared" ca="1" si="1"/>
        <v>2578646.2149786847</v>
      </c>
      <c r="M20" s="334">
        <f t="shared" ca="1" si="0"/>
        <v>0</v>
      </c>
      <c r="N20" s="335"/>
      <c r="O20" s="181"/>
      <c r="P20" s="413">
        <f ca="1">IF(IFERROR(VLOOKUP(C20,APU!H:N,4,0),0),VLOOKUP(C20,APU!H:N,4,0),0)</f>
        <v>2021695.0460000001</v>
      </c>
      <c r="Q20" s="413">
        <f ca="1">IF(IFERROR(VLOOKUP(C20,APU!H:N,5,0),0),VLOOKUP(C20,APU!H:N,5,0),0)</f>
        <v>18742.662399999997</v>
      </c>
      <c r="R20" s="413">
        <f ca="1">IF(IFERROR(VLOOKUP(C20,APU!H:N,6,0),0),VLOOKUP(C20,APU!H:N,6,0),0)</f>
        <v>3363.18525</v>
      </c>
      <c r="S20" s="413">
        <f ca="1">IF(IFERROR(VLOOKUP(C20,APU!H:N,7,0),0),VLOOKUP(C20,APU!H:N,7,0),0)</f>
        <v>4800</v>
      </c>
      <c r="T20" s="179"/>
      <c r="U20" s="413">
        <f t="shared" ca="1" si="2"/>
        <v>163888.07149200002</v>
      </c>
      <c r="V20" s="413">
        <f t="shared" ca="1" si="3"/>
        <v>163888.07149200002</v>
      </c>
      <c r="W20" s="413">
        <f t="shared" ca="1" si="4"/>
        <v>269.05847649999998</v>
      </c>
      <c r="X20" s="413">
        <f t="shared" ca="1" si="5"/>
        <v>40972.017873000004</v>
      </c>
      <c r="Y20" s="413">
        <f t="shared" ca="1" si="6"/>
        <v>88499.558605679995</v>
      </c>
      <c r="Z20" s="413">
        <f ca="1">(P20+Q20+U20+V20+W20+X20+R20+S20)*$Z$14</f>
        <v>72528.543389505008</v>
      </c>
      <c r="AA20" s="413">
        <f t="shared" ca="1" si="7"/>
        <v>2578646.2149786847</v>
      </c>
      <c r="AB20" s="413">
        <f ca="1">V20*$AB$14</f>
        <v>31138.733583480003</v>
      </c>
      <c r="AC20" s="413">
        <f ca="1">AA20*K20</f>
        <v>0</v>
      </c>
      <c r="AD20" s="413">
        <f ca="1">AB20*K20</f>
        <v>0</v>
      </c>
    </row>
    <row r="21" spans="2:30" s="168" customFormat="1" ht="30.75" customHeight="1">
      <c r="B21" s="329"/>
      <c r="C21" s="361">
        <v>1.5</v>
      </c>
      <c r="D21" s="488" t="s">
        <v>4617</v>
      </c>
      <c r="E21" s="489" t="s">
        <v>4617</v>
      </c>
      <c r="F21" s="489" t="s">
        <v>4617</v>
      </c>
      <c r="G21" s="489" t="s">
        <v>4617</v>
      </c>
      <c r="H21" s="489" t="s">
        <v>4617</v>
      </c>
      <c r="I21" s="490" t="s">
        <v>4617</v>
      </c>
      <c r="J21" s="361" t="s">
        <v>4128</v>
      </c>
      <c r="K21" s="362">
        <v>1</v>
      </c>
      <c r="L21" s="333">
        <f t="shared" ca="1" si="1"/>
        <v>3635579.8504987257</v>
      </c>
      <c r="M21" s="334">
        <f t="shared" ca="1" si="0"/>
        <v>3635579.8504987257</v>
      </c>
      <c r="N21" s="335"/>
      <c r="O21" s="181"/>
      <c r="P21" s="413">
        <f ca="1">IF(IFERROR(VLOOKUP(C21,APU!H:N,4,0),0),VLOOKUP(C21,APU!H:N,4,0),0)</f>
        <v>2857015.5460000001</v>
      </c>
      <c r="Q21" s="413">
        <f ca="1">IF(IFERROR(VLOOKUP(C21,APU!H:N,5,0),0),VLOOKUP(C21,APU!H:N,5,0),0)</f>
        <v>22484</v>
      </c>
      <c r="R21" s="413">
        <f ca="1">IF(IFERROR(VLOOKUP(C21,APU!H:N,6,0),0),VLOOKUP(C21,APU!H:N,6,0),0)</f>
        <v>4034.53125</v>
      </c>
      <c r="S21" s="413">
        <f ca="1">IF(IFERROR(VLOOKUP(C21,APU!H:N,7,0),0),VLOOKUP(C21,APU!H:N,7,0),0)</f>
        <v>4800</v>
      </c>
      <c r="T21" s="179"/>
      <c r="U21" s="413">
        <f t="shared" ca="1" si="2"/>
        <v>231066.72618</v>
      </c>
      <c r="V21" s="413">
        <f t="shared" ca="1" si="3"/>
        <v>231066.72618</v>
      </c>
      <c r="W21" s="413">
        <f t="shared" ca="1" si="4"/>
        <v>313.18531250000001</v>
      </c>
      <c r="X21" s="413">
        <f t="shared" ca="1" si="5"/>
        <v>57766.681544999999</v>
      </c>
      <c r="Y21" s="413">
        <f t="shared" ca="1" si="6"/>
        <v>124776.03213720002</v>
      </c>
      <c r="Z21" s="413">
        <f ca="1">(P21+Q21+U21+V21+W21+X21+R21+S21)*$Z$14</f>
        <v>102256.42189402503</v>
      </c>
      <c r="AA21" s="413">
        <f t="shared" ca="1" si="7"/>
        <v>3635579.8504987257</v>
      </c>
      <c r="AB21" s="413">
        <f ca="1">V21*$AB$14</f>
        <v>43902.6779742</v>
      </c>
      <c r="AC21" s="413">
        <f ca="1">AA21*K21</f>
        <v>3635579.8504987257</v>
      </c>
      <c r="AD21" s="413">
        <f ca="1">AB21*K21</f>
        <v>43902.6779742</v>
      </c>
    </row>
    <row r="22" spans="2:30" s="168" customFormat="1" ht="30.75" customHeight="1">
      <c r="B22" s="329"/>
      <c r="C22" s="361">
        <v>1.6</v>
      </c>
      <c r="D22" s="488" t="s">
        <v>4618</v>
      </c>
      <c r="E22" s="489" t="s">
        <v>4618</v>
      </c>
      <c r="F22" s="489" t="s">
        <v>4618</v>
      </c>
      <c r="G22" s="489" t="s">
        <v>4618</v>
      </c>
      <c r="H22" s="489" t="s">
        <v>4618</v>
      </c>
      <c r="I22" s="490" t="s">
        <v>4618</v>
      </c>
      <c r="J22" s="361" t="s">
        <v>4128</v>
      </c>
      <c r="K22" s="362">
        <v>1</v>
      </c>
      <c r="L22" s="333">
        <f t="shared" ca="1" si="1"/>
        <v>4241038.8199987253</v>
      </c>
      <c r="M22" s="334">
        <f t="shared" ca="1" si="0"/>
        <v>4241038.8199987253</v>
      </c>
      <c r="N22" s="335"/>
      <c r="O22" s="181"/>
      <c r="P22" s="413">
        <f ca="1">IF(IFERROR(VLOOKUP(C22,APU!H:N,4,0),0),VLOOKUP(C22,APU!H:N,4,0),0)</f>
        <v>3338073.0460000006</v>
      </c>
      <c r="Q22" s="413">
        <f ca="1">IF(IFERROR(VLOOKUP(C22,APU!H:N,5,0),0),VLOOKUP(C22,APU!H:N,5,0),0)</f>
        <v>22484</v>
      </c>
      <c r="R22" s="413">
        <f ca="1">IF(IFERROR(VLOOKUP(C22,APU!H:N,6,0),0),VLOOKUP(C22,APU!H:N,6,0),0)</f>
        <v>4034.53125</v>
      </c>
      <c r="S22" s="413">
        <f ca="1">IF(IFERROR(VLOOKUP(C22,APU!H:N,7,0),0),VLOOKUP(C22,APU!H:N,7,0),0)</f>
        <v>4800</v>
      </c>
      <c r="T22" s="179"/>
      <c r="U22" s="413">
        <f t="shared" ca="1" si="2"/>
        <v>269551.32618000003</v>
      </c>
      <c r="V22" s="413">
        <f t="shared" ca="1" si="3"/>
        <v>269551.32618000003</v>
      </c>
      <c r="W22" s="413">
        <f t="shared" ca="1" si="4"/>
        <v>313.18531250000001</v>
      </c>
      <c r="X22" s="413">
        <f t="shared" ca="1" si="5"/>
        <v>67387.831545000008</v>
      </c>
      <c r="Y22" s="413">
        <f t="shared" ca="1" si="6"/>
        <v>145557.71613720001</v>
      </c>
      <c r="Z22" s="413">
        <f ca="1">(P22+Q22+U22+V22+W22+X22+R22+S22)*$Z$14</f>
        <v>119285.85739402501</v>
      </c>
      <c r="AA22" s="413">
        <f t="shared" ca="1" si="7"/>
        <v>4241038.8199987253</v>
      </c>
      <c r="AB22" s="413">
        <f ca="1">V22*$AB$14</f>
        <v>51214.751974200008</v>
      </c>
      <c r="AC22" s="413">
        <f ca="1">AA22*K22</f>
        <v>4241038.8199987253</v>
      </c>
      <c r="AD22" s="413">
        <f ca="1">AB22*K22</f>
        <v>51214.751974200008</v>
      </c>
    </row>
    <row r="23" spans="2:30" s="168" customFormat="1" ht="30.75" customHeight="1">
      <c r="B23" s="329"/>
      <c r="C23" s="361">
        <v>1.7</v>
      </c>
      <c r="D23" s="488" t="s">
        <v>4619</v>
      </c>
      <c r="E23" s="489" t="s">
        <v>4619</v>
      </c>
      <c r="F23" s="489" t="s">
        <v>4619</v>
      </c>
      <c r="G23" s="489" t="s">
        <v>4619</v>
      </c>
      <c r="H23" s="489" t="s">
        <v>4619</v>
      </c>
      <c r="I23" s="490" t="s">
        <v>4619</v>
      </c>
      <c r="J23" s="361" t="s">
        <v>4128</v>
      </c>
      <c r="K23" s="362">
        <v>1</v>
      </c>
      <c r="L23" s="333">
        <f t="shared" ca="1" si="1"/>
        <v>6905058.2857987247</v>
      </c>
      <c r="M23" s="334">
        <f t="shared" ref="M23:M86" ca="1" si="8">L23*K23</f>
        <v>6905058.2857987247</v>
      </c>
      <c r="N23" s="335"/>
      <c r="O23" s="181"/>
      <c r="P23" s="413">
        <f ca="1">IF(IFERROR(VLOOKUP(C23,APU!H:N,4,0),0),VLOOKUP(C23,APU!H:N,4,0),0)</f>
        <v>5454726.0460000001</v>
      </c>
      <c r="Q23" s="413">
        <f ca="1">IF(IFERROR(VLOOKUP(C23,APU!H:N,5,0),0),VLOOKUP(C23,APU!H:N,5,0),0)</f>
        <v>22484</v>
      </c>
      <c r="R23" s="413">
        <f ca="1">IF(IFERROR(VLOOKUP(C23,APU!H:N,6,0),0),VLOOKUP(C23,APU!H:N,6,0),0)</f>
        <v>4034.53125</v>
      </c>
      <c r="S23" s="413">
        <f ca="1">IF(IFERROR(VLOOKUP(C23,APU!H:N,7,0),0),VLOOKUP(C23,APU!H:N,7,0),0)</f>
        <v>4800</v>
      </c>
      <c r="T23" s="179"/>
      <c r="U23" s="413">
        <f t="shared" ca="1" si="2"/>
        <v>438883.56618000002</v>
      </c>
      <c r="V23" s="413">
        <f t="shared" ca="1" si="3"/>
        <v>438883.56618000002</v>
      </c>
      <c r="W23" s="413">
        <f t="shared" ca="1" si="4"/>
        <v>313.18531250000001</v>
      </c>
      <c r="X23" s="413">
        <f t="shared" ca="1" si="5"/>
        <v>109720.89154500001</v>
      </c>
      <c r="Y23" s="413">
        <f t="shared" ca="1" si="6"/>
        <v>236997.12573720003</v>
      </c>
      <c r="Z23" s="413">
        <f ca="1">(P23+Q23+U23+V23+W23+X23+R23+S23)*$Z$14</f>
        <v>194215.373594025</v>
      </c>
      <c r="AA23" s="413">
        <f t="shared" ca="1" si="7"/>
        <v>6905058.2857987247</v>
      </c>
      <c r="AB23" s="413">
        <f ca="1">V23*$AB$14</f>
        <v>83387.8775742</v>
      </c>
      <c r="AC23" s="413">
        <f ca="1">AA23*K23</f>
        <v>6905058.2857987247</v>
      </c>
      <c r="AD23" s="413">
        <f ca="1">AB23*K23</f>
        <v>83387.8775742</v>
      </c>
    </row>
    <row r="24" spans="2:30" s="168" customFormat="1" ht="30.75" customHeight="1">
      <c r="B24" s="329"/>
      <c r="C24" s="361">
        <v>1.8</v>
      </c>
      <c r="D24" s="488" t="s">
        <v>4620</v>
      </c>
      <c r="E24" s="489"/>
      <c r="F24" s="489"/>
      <c r="G24" s="489"/>
      <c r="H24" s="489"/>
      <c r="I24" s="490"/>
      <c r="J24" s="361" t="s">
        <v>4128</v>
      </c>
      <c r="K24" s="362">
        <v>1</v>
      </c>
      <c r="L24" s="333">
        <f t="shared" ca="1" si="1"/>
        <v>4155797.4374501542</v>
      </c>
      <c r="M24" s="334">
        <f t="shared" ca="1" si="8"/>
        <v>4155797.4374501542</v>
      </c>
      <c r="N24" s="335"/>
      <c r="O24" s="181"/>
      <c r="P24" s="413">
        <f ca="1">IF(IFERROR(VLOOKUP(C24,APU!H:N,4,0),0),VLOOKUP(C24,APU!H:N,4,0),0)</f>
        <v>3256956.7388400002</v>
      </c>
      <c r="Q24" s="413">
        <f ca="1">IF(IFERROR(VLOOKUP(C24,APU!H:N,5,0),0),VLOOKUP(C24,APU!H:N,5,0),0)</f>
        <v>33743.987199999996</v>
      </c>
      <c r="R24" s="413">
        <f ca="1">IF(IFERROR(VLOOKUP(C24,APU!H:N,6,0),0),VLOOKUP(C24,APU!H:N,6,0),0)</f>
        <v>6055.0244999999995</v>
      </c>
      <c r="S24" s="413">
        <f ca="1">IF(IFERROR(VLOOKUP(C24,APU!H:N,7,0),0),VLOOKUP(C24,APU!H:N,7,0),0)</f>
        <v>4800</v>
      </c>
      <c r="T24" s="179"/>
      <c r="U24" s="413">
        <f t="shared" ca="1" si="2"/>
        <v>264124.4600432</v>
      </c>
      <c r="V24" s="413">
        <f t="shared" ca="1" si="3"/>
        <v>264124.4600432</v>
      </c>
      <c r="W24" s="413">
        <f t="shared" ca="1" si="4"/>
        <v>445.99011699999994</v>
      </c>
      <c r="X24" s="413">
        <f t="shared" ca="1" si="5"/>
        <v>66031.1150108</v>
      </c>
      <c r="Y24" s="413">
        <f t="shared" ca="1" si="6"/>
        <v>142627.208423328</v>
      </c>
      <c r="Z24" s="413">
        <f ca="1">(P24+Q24+U24+V24+W24+X24+R24+S24)*$Z$14</f>
        <v>116888.45327262598</v>
      </c>
      <c r="AA24" s="413">
        <f t="shared" ca="1" si="7"/>
        <v>4155797.4374501542</v>
      </c>
      <c r="AB24" s="413">
        <f ca="1">V24*$AB$14</f>
        <v>50183.647408208002</v>
      </c>
      <c r="AC24" s="413">
        <f ca="1">AA24*K24</f>
        <v>4155797.4374501542</v>
      </c>
      <c r="AD24" s="413">
        <f ca="1">AB24*K24</f>
        <v>50183.647408208002</v>
      </c>
    </row>
    <row r="25" spans="2:30" s="168" customFormat="1" ht="30.75" hidden="1" customHeight="1">
      <c r="B25" s="329"/>
      <c r="C25" s="361">
        <v>1.9</v>
      </c>
      <c r="D25" s="488" t="s">
        <v>4621</v>
      </c>
      <c r="E25" s="489"/>
      <c r="F25" s="489"/>
      <c r="G25" s="489"/>
      <c r="H25" s="489"/>
      <c r="I25" s="490"/>
      <c r="J25" s="361" t="s">
        <v>4128</v>
      </c>
      <c r="K25" s="362"/>
      <c r="L25" s="333">
        <f t="shared" ca="1" si="1"/>
        <v>4317253.162650154</v>
      </c>
      <c r="M25" s="334">
        <f t="shared" ca="1" si="8"/>
        <v>0</v>
      </c>
      <c r="N25" s="335"/>
      <c r="O25" s="181"/>
      <c r="P25" s="413">
        <f ca="1">IF(IFERROR(VLOOKUP(C25,APU!H:N,4,0),0),VLOOKUP(C25,APU!H:N,4,0),0)</f>
        <v>3385238.7388400002</v>
      </c>
      <c r="Q25" s="413">
        <f ca="1">IF(IFERROR(VLOOKUP(C25,APU!H:N,5,0),0),VLOOKUP(C25,APU!H:N,5,0),0)</f>
        <v>33743.987199999996</v>
      </c>
      <c r="R25" s="413">
        <f ca="1">IF(IFERROR(VLOOKUP(C25,APU!H:N,6,0),0),VLOOKUP(C25,APU!H:N,6,0),0)</f>
        <v>6055.0244999999995</v>
      </c>
      <c r="S25" s="413">
        <f ca="1">IF(IFERROR(VLOOKUP(C25,APU!H:N,7,0),0),VLOOKUP(C25,APU!H:N,7,0),0)</f>
        <v>4800</v>
      </c>
      <c r="T25" s="179"/>
      <c r="U25" s="413">
        <f t="shared" ca="1" si="2"/>
        <v>274387.0200432</v>
      </c>
      <c r="V25" s="413">
        <f t="shared" ca="1" si="3"/>
        <v>274387.0200432</v>
      </c>
      <c r="W25" s="413">
        <f t="shared" ca="1" si="4"/>
        <v>445.99011699999994</v>
      </c>
      <c r="X25" s="413">
        <f t="shared" ca="1" si="5"/>
        <v>68596.7550108</v>
      </c>
      <c r="Y25" s="413">
        <f t="shared" ca="1" si="6"/>
        <v>148168.990823328</v>
      </c>
      <c r="Z25" s="413">
        <f ca="1">(P25+Q25+U25+V25+W25+X25+R25+S25)*$Z$14</f>
        <v>121429.63607262599</v>
      </c>
      <c r="AA25" s="413">
        <f t="shared" ca="1" si="7"/>
        <v>4317253.162650154</v>
      </c>
      <c r="AB25" s="413">
        <f ca="1">V25*$AB$14</f>
        <v>52133.533808207998</v>
      </c>
      <c r="AC25" s="413">
        <f ca="1">AA25*K25</f>
        <v>0</v>
      </c>
      <c r="AD25" s="413">
        <f ca="1">AB25*K25</f>
        <v>0</v>
      </c>
    </row>
    <row r="26" spans="2:30" s="168" customFormat="1" ht="30.75" hidden="1" customHeight="1">
      <c r="B26" s="329"/>
      <c r="C26" s="361">
        <v>1.1100000000000001</v>
      </c>
      <c r="D26" s="488" t="s">
        <v>4630</v>
      </c>
      <c r="E26" s="489" t="s">
        <v>4630</v>
      </c>
      <c r="F26" s="489" t="s">
        <v>4630</v>
      </c>
      <c r="G26" s="489" t="s">
        <v>4630</v>
      </c>
      <c r="H26" s="489" t="s">
        <v>4630</v>
      </c>
      <c r="I26" s="490" t="s">
        <v>4630</v>
      </c>
      <c r="J26" s="361" t="s">
        <v>4128</v>
      </c>
      <c r="K26" s="362"/>
      <c r="L26" s="333">
        <f t="shared" ca="1" si="1"/>
        <v>297920.60537159996</v>
      </c>
      <c r="M26" s="334">
        <f t="shared" ca="1" si="8"/>
        <v>0</v>
      </c>
      <c r="N26" s="335"/>
      <c r="O26" s="181"/>
      <c r="P26" s="413">
        <f ca="1">IF(IFERROR(VLOOKUP(C26,APU!H:N,4,0),0),VLOOKUP(C26,APU!H:N,4,0),0)</f>
        <v>210982.90639999998</v>
      </c>
      <c r="Q26" s="413">
        <f ca="1">IF(IFERROR(VLOOKUP(C26,APU!H:N,5,0),0),VLOOKUP(C26,APU!H:N,5,0),0)</f>
        <v>18742.662399999997</v>
      </c>
      <c r="R26" s="413">
        <f ca="1">IF(IFERROR(VLOOKUP(C26,APU!H:N,6,0),0),VLOOKUP(C26,APU!H:N,6,0),0)</f>
        <v>1973.548</v>
      </c>
      <c r="S26" s="413">
        <f ca="1">IF(IFERROR(VLOOKUP(C26,APU!H:N,7,0),0),VLOOKUP(C26,APU!H:N,7,0),0)</f>
        <v>4800</v>
      </c>
      <c r="T26" s="179"/>
      <c r="U26" s="413">
        <f t="shared" ca="1" si="2"/>
        <v>18919.929344</v>
      </c>
      <c r="V26" s="413">
        <f t="shared" ca="1" si="3"/>
        <v>18919.929344</v>
      </c>
      <c r="W26" s="413">
        <f t="shared" ca="1" si="4"/>
        <v>255.16210399999997</v>
      </c>
      <c r="X26" s="413">
        <f t="shared" ca="1" si="5"/>
        <v>4729.982336</v>
      </c>
      <c r="Y26" s="413">
        <f t="shared" ca="1" si="6"/>
        <v>10216.76184576</v>
      </c>
      <c r="Z26" s="413">
        <f ca="1">(P26+Q26+U26+V26+W26+X26+R26+S26)*$Z$14</f>
        <v>8379.7235978399985</v>
      </c>
      <c r="AA26" s="413">
        <f t="shared" ca="1" si="7"/>
        <v>297920.60537159996</v>
      </c>
      <c r="AB26" s="413">
        <f ca="1">V26*$AB$14</f>
        <v>3594.7865753599999</v>
      </c>
      <c r="AC26" s="413">
        <f ca="1">AA26*K26</f>
        <v>0</v>
      </c>
      <c r="AD26" s="413">
        <f ca="1">AB26*K26</f>
        <v>0</v>
      </c>
    </row>
    <row r="27" spans="2:30" s="168" customFormat="1" ht="30.75" hidden="1" customHeight="1">
      <c r="B27" s="329"/>
      <c r="C27" s="361">
        <v>1.1200000000000001</v>
      </c>
      <c r="D27" s="488" t="s">
        <v>4631</v>
      </c>
      <c r="E27" s="489" t="s">
        <v>4631</v>
      </c>
      <c r="F27" s="489" t="s">
        <v>4631</v>
      </c>
      <c r="G27" s="489" t="s">
        <v>4631</v>
      </c>
      <c r="H27" s="489" t="s">
        <v>4631</v>
      </c>
      <c r="I27" s="490" t="s">
        <v>4631</v>
      </c>
      <c r="J27" s="361" t="s">
        <v>4128</v>
      </c>
      <c r="K27" s="362"/>
      <c r="L27" s="333">
        <f t="shared" ca="1" si="1"/>
        <v>37814.900670760006</v>
      </c>
      <c r="M27" s="334">
        <f t="shared" ca="1" si="8"/>
        <v>0</v>
      </c>
      <c r="N27" s="335"/>
      <c r="O27" s="181"/>
      <c r="P27" s="413">
        <f ca="1">IF(IFERROR(VLOOKUP(C27,APU!H:N,4,0),0),VLOOKUP(C27,APU!H:N,4,0),0)</f>
        <v>21036.796200000004</v>
      </c>
      <c r="Q27" s="413">
        <f ca="1">IF(IFERROR(VLOOKUP(C27,APU!H:N,5,0),0),VLOOKUP(C27,APU!H:N,5,0),0)</f>
        <v>3741.3375999999998</v>
      </c>
      <c r="R27" s="413">
        <f ca="1">IF(IFERROR(VLOOKUP(C27,APU!H:N,6,0),0),VLOOKUP(C27,APU!H:N,6,0),0)</f>
        <v>393.952</v>
      </c>
      <c r="S27" s="413">
        <f ca="1">IF(IFERROR(VLOOKUP(C27,APU!H:N,7,0),0),VLOOKUP(C27,APU!H:N,7,0),0)</f>
        <v>4800</v>
      </c>
      <c r="T27" s="179"/>
      <c r="U27" s="413">
        <f t="shared" ca="1" si="2"/>
        <v>2397.7668640000006</v>
      </c>
      <c r="V27" s="413">
        <f t="shared" ca="1" si="3"/>
        <v>2397.7668640000006</v>
      </c>
      <c r="W27" s="413">
        <f t="shared" ca="1" si="4"/>
        <v>89.352896000000001</v>
      </c>
      <c r="X27" s="413">
        <f t="shared" ca="1" si="5"/>
        <v>599.44171600000016</v>
      </c>
      <c r="Y27" s="413">
        <f t="shared" ca="1" si="6"/>
        <v>1294.7941065600003</v>
      </c>
      <c r="Z27" s="413">
        <f ca="1">(P27+Q27+U27+V27+W27+X27+R27+S27)*$Z$14</f>
        <v>1063.6924242000002</v>
      </c>
      <c r="AA27" s="413">
        <f t="shared" ca="1" si="7"/>
        <v>37814.900670760006</v>
      </c>
      <c r="AB27" s="413">
        <f ca="1">V27*$AB$14</f>
        <v>455.5757041600001</v>
      </c>
      <c r="AC27" s="413">
        <f ca="1">AA27*K27</f>
        <v>0</v>
      </c>
      <c r="AD27" s="413">
        <f ca="1">AB27*K27</f>
        <v>0</v>
      </c>
    </row>
    <row r="28" spans="2:30" s="168" customFormat="1" ht="30.75" hidden="1" customHeight="1">
      <c r="B28" s="329"/>
      <c r="C28" s="361">
        <v>1.1299999999999999</v>
      </c>
      <c r="D28" s="488" t="s">
        <v>4632</v>
      </c>
      <c r="E28" s="489" t="s">
        <v>4632</v>
      </c>
      <c r="F28" s="489" t="s">
        <v>4632</v>
      </c>
      <c r="G28" s="489" t="s">
        <v>4632</v>
      </c>
      <c r="H28" s="489" t="s">
        <v>4632</v>
      </c>
      <c r="I28" s="490" t="s">
        <v>4632</v>
      </c>
      <c r="J28" s="361" t="s">
        <v>4128</v>
      </c>
      <c r="K28" s="362"/>
      <c r="L28" s="333">
        <f t="shared" ca="1" si="1"/>
        <v>175060.60641583501</v>
      </c>
      <c r="M28" s="334">
        <f t="shared" ca="1" si="8"/>
        <v>0</v>
      </c>
      <c r="N28" s="335"/>
      <c r="O28" s="181"/>
      <c r="P28" s="413">
        <f ca="1">IF(IFERROR(VLOOKUP(C28,APU!H:N,4,0),0),VLOOKUP(C28,APU!H:N,4,0),0)</f>
        <v>112959.56</v>
      </c>
      <c r="Q28" s="413">
        <f ca="1">IF(IFERROR(VLOOKUP(C28,APU!H:N,5,0),0),VLOOKUP(C28,APU!H:N,5,0),0)</f>
        <v>18742.662399999997</v>
      </c>
      <c r="R28" s="413">
        <f ca="1">IF(IFERROR(VLOOKUP(C28,APU!H:N,6,0),0),VLOOKUP(C28,APU!H:N,6,0),0)</f>
        <v>2377.1927500000002</v>
      </c>
      <c r="S28" s="413">
        <f ca="1">IF(IFERROR(VLOOKUP(C28,APU!H:N,7,0),0),VLOOKUP(C28,APU!H:N,7,0),0)</f>
        <v>4800</v>
      </c>
      <c r="T28" s="179"/>
      <c r="U28" s="413">
        <f t="shared" ca="1" si="2"/>
        <v>11110.353212</v>
      </c>
      <c r="V28" s="413">
        <f t="shared" ca="1" si="3"/>
        <v>11110.353212</v>
      </c>
      <c r="W28" s="413">
        <f t="shared" ca="1" si="4"/>
        <v>259.19855149999995</v>
      </c>
      <c r="X28" s="413">
        <f t="shared" ca="1" si="5"/>
        <v>2777.588303</v>
      </c>
      <c r="Y28" s="413">
        <f t="shared" ca="1" si="6"/>
        <v>5999.5907344799989</v>
      </c>
      <c r="Z28" s="413">
        <f ca="1">(P28+Q28+U28+V28+W28+X28+R28+S28)*$Z$14</f>
        <v>4924.1072528549985</v>
      </c>
      <c r="AA28" s="413">
        <f t="shared" ca="1" si="7"/>
        <v>175060.60641583501</v>
      </c>
      <c r="AB28" s="413">
        <f ca="1">V28*$AB$14</f>
        <v>2110.9671102799998</v>
      </c>
      <c r="AC28" s="413">
        <f ca="1">AA28*K28</f>
        <v>0</v>
      </c>
      <c r="AD28" s="413">
        <f ca="1">AB28*K28</f>
        <v>0</v>
      </c>
    </row>
    <row r="29" spans="2:30" s="168" customFormat="1" ht="30.75" hidden="1" customHeight="1">
      <c r="B29" s="329"/>
      <c r="C29" s="361">
        <v>1.1399999999999999</v>
      </c>
      <c r="D29" s="488" t="s">
        <v>4633</v>
      </c>
      <c r="E29" s="489" t="s">
        <v>4633</v>
      </c>
      <c r="F29" s="489" t="s">
        <v>4633</v>
      </c>
      <c r="G29" s="489" t="s">
        <v>4633</v>
      </c>
      <c r="H29" s="489" t="s">
        <v>4633</v>
      </c>
      <c r="I29" s="490" t="s">
        <v>4633</v>
      </c>
      <c r="J29" s="361" t="s">
        <v>4128</v>
      </c>
      <c r="K29" s="362"/>
      <c r="L29" s="333">
        <f t="shared" ca="1" si="1"/>
        <v>835913.78589908511</v>
      </c>
      <c r="M29" s="334">
        <f t="shared" ca="1" si="8"/>
        <v>0</v>
      </c>
      <c r="N29" s="335"/>
      <c r="O29" s="181"/>
      <c r="P29" s="413">
        <f ca="1">IF(IFERROR(VLOOKUP(C29,APU!H:N,4,0),0),VLOOKUP(C29,APU!H:N,4,0),0)</f>
        <v>637035.56000000006</v>
      </c>
      <c r="Q29" s="413">
        <f ca="1">IF(IFERROR(VLOOKUP(C29,APU!H:N,5,0),0),VLOOKUP(C29,APU!H:N,5,0),0)</f>
        <v>18742.662399999997</v>
      </c>
      <c r="R29" s="413">
        <f ca="1">IF(IFERROR(VLOOKUP(C29,APU!H:N,6,0),0),VLOOKUP(C29,APU!H:N,6,0),0)</f>
        <v>3363.18525</v>
      </c>
      <c r="S29" s="413">
        <f ca="1">IF(IFERROR(VLOOKUP(C29,APU!H:N,7,0),0),VLOOKUP(C29,APU!H:N,7,0),0)</f>
        <v>4800</v>
      </c>
      <c r="T29" s="179"/>
      <c r="U29" s="413">
        <f t="shared" ca="1" si="2"/>
        <v>53115.312612000009</v>
      </c>
      <c r="V29" s="413">
        <f t="shared" ca="1" si="3"/>
        <v>53115.312612000009</v>
      </c>
      <c r="W29" s="413">
        <f t="shared" ca="1" si="4"/>
        <v>269.05847649999998</v>
      </c>
      <c r="X29" s="413">
        <f t="shared" ca="1" si="5"/>
        <v>13278.828153000002</v>
      </c>
      <c r="Y29" s="413">
        <f t="shared" ca="1" si="6"/>
        <v>28682.268810480004</v>
      </c>
      <c r="Z29" s="413">
        <f ca="1">(P29+Q29+U29+V29+W29+X29+R29+S29)*$Z$14</f>
        <v>23511.597585105003</v>
      </c>
      <c r="AA29" s="413">
        <f t="shared" ca="1" si="7"/>
        <v>835913.78589908511</v>
      </c>
      <c r="AB29" s="413">
        <f ca="1">V29*$AB$14</f>
        <v>10091.909396280002</v>
      </c>
      <c r="AC29" s="413">
        <f ca="1">AA29*K29</f>
        <v>0</v>
      </c>
      <c r="AD29" s="413">
        <f ca="1">AB29*K29</f>
        <v>0</v>
      </c>
    </row>
    <row r="30" spans="2:30" s="168" customFormat="1" ht="30.75" hidden="1" customHeight="1">
      <c r="B30" s="329"/>
      <c r="C30" s="361">
        <v>1.1499999999999999</v>
      </c>
      <c r="D30" s="488" t="s">
        <v>4634</v>
      </c>
      <c r="E30" s="489"/>
      <c r="F30" s="489"/>
      <c r="G30" s="489"/>
      <c r="H30" s="489"/>
      <c r="I30" s="490"/>
      <c r="J30" s="361" t="s">
        <v>4128</v>
      </c>
      <c r="K30" s="362"/>
      <c r="L30" s="333">
        <f t="shared" ca="1" si="1"/>
        <v>201024.34329908501</v>
      </c>
      <c r="M30" s="334">
        <f t="shared" ca="1" si="8"/>
        <v>0</v>
      </c>
      <c r="N30" s="335"/>
      <c r="O30" s="181"/>
      <c r="P30" s="413">
        <f ca="1">IF(IFERROR(VLOOKUP(C30,APU!H:N,4,0),0),VLOOKUP(C30,APU!H:N,4,0),0)</f>
        <v>132594.56</v>
      </c>
      <c r="Q30" s="413">
        <f ca="1">IF(IFERROR(VLOOKUP(C30,APU!H:N,5,0),0),VLOOKUP(C30,APU!H:N,5,0),0)</f>
        <v>18742.662399999997</v>
      </c>
      <c r="R30" s="413">
        <f ca="1">IF(IFERROR(VLOOKUP(C30,APU!H:N,6,0),0),VLOOKUP(C30,APU!H:N,6,0),0)</f>
        <v>3363.18525</v>
      </c>
      <c r="S30" s="413">
        <f ca="1">IF(IFERROR(VLOOKUP(C30,APU!H:N,7,0),0),VLOOKUP(C30,APU!H:N,7,0),0)</f>
        <v>4800</v>
      </c>
      <c r="T30" s="179"/>
      <c r="U30" s="413">
        <f t="shared" ca="1" si="2"/>
        <v>12760.032612000001</v>
      </c>
      <c r="V30" s="413">
        <f t="shared" ca="1" si="3"/>
        <v>12760.032612000001</v>
      </c>
      <c r="W30" s="413">
        <f t="shared" ca="1" si="4"/>
        <v>269.05847649999998</v>
      </c>
      <c r="X30" s="413">
        <f t="shared" ca="1" si="5"/>
        <v>3190.0081530000002</v>
      </c>
      <c r="Y30" s="413">
        <f t="shared" ca="1" si="6"/>
        <v>6890.4176104800008</v>
      </c>
      <c r="Z30" s="413">
        <f ca="1">(P30+Q30+U30+V30+W30+X30+R30+S30)*$Z$14</f>
        <v>5654.3861851050005</v>
      </c>
      <c r="AA30" s="413">
        <f t="shared" ca="1" si="7"/>
        <v>201024.34329908501</v>
      </c>
      <c r="AB30" s="413">
        <f ca="1">V30*$AB$14</f>
        <v>2424.4061962800001</v>
      </c>
      <c r="AC30" s="413">
        <f ca="1">AA30*K30</f>
        <v>0</v>
      </c>
      <c r="AD30" s="413">
        <f ca="1">AB30*K30</f>
        <v>0</v>
      </c>
    </row>
    <row r="31" spans="2:30" s="168" customFormat="1" ht="30.75" hidden="1" customHeight="1">
      <c r="B31" s="329"/>
      <c r="C31" s="361">
        <v>1.1599999999999999</v>
      </c>
      <c r="D31" s="488" t="s">
        <v>4635</v>
      </c>
      <c r="E31" s="489"/>
      <c r="F31" s="489"/>
      <c r="G31" s="489"/>
      <c r="H31" s="489"/>
      <c r="I31" s="490"/>
      <c r="J31" s="361" t="s">
        <v>4128</v>
      </c>
      <c r="K31" s="362"/>
      <c r="L31" s="333">
        <f t="shared" ca="1" si="1"/>
        <v>175060.60641583501</v>
      </c>
      <c r="M31" s="334">
        <f t="shared" ca="1" si="8"/>
        <v>0</v>
      </c>
      <c r="N31" s="335"/>
      <c r="O31" s="181"/>
      <c r="P31" s="413">
        <f ca="1">IF(IFERROR(VLOOKUP(C31,APU!H:N,4,0),0),VLOOKUP(C31,APU!H:N,4,0),0)</f>
        <v>112959.56</v>
      </c>
      <c r="Q31" s="413">
        <f ca="1">IF(IFERROR(VLOOKUP(C31,APU!H:N,5,0),0),VLOOKUP(C31,APU!H:N,5,0),0)</f>
        <v>18742.662399999997</v>
      </c>
      <c r="R31" s="413">
        <f ca="1">IF(IFERROR(VLOOKUP(C31,APU!H:N,6,0),0),VLOOKUP(C31,APU!H:N,6,0),0)</f>
        <v>2377.1927500000002</v>
      </c>
      <c r="S31" s="413">
        <f ca="1">IF(IFERROR(VLOOKUP(C31,APU!H:N,7,0),0),VLOOKUP(C31,APU!H:N,7,0),0)</f>
        <v>4800</v>
      </c>
      <c r="T31" s="179"/>
      <c r="U31" s="413">
        <f t="shared" ca="1" si="2"/>
        <v>11110.353212</v>
      </c>
      <c r="V31" s="413">
        <f t="shared" ca="1" si="3"/>
        <v>11110.353212</v>
      </c>
      <c r="W31" s="413">
        <f t="shared" ca="1" si="4"/>
        <v>259.19855149999995</v>
      </c>
      <c r="X31" s="413">
        <f t="shared" ca="1" si="5"/>
        <v>2777.588303</v>
      </c>
      <c r="Y31" s="413">
        <f t="shared" ca="1" si="6"/>
        <v>5999.5907344799989</v>
      </c>
      <c r="Z31" s="413">
        <f ca="1">(P31+Q31+U31+V31+W31+X31+R31+S31)*$Z$14</f>
        <v>4924.1072528549985</v>
      </c>
      <c r="AA31" s="413">
        <f t="shared" ca="1" si="7"/>
        <v>175060.60641583501</v>
      </c>
      <c r="AB31" s="413">
        <f ca="1">V31*$AB$14</f>
        <v>2110.9671102799998</v>
      </c>
      <c r="AC31" s="413">
        <f ca="1">AA31*K31</f>
        <v>0</v>
      </c>
      <c r="AD31" s="413">
        <f ca="1">AB31*K31</f>
        <v>0</v>
      </c>
    </row>
    <row r="32" spans="2:30" s="168" customFormat="1" ht="30.75" hidden="1" customHeight="1">
      <c r="B32" s="329"/>
      <c r="C32" s="361">
        <v>1.17</v>
      </c>
      <c r="D32" s="488" t="s">
        <v>4669</v>
      </c>
      <c r="E32" s="489" t="s">
        <v>4669</v>
      </c>
      <c r="F32" s="489" t="s">
        <v>4669</v>
      </c>
      <c r="G32" s="489" t="s">
        <v>4669</v>
      </c>
      <c r="H32" s="489" t="s">
        <v>4669</v>
      </c>
      <c r="I32" s="490" t="s">
        <v>4669</v>
      </c>
      <c r="J32" s="361" t="s">
        <v>4128</v>
      </c>
      <c r="K32" s="362"/>
      <c r="L32" s="333">
        <f t="shared" ca="1" si="1"/>
        <v>673833.12657799013</v>
      </c>
      <c r="M32" s="334">
        <f t="shared" ca="1" si="8"/>
        <v>0</v>
      </c>
      <c r="N32" s="335"/>
      <c r="O32" s="181"/>
      <c r="P32" s="413">
        <f ca="1">IF(IFERROR(VLOOKUP(C32,APU!H:N,4,0),0),VLOOKUP(C32,APU!H:N,4,0),0)</f>
        <v>503808.23317564372</v>
      </c>
      <c r="Q32" s="413">
        <f ca="1">IF(IFERROR(VLOOKUP(C32,APU!H:N,5,0),0),VLOOKUP(C32,APU!H:N,5,0),0)</f>
        <v>22484</v>
      </c>
      <c r="R32" s="413">
        <f ca="1">IF(IFERROR(VLOOKUP(C32,APU!H:N,6,0),0),VLOOKUP(C32,APU!H:N,6,0),0)</f>
        <v>4034.53125</v>
      </c>
      <c r="S32" s="413">
        <f ca="1">IF(IFERROR(VLOOKUP(C32,APU!H:N,7,0),0),VLOOKUP(C32,APU!H:N,7,0),0)</f>
        <v>4800</v>
      </c>
      <c r="T32" s="179"/>
      <c r="U32" s="413">
        <f t="shared" ca="1" si="2"/>
        <v>42810.141154051496</v>
      </c>
      <c r="V32" s="413">
        <f t="shared" ca="1" si="3"/>
        <v>42810.141154051496</v>
      </c>
      <c r="W32" s="413">
        <f t="shared" ca="1" si="4"/>
        <v>313.18531250000001</v>
      </c>
      <c r="X32" s="413">
        <f t="shared" ca="1" si="5"/>
        <v>10702.535288512874</v>
      </c>
      <c r="Y32" s="413">
        <f t="shared" ca="1" si="6"/>
        <v>23117.476223187809</v>
      </c>
      <c r="Z32" s="413">
        <f ca="1">(P32+Q32+U32+V32+W32+X32+R32+S32)*$Z$14</f>
        <v>18952.883020042787</v>
      </c>
      <c r="AA32" s="413">
        <f t="shared" ca="1" si="7"/>
        <v>673833.12657799013</v>
      </c>
      <c r="AB32" s="413">
        <f ca="1">V32*$AB$14</f>
        <v>8133.9268192697846</v>
      </c>
      <c r="AC32" s="413">
        <f ca="1">AA32*K32</f>
        <v>0</v>
      </c>
      <c r="AD32" s="413">
        <f ca="1">AB32*K32</f>
        <v>0</v>
      </c>
    </row>
    <row r="33" spans="2:30" s="168" customFormat="1" ht="30.75" hidden="1" customHeight="1">
      <c r="B33" s="329"/>
      <c r="C33" s="361">
        <v>1.18</v>
      </c>
      <c r="D33" s="488" t="s">
        <v>4670</v>
      </c>
      <c r="E33" s="489" t="s">
        <v>4670</v>
      </c>
      <c r="F33" s="489" t="s">
        <v>4670</v>
      </c>
      <c r="G33" s="489" t="s">
        <v>4670</v>
      </c>
      <c r="H33" s="489" t="s">
        <v>4670</v>
      </c>
      <c r="I33" s="490" t="s">
        <v>4670</v>
      </c>
      <c r="J33" s="361" t="s">
        <v>4128</v>
      </c>
      <c r="K33" s="362"/>
      <c r="L33" s="333">
        <f t="shared" ca="1" si="1"/>
        <v>785600.9550816284</v>
      </c>
      <c r="M33" s="334">
        <f t="shared" ca="1" si="8"/>
        <v>0</v>
      </c>
      <c r="N33" s="335"/>
      <c r="O33" s="181"/>
      <c r="P33" s="413">
        <f ca="1">IF(IFERROR(VLOOKUP(C33,APU!H:N,4,0),0),VLOOKUP(C33,APU!H:N,4,0),0)</f>
        <v>592611.52930121042</v>
      </c>
      <c r="Q33" s="413">
        <f ca="1">IF(IFERROR(VLOOKUP(C33,APU!H:N,5,0),0),VLOOKUP(C33,APU!H:N,5,0),0)</f>
        <v>22484</v>
      </c>
      <c r="R33" s="413">
        <f ca="1">IF(IFERROR(VLOOKUP(C33,APU!H:N,6,0),0),VLOOKUP(C33,APU!H:N,6,0),0)</f>
        <v>4034.53125</v>
      </c>
      <c r="S33" s="413">
        <f ca="1">IF(IFERROR(VLOOKUP(C33,APU!H:N,7,0),0),VLOOKUP(C33,APU!H:N,7,0),0)</f>
        <v>4800</v>
      </c>
      <c r="T33" s="179"/>
      <c r="U33" s="413">
        <f t="shared" ca="1" si="2"/>
        <v>49914.404844096833</v>
      </c>
      <c r="V33" s="413">
        <f t="shared" ca="1" si="3"/>
        <v>49914.404844096833</v>
      </c>
      <c r="W33" s="413">
        <f t="shared" ca="1" si="4"/>
        <v>313.18531250000001</v>
      </c>
      <c r="X33" s="413">
        <f t="shared" ca="1" si="5"/>
        <v>12478.601211024208</v>
      </c>
      <c r="Y33" s="413">
        <f t="shared" ca="1" si="6"/>
        <v>26953.778615812291</v>
      </c>
      <c r="Z33" s="413">
        <f ca="1">(P33+Q33+U33+V33+W33+X33+R33+S33)*$Z$14</f>
        <v>22096.51970288785</v>
      </c>
      <c r="AA33" s="413">
        <f t="shared" ca="1" si="7"/>
        <v>785600.9550816284</v>
      </c>
      <c r="AB33" s="413">
        <f ca="1">V33*$AB$14</f>
        <v>9483.7369203783983</v>
      </c>
      <c r="AC33" s="413">
        <f ca="1">AA33*K33</f>
        <v>0</v>
      </c>
      <c r="AD33" s="413">
        <f ca="1">AB33*K33</f>
        <v>0</v>
      </c>
    </row>
    <row r="34" spans="2:30" s="168" customFormat="1" ht="30.75" hidden="1" customHeight="1">
      <c r="B34" s="329"/>
      <c r="C34" s="361">
        <v>1.19</v>
      </c>
      <c r="D34" s="488" t="s">
        <v>4671</v>
      </c>
      <c r="E34" s="489" t="s">
        <v>4671</v>
      </c>
      <c r="F34" s="489" t="s">
        <v>4671</v>
      </c>
      <c r="G34" s="489" t="s">
        <v>4671</v>
      </c>
      <c r="H34" s="489" t="s">
        <v>4671</v>
      </c>
      <c r="I34" s="490" t="s">
        <v>4671</v>
      </c>
      <c r="J34" s="361" t="s">
        <v>4128</v>
      </c>
      <c r="K34" s="362"/>
      <c r="L34" s="333">
        <f t="shared" ca="1" si="1"/>
        <v>1424274.2608167045</v>
      </c>
      <c r="M34" s="334">
        <f t="shared" ca="1" si="8"/>
        <v>0</v>
      </c>
      <c r="N34" s="335"/>
      <c r="O34" s="181"/>
      <c r="P34" s="413">
        <f ca="1">IF(IFERROR(VLOOKUP(C34,APU!H:N,4,0),0),VLOOKUP(C34,APU!H:N,4,0),0)</f>
        <v>1100058.9357330203</v>
      </c>
      <c r="Q34" s="413">
        <f ca="1">IF(IFERROR(VLOOKUP(C34,APU!H:N,5,0),0),VLOOKUP(C34,APU!H:N,5,0),0)</f>
        <v>22484</v>
      </c>
      <c r="R34" s="413">
        <f ca="1">IF(IFERROR(VLOOKUP(C34,APU!H:N,6,0),0),VLOOKUP(C34,APU!H:N,6,0),0)</f>
        <v>4034.53125</v>
      </c>
      <c r="S34" s="413">
        <f ca="1">IF(IFERROR(VLOOKUP(C34,APU!H:N,7,0),0),VLOOKUP(C34,APU!H:N,7,0),0)</f>
        <v>4800</v>
      </c>
      <c r="T34" s="179"/>
      <c r="U34" s="413">
        <f t="shared" ca="1" si="2"/>
        <v>90510.197358641628</v>
      </c>
      <c r="V34" s="413">
        <f t="shared" ca="1" si="3"/>
        <v>90510.197358641628</v>
      </c>
      <c r="W34" s="413">
        <f t="shared" ca="1" si="4"/>
        <v>313.18531250000001</v>
      </c>
      <c r="X34" s="413">
        <f t="shared" ca="1" si="5"/>
        <v>22627.549339660407</v>
      </c>
      <c r="Y34" s="413">
        <f t="shared" ca="1" si="6"/>
        <v>48875.506573666476</v>
      </c>
      <c r="Z34" s="413">
        <f ca="1">(P34+Q34+U34+V34+W34+X34+R34+S34)*$Z$14</f>
        <v>40060.157890573915</v>
      </c>
      <c r="AA34" s="413">
        <f t="shared" ca="1" si="7"/>
        <v>1424274.2608167045</v>
      </c>
      <c r="AB34" s="413">
        <f ca="1">V34*$AB$14</f>
        <v>17196.93749814191</v>
      </c>
      <c r="AC34" s="413">
        <f ca="1">AA34*K34</f>
        <v>0</v>
      </c>
      <c r="AD34" s="413">
        <f ca="1">AB34*K34</f>
        <v>0</v>
      </c>
    </row>
    <row r="35" spans="2:30" s="168" customFormat="1" ht="30.75" hidden="1" customHeight="1">
      <c r="B35" s="329"/>
      <c r="C35" s="361" t="s">
        <v>4688</v>
      </c>
      <c r="D35" s="488" t="s">
        <v>4672</v>
      </c>
      <c r="E35" s="489" t="s">
        <v>4672</v>
      </c>
      <c r="F35" s="489" t="s">
        <v>4672</v>
      </c>
      <c r="G35" s="489" t="s">
        <v>4672</v>
      </c>
      <c r="H35" s="489" t="s">
        <v>4672</v>
      </c>
      <c r="I35" s="490" t="s">
        <v>4672</v>
      </c>
      <c r="J35" s="361" t="s">
        <v>4128</v>
      </c>
      <c r="K35" s="362"/>
      <c r="L35" s="333">
        <f t="shared" ca="1" si="1"/>
        <v>1385269.5696450265</v>
      </c>
      <c r="M35" s="334">
        <f t="shared" ca="1" si="8"/>
        <v>0</v>
      </c>
      <c r="N35" s="335"/>
      <c r="O35" s="181"/>
      <c r="P35" s="413">
        <f ca="1">IF(IFERROR(VLOOKUP(C35,APU!H:N,4,0),0),VLOOKUP(C35,APU!H:N,4,0),0)</f>
        <v>1069068.3976973635</v>
      </c>
      <c r="Q35" s="413">
        <f ca="1">IF(IFERROR(VLOOKUP(C35,APU!H:N,5,0),0),VLOOKUP(C35,APU!H:N,5,0),0)</f>
        <v>22484</v>
      </c>
      <c r="R35" s="413">
        <f ca="1">IF(IFERROR(VLOOKUP(C35,APU!H:N,6,0),0),VLOOKUP(C35,APU!H:N,6,0),0)</f>
        <v>4034.53125</v>
      </c>
      <c r="S35" s="413">
        <f ca="1">IF(IFERROR(VLOOKUP(C35,APU!H:N,7,0),0),VLOOKUP(C35,APU!H:N,7,0),0)</f>
        <v>4800</v>
      </c>
      <c r="T35" s="179"/>
      <c r="U35" s="413">
        <f t="shared" ca="1" si="2"/>
        <v>88030.954315789088</v>
      </c>
      <c r="V35" s="413">
        <f t="shared" ca="1" si="3"/>
        <v>88030.954315789088</v>
      </c>
      <c r="W35" s="413">
        <f t="shared" ca="1" si="4"/>
        <v>313.18531250000001</v>
      </c>
      <c r="X35" s="413">
        <f t="shared" ca="1" si="5"/>
        <v>22007.738578947272</v>
      </c>
      <c r="Y35" s="413">
        <f t="shared" ca="1" si="6"/>
        <v>47536.715330526102</v>
      </c>
      <c r="Z35" s="413">
        <f ca="1">(P35+Q35+U35+V35+W35+X35+R35+S35)*$Z$14</f>
        <v>38963.092844111663</v>
      </c>
      <c r="AA35" s="413">
        <f t="shared" ca="1" si="7"/>
        <v>1385269.5696450265</v>
      </c>
      <c r="AB35" s="413">
        <f ca="1">V35*$AB$14</f>
        <v>16725.881319999928</v>
      </c>
      <c r="AC35" s="413">
        <f ca="1">AA35*K35</f>
        <v>0</v>
      </c>
      <c r="AD35" s="413">
        <f ca="1">AB35*K35</f>
        <v>0</v>
      </c>
    </row>
    <row r="36" spans="2:30" s="168" customFormat="1" ht="30.75" hidden="1" customHeight="1">
      <c r="B36" s="329"/>
      <c r="C36" s="361">
        <v>1.21</v>
      </c>
      <c r="D36" s="488" t="s">
        <v>4673</v>
      </c>
      <c r="E36" s="489" t="s">
        <v>4673</v>
      </c>
      <c r="F36" s="489" t="s">
        <v>4673</v>
      </c>
      <c r="G36" s="489" t="s">
        <v>4673</v>
      </c>
      <c r="H36" s="489" t="s">
        <v>4673</v>
      </c>
      <c r="I36" s="490" t="s">
        <v>4673</v>
      </c>
      <c r="J36" s="361" t="s">
        <v>4128</v>
      </c>
      <c r="K36" s="362"/>
      <c r="L36" s="333">
        <f t="shared" ca="1" si="1"/>
        <v>2617224.7568861498</v>
      </c>
      <c r="M36" s="334">
        <f t="shared" ca="1" si="8"/>
        <v>0</v>
      </c>
      <c r="N36" s="335"/>
      <c r="O36" s="181"/>
      <c r="P36" s="413">
        <f ca="1">IF(IFERROR(VLOOKUP(C36,APU!H:N,4,0),0),VLOOKUP(C36,APU!H:N,4,0),0)</f>
        <v>2047898.198461008</v>
      </c>
      <c r="Q36" s="413">
        <f ca="1">IF(IFERROR(VLOOKUP(C36,APU!H:N,5,0),0),VLOOKUP(C36,APU!H:N,5,0),0)</f>
        <v>22484</v>
      </c>
      <c r="R36" s="413">
        <f ca="1">IF(IFERROR(VLOOKUP(C36,APU!H:N,6,0),0),VLOOKUP(C36,APU!H:N,6,0),0)</f>
        <v>4034.53125</v>
      </c>
      <c r="S36" s="413">
        <f ca="1">IF(IFERROR(VLOOKUP(C36,APU!H:N,7,0),0),VLOOKUP(C36,APU!H:N,7,0),0)</f>
        <v>4800</v>
      </c>
      <c r="T36" s="179"/>
      <c r="U36" s="413">
        <f t="shared" ca="1" si="2"/>
        <v>166337.33837688065</v>
      </c>
      <c r="V36" s="413">
        <f t="shared" ca="1" si="3"/>
        <v>166337.33837688065</v>
      </c>
      <c r="W36" s="413">
        <f t="shared" ca="1" si="4"/>
        <v>313.18531250000001</v>
      </c>
      <c r="X36" s="413">
        <f t="shared" ca="1" si="5"/>
        <v>41584.334594220163</v>
      </c>
      <c r="Y36" s="413">
        <f t="shared" ca="1" si="6"/>
        <v>89822.162723515561</v>
      </c>
      <c r="Z36" s="413">
        <f ca="1">(P36+Q36+U36+V36+W36+X36+R36+S36)*$Z$14</f>
        <v>73613.667791144704</v>
      </c>
      <c r="AA36" s="413">
        <f t="shared" ca="1" si="7"/>
        <v>2617224.7568861498</v>
      </c>
      <c r="AB36" s="413">
        <f ca="1">V36*$AB$14</f>
        <v>31604.094291607325</v>
      </c>
      <c r="AC36" s="413">
        <f ca="1">AA36*K36</f>
        <v>0</v>
      </c>
      <c r="AD36" s="413">
        <f ca="1">AB36*K36</f>
        <v>0</v>
      </c>
    </row>
    <row r="37" spans="2:30" s="168" customFormat="1" ht="30.75" hidden="1" customHeight="1">
      <c r="B37" s="329"/>
      <c r="C37" s="361">
        <v>1.22</v>
      </c>
      <c r="D37" s="488" t="s">
        <v>4674</v>
      </c>
      <c r="E37" s="489" t="s">
        <v>4674</v>
      </c>
      <c r="F37" s="489" t="s">
        <v>4674</v>
      </c>
      <c r="G37" s="489" t="s">
        <v>4674</v>
      </c>
      <c r="H37" s="489" t="s">
        <v>4674</v>
      </c>
      <c r="I37" s="490" t="s">
        <v>4674</v>
      </c>
      <c r="J37" s="361" t="s">
        <v>4128</v>
      </c>
      <c r="K37" s="362"/>
      <c r="L37" s="333">
        <f t="shared" ca="1" si="1"/>
        <v>994803.5710394833</v>
      </c>
      <c r="M37" s="334">
        <f t="shared" ca="1" si="8"/>
        <v>0</v>
      </c>
      <c r="N37" s="335"/>
      <c r="O37" s="181"/>
      <c r="P37" s="413">
        <f ca="1">IF(IFERROR(VLOOKUP(C37,APU!H:N,4,0),0),VLOOKUP(C37,APU!H:N,4,0),0)</f>
        <v>763278.8343845529</v>
      </c>
      <c r="Q37" s="413">
        <f ca="1">IF(IFERROR(VLOOKUP(C37,APU!H:N,5,0),0),VLOOKUP(C37,APU!H:N,5,0),0)</f>
        <v>18742.662399999997</v>
      </c>
      <c r="R37" s="413">
        <f ca="1">IF(IFERROR(VLOOKUP(C37,APU!H:N,6,0),0),VLOOKUP(C37,APU!H:N,6,0),0)</f>
        <v>3363.18525</v>
      </c>
      <c r="S37" s="413">
        <f ca="1">IF(IFERROR(VLOOKUP(C37,APU!H:N,7,0),0),VLOOKUP(C37,APU!H:N,7,0),0)</f>
        <v>4800</v>
      </c>
      <c r="T37" s="179"/>
      <c r="U37" s="413">
        <f t="shared" ca="1" si="2"/>
        <v>63214.774562764236</v>
      </c>
      <c r="V37" s="413">
        <f t="shared" ca="1" si="3"/>
        <v>63214.774562764236</v>
      </c>
      <c r="W37" s="413">
        <f t="shared" ca="1" si="4"/>
        <v>269.05847649999998</v>
      </c>
      <c r="X37" s="413">
        <f t="shared" ca="1" si="5"/>
        <v>15803.693640691059</v>
      </c>
      <c r="Y37" s="413">
        <f t="shared" ca="1" si="6"/>
        <v>34135.978263892684</v>
      </c>
      <c r="Z37" s="413">
        <f ca="1">(P37+Q37+U37+V37+W37+X37+R37+S37)*$Z$14</f>
        <v>27980.609498318172</v>
      </c>
      <c r="AA37" s="413">
        <f t="shared" ca="1" si="7"/>
        <v>994803.5710394833</v>
      </c>
      <c r="AB37" s="413">
        <f ca="1">V37*$AB$14</f>
        <v>12010.807166925206</v>
      </c>
      <c r="AC37" s="413">
        <f ca="1">AA37*K37</f>
        <v>0</v>
      </c>
      <c r="AD37" s="413">
        <f ca="1">AB37*K37</f>
        <v>0</v>
      </c>
    </row>
    <row r="38" spans="2:30" s="168" customFormat="1" ht="30.75" hidden="1" customHeight="1">
      <c r="B38" s="329"/>
      <c r="C38" s="361">
        <v>1.23</v>
      </c>
      <c r="D38" s="488" t="s">
        <v>4675</v>
      </c>
      <c r="E38" s="489" t="s">
        <v>4675</v>
      </c>
      <c r="F38" s="489" t="s">
        <v>4675</v>
      </c>
      <c r="G38" s="489" t="s">
        <v>4675</v>
      </c>
      <c r="H38" s="489" t="s">
        <v>4675</v>
      </c>
      <c r="I38" s="490" t="s">
        <v>4675</v>
      </c>
      <c r="J38" s="361" t="s">
        <v>4128</v>
      </c>
      <c r="K38" s="362"/>
      <c r="L38" s="333">
        <f t="shared" ca="1" si="1"/>
        <v>1039054.5072225562</v>
      </c>
      <c r="M38" s="334">
        <f t="shared" ca="1" si="8"/>
        <v>0</v>
      </c>
      <c r="N38" s="335"/>
      <c r="O38" s="181"/>
      <c r="P38" s="413">
        <f ca="1">IF(IFERROR(VLOOKUP(C38,APU!H:N,4,0),0),VLOOKUP(C38,APU!H:N,4,0),0)</f>
        <v>798437.69040161383</v>
      </c>
      <c r="Q38" s="413">
        <f ca="1">IF(IFERROR(VLOOKUP(C38,APU!H:N,5,0),0),VLOOKUP(C38,APU!H:N,5,0),0)</f>
        <v>18742.662399999997</v>
      </c>
      <c r="R38" s="413">
        <f ca="1">IF(IFERROR(VLOOKUP(C38,APU!H:N,6,0),0),VLOOKUP(C38,APU!H:N,6,0),0)</f>
        <v>3363.18525</v>
      </c>
      <c r="S38" s="413">
        <f ca="1">IF(IFERROR(VLOOKUP(C38,APU!H:N,7,0),0),VLOOKUP(C38,APU!H:N,7,0),0)</f>
        <v>4800</v>
      </c>
      <c r="T38" s="179"/>
      <c r="U38" s="413">
        <f t="shared" ca="1" si="2"/>
        <v>66027.483044129112</v>
      </c>
      <c r="V38" s="413">
        <f t="shared" ca="1" si="3"/>
        <v>66027.483044129112</v>
      </c>
      <c r="W38" s="413">
        <f t="shared" ca="1" si="4"/>
        <v>269.05847649999998</v>
      </c>
      <c r="X38" s="413">
        <f t="shared" ca="1" si="5"/>
        <v>16506.870761032278</v>
      </c>
      <c r="Y38" s="413">
        <f t="shared" ca="1" si="6"/>
        <v>35654.840843829719</v>
      </c>
      <c r="Z38" s="413">
        <f ca="1">(P38+Q38+U38+V38+W38+X38+R38+S38)*$Z$14</f>
        <v>29225.233001322129</v>
      </c>
      <c r="AA38" s="413">
        <f t="shared" ca="1" si="7"/>
        <v>1039054.5072225562</v>
      </c>
      <c r="AB38" s="413">
        <f ca="1">V38*$AB$14</f>
        <v>12545.221778384532</v>
      </c>
      <c r="AC38" s="413">
        <f ca="1">AA38*K38</f>
        <v>0</v>
      </c>
      <c r="AD38" s="413">
        <f ca="1">AB38*K38</f>
        <v>0</v>
      </c>
    </row>
    <row r="39" spans="2:30" s="168" customFormat="1" ht="30.75" hidden="1" customHeight="1">
      <c r="B39" s="329"/>
      <c r="C39" s="361">
        <v>1.24</v>
      </c>
      <c r="D39" s="488" t="s">
        <v>4676</v>
      </c>
      <c r="E39" s="489" t="s">
        <v>4676</v>
      </c>
      <c r="F39" s="489" t="s">
        <v>4676</v>
      </c>
      <c r="G39" s="489" t="s">
        <v>4676</v>
      </c>
      <c r="H39" s="489" t="s">
        <v>4676</v>
      </c>
      <c r="I39" s="490" t="s">
        <v>4676</v>
      </c>
      <c r="J39" s="361" t="s">
        <v>4128</v>
      </c>
      <c r="K39" s="362"/>
      <c r="L39" s="333">
        <f t="shared" ca="1" si="1"/>
        <v>1139417.4552666398</v>
      </c>
      <c r="M39" s="334">
        <f t="shared" ca="1" si="8"/>
        <v>0</v>
      </c>
      <c r="N39" s="335"/>
      <c r="O39" s="181"/>
      <c r="P39" s="413">
        <f ca="1">IF(IFERROR(VLOOKUP(C39,APU!H:N,4,0),0),VLOOKUP(C39,APU!H:N,4,0),0)</f>
        <v>878179.42569804122</v>
      </c>
      <c r="Q39" s="413">
        <f ca="1">IF(IFERROR(VLOOKUP(C39,APU!H:N,5,0),0),VLOOKUP(C39,APU!H:N,5,0),0)</f>
        <v>18742.662399999997</v>
      </c>
      <c r="R39" s="413">
        <f ca="1">IF(IFERROR(VLOOKUP(C39,APU!H:N,6,0),0),VLOOKUP(C39,APU!H:N,6,0),0)</f>
        <v>3363.18525</v>
      </c>
      <c r="S39" s="413">
        <f ca="1">IF(IFERROR(VLOOKUP(C39,APU!H:N,7,0),0),VLOOKUP(C39,APU!H:N,7,0),0)</f>
        <v>4800</v>
      </c>
      <c r="T39" s="179"/>
      <c r="U39" s="413">
        <f t="shared" ca="1" si="2"/>
        <v>72406.821867843304</v>
      </c>
      <c r="V39" s="413">
        <f t="shared" ca="1" si="3"/>
        <v>72406.821867843304</v>
      </c>
      <c r="W39" s="413">
        <f t="shared" ca="1" si="4"/>
        <v>269.05847649999998</v>
      </c>
      <c r="X39" s="413">
        <f t="shared" ca="1" si="5"/>
        <v>18101.705466960826</v>
      </c>
      <c r="Y39" s="413">
        <f t="shared" ca="1" si="6"/>
        <v>39099.683808635382</v>
      </c>
      <c r="Z39" s="413">
        <f ca="1">(P39+Q39+U39+V39+W39+X39+R39+S39)*$Z$14</f>
        <v>32048.090430815661</v>
      </c>
      <c r="AA39" s="413">
        <f t="shared" ca="1" si="7"/>
        <v>1139417.4552666398</v>
      </c>
      <c r="AB39" s="413">
        <f ca="1">V39*$AB$14</f>
        <v>13757.296154890228</v>
      </c>
      <c r="AC39" s="413">
        <f ca="1">AA39*K39</f>
        <v>0</v>
      </c>
      <c r="AD39" s="413">
        <f ca="1">AB39*K39</f>
        <v>0</v>
      </c>
    </row>
    <row r="40" spans="2:30" s="168" customFormat="1" ht="30.75" hidden="1" customHeight="1">
      <c r="B40" s="329"/>
      <c r="C40" s="361">
        <v>1.25</v>
      </c>
      <c r="D40" s="488" t="s">
        <v>4677</v>
      </c>
      <c r="E40" s="489" t="s">
        <v>4677</v>
      </c>
      <c r="F40" s="489" t="s">
        <v>4677</v>
      </c>
      <c r="G40" s="489" t="s">
        <v>4677</v>
      </c>
      <c r="H40" s="489" t="s">
        <v>4677</v>
      </c>
      <c r="I40" s="490" t="s">
        <v>4677</v>
      </c>
      <c r="J40" s="361" t="s">
        <v>4128</v>
      </c>
      <c r="K40" s="362"/>
      <c r="L40" s="333">
        <f t="shared" ca="1" si="1"/>
        <v>1235218.4511269012</v>
      </c>
      <c r="M40" s="334">
        <f t="shared" ca="1" si="8"/>
        <v>0</v>
      </c>
      <c r="N40" s="335"/>
      <c r="O40" s="181"/>
      <c r="P40" s="413">
        <f ca="1">IF(IFERROR(VLOOKUP(C40,APU!H:N,4,0),0),VLOOKUP(C40,APU!H:N,4,0),0)</f>
        <v>954296.53666281269</v>
      </c>
      <c r="Q40" s="413">
        <f ca="1">IF(IFERROR(VLOOKUP(C40,APU!H:N,5,0),0),VLOOKUP(C40,APU!H:N,5,0),0)</f>
        <v>18742.662399999997</v>
      </c>
      <c r="R40" s="413">
        <f ca="1">IF(IFERROR(VLOOKUP(C40,APU!H:N,6,0),0),VLOOKUP(C40,APU!H:N,6,0),0)</f>
        <v>3363.18525</v>
      </c>
      <c r="S40" s="413">
        <f ca="1">IF(IFERROR(VLOOKUP(C40,APU!H:N,7,0),0),VLOOKUP(C40,APU!H:N,7,0),0)</f>
        <v>4800</v>
      </c>
      <c r="T40" s="179"/>
      <c r="U40" s="413">
        <f t="shared" ca="1" si="2"/>
        <v>78496.190745025015</v>
      </c>
      <c r="V40" s="413">
        <f t="shared" ca="1" si="3"/>
        <v>78496.190745025015</v>
      </c>
      <c r="W40" s="413">
        <f t="shared" ca="1" si="4"/>
        <v>269.05847649999998</v>
      </c>
      <c r="X40" s="413">
        <f t="shared" ca="1" si="5"/>
        <v>19624.047686256254</v>
      </c>
      <c r="Y40" s="413">
        <f t="shared" ca="1" si="6"/>
        <v>42387.943002313514</v>
      </c>
      <c r="Z40" s="413">
        <f ca="1">(P40+Q40+U40+V40+W40+X40+R40+S40)*$Z$14</f>
        <v>34742.636158968569</v>
      </c>
      <c r="AA40" s="413">
        <f t="shared" ca="1" si="7"/>
        <v>1235218.4511269012</v>
      </c>
      <c r="AB40" s="413">
        <f ca="1">V40*$AB$14</f>
        <v>14914.276241554753</v>
      </c>
      <c r="AC40" s="413">
        <f ca="1">AA40*K40</f>
        <v>0</v>
      </c>
      <c r="AD40" s="413">
        <f ca="1">AB40*K40</f>
        <v>0</v>
      </c>
    </row>
    <row r="41" spans="2:30" s="168" customFormat="1" ht="30.75" hidden="1" customHeight="1">
      <c r="B41" s="329"/>
      <c r="C41" s="361">
        <v>1.26</v>
      </c>
      <c r="D41" s="488" t="s">
        <v>4678</v>
      </c>
      <c r="E41" s="489" t="s">
        <v>4678</v>
      </c>
      <c r="F41" s="489" t="s">
        <v>4678</v>
      </c>
      <c r="G41" s="489" t="s">
        <v>4678</v>
      </c>
      <c r="H41" s="489" t="s">
        <v>4678</v>
      </c>
      <c r="I41" s="490" t="s">
        <v>4678</v>
      </c>
      <c r="J41" s="361" t="s">
        <v>4128</v>
      </c>
      <c r="K41" s="362"/>
      <c r="L41" s="333">
        <f t="shared" ca="1" si="1"/>
        <v>1669974.472623944</v>
      </c>
      <c r="M41" s="334">
        <f t="shared" ca="1" si="8"/>
        <v>0</v>
      </c>
      <c r="N41" s="335"/>
      <c r="O41" s="181"/>
      <c r="P41" s="413">
        <f ca="1">IF(IFERROR(VLOOKUP(C41,APU!H:N,4,0),0),VLOOKUP(C41,APU!H:N,4,0),0)</f>
        <v>1281886.8478291864</v>
      </c>
      <c r="Q41" s="413">
        <f ca="1">IF(IFERROR(VLOOKUP(C41,APU!H:N,5,0),0),VLOOKUP(C41,APU!H:N,5,0),0)</f>
        <v>33743.987199999996</v>
      </c>
      <c r="R41" s="413">
        <f ca="1">IF(IFERROR(VLOOKUP(C41,APU!H:N,6,0),0),VLOOKUP(C41,APU!H:N,6,0),0)</f>
        <v>6055.0244999999995</v>
      </c>
      <c r="S41" s="413">
        <f ca="1">IF(IFERROR(VLOOKUP(C41,APU!H:N,7,0),0),VLOOKUP(C41,APU!H:N,7,0),0)</f>
        <v>4800</v>
      </c>
      <c r="T41" s="179"/>
      <c r="U41" s="413">
        <f t="shared" ca="1" si="2"/>
        <v>106118.86876233493</v>
      </c>
      <c r="V41" s="413">
        <f t="shared" ca="1" si="3"/>
        <v>106118.86876233493</v>
      </c>
      <c r="W41" s="413">
        <f t="shared" ca="1" si="4"/>
        <v>445.99011699999994</v>
      </c>
      <c r="X41" s="413">
        <f t="shared" ca="1" si="5"/>
        <v>26529.717190583731</v>
      </c>
      <c r="Y41" s="413">
        <f t="shared" ca="1" si="6"/>
        <v>57304.189131660853</v>
      </c>
      <c r="Z41" s="413">
        <f ca="1">(P41+Q41+U41+V41+W41+X41+R41+S41)*$Z$14</f>
        <v>46970.979130843196</v>
      </c>
      <c r="AA41" s="413">
        <f t="shared" ca="1" si="7"/>
        <v>1669974.472623944</v>
      </c>
      <c r="AB41" s="413">
        <f ca="1">V41*$AB$14</f>
        <v>20162.585064843635</v>
      </c>
      <c r="AC41" s="413">
        <f ca="1">AA41*K41</f>
        <v>0</v>
      </c>
      <c r="AD41" s="413">
        <f ca="1">AB41*K41</f>
        <v>0</v>
      </c>
    </row>
    <row r="42" spans="2:30" s="168" customFormat="1" ht="30.75" hidden="1" customHeight="1">
      <c r="B42" s="329"/>
      <c r="C42" s="361">
        <v>1.27</v>
      </c>
      <c r="D42" s="488" t="s">
        <v>4679</v>
      </c>
      <c r="E42" s="489" t="s">
        <v>4679</v>
      </c>
      <c r="F42" s="489" t="s">
        <v>4679</v>
      </c>
      <c r="G42" s="489" t="s">
        <v>4679</v>
      </c>
      <c r="H42" s="489" t="s">
        <v>4679</v>
      </c>
      <c r="I42" s="490" t="s">
        <v>4679</v>
      </c>
      <c r="J42" s="361" t="s">
        <v>4128</v>
      </c>
      <c r="K42" s="362"/>
      <c r="L42" s="333">
        <f t="shared" ca="1" si="1"/>
        <v>1763494.4923922941</v>
      </c>
      <c r="M42" s="334">
        <f t="shared" ca="1" si="8"/>
        <v>0</v>
      </c>
      <c r="N42" s="335"/>
      <c r="O42" s="181"/>
      <c r="P42" s="413">
        <f ca="1">IF(IFERROR(VLOOKUP(C42,APU!H:N,4,0),0),VLOOKUP(C42,APU!H:N,4,0),0)</f>
        <v>1356191.6466281298</v>
      </c>
      <c r="Q42" s="413">
        <f ca="1">IF(IFERROR(VLOOKUP(C42,APU!H:N,5,0),0),VLOOKUP(C42,APU!H:N,5,0),0)</f>
        <v>33743.987199999996</v>
      </c>
      <c r="R42" s="413">
        <f ca="1">IF(IFERROR(VLOOKUP(C42,APU!H:N,6,0),0),VLOOKUP(C42,APU!H:N,6,0),0)</f>
        <v>6055.0244999999995</v>
      </c>
      <c r="S42" s="413">
        <f ca="1">IF(IFERROR(VLOOKUP(C42,APU!H:N,7,0),0),VLOOKUP(C42,APU!H:N,7,0),0)</f>
        <v>4800</v>
      </c>
      <c r="T42" s="179"/>
      <c r="U42" s="413">
        <f t="shared" ca="1" si="2"/>
        <v>112063.2526662504</v>
      </c>
      <c r="V42" s="413">
        <f t="shared" ca="1" si="3"/>
        <v>112063.2526662504</v>
      </c>
      <c r="W42" s="413">
        <f t="shared" ca="1" si="4"/>
        <v>445.99011699999994</v>
      </c>
      <c r="X42" s="413">
        <f t="shared" ca="1" si="5"/>
        <v>28015.813166562599</v>
      </c>
      <c r="Y42" s="413">
        <f t="shared" ca="1" si="6"/>
        <v>60514.156439775208</v>
      </c>
      <c r="Z42" s="413">
        <f ca="1">(P42+Q42+U42+V42+W42+X42+R42+S42)*$Z$14</f>
        <v>49601.369008325797</v>
      </c>
      <c r="AA42" s="413">
        <f t="shared" ca="1" si="7"/>
        <v>1763494.4923922941</v>
      </c>
      <c r="AB42" s="413">
        <f ca="1">V42*$AB$14</f>
        <v>21292.018006587576</v>
      </c>
      <c r="AC42" s="413">
        <f ca="1">AA42*K42</f>
        <v>0</v>
      </c>
      <c r="AD42" s="413">
        <f ca="1">AB42*K42</f>
        <v>0</v>
      </c>
    </row>
    <row r="43" spans="2:30" s="168" customFormat="1" ht="30.75" hidden="1" customHeight="1">
      <c r="B43" s="329"/>
      <c r="C43" s="361">
        <v>1.28</v>
      </c>
      <c r="D43" s="488" t="s">
        <v>4680</v>
      </c>
      <c r="E43" s="489" t="s">
        <v>4680</v>
      </c>
      <c r="F43" s="489" t="s">
        <v>4680</v>
      </c>
      <c r="G43" s="489" t="s">
        <v>4680</v>
      </c>
      <c r="H43" s="489" t="s">
        <v>4680</v>
      </c>
      <c r="I43" s="490" t="s">
        <v>4680</v>
      </c>
      <c r="J43" s="361" t="s">
        <v>4128</v>
      </c>
      <c r="K43" s="362"/>
      <c r="L43" s="333">
        <f t="shared" ca="1" si="1"/>
        <v>1644883.7356129237</v>
      </c>
      <c r="M43" s="334">
        <f t="shared" ca="1" si="8"/>
        <v>0</v>
      </c>
      <c r="N43" s="335"/>
      <c r="O43" s="181"/>
      <c r="P43" s="413">
        <f ca="1">IF(IFERROR(VLOOKUP(C43,APU!H:N,4,0),0),VLOOKUP(C43,APU!H:N,4,0),0)</f>
        <v>1261951.41400508</v>
      </c>
      <c r="Q43" s="413">
        <f ca="1">IF(IFERROR(VLOOKUP(C43,APU!H:N,5,0),0),VLOOKUP(C43,APU!H:N,5,0),0)</f>
        <v>33743.987199999996</v>
      </c>
      <c r="R43" s="413">
        <f ca="1">IF(IFERROR(VLOOKUP(C43,APU!H:N,6,0),0),VLOOKUP(C43,APU!H:N,6,0),0)</f>
        <v>6055.0244999999995</v>
      </c>
      <c r="S43" s="413">
        <f ca="1">IF(IFERROR(VLOOKUP(C43,APU!H:N,7,0),0),VLOOKUP(C43,APU!H:N,7,0),0)</f>
        <v>4800</v>
      </c>
      <c r="T43" s="179"/>
      <c r="U43" s="413">
        <f t="shared" ca="1" si="2"/>
        <v>104524.03405640641</v>
      </c>
      <c r="V43" s="413">
        <f t="shared" ca="1" si="3"/>
        <v>104524.03405640641</v>
      </c>
      <c r="W43" s="413">
        <f t="shared" ca="1" si="4"/>
        <v>445.99011699999994</v>
      </c>
      <c r="X43" s="413">
        <f t="shared" ca="1" si="5"/>
        <v>26131.008514101602</v>
      </c>
      <c r="Y43" s="413">
        <f t="shared" ca="1" si="6"/>
        <v>56442.978390459466</v>
      </c>
      <c r="Z43" s="413">
        <f ca="1">(P43+Q43+U43+V43+W43+X43+R43+S43)*$Z$14</f>
        <v>46265.26477346984</v>
      </c>
      <c r="AA43" s="413">
        <f t="shared" ca="1" si="7"/>
        <v>1644883.7356129237</v>
      </c>
      <c r="AB43" s="413">
        <f ca="1">V43*$AB$14</f>
        <v>19859.566470717218</v>
      </c>
      <c r="AC43" s="413">
        <f ca="1">AA43*K43</f>
        <v>0</v>
      </c>
      <c r="AD43" s="413">
        <f ca="1">AB43*K43</f>
        <v>0</v>
      </c>
    </row>
    <row r="44" spans="2:30" s="168" customFormat="1" ht="30.75" hidden="1" customHeight="1">
      <c r="B44" s="329"/>
      <c r="C44" s="361">
        <v>1.29</v>
      </c>
      <c r="D44" s="488" t="s">
        <v>4681</v>
      </c>
      <c r="E44" s="489" t="s">
        <v>4681</v>
      </c>
      <c r="F44" s="489" t="s">
        <v>4681</v>
      </c>
      <c r="G44" s="489" t="s">
        <v>4681</v>
      </c>
      <c r="H44" s="489" t="s">
        <v>4681</v>
      </c>
      <c r="I44" s="490" t="s">
        <v>4681</v>
      </c>
      <c r="J44" s="361" t="s">
        <v>4128</v>
      </c>
      <c r="K44" s="362"/>
      <c r="L44" s="333">
        <f t="shared" ca="1" si="1"/>
        <v>749370.54354986118</v>
      </c>
      <c r="M44" s="334">
        <f t="shared" ca="1" si="8"/>
        <v>0</v>
      </c>
      <c r="N44" s="335"/>
      <c r="O44" s="181"/>
      <c r="P44" s="413">
        <f ca="1">IF(IFERROR(VLOOKUP(C44,APU!H:N,4,0),0),VLOOKUP(C44,APU!H:N,4,0),0)</f>
        <v>568274.04534147168</v>
      </c>
      <c r="Q44" s="413">
        <f ca="1">IF(IFERROR(VLOOKUP(C44,APU!H:N,5,0),0),VLOOKUP(C44,APU!H:N,5,0),0)</f>
        <v>18742.662399999997</v>
      </c>
      <c r="R44" s="413">
        <f ca="1">IF(IFERROR(VLOOKUP(C44,APU!H:N,6,0),0),VLOOKUP(C44,APU!H:N,6,0),0)</f>
        <v>3363.18525</v>
      </c>
      <c r="S44" s="413">
        <f ca="1">IF(IFERROR(VLOOKUP(C44,APU!H:N,7,0),0),VLOOKUP(C44,APU!H:N,7,0),0)</f>
        <v>4800</v>
      </c>
      <c r="T44" s="179"/>
      <c r="U44" s="413">
        <f t="shared" ca="1" si="2"/>
        <v>47614.391439317733</v>
      </c>
      <c r="V44" s="413">
        <f t="shared" ca="1" si="3"/>
        <v>47614.391439317733</v>
      </c>
      <c r="W44" s="413">
        <f t="shared" ca="1" si="4"/>
        <v>269.05847649999998</v>
      </c>
      <c r="X44" s="413">
        <f t="shared" ca="1" si="5"/>
        <v>11903.597859829433</v>
      </c>
      <c r="Y44" s="413">
        <f t="shared" ca="1" si="6"/>
        <v>25711.771377231576</v>
      </c>
      <c r="Z44" s="413">
        <f ca="1">(P44+Q44+U44+V44+W44+X44+R44+S44)*$Z$14</f>
        <v>21077.439966193095</v>
      </c>
      <c r="AA44" s="413">
        <f t="shared" ca="1" si="7"/>
        <v>749370.54354986118</v>
      </c>
      <c r="AB44" s="413">
        <f ca="1">V44*$AB$14</f>
        <v>9046.73437347037</v>
      </c>
      <c r="AC44" s="413">
        <f ca="1">AA44*K44</f>
        <v>0</v>
      </c>
      <c r="AD44" s="413">
        <f ca="1">AB44*K44</f>
        <v>0</v>
      </c>
    </row>
    <row r="45" spans="2:30" s="168" customFormat="1" ht="30.75" hidden="1" customHeight="1">
      <c r="B45" s="329"/>
      <c r="C45" s="361" t="s">
        <v>4689</v>
      </c>
      <c r="D45" s="488" t="s">
        <v>4682</v>
      </c>
      <c r="E45" s="489" t="s">
        <v>4682</v>
      </c>
      <c r="F45" s="489" t="s">
        <v>4682</v>
      </c>
      <c r="G45" s="489" t="s">
        <v>4682</v>
      </c>
      <c r="H45" s="489" t="s">
        <v>4682</v>
      </c>
      <c r="I45" s="490" t="s">
        <v>4682</v>
      </c>
      <c r="J45" s="361" t="s">
        <v>4128</v>
      </c>
      <c r="K45" s="362"/>
      <c r="L45" s="333">
        <f t="shared" ca="1" si="1"/>
        <v>888510.08515643119</v>
      </c>
      <c r="M45" s="334">
        <f t="shared" ca="1" si="8"/>
        <v>0</v>
      </c>
      <c r="N45" s="335"/>
      <c r="O45" s="181"/>
      <c r="P45" s="413">
        <f ca="1">IF(IFERROR(VLOOKUP(C45,APU!H:N,4,0),0),VLOOKUP(C45,APU!H:N,4,0),0)</f>
        <v>678825.08745697304</v>
      </c>
      <c r="Q45" s="413">
        <f ca="1">IF(IFERROR(VLOOKUP(C45,APU!H:N,5,0),0),VLOOKUP(C45,APU!H:N,5,0),0)</f>
        <v>18742.662399999997</v>
      </c>
      <c r="R45" s="413">
        <f ca="1">IF(IFERROR(VLOOKUP(C45,APU!H:N,6,0),0),VLOOKUP(C45,APU!H:N,6,0),0)</f>
        <v>3363.18525</v>
      </c>
      <c r="S45" s="413">
        <f ca="1">IF(IFERROR(VLOOKUP(C45,APU!H:N,7,0),0),VLOOKUP(C45,APU!H:N,7,0),0)</f>
        <v>4800</v>
      </c>
      <c r="T45" s="179"/>
      <c r="U45" s="413">
        <f t="shared" ca="1" si="2"/>
        <v>56458.474808557847</v>
      </c>
      <c r="V45" s="413">
        <f t="shared" ca="1" si="3"/>
        <v>56458.474808557847</v>
      </c>
      <c r="W45" s="413">
        <f t="shared" ca="1" si="4"/>
        <v>269.05847649999998</v>
      </c>
      <c r="X45" s="413">
        <f t="shared" ca="1" si="5"/>
        <v>14114.618702139462</v>
      </c>
      <c r="Y45" s="413">
        <f t="shared" ca="1" si="6"/>
        <v>30487.57639662124</v>
      </c>
      <c r="Z45" s="413">
        <f ca="1">(P45+Q45+U45+V45+W45+X45+R45+S45)*$Z$14</f>
        <v>24990.946857081846</v>
      </c>
      <c r="AA45" s="413">
        <f t="shared" ca="1" si="7"/>
        <v>888510.08515643119</v>
      </c>
      <c r="AB45" s="413">
        <f ca="1">V45*$AB$14</f>
        <v>10727.110213625991</v>
      </c>
      <c r="AC45" s="413">
        <f ca="1">AA45*K45</f>
        <v>0</v>
      </c>
      <c r="AD45" s="413">
        <f ca="1">AB45*K45</f>
        <v>0</v>
      </c>
    </row>
    <row r="46" spans="2:30" s="168" customFormat="1" ht="30.75" hidden="1" customHeight="1">
      <c r="B46" s="329"/>
      <c r="C46" s="361">
        <v>1.31</v>
      </c>
      <c r="D46" s="488" t="s">
        <v>4683</v>
      </c>
      <c r="E46" s="489" t="s">
        <v>4683</v>
      </c>
      <c r="F46" s="489" t="s">
        <v>4683</v>
      </c>
      <c r="G46" s="489" t="s">
        <v>4683</v>
      </c>
      <c r="H46" s="489" t="s">
        <v>4683</v>
      </c>
      <c r="I46" s="490" t="s">
        <v>4683</v>
      </c>
      <c r="J46" s="361" t="s">
        <v>4128</v>
      </c>
      <c r="K46" s="362"/>
      <c r="L46" s="333">
        <f t="shared" ca="1" si="1"/>
        <v>923180.92175347812</v>
      </c>
      <c r="M46" s="334">
        <f t="shared" ca="1" si="8"/>
        <v>0</v>
      </c>
      <c r="N46" s="335"/>
      <c r="O46" s="181"/>
      <c r="P46" s="413">
        <f ca="1">IF(IFERROR(VLOOKUP(C46,APU!H:N,4,0),0),VLOOKUP(C46,APU!H:N,4,0),0)</f>
        <v>706372.23237755697</v>
      </c>
      <c r="Q46" s="413">
        <f ca="1">IF(IFERROR(VLOOKUP(C46,APU!H:N,5,0),0),VLOOKUP(C46,APU!H:N,5,0),0)</f>
        <v>18742.662399999997</v>
      </c>
      <c r="R46" s="413">
        <f ca="1">IF(IFERROR(VLOOKUP(C46,APU!H:N,6,0),0),VLOOKUP(C46,APU!H:N,6,0),0)</f>
        <v>3363.18525</v>
      </c>
      <c r="S46" s="413">
        <f ca="1">IF(IFERROR(VLOOKUP(C46,APU!H:N,7,0),0),VLOOKUP(C46,APU!H:N,7,0),0)</f>
        <v>4800</v>
      </c>
      <c r="T46" s="179"/>
      <c r="U46" s="413">
        <f t="shared" ca="1" si="2"/>
        <v>58662.246402204561</v>
      </c>
      <c r="V46" s="413">
        <f t="shared" ca="1" si="3"/>
        <v>58662.246402204561</v>
      </c>
      <c r="W46" s="413">
        <f t="shared" ca="1" si="4"/>
        <v>269.05847649999998</v>
      </c>
      <c r="X46" s="413">
        <f t="shared" ca="1" si="5"/>
        <v>14665.56160055114</v>
      </c>
      <c r="Y46" s="413">
        <f t="shared" ca="1" si="6"/>
        <v>31677.613057190465</v>
      </c>
      <c r="Z46" s="413">
        <f ca="1">(P46+Q46+U46+V46+W46+X46+R46+S46)*$Z$14</f>
        <v>25966.115787270515</v>
      </c>
      <c r="AA46" s="413">
        <f t="shared" ca="1" si="7"/>
        <v>923180.92175347812</v>
      </c>
      <c r="AB46" s="413">
        <f ca="1">V46*$AB$14</f>
        <v>11145.826816418867</v>
      </c>
      <c r="AC46" s="413">
        <f ca="1">AA46*K46</f>
        <v>0</v>
      </c>
      <c r="AD46" s="413">
        <f ca="1">AB46*K46</f>
        <v>0</v>
      </c>
    </row>
    <row r="47" spans="2:30" s="168" customFormat="1" ht="30.75" hidden="1" customHeight="1">
      <c r="B47" s="329"/>
      <c r="C47" s="361">
        <v>1.32</v>
      </c>
      <c r="D47" s="488" t="s">
        <v>4684</v>
      </c>
      <c r="E47" s="489" t="s">
        <v>4684</v>
      </c>
      <c r="F47" s="489" t="s">
        <v>4684</v>
      </c>
      <c r="G47" s="489" t="s">
        <v>4684</v>
      </c>
      <c r="H47" s="489" t="s">
        <v>4684</v>
      </c>
      <c r="I47" s="490" t="s">
        <v>4684</v>
      </c>
      <c r="J47" s="361" t="s">
        <v>4128</v>
      </c>
      <c r="K47" s="362"/>
      <c r="L47" s="333">
        <f t="shared" ca="1" si="1"/>
        <v>1041335.4833144676</v>
      </c>
      <c r="M47" s="334">
        <f t="shared" ca="1" si="8"/>
        <v>0</v>
      </c>
      <c r="N47" s="335"/>
      <c r="O47" s="181"/>
      <c r="P47" s="413">
        <f ca="1">IF(IFERROR(VLOOKUP(C47,APU!H:N,4,0),0),VLOOKUP(C47,APU!H:N,4,0),0)</f>
        <v>800250.00256744202</v>
      </c>
      <c r="Q47" s="413">
        <f ca="1">IF(IFERROR(VLOOKUP(C47,APU!H:N,5,0),0),VLOOKUP(C47,APU!H:N,5,0),0)</f>
        <v>18742.662399999997</v>
      </c>
      <c r="R47" s="413">
        <f ca="1">IF(IFERROR(VLOOKUP(C47,APU!H:N,6,0),0),VLOOKUP(C47,APU!H:N,6,0),0)</f>
        <v>3363.18525</v>
      </c>
      <c r="S47" s="413">
        <f ca="1">IF(IFERROR(VLOOKUP(C47,APU!H:N,7,0),0),VLOOKUP(C47,APU!H:N,7,0),0)</f>
        <v>4800</v>
      </c>
      <c r="T47" s="179"/>
      <c r="U47" s="413">
        <f t="shared" ca="1" si="2"/>
        <v>66172.468017395367</v>
      </c>
      <c r="V47" s="413">
        <f t="shared" ca="1" si="3"/>
        <v>66172.468017395367</v>
      </c>
      <c r="W47" s="413">
        <f t="shared" ca="1" si="4"/>
        <v>269.05847649999998</v>
      </c>
      <c r="X47" s="413">
        <f t="shared" ca="1" si="5"/>
        <v>16543.117004348842</v>
      </c>
      <c r="Y47" s="413">
        <f t="shared" ca="1" si="6"/>
        <v>35733.132729393496</v>
      </c>
      <c r="Z47" s="413">
        <f ca="1">(P47+Q47+U47+V47+W47+X47+R47+S47)*$Z$14</f>
        <v>29289.388851992448</v>
      </c>
      <c r="AA47" s="413">
        <f t="shared" ca="1" si="7"/>
        <v>1041335.4833144676</v>
      </c>
      <c r="AB47" s="413">
        <f ca="1">V47*$AB$14</f>
        <v>12572.768923305121</v>
      </c>
      <c r="AC47" s="413">
        <f ca="1">AA47*K47</f>
        <v>0</v>
      </c>
      <c r="AD47" s="413">
        <f ca="1">AB47*K47</f>
        <v>0</v>
      </c>
    </row>
    <row r="48" spans="2:30" s="168" customFormat="1" ht="30.75" hidden="1" customHeight="1">
      <c r="B48" s="329"/>
      <c r="C48" s="361">
        <v>1.33</v>
      </c>
      <c r="D48" s="488" t="s">
        <v>4685</v>
      </c>
      <c r="E48" s="489" t="s">
        <v>4685</v>
      </c>
      <c r="F48" s="489" t="s">
        <v>4685</v>
      </c>
      <c r="G48" s="489" t="s">
        <v>4685</v>
      </c>
      <c r="H48" s="489" t="s">
        <v>4685</v>
      </c>
      <c r="I48" s="490" t="s">
        <v>4685</v>
      </c>
      <c r="J48" s="361" t="s">
        <v>4128</v>
      </c>
      <c r="K48" s="362"/>
      <c r="L48" s="333">
        <f t="shared" ca="1" si="1"/>
        <v>626654.02980505023</v>
      </c>
      <c r="M48" s="334">
        <f t="shared" ca="1" si="8"/>
        <v>0</v>
      </c>
      <c r="N48" s="335"/>
      <c r="O48" s="181"/>
      <c r="P48" s="413">
        <f ca="1">IF(IFERROR(VLOOKUP(C48,APU!H:N,4,0),0),VLOOKUP(C48,APU!H:N,4,0),0)</f>
        <v>470771.65081993106</v>
      </c>
      <c r="Q48" s="413">
        <f ca="1">IF(IFERROR(VLOOKUP(C48,APU!H:N,5,0),0),VLOOKUP(C48,APU!H:N,5,0),0)</f>
        <v>18742.662399999997</v>
      </c>
      <c r="R48" s="413">
        <f ca="1">IF(IFERROR(VLOOKUP(C48,APU!H:N,6,0),0),VLOOKUP(C48,APU!H:N,6,0),0)</f>
        <v>3363.18525</v>
      </c>
      <c r="S48" s="413">
        <f ca="1">IF(IFERROR(VLOOKUP(C48,APU!H:N,7,0),0),VLOOKUP(C48,APU!H:N,7,0),0)</f>
        <v>4800</v>
      </c>
      <c r="T48" s="179"/>
      <c r="U48" s="413">
        <f t="shared" ca="1" si="2"/>
        <v>39814.199877594481</v>
      </c>
      <c r="V48" s="413">
        <f t="shared" ca="1" si="3"/>
        <v>39814.199877594481</v>
      </c>
      <c r="W48" s="413">
        <f t="shared" ca="1" si="4"/>
        <v>269.05847649999998</v>
      </c>
      <c r="X48" s="413">
        <f t="shared" ca="1" si="5"/>
        <v>9953.5499693986203</v>
      </c>
      <c r="Y48" s="413">
        <f t="shared" ca="1" si="6"/>
        <v>21499.667933901022</v>
      </c>
      <c r="Z48" s="413">
        <f ca="1">(P48+Q48+U48+V48+W48+X48+R48+S48)*$Z$14</f>
        <v>17625.855200130558</v>
      </c>
      <c r="AA48" s="413">
        <f t="shared" ca="1" si="7"/>
        <v>626654.02980505023</v>
      </c>
      <c r="AB48" s="413">
        <f ca="1">V48*$AB$14</f>
        <v>7564.6979767429511</v>
      </c>
      <c r="AC48" s="413">
        <f ca="1">AA48*K48</f>
        <v>0</v>
      </c>
      <c r="AD48" s="413">
        <f ca="1">AB48*K48</f>
        <v>0</v>
      </c>
    </row>
    <row r="49" spans="2:30" s="168" customFormat="1" ht="30.75" hidden="1" customHeight="1">
      <c r="B49" s="329"/>
      <c r="C49" s="361">
        <v>1.34</v>
      </c>
      <c r="D49" s="488" t="s">
        <v>4686</v>
      </c>
      <c r="E49" s="489" t="s">
        <v>4686</v>
      </c>
      <c r="F49" s="489" t="s">
        <v>4686</v>
      </c>
      <c r="G49" s="489" t="s">
        <v>4686</v>
      </c>
      <c r="H49" s="489" t="s">
        <v>4686</v>
      </c>
      <c r="I49" s="490" t="s">
        <v>4686</v>
      </c>
      <c r="J49" s="361" t="s">
        <v>4128</v>
      </c>
      <c r="K49" s="362"/>
      <c r="L49" s="333">
        <f t="shared" ca="1" si="1"/>
        <v>674554.5277351808</v>
      </c>
      <c r="M49" s="334">
        <f t="shared" ca="1" si="8"/>
        <v>0</v>
      </c>
      <c r="N49" s="335"/>
      <c r="O49" s="181"/>
      <c r="P49" s="413">
        <f ca="1">IF(IFERROR(VLOOKUP(C49,APU!H:N,4,0),0),VLOOKUP(C49,APU!H:N,4,0),0)</f>
        <v>508830.20630231674</v>
      </c>
      <c r="Q49" s="413">
        <f ca="1">IF(IFERROR(VLOOKUP(C49,APU!H:N,5,0),0),VLOOKUP(C49,APU!H:N,5,0),0)</f>
        <v>18742.662399999997</v>
      </c>
      <c r="R49" s="413">
        <f ca="1">IF(IFERROR(VLOOKUP(C49,APU!H:N,6,0),0),VLOOKUP(C49,APU!H:N,6,0),0)</f>
        <v>3363.18525</v>
      </c>
      <c r="S49" s="413">
        <f ca="1">IF(IFERROR(VLOOKUP(C49,APU!H:N,7,0),0),VLOOKUP(C49,APU!H:N,7,0),0)</f>
        <v>4800</v>
      </c>
      <c r="T49" s="179"/>
      <c r="U49" s="413">
        <f t="shared" ca="1" si="2"/>
        <v>42858.884316185344</v>
      </c>
      <c r="V49" s="413">
        <f t="shared" ca="1" si="3"/>
        <v>42858.884316185344</v>
      </c>
      <c r="W49" s="413">
        <f t="shared" ca="1" si="4"/>
        <v>269.05847649999998</v>
      </c>
      <c r="X49" s="413">
        <f t="shared" ca="1" si="5"/>
        <v>10714.721079046336</v>
      </c>
      <c r="Y49" s="413">
        <f t="shared" ca="1" si="6"/>
        <v>23143.797530740085</v>
      </c>
      <c r="Z49" s="413">
        <f ca="1">(P49+Q49+U49+V49+W49+X49+R49+S49)*$Z$14</f>
        <v>18973.128064207016</v>
      </c>
      <c r="AA49" s="413">
        <f t="shared" ca="1" si="7"/>
        <v>674554.5277351808</v>
      </c>
      <c r="AB49" s="413">
        <f ca="1">V49*$AB$14</f>
        <v>8143.1880200752157</v>
      </c>
      <c r="AC49" s="413">
        <f ca="1">AA49*K49</f>
        <v>0</v>
      </c>
      <c r="AD49" s="413">
        <f ca="1">AB49*K49</f>
        <v>0</v>
      </c>
    </row>
    <row r="50" spans="2:30" s="168" customFormat="1" ht="30.75" hidden="1" customHeight="1">
      <c r="B50" s="329"/>
      <c r="C50" s="361">
        <v>1.35</v>
      </c>
      <c r="D50" s="488" t="s">
        <v>4687</v>
      </c>
      <c r="E50" s="489" t="s">
        <v>4687</v>
      </c>
      <c r="F50" s="489" t="s">
        <v>4687</v>
      </c>
      <c r="G50" s="489" t="s">
        <v>4687</v>
      </c>
      <c r="H50" s="489" t="s">
        <v>4687</v>
      </c>
      <c r="I50" s="490" t="s">
        <v>4687</v>
      </c>
      <c r="J50" s="361" t="s">
        <v>4128</v>
      </c>
      <c r="K50" s="362"/>
      <c r="L50" s="333">
        <f t="shared" ca="1" si="1"/>
        <v>703522.9241024506</v>
      </c>
      <c r="M50" s="334">
        <f t="shared" ca="1" si="8"/>
        <v>0</v>
      </c>
      <c r="N50" s="335"/>
      <c r="O50" s="181"/>
      <c r="P50" s="413">
        <f ca="1">IF(IFERROR(VLOOKUP(C50,APU!H:N,4,0),0),VLOOKUP(C50,APU!H:N,4,0),0)</f>
        <v>531846.57080833113</v>
      </c>
      <c r="Q50" s="413">
        <f ca="1">IF(IFERROR(VLOOKUP(C50,APU!H:N,5,0),0),VLOOKUP(C50,APU!H:N,5,0),0)</f>
        <v>18742.662399999997</v>
      </c>
      <c r="R50" s="413">
        <f ca="1">IF(IFERROR(VLOOKUP(C50,APU!H:N,6,0),0),VLOOKUP(C50,APU!H:N,6,0),0)</f>
        <v>3363.18525</v>
      </c>
      <c r="S50" s="413">
        <f ca="1">IF(IFERROR(VLOOKUP(C50,APU!H:N,7,0),0),VLOOKUP(C50,APU!H:N,7,0),0)</f>
        <v>4800</v>
      </c>
      <c r="T50" s="179"/>
      <c r="U50" s="413">
        <f t="shared" ca="1" si="2"/>
        <v>44700.193476666493</v>
      </c>
      <c r="V50" s="413">
        <f t="shared" ca="1" si="3"/>
        <v>44700.193476666493</v>
      </c>
      <c r="W50" s="413">
        <f t="shared" ca="1" si="4"/>
        <v>269.05847649999998</v>
      </c>
      <c r="X50" s="413">
        <f t="shared" ca="1" si="5"/>
        <v>11175.048369166623</v>
      </c>
      <c r="Y50" s="413">
        <f t="shared" ca="1" si="6"/>
        <v>24138.104477399906</v>
      </c>
      <c r="Z50" s="413">
        <f ca="1">(P50+Q50+U50+V50+W50+X50+R50+S50)*$Z$14</f>
        <v>19787.907367719919</v>
      </c>
      <c r="AA50" s="413">
        <f t="shared" ca="1" si="7"/>
        <v>703522.9241024506</v>
      </c>
      <c r="AB50" s="413">
        <f ca="1">V50*$AB$14</f>
        <v>8493.0367605666343</v>
      </c>
      <c r="AC50" s="413">
        <f ca="1">AA50*K50</f>
        <v>0</v>
      </c>
      <c r="AD50" s="413">
        <f ca="1">AB50*K50</f>
        <v>0</v>
      </c>
    </row>
    <row r="51" spans="2:30" s="168" customFormat="1" ht="30.75" hidden="1" customHeight="1">
      <c r="B51" s="329"/>
      <c r="C51" s="361">
        <v>1.36</v>
      </c>
      <c r="D51" s="488" t="s">
        <v>4713</v>
      </c>
      <c r="E51" s="489" t="s">
        <v>4713</v>
      </c>
      <c r="F51" s="489" t="s">
        <v>4713</v>
      </c>
      <c r="G51" s="489" t="s">
        <v>4713</v>
      </c>
      <c r="H51" s="489" t="s">
        <v>4713</v>
      </c>
      <c r="I51" s="490" t="s">
        <v>4713</v>
      </c>
      <c r="J51" s="361" t="s">
        <v>4128</v>
      </c>
      <c r="K51" s="362"/>
      <c r="L51" s="333">
        <f t="shared" ca="1" si="1"/>
        <v>290346.02947872493</v>
      </c>
      <c r="M51" s="334">
        <f t="shared" ca="1" si="8"/>
        <v>0</v>
      </c>
      <c r="N51" s="335"/>
      <c r="O51" s="181"/>
      <c r="P51" s="413">
        <f ca="1">IF(IFERROR(VLOOKUP(C51,APU!H:N,4,0),0),VLOOKUP(C51,APU!H:N,4,0),0)</f>
        <v>199114.84599999996</v>
      </c>
      <c r="Q51" s="413">
        <f ca="1">IF(IFERROR(VLOOKUP(C51,APU!H:N,5,0),0),VLOOKUP(C51,APU!H:N,5,0),0)</f>
        <v>22484</v>
      </c>
      <c r="R51" s="413">
        <f ca="1">IF(IFERROR(VLOOKUP(C51,APU!H:N,6,0),0),VLOOKUP(C51,APU!H:N,6,0),0)</f>
        <v>4034.53125</v>
      </c>
      <c r="S51" s="413">
        <f ca="1">IF(IFERROR(VLOOKUP(C51,APU!H:N,7,0),0),VLOOKUP(C51,APU!H:N,7,0),0)</f>
        <v>4800</v>
      </c>
      <c r="T51" s="179"/>
      <c r="U51" s="413">
        <f t="shared" ca="1" si="2"/>
        <v>18434.670179999997</v>
      </c>
      <c r="V51" s="413">
        <f t="shared" ca="1" si="3"/>
        <v>18434.670179999997</v>
      </c>
      <c r="W51" s="413">
        <f t="shared" ca="1" si="4"/>
        <v>313.18531250000001</v>
      </c>
      <c r="X51" s="413">
        <f t="shared" ca="1" si="5"/>
        <v>4608.6675449999993</v>
      </c>
      <c r="Y51" s="413">
        <f t="shared" ca="1" si="6"/>
        <v>9954.7218971999973</v>
      </c>
      <c r="Z51" s="413">
        <f ca="1">(P51+Q51+U51+V51+W51+X51+R51+S51)*$Z$14</f>
        <v>8166.737114024997</v>
      </c>
      <c r="AA51" s="413">
        <f t="shared" ca="1" si="7"/>
        <v>290346.02947872493</v>
      </c>
      <c r="AB51" s="413">
        <f ca="1">V51*$AB$14</f>
        <v>3502.5873341999995</v>
      </c>
      <c r="AC51" s="413">
        <f ca="1">AA51*K51</f>
        <v>0</v>
      </c>
      <c r="AD51" s="413">
        <f ca="1">AB51*K51</f>
        <v>0</v>
      </c>
    </row>
    <row r="52" spans="2:30" s="168" customFormat="1" ht="30.75" hidden="1" customHeight="1">
      <c r="B52" s="329"/>
      <c r="C52" s="361">
        <v>1.37</v>
      </c>
      <c r="D52" s="488" t="s">
        <v>4714</v>
      </c>
      <c r="E52" s="489" t="s">
        <v>4714</v>
      </c>
      <c r="F52" s="489" t="s">
        <v>4714</v>
      </c>
      <c r="G52" s="489" t="s">
        <v>4714</v>
      </c>
      <c r="H52" s="489" t="s">
        <v>4714</v>
      </c>
      <c r="I52" s="490" t="s">
        <v>4714</v>
      </c>
      <c r="J52" s="361" t="s">
        <v>4128</v>
      </c>
      <c r="K52" s="362"/>
      <c r="L52" s="333">
        <f t="shared" ca="1" si="1"/>
        <v>1222505.7163987251</v>
      </c>
      <c r="M52" s="334">
        <f t="shared" ca="1" si="8"/>
        <v>0</v>
      </c>
      <c r="N52" s="335"/>
      <c r="O52" s="181"/>
      <c r="P52" s="413">
        <f ca="1">IF(IFERROR(VLOOKUP(C52,APU!H:N,4,0),0),VLOOKUP(C52,APU!H:N,4,0),0)</f>
        <v>939747.04600000009</v>
      </c>
      <c r="Q52" s="413">
        <f ca="1">IF(IFERROR(VLOOKUP(C52,APU!H:N,5,0),0),VLOOKUP(C52,APU!H:N,5,0),0)</f>
        <v>22484</v>
      </c>
      <c r="R52" s="413">
        <f ca="1">IF(IFERROR(VLOOKUP(C52,APU!H:N,6,0),0),VLOOKUP(C52,APU!H:N,6,0),0)</f>
        <v>4034.53125</v>
      </c>
      <c r="S52" s="413">
        <f ca="1">IF(IFERROR(VLOOKUP(C52,APU!H:N,7,0),0),VLOOKUP(C52,APU!H:N,7,0),0)</f>
        <v>4800</v>
      </c>
      <c r="T52" s="179"/>
      <c r="U52" s="413">
        <f t="shared" ca="1" si="2"/>
        <v>77685.246180000002</v>
      </c>
      <c r="V52" s="413">
        <f t="shared" ca="1" si="3"/>
        <v>77685.246180000002</v>
      </c>
      <c r="W52" s="413">
        <f t="shared" ca="1" si="4"/>
        <v>313.18531250000001</v>
      </c>
      <c r="X52" s="413">
        <f t="shared" ca="1" si="5"/>
        <v>19421.311545</v>
      </c>
      <c r="Y52" s="413">
        <f t="shared" ca="1" si="6"/>
        <v>41950.032937200005</v>
      </c>
      <c r="Z52" s="413">
        <f ca="1">(P52+Q52+U52+V52+W52+X52+R52+S52)*$Z$14</f>
        <v>34385.116994025004</v>
      </c>
      <c r="AA52" s="413">
        <f t="shared" ca="1" si="7"/>
        <v>1222505.7163987251</v>
      </c>
      <c r="AB52" s="413">
        <f ca="1">V52*$AB$14</f>
        <v>14760.1967742</v>
      </c>
      <c r="AC52" s="413">
        <f ca="1">AA52*K52</f>
        <v>0</v>
      </c>
      <c r="AD52" s="413">
        <f ca="1">AB52*K52</f>
        <v>0</v>
      </c>
    </row>
    <row r="53" spans="2:30" s="168" customFormat="1" ht="30.75" hidden="1" customHeight="1">
      <c r="B53" s="329"/>
      <c r="C53" s="361">
        <v>1.38</v>
      </c>
      <c r="D53" s="488" t="s">
        <v>4715</v>
      </c>
      <c r="E53" s="489" t="s">
        <v>4715</v>
      </c>
      <c r="F53" s="489" t="s">
        <v>4715</v>
      </c>
      <c r="G53" s="489" t="s">
        <v>4715</v>
      </c>
      <c r="H53" s="489" t="s">
        <v>4715</v>
      </c>
      <c r="I53" s="490" t="s">
        <v>4715</v>
      </c>
      <c r="J53" s="361" t="s">
        <v>4128</v>
      </c>
      <c r="K53" s="362"/>
      <c r="L53" s="333">
        <f t="shared" ca="1" si="1"/>
        <v>1486148.088083725</v>
      </c>
      <c r="M53" s="334">
        <f t="shared" ca="1" si="8"/>
        <v>0</v>
      </c>
      <c r="N53" s="335"/>
      <c r="O53" s="181"/>
      <c r="P53" s="413">
        <f ca="1">IF(IFERROR(VLOOKUP(C53,APU!H:N,4,0),0),VLOOKUP(C53,APU!H:N,4,0),0)</f>
        <v>1149219.7709999999</v>
      </c>
      <c r="Q53" s="413">
        <f ca="1">IF(IFERROR(VLOOKUP(C53,APU!H:N,5,0),0),VLOOKUP(C53,APU!H:N,5,0),0)</f>
        <v>22484</v>
      </c>
      <c r="R53" s="413">
        <f ca="1">IF(IFERROR(VLOOKUP(C53,APU!H:N,6,0),0),VLOOKUP(C53,APU!H:N,6,0),0)</f>
        <v>4034.53125</v>
      </c>
      <c r="S53" s="413">
        <f ca="1">IF(IFERROR(VLOOKUP(C53,APU!H:N,7,0),0),VLOOKUP(C53,APU!H:N,7,0),0)</f>
        <v>4800</v>
      </c>
      <c r="T53" s="179"/>
      <c r="U53" s="413">
        <f t="shared" ca="1" si="2"/>
        <v>94443.064180000001</v>
      </c>
      <c r="V53" s="413">
        <f t="shared" ca="1" si="3"/>
        <v>94443.064180000001</v>
      </c>
      <c r="W53" s="413">
        <f t="shared" ca="1" si="4"/>
        <v>313.18531250000001</v>
      </c>
      <c r="X53" s="413">
        <f t="shared" ca="1" si="5"/>
        <v>23610.766045</v>
      </c>
      <c r="Y53" s="413">
        <f t="shared" ca="1" si="6"/>
        <v>50999.254657199999</v>
      </c>
      <c r="Z53" s="413">
        <f ca="1">(P53+Q53+U53+V53+W53+X53+R53+S53)*$Z$14</f>
        <v>41800.451459024996</v>
      </c>
      <c r="AA53" s="413">
        <f t="shared" ca="1" si="7"/>
        <v>1486148.088083725</v>
      </c>
      <c r="AB53" s="413">
        <f ca="1">V53*$AB$14</f>
        <v>17944.182194199999</v>
      </c>
      <c r="AC53" s="413">
        <f ca="1">AA53*K53</f>
        <v>0</v>
      </c>
      <c r="AD53" s="413">
        <f ca="1">AB53*K53</f>
        <v>0</v>
      </c>
    </row>
    <row r="54" spans="2:30" s="168" customFormat="1" ht="30.75" hidden="1" customHeight="1">
      <c r="B54" s="329"/>
      <c r="C54" s="361">
        <v>1.39</v>
      </c>
      <c r="D54" s="488" t="s">
        <v>4716</v>
      </c>
      <c r="E54" s="489"/>
      <c r="F54" s="489"/>
      <c r="G54" s="489"/>
      <c r="H54" s="489"/>
      <c r="I54" s="490"/>
      <c r="J54" s="361" t="s">
        <v>4128</v>
      </c>
      <c r="K54" s="362"/>
      <c r="L54" s="333">
        <f t="shared" ca="1" si="1"/>
        <v>1680512.7735987247</v>
      </c>
      <c r="M54" s="334">
        <f t="shared" ca="1" si="8"/>
        <v>0</v>
      </c>
      <c r="N54" s="335"/>
      <c r="O54" s="181"/>
      <c r="P54" s="413">
        <f ca="1">IF(IFERROR(VLOOKUP(C54,APU!H:N,4,0),0),VLOOKUP(C54,APU!H:N,4,0),0)</f>
        <v>1303649.0459999999</v>
      </c>
      <c r="Q54" s="413">
        <f ca="1">IF(IFERROR(VLOOKUP(C54,APU!H:N,5,0),0),VLOOKUP(C54,APU!H:N,5,0),0)</f>
        <v>22484</v>
      </c>
      <c r="R54" s="413">
        <f ca="1">IF(IFERROR(VLOOKUP(C54,APU!H:N,6,0),0),VLOOKUP(C54,APU!H:N,6,0),0)</f>
        <v>4034.53125</v>
      </c>
      <c r="S54" s="413">
        <f ca="1">IF(IFERROR(VLOOKUP(C54,APU!H:N,7,0),0),VLOOKUP(C54,APU!H:N,7,0),0)</f>
        <v>4800</v>
      </c>
      <c r="T54" s="179"/>
      <c r="U54" s="413">
        <f t="shared" ca="1" si="2"/>
        <v>106797.40617999999</v>
      </c>
      <c r="V54" s="413">
        <f t="shared" ca="1" si="3"/>
        <v>106797.40617999999</v>
      </c>
      <c r="W54" s="413">
        <f t="shared" ca="1" si="4"/>
        <v>313.18531250000001</v>
      </c>
      <c r="X54" s="413">
        <f t="shared" ca="1" si="5"/>
        <v>26699.351544999998</v>
      </c>
      <c r="Y54" s="413">
        <f t="shared" ca="1" si="6"/>
        <v>57670.599337199994</v>
      </c>
      <c r="Z54" s="413">
        <f ca="1">(P54+Q54+U54+V54+W54+X54+R54+S54)*$Z$14</f>
        <v>47267.247794024988</v>
      </c>
      <c r="AA54" s="413">
        <f t="shared" ca="1" si="7"/>
        <v>1680512.7735987247</v>
      </c>
      <c r="AB54" s="413">
        <f ca="1">V54*$AB$14</f>
        <v>20291.5071742</v>
      </c>
      <c r="AC54" s="413">
        <f ca="1">AA54*K54</f>
        <v>0</v>
      </c>
      <c r="AD54" s="413">
        <f ca="1">AB54*K54</f>
        <v>0</v>
      </c>
    </row>
    <row r="55" spans="2:30" s="168" customFormat="1" ht="30.75" hidden="1" customHeight="1">
      <c r="B55" s="329"/>
      <c r="C55" s="361" t="s">
        <v>4712</v>
      </c>
      <c r="D55" s="488" t="s">
        <v>4717</v>
      </c>
      <c r="E55" s="489" t="s">
        <v>4717</v>
      </c>
      <c r="F55" s="489" t="s">
        <v>4717</v>
      </c>
      <c r="G55" s="489" t="s">
        <v>4717</v>
      </c>
      <c r="H55" s="489" t="s">
        <v>4717</v>
      </c>
      <c r="I55" s="490" t="s">
        <v>4717</v>
      </c>
      <c r="J55" s="361" t="s">
        <v>4128</v>
      </c>
      <c r="K55" s="362"/>
      <c r="L55" s="333">
        <f t="shared" ca="1" si="1"/>
        <v>634587.48297868494</v>
      </c>
      <c r="M55" s="334">
        <f t="shared" ca="1" si="8"/>
        <v>0</v>
      </c>
      <c r="N55" s="335"/>
      <c r="O55" s="181"/>
      <c r="P55" s="413">
        <f ca="1">IF(IFERROR(VLOOKUP(C55,APU!H:N,4,0),0),VLOOKUP(C55,APU!H:N,4,0),0)</f>
        <v>477075.04599999997</v>
      </c>
      <c r="Q55" s="413">
        <f ca="1">IF(IFERROR(VLOOKUP(C55,APU!H:N,5,0),0),VLOOKUP(C55,APU!H:N,5,0),0)</f>
        <v>18742.662399999997</v>
      </c>
      <c r="R55" s="413">
        <f ca="1">IF(IFERROR(VLOOKUP(C55,APU!H:N,6,0),0),VLOOKUP(C55,APU!H:N,6,0),0)</f>
        <v>3363.18525</v>
      </c>
      <c r="S55" s="413">
        <f ca="1">IF(IFERROR(VLOOKUP(C55,APU!H:N,7,0),0),VLOOKUP(C55,APU!H:N,7,0),0)</f>
        <v>4800</v>
      </c>
      <c r="T55" s="179"/>
      <c r="U55" s="413">
        <f t="shared" ca="1" si="2"/>
        <v>40318.471491999997</v>
      </c>
      <c r="V55" s="413">
        <f t="shared" ca="1" si="3"/>
        <v>40318.471491999997</v>
      </c>
      <c r="W55" s="413">
        <f t="shared" ca="1" si="4"/>
        <v>269.05847649999998</v>
      </c>
      <c r="X55" s="413">
        <f t="shared" ca="1" si="5"/>
        <v>10079.617872999999</v>
      </c>
      <c r="Y55" s="413">
        <f t="shared" ca="1" si="6"/>
        <v>21771.974605679996</v>
      </c>
      <c r="Z55" s="413">
        <f ca="1">(P55+Q55+U55+V55+W55+X55+R55+S55)*$Z$14</f>
        <v>17848.995389504995</v>
      </c>
      <c r="AA55" s="413">
        <f t="shared" ca="1" si="7"/>
        <v>634587.48297868494</v>
      </c>
      <c r="AB55" s="413">
        <f ca="1">V55*$AB$14</f>
        <v>7660.5095834799995</v>
      </c>
      <c r="AC55" s="413">
        <f ca="1">AA55*K55</f>
        <v>0</v>
      </c>
      <c r="AD55" s="413">
        <f ca="1">AB55*K55</f>
        <v>0</v>
      </c>
    </row>
    <row r="56" spans="2:30" s="168" customFormat="1" ht="30.75" hidden="1" customHeight="1">
      <c r="B56" s="329"/>
      <c r="C56" s="361">
        <v>1.41</v>
      </c>
      <c r="D56" s="488" t="s">
        <v>4718</v>
      </c>
      <c r="E56" s="489" t="s">
        <v>4718</v>
      </c>
      <c r="F56" s="489" t="s">
        <v>4718</v>
      </c>
      <c r="G56" s="489" t="s">
        <v>4718</v>
      </c>
      <c r="H56" s="489" t="s">
        <v>4718</v>
      </c>
      <c r="I56" s="490" t="s">
        <v>4718</v>
      </c>
      <c r="J56" s="361" t="s">
        <v>4128</v>
      </c>
      <c r="K56" s="362"/>
      <c r="L56" s="333">
        <f t="shared" ca="1" si="1"/>
        <v>763093.060178685</v>
      </c>
      <c r="M56" s="334">
        <f t="shared" ca="1" si="8"/>
        <v>0</v>
      </c>
      <c r="N56" s="335"/>
      <c r="O56" s="181"/>
      <c r="P56" s="413">
        <f ca="1">IF(IFERROR(VLOOKUP(C56,APU!H:N,4,0),0),VLOOKUP(C56,APU!H:N,4,0),0)</f>
        <v>579177.04599999997</v>
      </c>
      <c r="Q56" s="413">
        <f ca="1">IF(IFERROR(VLOOKUP(C56,APU!H:N,5,0),0),VLOOKUP(C56,APU!H:N,5,0),0)</f>
        <v>18742.662399999997</v>
      </c>
      <c r="R56" s="413">
        <f ca="1">IF(IFERROR(VLOOKUP(C56,APU!H:N,6,0),0),VLOOKUP(C56,APU!H:N,6,0),0)</f>
        <v>3363.18525</v>
      </c>
      <c r="S56" s="413">
        <f ca="1">IF(IFERROR(VLOOKUP(C56,APU!H:N,7,0),0),VLOOKUP(C56,APU!H:N,7,0),0)</f>
        <v>4800</v>
      </c>
      <c r="T56" s="179"/>
      <c r="U56" s="413">
        <f t="shared" ca="1" si="2"/>
        <v>48486.631492</v>
      </c>
      <c r="V56" s="413">
        <f t="shared" ca="1" si="3"/>
        <v>48486.631492</v>
      </c>
      <c r="W56" s="413">
        <f t="shared" ca="1" si="4"/>
        <v>269.05847649999998</v>
      </c>
      <c r="X56" s="413">
        <f t="shared" ca="1" si="5"/>
        <v>12121.657873</v>
      </c>
      <c r="Y56" s="413">
        <f t="shared" ca="1" si="6"/>
        <v>26182.781005679997</v>
      </c>
      <c r="Z56" s="413">
        <f ca="1">(P56+Q56+U56+V56+W56+X56+R56+S56)*$Z$14</f>
        <v>21463.406189504996</v>
      </c>
      <c r="AA56" s="413">
        <f t="shared" ca="1" si="7"/>
        <v>763093.060178685</v>
      </c>
      <c r="AB56" s="413">
        <f ca="1">V56*$AB$14</f>
        <v>9212.459983480001</v>
      </c>
      <c r="AC56" s="413">
        <f ca="1">AA56*K56</f>
        <v>0</v>
      </c>
      <c r="AD56" s="413">
        <f ca="1">AB56*K56</f>
        <v>0</v>
      </c>
    </row>
    <row r="57" spans="2:30" s="168" customFormat="1" ht="30.75" hidden="1" customHeight="1">
      <c r="B57" s="329"/>
      <c r="C57" s="361">
        <v>1.42</v>
      </c>
      <c r="D57" s="488" t="s">
        <v>4719</v>
      </c>
      <c r="E57" s="489" t="s">
        <v>4719</v>
      </c>
      <c r="F57" s="489" t="s">
        <v>4719</v>
      </c>
      <c r="G57" s="489" t="s">
        <v>4719</v>
      </c>
      <c r="H57" s="489" t="s">
        <v>4719</v>
      </c>
      <c r="I57" s="490" t="s">
        <v>4719</v>
      </c>
      <c r="J57" s="361" t="s">
        <v>4128</v>
      </c>
      <c r="K57" s="362"/>
      <c r="L57" s="333">
        <f t="shared" ca="1" si="1"/>
        <v>828993.35617868509</v>
      </c>
      <c r="M57" s="334">
        <f t="shared" ca="1" si="8"/>
        <v>0</v>
      </c>
      <c r="N57" s="335"/>
      <c r="O57" s="181"/>
      <c r="P57" s="413">
        <f ca="1">IF(IFERROR(VLOOKUP(C57,APU!H:N,4,0),0),VLOOKUP(C57,APU!H:N,4,0),0)</f>
        <v>631537.04600000009</v>
      </c>
      <c r="Q57" s="413">
        <f ca="1">IF(IFERROR(VLOOKUP(C57,APU!H:N,5,0),0),VLOOKUP(C57,APU!H:N,5,0),0)</f>
        <v>18742.662399999997</v>
      </c>
      <c r="R57" s="413">
        <f ca="1">IF(IFERROR(VLOOKUP(C57,APU!H:N,6,0),0),VLOOKUP(C57,APU!H:N,6,0),0)</f>
        <v>3363.18525</v>
      </c>
      <c r="S57" s="413">
        <f ca="1">IF(IFERROR(VLOOKUP(C57,APU!H:N,7,0),0),VLOOKUP(C57,APU!H:N,7,0),0)</f>
        <v>4800</v>
      </c>
      <c r="T57" s="179"/>
      <c r="U57" s="413">
        <f t="shared" ca="1" si="2"/>
        <v>52675.431492000011</v>
      </c>
      <c r="V57" s="413">
        <f t="shared" ca="1" si="3"/>
        <v>52675.431492000011</v>
      </c>
      <c r="W57" s="413">
        <f t="shared" ca="1" si="4"/>
        <v>269.05847649999998</v>
      </c>
      <c r="X57" s="413">
        <f t="shared" ca="1" si="5"/>
        <v>13168.857873000003</v>
      </c>
      <c r="Y57" s="413">
        <f t="shared" ca="1" si="6"/>
        <v>28444.733005680006</v>
      </c>
      <c r="Z57" s="413">
        <f ca="1">(P57+Q57+U57+V57+W57+X57+R57+S57)*$Z$14</f>
        <v>23316.950189505002</v>
      </c>
      <c r="AA57" s="413">
        <f t="shared" ca="1" si="7"/>
        <v>828993.35617868509</v>
      </c>
      <c r="AB57" s="413">
        <f ca="1">V57*$AB$14</f>
        <v>10008.331983480002</v>
      </c>
      <c r="AC57" s="413">
        <f ca="1">AA57*K57</f>
        <v>0</v>
      </c>
      <c r="AD57" s="413">
        <f ca="1">AB57*K57</f>
        <v>0</v>
      </c>
    </row>
    <row r="58" spans="2:30" s="168" customFormat="1" ht="30.75" hidden="1" customHeight="1">
      <c r="B58" s="329"/>
      <c r="C58" s="361">
        <v>1.43</v>
      </c>
      <c r="D58" s="488" t="s">
        <v>4720</v>
      </c>
      <c r="E58" s="489"/>
      <c r="F58" s="489"/>
      <c r="G58" s="489"/>
      <c r="H58" s="489"/>
      <c r="I58" s="490"/>
      <c r="J58" s="361" t="s">
        <v>4128</v>
      </c>
      <c r="K58" s="362"/>
      <c r="L58" s="333">
        <f t="shared" ca="1" si="1"/>
        <v>370171.29353159992</v>
      </c>
      <c r="M58" s="334">
        <f t="shared" ca="1" si="8"/>
        <v>0</v>
      </c>
      <c r="N58" s="335"/>
      <c r="O58" s="181"/>
      <c r="P58" s="413">
        <f ca="1">IF(IFERROR(VLOOKUP(C58,APU!H:N,4,0),0),VLOOKUP(C58,APU!H:N,4,0),0)</f>
        <v>268388.50639999995</v>
      </c>
      <c r="Q58" s="413">
        <f ca="1">IF(IFERROR(VLOOKUP(C58,APU!H:N,5,0),0),VLOOKUP(C58,APU!H:N,5,0),0)</f>
        <v>18742.662399999997</v>
      </c>
      <c r="R58" s="413">
        <f ca="1">IF(IFERROR(VLOOKUP(C58,APU!H:N,6,0),0),VLOOKUP(C58,APU!H:N,6,0),0)</f>
        <v>1973.548</v>
      </c>
      <c r="S58" s="413">
        <f ca="1">IF(IFERROR(VLOOKUP(C58,APU!H:N,7,0),0),VLOOKUP(C58,APU!H:N,7,0),0)</f>
        <v>4800</v>
      </c>
      <c r="T58" s="179"/>
      <c r="U58" s="413">
        <f t="shared" ca="1" si="2"/>
        <v>23512.377343999997</v>
      </c>
      <c r="V58" s="413">
        <f t="shared" ca="1" si="3"/>
        <v>23512.377343999997</v>
      </c>
      <c r="W58" s="413">
        <f t="shared" ca="1" si="4"/>
        <v>255.16210399999997</v>
      </c>
      <c r="X58" s="413">
        <f t="shared" ca="1" si="5"/>
        <v>5878.0943359999992</v>
      </c>
      <c r="Y58" s="413">
        <f t="shared" ca="1" si="6"/>
        <v>12696.683765759997</v>
      </c>
      <c r="Z58" s="413">
        <f ca="1">(P58+Q58+U58+V58+W58+X58+R58+S58)*$Z$14</f>
        <v>10411.881837839996</v>
      </c>
      <c r="AA58" s="413">
        <f t="shared" ca="1" si="7"/>
        <v>370171.29353159992</v>
      </c>
      <c r="AB58" s="413">
        <f ca="1">V58*$AB$14</f>
        <v>4467.3516953599992</v>
      </c>
      <c r="AC58" s="413">
        <f ca="1">AA58*K58</f>
        <v>0</v>
      </c>
      <c r="AD58" s="413">
        <f ca="1">AB58*K58</f>
        <v>0</v>
      </c>
    </row>
    <row r="59" spans="2:30" s="168" customFormat="1" ht="30.75" hidden="1" customHeight="1">
      <c r="B59" s="329"/>
      <c r="C59" s="361">
        <v>1.44</v>
      </c>
      <c r="D59" s="488" t="s">
        <v>4721</v>
      </c>
      <c r="E59" s="489"/>
      <c r="F59" s="489"/>
      <c r="G59" s="489"/>
      <c r="H59" s="489"/>
      <c r="I59" s="490"/>
      <c r="J59" s="361" t="s">
        <v>4128</v>
      </c>
      <c r="K59" s="362"/>
      <c r="L59" s="333">
        <f t="shared" ca="1" si="1"/>
        <v>190215.278121435</v>
      </c>
      <c r="M59" s="334">
        <f t="shared" ca="1" si="8"/>
        <v>0</v>
      </c>
      <c r="N59" s="335"/>
      <c r="O59" s="181"/>
      <c r="P59" s="413">
        <f ca="1">IF(IFERROR(VLOOKUP(C59,APU!H:N,4,0),0),VLOOKUP(C59,APU!H:N,4,0),0)</f>
        <v>125000.45599999999</v>
      </c>
      <c r="Q59" s="413">
        <f ca="1">IF(IFERROR(VLOOKUP(C59,APU!H:N,5,0),0),VLOOKUP(C59,APU!H:N,5,0),0)</f>
        <v>18742.662399999997</v>
      </c>
      <c r="R59" s="413">
        <f ca="1">IF(IFERROR(VLOOKUP(C59,APU!H:N,6,0),0),VLOOKUP(C59,APU!H:N,6,0),0)</f>
        <v>2377.1927500000002</v>
      </c>
      <c r="S59" s="413">
        <f ca="1">IF(IFERROR(VLOOKUP(C59,APU!H:N,7,0),0),VLOOKUP(C59,APU!H:N,7,0),0)</f>
        <v>4800</v>
      </c>
      <c r="T59" s="179"/>
      <c r="U59" s="413">
        <f t="shared" ca="1" si="2"/>
        <v>12073.624891999998</v>
      </c>
      <c r="V59" s="413">
        <f t="shared" ca="1" si="3"/>
        <v>12073.624891999998</v>
      </c>
      <c r="W59" s="413">
        <f t="shared" ca="1" si="4"/>
        <v>259.19855149999995</v>
      </c>
      <c r="X59" s="413">
        <f t="shared" ca="1" si="5"/>
        <v>3018.4062229999995</v>
      </c>
      <c r="Y59" s="413">
        <f t="shared" ca="1" si="6"/>
        <v>6519.7574416799998</v>
      </c>
      <c r="Z59" s="413">
        <f ca="1">(P59+Q59+U59+V59+W59+X59+R59+S59)*$Z$14</f>
        <v>5350.3549712549984</v>
      </c>
      <c r="AA59" s="413">
        <f t="shared" ca="1" si="7"/>
        <v>190215.278121435</v>
      </c>
      <c r="AB59" s="413">
        <f ca="1">V59*$AB$14</f>
        <v>2293.9887294799996</v>
      </c>
      <c r="AC59" s="413">
        <f ca="1">AA59*K59</f>
        <v>0</v>
      </c>
      <c r="AD59" s="413">
        <f ca="1">AB59*K59</f>
        <v>0</v>
      </c>
    </row>
    <row r="60" spans="2:30" s="168" customFormat="1" ht="30.75" hidden="1" customHeight="1">
      <c r="B60" s="329"/>
      <c r="C60" s="361">
        <v>1.45</v>
      </c>
      <c r="D60" s="488" t="s">
        <v>4730</v>
      </c>
      <c r="E60" s="489"/>
      <c r="F60" s="489"/>
      <c r="G60" s="489"/>
      <c r="H60" s="489"/>
      <c r="I60" s="490"/>
      <c r="J60" s="361" t="s">
        <v>4128</v>
      </c>
      <c r="K60" s="362"/>
      <c r="L60" s="333">
        <f t="shared" ca="1" si="1"/>
        <v>702271.79821920057</v>
      </c>
      <c r="M60" s="334">
        <f t="shared" ca="1" si="8"/>
        <v>0</v>
      </c>
      <c r="N60" s="335"/>
      <c r="O60" s="181"/>
      <c r="P60" s="413">
        <f ca="1">IF(IFERROR(VLOOKUP(C60,APU!H:N,4,0),0),VLOOKUP(C60,APU!H:N,4,0),0)</f>
        <v>531846.57080833113</v>
      </c>
      <c r="Q60" s="413">
        <f ca="1">IF(IFERROR(VLOOKUP(C60,APU!H:N,5,0),0),VLOOKUP(C60,APU!H:N,5,0),0)</f>
        <v>18742.662399999997</v>
      </c>
      <c r="R60" s="413">
        <f ca="1">IF(IFERROR(VLOOKUP(C60,APU!H:N,6,0),0),VLOOKUP(C60,APU!H:N,6,0),0)</f>
        <v>2377.1927500000002</v>
      </c>
      <c r="S60" s="413">
        <f ca="1">IF(IFERROR(VLOOKUP(C60,APU!H:N,7,0),0),VLOOKUP(C60,APU!H:N,7,0),0)</f>
        <v>4800</v>
      </c>
      <c r="T60" s="179"/>
      <c r="U60" s="413">
        <f t="shared" ca="1" si="2"/>
        <v>44621.314076666495</v>
      </c>
      <c r="V60" s="413">
        <f t="shared" ca="1" si="3"/>
        <v>44621.314076666495</v>
      </c>
      <c r="W60" s="413">
        <f t="shared" ca="1" si="4"/>
        <v>259.19855149999995</v>
      </c>
      <c r="X60" s="413">
        <f t="shared" ca="1" si="5"/>
        <v>11155.328519166624</v>
      </c>
      <c r="Y60" s="413">
        <f t="shared" ca="1" si="6"/>
        <v>24095.50960139991</v>
      </c>
      <c r="Z60" s="413">
        <f ca="1">(P60+Q60+U60+V60+W60+X60+R60+S60)*$Z$14</f>
        <v>19752.707435469925</v>
      </c>
      <c r="AA60" s="413">
        <f t="shared" ca="1" si="7"/>
        <v>702271.79821920057</v>
      </c>
      <c r="AB60" s="413">
        <f ca="1">V60*$AB$14</f>
        <v>8478.0496745666333</v>
      </c>
      <c r="AC60" s="413">
        <f ca="1">AA60*K60</f>
        <v>0</v>
      </c>
      <c r="AD60" s="413">
        <f ca="1">AB60*K60</f>
        <v>0</v>
      </c>
    </row>
    <row r="61" spans="2:30" s="168" customFormat="1" ht="30.75" hidden="1" customHeight="1">
      <c r="B61" s="329"/>
      <c r="C61" s="361">
        <v>1.46</v>
      </c>
      <c r="D61" s="488" t="s">
        <v>4731</v>
      </c>
      <c r="E61" s="489"/>
      <c r="F61" s="489"/>
      <c r="G61" s="489"/>
      <c r="H61" s="489"/>
      <c r="I61" s="490"/>
      <c r="J61" s="361" t="s">
        <v>4128</v>
      </c>
      <c r="K61" s="362"/>
      <c r="L61" s="333">
        <f t="shared" ca="1" si="1"/>
        <v>1117325.5189332338</v>
      </c>
      <c r="M61" s="334">
        <f t="shared" ca="1" si="8"/>
        <v>0</v>
      </c>
      <c r="N61" s="335"/>
      <c r="O61" s="181"/>
      <c r="P61" s="413">
        <f ca="1">IF(IFERROR(VLOOKUP(C61,APU!H:N,4,0),0),VLOOKUP(C61,APU!H:N,4,0),0)</f>
        <v>861620.70136135293</v>
      </c>
      <c r="Q61" s="413">
        <f ca="1">IF(IFERROR(VLOOKUP(C61,APU!H:N,5,0),0),VLOOKUP(C61,APU!H:N,5,0),0)</f>
        <v>18742.662399999997</v>
      </c>
      <c r="R61" s="413">
        <f ca="1">IF(IFERROR(VLOOKUP(C61,APU!H:N,6,0),0),VLOOKUP(C61,APU!H:N,6,0),0)</f>
        <v>2377.1927500000002</v>
      </c>
      <c r="S61" s="413">
        <f ca="1">IF(IFERROR(VLOOKUP(C61,APU!H:N,7,0),0),VLOOKUP(C61,APU!H:N,7,0),0)</f>
        <v>4800</v>
      </c>
      <c r="T61" s="179"/>
      <c r="U61" s="413">
        <f t="shared" ca="1" si="2"/>
        <v>71003.244520908236</v>
      </c>
      <c r="V61" s="413">
        <f t="shared" ca="1" si="3"/>
        <v>71003.244520908236</v>
      </c>
      <c r="W61" s="413">
        <f t="shared" ca="1" si="4"/>
        <v>259.19855149999995</v>
      </c>
      <c r="X61" s="413">
        <f t="shared" ca="1" si="5"/>
        <v>17750.811130227059</v>
      </c>
      <c r="Y61" s="413">
        <f t="shared" ca="1" si="6"/>
        <v>38341.752041290449</v>
      </c>
      <c r="Z61" s="413">
        <f ca="1">(P61+Q61+U61+V61+W61+X61+R61+S61)*$Z$14</f>
        <v>31426.711657046893</v>
      </c>
      <c r="AA61" s="413">
        <f t="shared" ca="1" si="7"/>
        <v>1117325.5189332338</v>
      </c>
      <c r="AB61" s="413">
        <f ca="1">V61*$AB$14</f>
        <v>13490.616458972565</v>
      </c>
      <c r="AC61" s="413">
        <f ca="1">AA61*K61</f>
        <v>0</v>
      </c>
      <c r="AD61" s="413">
        <f ca="1">AB61*K61</f>
        <v>0</v>
      </c>
    </row>
    <row r="62" spans="2:30" s="168" customFormat="1" ht="30.75" hidden="1" customHeight="1">
      <c r="B62" s="329"/>
      <c r="C62" s="361">
        <v>1.47</v>
      </c>
      <c r="D62" s="488" t="s">
        <v>4732</v>
      </c>
      <c r="E62" s="489"/>
      <c r="F62" s="489"/>
      <c r="G62" s="489"/>
      <c r="H62" s="489"/>
      <c r="I62" s="490"/>
      <c r="J62" s="361" t="s">
        <v>4128</v>
      </c>
      <c r="K62" s="362"/>
      <c r="L62" s="333">
        <f t="shared" ca="1" si="1"/>
        <v>1231374.3235287832</v>
      </c>
      <c r="M62" s="334">
        <f t="shared" ca="1" si="8"/>
        <v>0</v>
      </c>
      <c r="N62" s="335"/>
      <c r="O62" s="181"/>
      <c r="P62" s="413">
        <f ca="1">IF(IFERROR(VLOOKUP(C62,APU!H:N,4,0),0),VLOOKUP(C62,APU!H:N,4,0),0)</f>
        <v>952236.30965274759</v>
      </c>
      <c r="Q62" s="413">
        <f ca="1">IF(IFERROR(VLOOKUP(C62,APU!H:N,5,0),0),VLOOKUP(C62,APU!H:N,5,0),0)</f>
        <v>18742.662399999997</v>
      </c>
      <c r="R62" s="413">
        <f ca="1">IF(IFERROR(VLOOKUP(C62,APU!H:N,6,0),0),VLOOKUP(C62,APU!H:N,6,0),0)</f>
        <v>2377.1927500000002</v>
      </c>
      <c r="S62" s="413">
        <f ca="1">IF(IFERROR(VLOOKUP(C62,APU!H:N,7,0),0),VLOOKUP(C62,APU!H:N,7,0),0)</f>
        <v>4800</v>
      </c>
      <c r="T62" s="179"/>
      <c r="U62" s="413">
        <f t="shared" ca="1" si="2"/>
        <v>78252.493184219813</v>
      </c>
      <c r="V62" s="413">
        <f t="shared" ca="1" si="3"/>
        <v>78252.493184219813</v>
      </c>
      <c r="W62" s="413">
        <f t="shared" ca="1" si="4"/>
        <v>259.19855149999995</v>
      </c>
      <c r="X62" s="413">
        <f t="shared" ca="1" si="5"/>
        <v>19563.123296054953</v>
      </c>
      <c r="Y62" s="413">
        <f t="shared" ca="1" si="6"/>
        <v>42256.346319478696</v>
      </c>
      <c r="Z62" s="413">
        <f ca="1">(P62+Q62+U62+V62+W62+X62+R62+S62)*$Z$14</f>
        <v>34634.504190562264</v>
      </c>
      <c r="AA62" s="413">
        <f t="shared" ca="1" si="7"/>
        <v>1231374.3235287832</v>
      </c>
      <c r="AB62" s="413">
        <f ca="1">V62*$AB$14</f>
        <v>14867.973705001765</v>
      </c>
      <c r="AC62" s="413">
        <f ca="1">AA62*K62</f>
        <v>0</v>
      </c>
      <c r="AD62" s="413">
        <f ca="1">AB62*K62</f>
        <v>0</v>
      </c>
    </row>
    <row r="63" spans="2:30" s="168" customFormat="1" ht="30.75" hidden="1" customHeight="1">
      <c r="B63" s="329"/>
      <c r="C63" s="361">
        <v>1.48</v>
      </c>
      <c r="D63" s="488" t="s">
        <v>4733</v>
      </c>
      <c r="E63" s="489"/>
      <c r="F63" s="489"/>
      <c r="G63" s="489"/>
      <c r="H63" s="489"/>
      <c r="I63" s="490"/>
      <c r="J63" s="361" t="s">
        <v>4128</v>
      </c>
      <c r="K63" s="362"/>
      <c r="L63" s="333">
        <f t="shared" ca="1" si="1"/>
        <v>2775486.5861226348</v>
      </c>
      <c r="M63" s="334">
        <f t="shared" ca="1" si="8"/>
        <v>0</v>
      </c>
      <c r="N63" s="335"/>
      <c r="O63" s="181"/>
      <c r="P63" s="413">
        <f ca="1">IF(IFERROR(VLOOKUP(C63,APU!H:N,4,0),0),VLOOKUP(C63,APU!H:N,4,0),0)</f>
        <v>2179085.398</v>
      </c>
      <c r="Q63" s="413">
        <f ca="1">IF(IFERROR(VLOOKUP(C63,APU!H:N,5,0),0),VLOOKUP(C63,APU!H:N,5,0),0)</f>
        <v>18742.662399999997</v>
      </c>
      <c r="R63" s="413">
        <f ca="1">IF(IFERROR(VLOOKUP(C63,APU!H:N,6,0),0),VLOOKUP(C63,APU!H:N,6,0),0)</f>
        <v>2377.1927500000002</v>
      </c>
      <c r="S63" s="413">
        <f ca="1">IF(IFERROR(VLOOKUP(C63,APU!H:N,7,0),0),VLOOKUP(C63,APU!H:N,7,0),0)</f>
        <v>4800</v>
      </c>
      <c r="T63" s="179"/>
      <c r="U63" s="413">
        <f t="shared" ca="1" si="2"/>
        <v>176400.42025199998</v>
      </c>
      <c r="V63" s="413">
        <f t="shared" ca="1" si="3"/>
        <v>176400.42025199998</v>
      </c>
      <c r="W63" s="413">
        <f t="shared" ca="1" si="4"/>
        <v>259.19855149999995</v>
      </c>
      <c r="X63" s="413">
        <f t="shared" ca="1" si="5"/>
        <v>44100.105062999995</v>
      </c>
      <c r="Y63" s="413">
        <f t="shared" ca="1" si="6"/>
        <v>95256.226936079998</v>
      </c>
      <c r="Z63" s="413">
        <f ca="1">(P63+Q63+U63+V63+W63+X63+R63+S63)*$Z$14</f>
        <v>78064.961918054993</v>
      </c>
      <c r="AA63" s="413">
        <f t="shared" ca="1" si="7"/>
        <v>2775486.5861226348</v>
      </c>
      <c r="AB63" s="413">
        <f ca="1">V63*$AB$14</f>
        <v>33516.079847879999</v>
      </c>
      <c r="AC63" s="413">
        <f ca="1">AA63*K63</f>
        <v>0</v>
      </c>
      <c r="AD63" s="413">
        <f ca="1">AB63*K63</f>
        <v>0</v>
      </c>
    </row>
    <row r="64" spans="2:30" s="168" customFormat="1" ht="30.75" hidden="1" customHeight="1">
      <c r="B64" s="329"/>
      <c r="C64" s="361">
        <v>1.49</v>
      </c>
      <c r="D64" s="488" t="s">
        <v>4745</v>
      </c>
      <c r="E64" s="489"/>
      <c r="F64" s="489"/>
      <c r="G64" s="489"/>
      <c r="H64" s="489"/>
      <c r="I64" s="490"/>
      <c r="J64" s="361" t="s">
        <v>4128</v>
      </c>
      <c r="K64" s="362"/>
      <c r="L64" s="333">
        <f t="shared" ca="1" si="1"/>
        <v>938483.78361503512</v>
      </c>
      <c r="M64" s="334">
        <f t="shared" ca="1" si="8"/>
        <v>0</v>
      </c>
      <c r="N64" s="335"/>
      <c r="O64" s="181"/>
      <c r="P64" s="413">
        <f ca="1">IF(IFERROR(VLOOKUP(C64,APU!H:N,4,0),0),VLOOKUP(C64,APU!H:N,4,0),0)</f>
        <v>719524.93200000015</v>
      </c>
      <c r="Q64" s="413">
        <f ca="1">IF(IFERROR(VLOOKUP(C64,APU!H:N,5,0),0),VLOOKUP(C64,APU!H:N,5,0),0)</f>
        <v>18742.662399999997</v>
      </c>
      <c r="R64" s="413">
        <f ca="1">IF(IFERROR(VLOOKUP(C64,APU!H:N,6,0),0),VLOOKUP(C64,APU!H:N,6,0),0)</f>
        <v>2377.1927500000002</v>
      </c>
      <c r="S64" s="413">
        <f ca="1">IF(IFERROR(VLOOKUP(C64,APU!H:N,7,0),0),VLOOKUP(C64,APU!H:N,7,0),0)</f>
        <v>4800</v>
      </c>
      <c r="T64" s="179"/>
      <c r="U64" s="413">
        <f t="shared" ca="1" si="2"/>
        <v>59635.582972000018</v>
      </c>
      <c r="V64" s="413">
        <f t="shared" ca="1" si="3"/>
        <v>59635.582972000018</v>
      </c>
      <c r="W64" s="413">
        <f t="shared" ca="1" si="4"/>
        <v>259.19855149999995</v>
      </c>
      <c r="X64" s="413">
        <f t="shared" ca="1" si="5"/>
        <v>14908.895743000005</v>
      </c>
      <c r="Y64" s="413">
        <f t="shared" ca="1" si="6"/>
        <v>32203.214804880008</v>
      </c>
      <c r="Z64" s="413">
        <f ca="1">(P64+Q64+U64+V64+W64+X64+R64+S64)*$Z$14</f>
        <v>26396.521421655005</v>
      </c>
      <c r="AA64" s="413">
        <f t="shared" ca="1" si="7"/>
        <v>938483.78361503512</v>
      </c>
      <c r="AB64" s="413">
        <f ca="1">V64*$AB$14</f>
        <v>11330.760764680004</v>
      </c>
      <c r="AC64" s="413">
        <f ca="1">AA64*K64</f>
        <v>0</v>
      </c>
      <c r="AD64" s="413">
        <f ca="1">AB64*K64</f>
        <v>0</v>
      </c>
    </row>
    <row r="65" spans="2:30" s="168" customFormat="1" ht="30.75" hidden="1" customHeight="1">
      <c r="B65" s="329"/>
      <c r="C65" s="361" t="s">
        <v>4744</v>
      </c>
      <c r="D65" s="488" t="s">
        <v>4746</v>
      </c>
      <c r="E65" s="489"/>
      <c r="F65" s="489"/>
      <c r="G65" s="489"/>
      <c r="H65" s="489"/>
      <c r="I65" s="490"/>
      <c r="J65" s="361" t="s">
        <v>4128</v>
      </c>
      <c r="K65" s="362"/>
      <c r="L65" s="333">
        <f t="shared" ca="1" si="1"/>
        <v>2010014.2535987247</v>
      </c>
      <c r="M65" s="334">
        <f t="shared" ca="1" si="8"/>
        <v>0</v>
      </c>
      <c r="N65" s="335"/>
      <c r="O65" s="181"/>
      <c r="P65" s="413">
        <f ca="1">IF(IFERROR(VLOOKUP(C65,APU!H:N,4,0),0),VLOOKUP(C65,APU!H:N,4,0),0)</f>
        <v>1565449.0459999999</v>
      </c>
      <c r="Q65" s="413">
        <f ca="1">IF(IFERROR(VLOOKUP(C65,APU!H:N,5,0),0),VLOOKUP(C65,APU!H:N,5,0),0)</f>
        <v>22484</v>
      </c>
      <c r="R65" s="413">
        <f ca="1">IF(IFERROR(VLOOKUP(C65,APU!H:N,6,0),0),VLOOKUP(C65,APU!H:N,6,0),0)</f>
        <v>4034.53125</v>
      </c>
      <c r="S65" s="413">
        <f ca="1">IF(IFERROR(VLOOKUP(C65,APU!H:N,7,0),0),VLOOKUP(C65,APU!H:N,7,0),0)</f>
        <v>4800</v>
      </c>
      <c r="T65" s="179"/>
      <c r="U65" s="413">
        <f t="shared" ca="1" si="2"/>
        <v>127741.40617999999</v>
      </c>
      <c r="V65" s="413">
        <f t="shared" ca="1" si="3"/>
        <v>127741.40617999999</v>
      </c>
      <c r="W65" s="413">
        <f t="shared" ca="1" si="4"/>
        <v>313.18531250000001</v>
      </c>
      <c r="X65" s="413">
        <f t="shared" ca="1" si="5"/>
        <v>31935.351544999998</v>
      </c>
      <c r="Y65" s="413">
        <f t="shared" ca="1" si="6"/>
        <v>68980.359337199989</v>
      </c>
      <c r="Z65" s="413">
        <f ca="1">(P65+Q65+U65+V65+W65+X65+R65+S65)*$Z$14</f>
        <v>56534.967794024989</v>
      </c>
      <c r="AA65" s="413">
        <f t="shared" ca="1" si="7"/>
        <v>2010014.2535987247</v>
      </c>
      <c r="AB65" s="413">
        <f ca="1">V65*$AB$14</f>
        <v>24270.867174199997</v>
      </c>
      <c r="AC65" s="413">
        <f ca="1">AA65*K65</f>
        <v>0</v>
      </c>
      <c r="AD65" s="413">
        <f ca="1">AB65*K65</f>
        <v>0</v>
      </c>
    </row>
    <row r="66" spans="2:30" s="168" customFormat="1" ht="30.75" hidden="1" customHeight="1">
      <c r="B66" s="329"/>
      <c r="C66" s="361">
        <v>1.51</v>
      </c>
      <c r="D66" s="488" t="s">
        <v>4755</v>
      </c>
      <c r="E66" s="489"/>
      <c r="F66" s="489"/>
      <c r="G66" s="489"/>
      <c r="H66" s="489"/>
      <c r="I66" s="490"/>
      <c r="J66" s="361" t="s">
        <v>4128</v>
      </c>
      <c r="K66" s="362"/>
      <c r="L66" s="333">
        <f t="shared" ca="1" si="1"/>
        <v>2273615.4375987253</v>
      </c>
      <c r="M66" s="334">
        <f t="shared" ca="1" si="8"/>
        <v>0</v>
      </c>
      <c r="N66" s="335"/>
      <c r="O66" s="181"/>
      <c r="P66" s="413">
        <f ca="1">IF(IFERROR(VLOOKUP(C66,APU!H:N,4,0),0),VLOOKUP(C66,APU!H:N,4,0),0)</f>
        <v>1774889.0460000001</v>
      </c>
      <c r="Q66" s="413">
        <f ca="1">IF(IFERROR(VLOOKUP(C66,APU!H:N,5,0),0),VLOOKUP(C66,APU!H:N,5,0),0)</f>
        <v>22484</v>
      </c>
      <c r="R66" s="413">
        <f ca="1">IF(IFERROR(VLOOKUP(C66,APU!H:N,6,0),0),VLOOKUP(C66,APU!H:N,6,0),0)</f>
        <v>4034.53125</v>
      </c>
      <c r="S66" s="413">
        <f ca="1">IF(IFERROR(VLOOKUP(C66,APU!H:N,7,0),0),VLOOKUP(C66,APU!H:N,7,0),0)</f>
        <v>4800</v>
      </c>
      <c r="T66" s="179"/>
      <c r="U66" s="413">
        <f t="shared" ca="1" si="2"/>
        <v>144496.60618</v>
      </c>
      <c r="V66" s="413">
        <f t="shared" ca="1" si="3"/>
        <v>144496.60618</v>
      </c>
      <c r="W66" s="413">
        <f t="shared" ca="1" si="4"/>
        <v>313.18531250000001</v>
      </c>
      <c r="X66" s="413">
        <f t="shared" ca="1" si="5"/>
        <v>36124.151545000001</v>
      </c>
      <c r="Y66" s="413">
        <f t="shared" ca="1" si="6"/>
        <v>78028.167337200008</v>
      </c>
      <c r="Z66" s="413">
        <f ca="1">(P66+Q66+U66+V66+W66+X66+R66+S66)*$Z$14</f>
        <v>63949.143794025011</v>
      </c>
      <c r="AA66" s="413">
        <f t="shared" ca="1" si="7"/>
        <v>2273615.4375987253</v>
      </c>
      <c r="AB66" s="413">
        <f ca="1">V66*$AB$14</f>
        <v>27454.355174200002</v>
      </c>
      <c r="AC66" s="413">
        <f ca="1">AA66*K66</f>
        <v>0</v>
      </c>
      <c r="AD66" s="413">
        <f ca="1">AB66*K66</f>
        <v>0</v>
      </c>
    </row>
    <row r="67" spans="2:30" s="168" customFormat="1" ht="30.75" hidden="1" customHeight="1">
      <c r="B67" s="329"/>
      <c r="C67" s="361">
        <v>1.52</v>
      </c>
      <c r="D67" s="488" t="s">
        <v>4762</v>
      </c>
      <c r="E67" s="489"/>
      <c r="F67" s="489"/>
      <c r="G67" s="489"/>
      <c r="H67" s="489"/>
      <c r="I67" s="490"/>
      <c r="J67" s="361" t="s">
        <v>4128</v>
      </c>
      <c r="K67" s="362"/>
      <c r="L67" s="333">
        <f t="shared" ca="1" si="1"/>
        <v>296606.55759872502</v>
      </c>
      <c r="M67" s="334">
        <f t="shared" ca="1" si="8"/>
        <v>0</v>
      </c>
      <c r="N67" s="335"/>
      <c r="O67" s="181"/>
      <c r="P67" s="413">
        <f ca="1">IF(IFERROR(VLOOKUP(C67,APU!H:N,4,0),0),VLOOKUP(C67,APU!H:N,4,0),0)</f>
        <v>204089.04599999997</v>
      </c>
      <c r="Q67" s="413">
        <f ca="1">IF(IFERROR(VLOOKUP(C67,APU!H:N,5,0),0),VLOOKUP(C67,APU!H:N,5,0),0)</f>
        <v>22484</v>
      </c>
      <c r="R67" s="413">
        <f ca="1">IF(IFERROR(VLOOKUP(C67,APU!H:N,6,0),0),VLOOKUP(C67,APU!H:N,6,0),0)</f>
        <v>4034.53125</v>
      </c>
      <c r="S67" s="413">
        <f ca="1">IF(IFERROR(VLOOKUP(C67,APU!H:N,7,0),0),VLOOKUP(C67,APU!H:N,7,0),0)</f>
        <v>4800</v>
      </c>
      <c r="T67" s="179"/>
      <c r="U67" s="413">
        <f t="shared" ca="1" si="2"/>
        <v>18832.606179999999</v>
      </c>
      <c r="V67" s="413">
        <f t="shared" ca="1" si="3"/>
        <v>18832.606179999999</v>
      </c>
      <c r="W67" s="413">
        <f t="shared" ca="1" si="4"/>
        <v>313.18531250000001</v>
      </c>
      <c r="X67" s="413">
        <f t="shared" ca="1" si="5"/>
        <v>4708.1515449999997</v>
      </c>
      <c r="Y67" s="413">
        <f t="shared" ca="1" si="6"/>
        <v>10169.607337199999</v>
      </c>
      <c r="Z67" s="413">
        <f ca="1">(P67+Q67+U67+V67+W67+X67+R67+S67)*$Z$14</f>
        <v>8342.8237940249983</v>
      </c>
      <c r="AA67" s="413">
        <f t="shared" ca="1" si="7"/>
        <v>296606.55759872502</v>
      </c>
      <c r="AB67" s="413">
        <f ca="1">V67*$AB$14</f>
        <v>3578.1951741999997</v>
      </c>
      <c r="AC67" s="413">
        <f ca="1">AA67*K67</f>
        <v>0</v>
      </c>
      <c r="AD67" s="413">
        <f ca="1">AB67*K67</f>
        <v>0</v>
      </c>
    </row>
    <row r="68" spans="2:30" s="168" customFormat="1" ht="30.75" hidden="1" customHeight="1">
      <c r="B68" s="329"/>
      <c r="C68" s="361">
        <v>1.53</v>
      </c>
      <c r="D68" s="488" t="s">
        <v>4763</v>
      </c>
      <c r="E68" s="489"/>
      <c r="F68" s="489"/>
      <c r="G68" s="489"/>
      <c r="H68" s="489"/>
      <c r="I68" s="490"/>
      <c r="J68" s="361" t="s">
        <v>4128</v>
      </c>
      <c r="K68" s="362"/>
      <c r="L68" s="333">
        <f t="shared" ca="1" si="1"/>
        <v>1486148.088083725</v>
      </c>
      <c r="M68" s="334">
        <f t="shared" ca="1" si="8"/>
        <v>0</v>
      </c>
      <c r="N68" s="335"/>
      <c r="O68" s="181"/>
      <c r="P68" s="413">
        <f ca="1">IF(IFERROR(VLOOKUP(C68,APU!H:N,4,0),0),VLOOKUP(C68,APU!H:N,4,0),0)</f>
        <v>1149219.7709999999</v>
      </c>
      <c r="Q68" s="413">
        <f ca="1">IF(IFERROR(VLOOKUP(C68,APU!H:N,5,0),0),VLOOKUP(C68,APU!H:N,5,0),0)</f>
        <v>22484</v>
      </c>
      <c r="R68" s="413">
        <f ca="1">IF(IFERROR(VLOOKUP(C68,APU!H:N,6,0),0),VLOOKUP(C68,APU!H:N,6,0),0)</f>
        <v>4034.53125</v>
      </c>
      <c r="S68" s="413">
        <f ca="1">IF(IFERROR(VLOOKUP(C68,APU!H:N,7,0),0),VLOOKUP(C68,APU!H:N,7,0),0)</f>
        <v>4800</v>
      </c>
      <c r="T68" s="179"/>
      <c r="U68" s="413">
        <f t="shared" ca="1" si="2"/>
        <v>94443.064180000001</v>
      </c>
      <c r="V68" s="413">
        <f t="shared" ca="1" si="3"/>
        <v>94443.064180000001</v>
      </c>
      <c r="W68" s="413">
        <f t="shared" ca="1" si="4"/>
        <v>313.18531250000001</v>
      </c>
      <c r="X68" s="413">
        <f t="shared" ca="1" si="5"/>
        <v>23610.766045</v>
      </c>
      <c r="Y68" s="413">
        <f t="shared" ca="1" si="6"/>
        <v>50999.254657199999</v>
      </c>
      <c r="Z68" s="413">
        <f ca="1">(P68+Q68+U68+V68+W68+X68+R68+S68)*$Z$14</f>
        <v>41800.451459024996</v>
      </c>
      <c r="AA68" s="413">
        <f t="shared" ca="1" si="7"/>
        <v>1486148.088083725</v>
      </c>
      <c r="AB68" s="413">
        <f ca="1">V68*$AB$14</f>
        <v>17944.182194199999</v>
      </c>
      <c r="AC68" s="413">
        <f ca="1">AA68*K68</f>
        <v>0</v>
      </c>
      <c r="AD68" s="413">
        <f ca="1">AB68*K68</f>
        <v>0</v>
      </c>
    </row>
    <row r="69" spans="2:30" s="168" customFormat="1" ht="30.75" hidden="1" customHeight="1">
      <c r="B69" s="329"/>
      <c r="C69" s="361">
        <v>1.54</v>
      </c>
      <c r="D69" s="488" t="s">
        <v>4764</v>
      </c>
      <c r="E69" s="489"/>
      <c r="F69" s="489"/>
      <c r="G69" s="489"/>
      <c r="H69" s="489"/>
      <c r="I69" s="490"/>
      <c r="J69" s="361" t="s">
        <v>4128</v>
      </c>
      <c r="K69" s="362"/>
      <c r="L69" s="333">
        <f t="shared" ca="1" si="1"/>
        <v>659058.18559872499</v>
      </c>
      <c r="M69" s="334">
        <f t="shared" ca="1" si="8"/>
        <v>0</v>
      </c>
      <c r="N69" s="335"/>
      <c r="O69" s="181"/>
      <c r="P69" s="413">
        <f ca="1">IF(IFERROR(VLOOKUP(C69,APU!H:N,4,0),0),VLOOKUP(C69,APU!H:N,4,0),0)</f>
        <v>492069.04599999997</v>
      </c>
      <c r="Q69" s="413">
        <f ca="1">IF(IFERROR(VLOOKUP(C69,APU!H:N,5,0),0),VLOOKUP(C69,APU!H:N,5,0),0)</f>
        <v>22484</v>
      </c>
      <c r="R69" s="413">
        <f ca="1">IF(IFERROR(VLOOKUP(C69,APU!H:N,6,0),0),VLOOKUP(C69,APU!H:N,6,0),0)</f>
        <v>4034.53125</v>
      </c>
      <c r="S69" s="413">
        <f ca="1">IF(IFERROR(VLOOKUP(C69,APU!H:N,7,0),0),VLOOKUP(C69,APU!H:N,7,0),0)</f>
        <v>4800</v>
      </c>
      <c r="T69" s="179"/>
      <c r="U69" s="413">
        <f t="shared" ca="1" si="2"/>
        <v>41871.006179999997</v>
      </c>
      <c r="V69" s="413">
        <f t="shared" ca="1" si="3"/>
        <v>41871.006179999997</v>
      </c>
      <c r="W69" s="413">
        <f t="shared" ca="1" si="4"/>
        <v>313.18531250000001</v>
      </c>
      <c r="X69" s="413">
        <f t="shared" ca="1" si="5"/>
        <v>10467.751544999999</v>
      </c>
      <c r="Y69" s="413">
        <f t="shared" ca="1" si="6"/>
        <v>22610.3433372</v>
      </c>
      <c r="Z69" s="413">
        <f ca="1">(P69+Q69+U69+V69+W69+X69+R69+S69)*$Z$14</f>
        <v>18537.315794024998</v>
      </c>
      <c r="AA69" s="413">
        <f t="shared" ca="1" si="7"/>
        <v>659058.18559872499</v>
      </c>
      <c r="AB69" s="413">
        <f ca="1">V69*$AB$14</f>
        <v>7955.4911741999995</v>
      </c>
      <c r="AC69" s="413">
        <f ca="1">AA69*K69</f>
        <v>0</v>
      </c>
      <c r="AD69" s="413">
        <f ca="1">AB69*K69</f>
        <v>0</v>
      </c>
    </row>
    <row r="70" spans="2:30" s="168" customFormat="1" ht="30.75" hidden="1" customHeight="1">
      <c r="B70" s="329"/>
      <c r="C70" s="361">
        <v>1.55</v>
      </c>
      <c r="D70" s="488" t="s">
        <v>4765</v>
      </c>
      <c r="E70" s="489"/>
      <c r="F70" s="489"/>
      <c r="G70" s="489"/>
      <c r="H70" s="489"/>
      <c r="I70" s="490"/>
      <c r="J70" s="361" t="s">
        <v>4128</v>
      </c>
      <c r="K70" s="362"/>
      <c r="L70" s="333">
        <f t="shared" ca="1" si="1"/>
        <v>260361.39479872497</v>
      </c>
      <c r="M70" s="334">
        <f t="shared" ca="1" si="8"/>
        <v>0</v>
      </c>
      <c r="N70" s="335"/>
      <c r="O70" s="181"/>
      <c r="P70" s="413">
        <f ca="1">IF(IFERROR(VLOOKUP(C70,APU!H:N,4,0),0),VLOOKUP(C70,APU!H:N,4,0),0)</f>
        <v>175291.04599999997</v>
      </c>
      <c r="Q70" s="413">
        <f ca="1">IF(IFERROR(VLOOKUP(C70,APU!H:N,5,0),0),VLOOKUP(C70,APU!H:N,5,0),0)</f>
        <v>22484</v>
      </c>
      <c r="R70" s="413">
        <f ca="1">IF(IFERROR(VLOOKUP(C70,APU!H:N,6,0),0),VLOOKUP(C70,APU!H:N,6,0),0)</f>
        <v>4034.53125</v>
      </c>
      <c r="S70" s="413">
        <f ca="1">IF(IFERROR(VLOOKUP(C70,APU!H:N,7,0),0),VLOOKUP(C70,APU!H:N,7,0),0)</f>
        <v>4800</v>
      </c>
      <c r="T70" s="179"/>
      <c r="U70" s="413">
        <f t="shared" ca="1" si="2"/>
        <v>16528.766179999999</v>
      </c>
      <c r="V70" s="413">
        <f t="shared" ca="1" si="3"/>
        <v>16528.766179999999</v>
      </c>
      <c r="W70" s="413">
        <f t="shared" ca="1" si="4"/>
        <v>313.18531250000001</v>
      </c>
      <c r="X70" s="413">
        <f t="shared" ca="1" si="5"/>
        <v>4132.1915449999997</v>
      </c>
      <c r="Y70" s="413">
        <f t="shared" ca="1" si="6"/>
        <v>8925.5337371999995</v>
      </c>
      <c r="Z70" s="413">
        <f ca="1">(P70+Q70+U70+V70+W70+X70+R70+S70)*$Z$14</f>
        <v>7323.3745940249992</v>
      </c>
      <c r="AA70" s="413">
        <f t="shared" ca="1" si="7"/>
        <v>260361.39479872497</v>
      </c>
      <c r="AB70" s="413">
        <f ca="1">V70*$AB$14</f>
        <v>3140.4655742</v>
      </c>
      <c r="AC70" s="413">
        <f ca="1">AA70*K70</f>
        <v>0</v>
      </c>
      <c r="AD70" s="413">
        <f ca="1">AB70*K70</f>
        <v>0</v>
      </c>
    </row>
    <row r="71" spans="2:30" s="168" customFormat="1" ht="30.75" hidden="1" customHeight="1">
      <c r="B71" s="329"/>
      <c r="C71" s="361">
        <v>1.56</v>
      </c>
      <c r="D71" s="488" t="s">
        <v>4766</v>
      </c>
      <c r="E71" s="489" t="s">
        <v>4766</v>
      </c>
      <c r="F71" s="489" t="s">
        <v>4766</v>
      </c>
      <c r="G71" s="489" t="s">
        <v>4766</v>
      </c>
      <c r="H71" s="489" t="s">
        <v>4766</v>
      </c>
      <c r="I71" s="490" t="s">
        <v>4766</v>
      </c>
      <c r="J71" s="361" t="s">
        <v>4128</v>
      </c>
      <c r="K71" s="362"/>
      <c r="L71" s="333">
        <f t="shared" ca="1" si="1"/>
        <v>724958.48159872519</v>
      </c>
      <c r="M71" s="334">
        <f t="shared" ca="1" si="8"/>
        <v>0</v>
      </c>
      <c r="N71" s="335"/>
      <c r="O71" s="181"/>
      <c r="P71" s="413">
        <f ca="1">IF(IFERROR(VLOOKUP(C71,APU!H:N,4,0),0),VLOOKUP(C71,APU!H:N,4,0),0)</f>
        <v>544429.04600000009</v>
      </c>
      <c r="Q71" s="413">
        <f ca="1">IF(IFERROR(VLOOKUP(C71,APU!H:N,5,0),0),VLOOKUP(C71,APU!H:N,5,0),0)</f>
        <v>22484</v>
      </c>
      <c r="R71" s="413">
        <f ca="1">IF(IFERROR(VLOOKUP(C71,APU!H:N,6,0),0),VLOOKUP(C71,APU!H:N,6,0),0)</f>
        <v>4034.53125</v>
      </c>
      <c r="S71" s="413">
        <f ca="1">IF(IFERROR(VLOOKUP(C71,APU!H:N,7,0),0),VLOOKUP(C71,APU!H:N,7,0),0)</f>
        <v>4800</v>
      </c>
      <c r="T71" s="179"/>
      <c r="U71" s="413">
        <f t="shared" ca="1" si="2"/>
        <v>46059.806180000007</v>
      </c>
      <c r="V71" s="413">
        <f t="shared" ca="1" si="3"/>
        <v>46059.806180000007</v>
      </c>
      <c r="W71" s="413">
        <f t="shared" ca="1" si="4"/>
        <v>313.18531250000001</v>
      </c>
      <c r="X71" s="413">
        <f t="shared" ca="1" si="5"/>
        <v>11514.951545000002</v>
      </c>
      <c r="Y71" s="413">
        <f t="shared" ca="1" si="6"/>
        <v>24872.295337200001</v>
      </c>
      <c r="Z71" s="413">
        <f ca="1">(P71+Q71+U71+V71+W71+X71+R71+S71)*$Z$14</f>
        <v>20390.859794024997</v>
      </c>
      <c r="AA71" s="413">
        <f t="shared" ca="1" si="7"/>
        <v>724958.48159872519</v>
      </c>
      <c r="AB71" s="413">
        <f ca="1">V71*$AB$14</f>
        <v>8751.3631742000016</v>
      </c>
      <c r="AC71" s="413">
        <f ca="1">AA71*K71</f>
        <v>0</v>
      </c>
      <c r="AD71" s="413">
        <f ca="1">AB71*K71</f>
        <v>0</v>
      </c>
    </row>
    <row r="72" spans="2:30" s="168" customFormat="1" ht="30.75" hidden="1" customHeight="1">
      <c r="B72" s="329"/>
      <c r="C72" s="361">
        <v>1.57</v>
      </c>
      <c r="D72" s="488" t="s">
        <v>4767</v>
      </c>
      <c r="E72" s="489" t="s">
        <v>4767</v>
      </c>
      <c r="F72" s="489" t="s">
        <v>4767</v>
      </c>
      <c r="G72" s="489" t="s">
        <v>4767</v>
      </c>
      <c r="H72" s="489" t="s">
        <v>4767</v>
      </c>
      <c r="I72" s="490" t="s">
        <v>4767</v>
      </c>
      <c r="J72" s="361" t="s">
        <v>4128</v>
      </c>
      <c r="K72" s="362"/>
      <c r="L72" s="333">
        <f t="shared" ca="1" si="1"/>
        <v>1072582.5429987251</v>
      </c>
      <c r="M72" s="334">
        <f t="shared" ca="1" si="8"/>
        <v>0</v>
      </c>
      <c r="N72" s="335"/>
      <c r="O72" s="181"/>
      <c r="P72" s="413">
        <f ca="1">IF(IFERROR(VLOOKUP(C72,APU!H:N,4,0),0),VLOOKUP(C72,APU!H:N,4,0),0)</f>
        <v>820628.04599999997</v>
      </c>
      <c r="Q72" s="413">
        <f ca="1">IF(IFERROR(VLOOKUP(C72,APU!H:N,5,0),0),VLOOKUP(C72,APU!H:N,5,0),0)</f>
        <v>22484</v>
      </c>
      <c r="R72" s="413">
        <f ca="1">IF(IFERROR(VLOOKUP(C72,APU!H:N,6,0),0),VLOOKUP(C72,APU!H:N,6,0),0)</f>
        <v>4034.53125</v>
      </c>
      <c r="S72" s="413">
        <f ca="1">IF(IFERROR(VLOOKUP(C72,APU!H:N,7,0),0),VLOOKUP(C72,APU!H:N,7,0),0)</f>
        <v>4800</v>
      </c>
      <c r="T72" s="179"/>
      <c r="U72" s="413">
        <f t="shared" ca="1" si="2"/>
        <v>68155.726179999998</v>
      </c>
      <c r="V72" s="413">
        <f t="shared" ca="1" si="3"/>
        <v>68155.726179999998</v>
      </c>
      <c r="W72" s="413">
        <f t="shared" ca="1" si="4"/>
        <v>313.18531250000001</v>
      </c>
      <c r="X72" s="413">
        <f t="shared" ca="1" si="5"/>
        <v>17038.931544999999</v>
      </c>
      <c r="Y72" s="413">
        <f t="shared" ca="1" si="6"/>
        <v>36804.092137200001</v>
      </c>
      <c r="Z72" s="413">
        <f ca="1">(P72+Q72+U72+V72+W72+X72+R72+S72)*$Z$14</f>
        <v>30168.304394024995</v>
      </c>
      <c r="AA72" s="413">
        <f t="shared" ca="1" si="7"/>
        <v>1072582.5429987251</v>
      </c>
      <c r="AB72" s="413">
        <f ca="1">V72*$AB$14</f>
        <v>12949.5879742</v>
      </c>
      <c r="AC72" s="413">
        <f ca="1">AA72*K72</f>
        <v>0</v>
      </c>
      <c r="AD72" s="413">
        <f ca="1">AB72*K72</f>
        <v>0</v>
      </c>
    </row>
    <row r="73" spans="2:30" s="168" customFormat="1" ht="30.75" hidden="1" customHeight="1">
      <c r="B73" s="329"/>
      <c r="C73" s="361">
        <v>1.58</v>
      </c>
      <c r="D73" s="488" t="s">
        <v>4768</v>
      </c>
      <c r="E73" s="489" t="s">
        <v>4768</v>
      </c>
      <c r="F73" s="489" t="s">
        <v>4768</v>
      </c>
      <c r="G73" s="489" t="s">
        <v>4768</v>
      </c>
      <c r="H73" s="489" t="s">
        <v>4768</v>
      </c>
      <c r="I73" s="490" t="s">
        <v>4768</v>
      </c>
      <c r="J73" s="361" t="s">
        <v>4128</v>
      </c>
      <c r="K73" s="362"/>
      <c r="L73" s="333">
        <f t="shared" ca="1" si="1"/>
        <v>1135023.0734587251</v>
      </c>
      <c r="M73" s="334">
        <f t="shared" ca="1" si="8"/>
        <v>0</v>
      </c>
      <c r="N73" s="335"/>
      <c r="O73" s="181"/>
      <c r="P73" s="413">
        <f ca="1">IF(IFERROR(VLOOKUP(C73,APU!H:N,4,0),0),VLOOKUP(C73,APU!H:N,4,0),0)</f>
        <v>870239.14600000007</v>
      </c>
      <c r="Q73" s="413">
        <f ca="1">IF(IFERROR(VLOOKUP(C73,APU!H:N,5,0),0),VLOOKUP(C73,APU!H:N,5,0),0)</f>
        <v>22484</v>
      </c>
      <c r="R73" s="413">
        <f ca="1">IF(IFERROR(VLOOKUP(C73,APU!H:N,6,0),0),VLOOKUP(C73,APU!H:N,6,0),0)</f>
        <v>4034.53125</v>
      </c>
      <c r="S73" s="413">
        <f ca="1">IF(IFERROR(VLOOKUP(C73,APU!H:N,7,0),0),VLOOKUP(C73,APU!H:N,7,0),0)</f>
        <v>4800</v>
      </c>
      <c r="T73" s="179"/>
      <c r="U73" s="413">
        <f t="shared" ca="1" si="2"/>
        <v>72124.614180000004</v>
      </c>
      <c r="V73" s="413">
        <f t="shared" ca="1" si="3"/>
        <v>72124.614180000004</v>
      </c>
      <c r="W73" s="413">
        <f t="shared" ca="1" si="4"/>
        <v>313.18531250000001</v>
      </c>
      <c r="X73" s="413">
        <f t="shared" ca="1" si="5"/>
        <v>18031.153545000001</v>
      </c>
      <c r="Y73" s="413">
        <f t="shared" ca="1" si="6"/>
        <v>38947.291657200003</v>
      </c>
      <c r="Z73" s="413">
        <f ca="1">(P73+Q73+U73+V73+W73+X73+R73+S73)*$Z$14</f>
        <v>31924.537334025004</v>
      </c>
      <c r="AA73" s="413">
        <f t="shared" ca="1" si="7"/>
        <v>1135023.0734587251</v>
      </c>
      <c r="AB73" s="413">
        <f ca="1">V73*$AB$14</f>
        <v>13703.676694200001</v>
      </c>
      <c r="AC73" s="413">
        <f ca="1">AA73*K73</f>
        <v>0</v>
      </c>
      <c r="AD73" s="413">
        <f ca="1">AB73*K73</f>
        <v>0</v>
      </c>
    </row>
    <row r="74" spans="2:30" s="168" customFormat="1" ht="30.75" hidden="1" customHeight="1">
      <c r="B74" s="329"/>
      <c r="C74" s="361">
        <v>1.59</v>
      </c>
      <c r="D74" s="488" t="s">
        <v>4769</v>
      </c>
      <c r="E74" s="489" t="s">
        <v>4769</v>
      </c>
      <c r="F74" s="489" t="s">
        <v>4769</v>
      </c>
      <c r="G74" s="489" t="s">
        <v>4769</v>
      </c>
      <c r="H74" s="489" t="s">
        <v>4769</v>
      </c>
      <c r="I74" s="490" t="s">
        <v>4769</v>
      </c>
      <c r="J74" s="361" t="s">
        <v>4128</v>
      </c>
      <c r="K74" s="362"/>
      <c r="L74" s="333">
        <f t="shared" ca="1" si="1"/>
        <v>1135023.0734587251</v>
      </c>
      <c r="M74" s="334">
        <f t="shared" ca="1" si="8"/>
        <v>0</v>
      </c>
      <c r="N74" s="335"/>
      <c r="O74" s="181"/>
      <c r="P74" s="413">
        <f ca="1">IF(IFERROR(VLOOKUP(C74,APU!H:N,4,0),0),VLOOKUP(C74,APU!H:N,4,0),0)</f>
        <v>870239.14600000007</v>
      </c>
      <c r="Q74" s="413">
        <f ca="1">IF(IFERROR(VLOOKUP(C74,APU!H:N,5,0),0),VLOOKUP(C74,APU!H:N,5,0),0)</f>
        <v>22484</v>
      </c>
      <c r="R74" s="413">
        <f ca="1">IF(IFERROR(VLOOKUP(C74,APU!H:N,6,0),0),VLOOKUP(C74,APU!H:N,6,0),0)</f>
        <v>4034.53125</v>
      </c>
      <c r="S74" s="413">
        <f ca="1">IF(IFERROR(VLOOKUP(C74,APU!H:N,7,0),0),VLOOKUP(C74,APU!H:N,7,0),0)</f>
        <v>4800</v>
      </c>
      <c r="T74" s="179"/>
      <c r="U74" s="413">
        <f t="shared" ca="1" si="2"/>
        <v>72124.614180000004</v>
      </c>
      <c r="V74" s="413">
        <f t="shared" ca="1" si="3"/>
        <v>72124.614180000004</v>
      </c>
      <c r="W74" s="413">
        <f t="shared" ca="1" si="4"/>
        <v>313.18531250000001</v>
      </c>
      <c r="X74" s="413">
        <f t="shared" ca="1" si="5"/>
        <v>18031.153545000001</v>
      </c>
      <c r="Y74" s="413">
        <f t="shared" ca="1" si="6"/>
        <v>38947.291657200003</v>
      </c>
      <c r="Z74" s="413">
        <f ca="1">(P74+Q74+U74+V74+W74+X74+R74+S74)*$Z$14</f>
        <v>31924.537334025004</v>
      </c>
      <c r="AA74" s="413">
        <f t="shared" ca="1" si="7"/>
        <v>1135023.0734587251</v>
      </c>
      <c r="AB74" s="413">
        <f ca="1">V74*$AB$14</f>
        <v>13703.676694200001</v>
      </c>
      <c r="AC74" s="413">
        <f ca="1">AA74*K74</f>
        <v>0</v>
      </c>
      <c r="AD74" s="413">
        <f ca="1">AB74*K74</f>
        <v>0</v>
      </c>
    </row>
    <row r="75" spans="2:30" s="168" customFormat="1" ht="30.75" hidden="1" customHeight="1">
      <c r="B75" s="329"/>
      <c r="C75" s="361" t="s">
        <v>4775</v>
      </c>
      <c r="D75" s="488" t="s">
        <v>4770</v>
      </c>
      <c r="E75" s="489" t="s">
        <v>4770</v>
      </c>
      <c r="F75" s="489" t="s">
        <v>4770</v>
      </c>
      <c r="G75" s="489" t="s">
        <v>4770</v>
      </c>
      <c r="H75" s="489" t="s">
        <v>4770</v>
      </c>
      <c r="I75" s="490" t="s">
        <v>4770</v>
      </c>
      <c r="J75" s="361" t="s">
        <v>4128</v>
      </c>
      <c r="K75" s="362"/>
      <c r="L75" s="333">
        <f t="shared" ca="1" si="1"/>
        <v>1155616.9159587249</v>
      </c>
      <c r="M75" s="334">
        <f t="shared" ca="1" si="8"/>
        <v>0</v>
      </c>
      <c r="N75" s="335"/>
      <c r="O75" s="181"/>
      <c r="P75" s="413">
        <f ca="1">IF(IFERROR(VLOOKUP(C75,APU!H:N,4,0),0),VLOOKUP(C75,APU!H:N,4,0),0)</f>
        <v>886601.64600000007</v>
      </c>
      <c r="Q75" s="413">
        <f ca="1">IF(IFERROR(VLOOKUP(C75,APU!H:N,5,0),0),VLOOKUP(C75,APU!H:N,5,0),0)</f>
        <v>22484</v>
      </c>
      <c r="R75" s="413">
        <f ca="1">IF(IFERROR(VLOOKUP(C75,APU!H:N,6,0),0),VLOOKUP(C75,APU!H:N,6,0),0)</f>
        <v>4034.53125</v>
      </c>
      <c r="S75" s="413">
        <f ca="1">IF(IFERROR(VLOOKUP(C75,APU!H:N,7,0),0),VLOOKUP(C75,APU!H:N,7,0),0)</f>
        <v>4800</v>
      </c>
      <c r="T75" s="179"/>
      <c r="U75" s="413">
        <f t="shared" ca="1" si="2"/>
        <v>73433.614180000004</v>
      </c>
      <c r="V75" s="413">
        <f t="shared" ca="1" si="3"/>
        <v>73433.614180000004</v>
      </c>
      <c r="W75" s="413">
        <f t="shared" ca="1" si="4"/>
        <v>313.18531250000001</v>
      </c>
      <c r="X75" s="413">
        <f t="shared" ca="1" si="5"/>
        <v>18358.403545000001</v>
      </c>
      <c r="Y75" s="413">
        <f t="shared" ca="1" si="6"/>
        <v>39654.151657200004</v>
      </c>
      <c r="Z75" s="413">
        <f ca="1">(P75+Q75+U75+V75+W75+X75+R75+S75)*$Z$14</f>
        <v>32503.769834024995</v>
      </c>
      <c r="AA75" s="413">
        <f t="shared" ca="1" si="7"/>
        <v>1155616.9159587249</v>
      </c>
      <c r="AB75" s="413">
        <f ca="1">V75*$AB$14</f>
        <v>13952.3866942</v>
      </c>
      <c r="AC75" s="413">
        <f ca="1">AA75*K75</f>
        <v>0</v>
      </c>
      <c r="AD75" s="413">
        <f ca="1">AB75*K75</f>
        <v>0</v>
      </c>
    </row>
    <row r="76" spans="2:30" s="168" customFormat="1" ht="30.75" customHeight="1">
      <c r="B76" s="329"/>
      <c r="C76" s="361">
        <v>1.61</v>
      </c>
      <c r="D76" s="488" t="s">
        <v>4771</v>
      </c>
      <c r="E76" s="489" t="s">
        <v>4771</v>
      </c>
      <c r="F76" s="489" t="s">
        <v>4771</v>
      </c>
      <c r="G76" s="489" t="s">
        <v>4771</v>
      </c>
      <c r="H76" s="489" t="s">
        <v>4771</v>
      </c>
      <c r="I76" s="490" t="s">
        <v>4771</v>
      </c>
      <c r="J76" s="361" t="s">
        <v>4128</v>
      </c>
      <c r="K76" s="362">
        <v>1</v>
      </c>
      <c r="L76" s="333">
        <f t="shared" ca="1" si="1"/>
        <v>1135449.118872365</v>
      </c>
      <c r="M76" s="334">
        <f t="shared" ca="1" si="8"/>
        <v>1135449.118872365</v>
      </c>
      <c r="N76" s="335"/>
      <c r="O76" s="181"/>
      <c r="P76" s="413">
        <f ca="1">IF(IFERROR(VLOOKUP(C76,APU!H:N,4,0),0),VLOOKUP(C76,APU!H:N,4,0),0)</f>
        <v>870577.65339999995</v>
      </c>
      <c r="Q76" s="413">
        <f ca="1">IF(IFERROR(VLOOKUP(C76,APU!H:N,5,0),0),VLOOKUP(C76,APU!H:N,5,0),0)</f>
        <v>22484</v>
      </c>
      <c r="R76" s="413">
        <f ca="1">IF(IFERROR(VLOOKUP(C76,APU!H:N,6,0),0),VLOOKUP(C76,APU!H:N,6,0),0)</f>
        <v>4034.53125</v>
      </c>
      <c r="S76" s="413">
        <f ca="1">IF(IFERROR(VLOOKUP(C76,APU!H:N,7,0),0),VLOOKUP(C76,APU!H:N,7,0),0)</f>
        <v>4800</v>
      </c>
      <c r="T76" s="179"/>
      <c r="U76" s="413">
        <f t="shared" ca="1" si="2"/>
        <v>72151.694772000003</v>
      </c>
      <c r="V76" s="413">
        <f t="shared" ca="1" si="3"/>
        <v>72151.694772000003</v>
      </c>
      <c r="W76" s="413">
        <f t="shared" ca="1" si="4"/>
        <v>313.18531250000001</v>
      </c>
      <c r="X76" s="413">
        <f t="shared" ca="1" si="5"/>
        <v>18037.923693000001</v>
      </c>
      <c r="Y76" s="413">
        <f t="shared" ca="1" si="6"/>
        <v>38961.91517688</v>
      </c>
      <c r="Z76" s="413">
        <f ca="1">(P76+Q76+U76+V76+W76+X76+R76+S76)*$Z$14</f>
        <v>31936.520495984998</v>
      </c>
      <c r="AA76" s="413">
        <f t="shared" ca="1" si="7"/>
        <v>1135449.118872365</v>
      </c>
      <c r="AB76" s="413">
        <f ca="1">V76*$AB$14</f>
        <v>13708.82200668</v>
      </c>
      <c r="AC76" s="413">
        <f ca="1">AA76*K76</f>
        <v>1135449.118872365</v>
      </c>
      <c r="AD76" s="413">
        <f ca="1">AB76*K76</f>
        <v>13708.82200668</v>
      </c>
    </row>
    <row r="77" spans="2:30" s="168" customFormat="1" ht="30.75" hidden="1" customHeight="1">
      <c r="B77" s="329"/>
      <c r="C77" s="361">
        <v>1.62</v>
      </c>
      <c r="D77" s="488" t="s">
        <v>4772</v>
      </c>
      <c r="E77" s="489" t="s">
        <v>4772</v>
      </c>
      <c r="F77" s="489" t="s">
        <v>4772</v>
      </c>
      <c r="G77" s="489" t="s">
        <v>4772</v>
      </c>
      <c r="H77" s="489" t="s">
        <v>4772</v>
      </c>
      <c r="I77" s="490" t="s">
        <v>4772</v>
      </c>
      <c r="J77" s="361" t="s">
        <v>4128</v>
      </c>
      <c r="K77" s="362"/>
      <c r="L77" s="333">
        <f t="shared" ca="1" si="1"/>
        <v>1287911.760178725</v>
      </c>
      <c r="M77" s="334">
        <f t="shared" ca="1" si="8"/>
        <v>0</v>
      </c>
      <c r="N77" s="335"/>
      <c r="O77" s="181"/>
      <c r="P77" s="413">
        <f ca="1">IF(IFERROR(VLOOKUP(C77,APU!H:N,4,0),0),VLOOKUP(C77,APU!H:N,4,0),0)</f>
        <v>991714.34600000002</v>
      </c>
      <c r="Q77" s="413">
        <f ca="1">IF(IFERROR(VLOOKUP(C77,APU!H:N,5,0),0),VLOOKUP(C77,APU!H:N,5,0),0)</f>
        <v>22484</v>
      </c>
      <c r="R77" s="413">
        <f ca="1">IF(IFERROR(VLOOKUP(C77,APU!H:N,6,0),0),VLOOKUP(C77,APU!H:N,6,0),0)</f>
        <v>4034.53125</v>
      </c>
      <c r="S77" s="413">
        <f ca="1">IF(IFERROR(VLOOKUP(C77,APU!H:N,7,0),0),VLOOKUP(C77,APU!H:N,7,0),0)</f>
        <v>4800</v>
      </c>
      <c r="T77" s="179"/>
      <c r="U77" s="413">
        <f t="shared" ca="1" si="2"/>
        <v>81842.630180000007</v>
      </c>
      <c r="V77" s="413">
        <f t="shared" ca="1" si="3"/>
        <v>81842.630180000007</v>
      </c>
      <c r="W77" s="413">
        <f t="shared" ca="1" si="4"/>
        <v>313.18531250000001</v>
      </c>
      <c r="X77" s="413">
        <f t="shared" ca="1" si="5"/>
        <v>20460.657545000002</v>
      </c>
      <c r="Y77" s="413">
        <f t="shared" ca="1" si="6"/>
        <v>44195.020297200004</v>
      </c>
      <c r="Z77" s="413">
        <f ca="1">(P77+Q77+U77+V77+W77+X77+R77+S77)*$Z$14</f>
        <v>36224.759414025</v>
      </c>
      <c r="AA77" s="413">
        <f t="shared" ca="1" si="7"/>
        <v>1287911.760178725</v>
      </c>
      <c r="AB77" s="413">
        <f ca="1">V77*$AB$14</f>
        <v>15550.099734200001</v>
      </c>
      <c r="AC77" s="413">
        <f ca="1">AA77*K77</f>
        <v>0</v>
      </c>
      <c r="AD77" s="413">
        <f ca="1">AB77*K77</f>
        <v>0</v>
      </c>
    </row>
    <row r="78" spans="2:30" s="168" customFormat="1" ht="30.75" customHeight="1">
      <c r="B78" s="329"/>
      <c r="C78" s="361">
        <v>1.63</v>
      </c>
      <c r="D78" s="488" t="s">
        <v>4773</v>
      </c>
      <c r="E78" s="489" t="s">
        <v>4773</v>
      </c>
      <c r="F78" s="489" t="s">
        <v>4773</v>
      </c>
      <c r="G78" s="489" t="s">
        <v>4773</v>
      </c>
      <c r="H78" s="489" t="s">
        <v>4773</v>
      </c>
      <c r="I78" s="490" t="s">
        <v>4773</v>
      </c>
      <c r="J78" s="361" t="s">
        <v>4128</v>
      </c>
      <c r="K78" s="362">
        <v>1</v>
      </c>
      <c r="L78" s="333">
        <f t="shared" ca="1" si="1"/>
        <v>1457440.271638725</v>
      </c>
      <c r="M78" s="334">
        <f t="shared" ca="1" si="8"/>
        <v>1457440.271638725</v>
      </c>
      <c r="N78" s="335"/>
      <c r="O78" s="181"/>
      <c r="P78" s="413">
        <f ca="1">IF(IFERROR(VLOOKUP(C78,APU!H:N,4,0),0),VLOOKUP(C78,APU!H:N,4,0),0)</f>
        <v>1126410.446</v>
      </c>
      <c r="Q78" s="413">
        <f ca="1">IF(IFERROR(VLOOKUP(C78,APU!H:N,5,0),0),VLOOKUP(C78,APU!H:N,5,0),0)</f>
        <v>22484</v>
      </c>
      <c r="R78" s="413">
        <f ca="1">IF(IFERROR(VLOOKUP(C78,APU!H:N,6,0),0),VLOOKUP(C78,APU!H:N,6,0),0)</f>
        <v>4034.53125</v>
      </c>
      <c r="S78" s="413">
        <f ca="1">IF(IFERROR(VLOOKUP(C78,APU!H:N,7,0),0),VLOOKUP(C78,APU!H:N,7,0),0)</f>
        <v>4800</v>
      </c>
      <c r="T78" s="179"/>
      <c r="U78" s="413">
        <f t="shared" ca="1" si="2"/>
        <v>92618.318180000002</v>
      </c>
      <c r="V78" s="413">
        <f t="shared" ca="1" si="3"/>
        <v>92618.318180000002</v>
      </c>
      <c r="W78" s="413">
        <f t="shared" ca="1" si="4"/>
        <v>313.18531250000001</v>
      </c>
      <c r="X78" s="413">
        <f t="shared" ca="1" si="5"/>
        <v>23154.579545000001</v>
      </c>
      <c r="Y78" s="413">
        <f t="shared" ca="1" si="6"/>
        <v>50013.891817199998</v>
      </c>
      <c r="Z78" s="413">
        <f ca="1">(P78+Q78+U78+V78+W78+X78+R78+S78)*$Z$14</f>
        <v>40993.001354025</v>
      </c>
      <c r="AA78" s="413">
        <f t="shared" ca="1" si="7"/>
        <v>1457440.271638725</v>
      </c>
      <c r="AB78" s="413">
        <f ca="1">V78*$AB$14</f>
        <v>17597.480454200002</v>
      </c>
      <c r="AC78" s="413">
        <f ca="1">AA78*K78</f>
        <v>1457440.271638725</v>
      </c>
      <c r="AD78" s="413">
        <f ca="1">AB78*K78</f>
        <v>17597.480454200002</v>
      </c>
    </row>
    <row r="79" spans="2:30" s="168" customFormat="1" ht="30.75" customHeight="1">
      <c r="B79" s="329"/>
      <c r="C79" s="361">
        <v>1.64</v>
      </c>
      <c r="D79" s="488" t="s">
        <v>4774</v>
      </c>
      <c r="E79" s="489" t="s">
        <v>4774</v>
      </c>
      <c r="F79" s="489" t="s">
        <v>4774</v>
      </c>
      <c r="G79" s="489" t="s">
        <v>4774</v>
      </c>
      <c r="H79" s="489" t="s">
        <v>4774</v>
      </c>
      <c r="I79" s="490" t="s">
        <v>4774</v>
      </c>
      <c r="J79" s="361" t="s">
        <v>4128</v>
      </c>
      <c r="K79" s="362">
        <v>1</v>
      </c>
      <c r="L79" s="333">
        <f t="shared" ca="1" si="1"/>
        <v>1709133.6016530048</v>
      </c>
      <c r="M79" s="334">
        <f t="shared" ca="1" si="8"/>
        <v>1709133.6016530048</v>
      </c>
      <c r="N79" s="335"/>
      <c r="O79" s="181"/>
      <c r="P79" s="413">
        <f ca="1">IF(IFERROR(VLOOKUP(C79,APU!H:N,4,0),0),VLOOKUP(C79,APU!H:N,4,0),0)</f>
        <v>1326389.2557999997</v>
      </c>
      <c r="Q79" s="413">
        <f ca="1">IF(IFERROR(VLOOKUP(C79,APU!H:N,5,0),0),VLOOKUP(C79,APU!H:N,5,0),0)</f>
        <v>22484</v>
      </c>
      <c r="R79" s="413">
        <f ca="1">IF(IFERROR(VLOOKUP(C79,APU!H:N,6,0),0),VLOOKUP(C79,APU!H:N,6,0),0)</f>
        <v>4034.53125</v>
      </c>
      <c r="S79" s="413">
        <f ca="1">IF(IFERROR(VLOOKUP(C79,APU!H:N,7,0),0),VLOOKUP(C79,APU!H:N,7,0),0)</f>
        <v>4800</v>
      </c>
      <c r="T79" s="179"/>
      <c r="U79" s="413">
        <f t="shared" ca="1" si="2"/>
        <v>108616.62296399998</v>
      </c>
      <c r="V79" s="413">
        <f t="shared" ca="1" si="3"/>
        <v>108616.62296399998</v>
      </c>
      <c r="W79" s="413">
        <f t="shared" ca="1" si="4"/>
        <v>313.18531250000001</v>
      </c>
      <c r="X79" s="413">
        <f t="shared" ca="1" si="5"/>
        <v>27154.155740999995</v>
      </c>
      <c r="Y79" s="413">
        <f t="shared" ca="1" si="6"/>
        <v>58652.976400559994</v>
      </c>
      <c r="Z79" s="413">
        <f ca="1">(P79+Q79+U79+V79+W79+X79+R79+S79)*$Z$14</f>
        <v>48072.251220944992</v>
      </c>
      <c r="AA79" s="413">
        <f t="shared" ca="1" si="7"/>
        <v>1709133.6016530048</v>
      </c>
      <c r="AB79" s="413">
        <f ca="1">V79*$AB$14</f>
        <v>20637.158363159997</v>
      </c>
      <c r="AC79" s="413">
        <f ca="1">AA79*K79</f>
        <v>1709133.6016530048</v>
      </c>
      <c r="AD79" s="413">
        <f ca="1">AB79*K79</f>
        <v>20637.158363159997</v>
      </c>
    </row>
    <row r="80" spans="2:30" s="168" customFormat="1" ht="30.75" hidden="1" customHeight="1">
      <c r="B80" s="329"/>
      <c r="C80" s="361">
        <v>1.65</v>
      </c>
      <c r="D80" s="488" t="s">
        <v>4776</v>
      </c>
      <c r="E80" s="489"/>
      <c r="F80" s="489"/>
      <c r="G80" s="489"/>
      <c r="H80" s="489"/>
      <c r="I80" s="490"/>
      <c r="J80" s="361" t="s">
        <v>4128</v>
      </c>
      <c r="K80" s="362"/>
      <c r="L80" s="333">
        <f t="shared" ca="1" si="1"/>
        <v>4654263.6305987258</v>
      </c>
      <c r="M80" s="334">
        <f t="shared" ca="1" si="8"/>
        <v>0</v>
      </c>
      <c r="N80" s="335"/>
      <c r="O80" s="181"/>
      <c r="P80" s="413">
        <f ca="1">IF(IFERROR(VLOOKUP(C80,APU!H:N,4,0),0),VLOOKUP(C80,APU!H:N,4,0),0)</f>
        <v>3666394.0460000006</v>
      </c>
      <c r="Q80" s="413">
        <f ca="1">IF(IFERROR(VLOOKUP(C80,APU!H:N,5,0),0),VLOOKUP(C80,APU!H:N,5,0),0)</f>
        <v>22484</v>
      </c>
      <c r="R80" s="413">
        <f ca="1">IF(IFERROR(VLOOKUP(C80,APU!H:N,6,0),0),VLOOKUP(C80,APU!H:N,6,0),0)</f>
        <v>4034.53125</v>
      </c>
      <c r="S80" s="413">
        <f ca="1">IF(IFERROR(VLOOKUP(C80,APU!H:N,7,0),0),VLOOKUP(C80,APU!H:N,7,0),0)</f>
        <v>4800</v>
      </c>
      <c r="T80" s="179"/>
      <c r="U80" s="413">
        <f t="shared" ca="1" si="2"/>
        <v>295817.00618000003</v>
      </c>
      <c r="V80" s="413">
        <f t="shared" ca="1" si="3"/>
        <v>295817.00618000003</v>
      </c>
      <c r="W80" s="413">
        <f t="shared" ca="1" si="4"/>
        <v>313.18531250000001</v>
      </c>
      <c r="X80" s="413">
        <f t="shared" ca="1" si="5"/>
        <v>73954.251545000006</v>
      </c>
      <c r="Y80" s="413">
        <f t="shared" ca="1" si="6"/>
        <v>159741.18333720003</v>
      </c>
      <c r="Z80" s="413">
        <f ca="1">(P80+Q80+U80+V80+W80+X80+R80+S80)*$Z$14</f>
        <v>130908.42079402503</v>
      </c>
      <c r="AA80" s="413">
        <f t="shared" ca="1" si="7"/>
        <v>4654263.6305987258</v>
      </c>
      <c r="AB80" s="413">
        <f ca="1">V80*$AB$14</f>
        <v>56205.231174200002</v>
      </c>
      <c r="AC80" s="413">
        <f ca="1">AA80*K80</f>
        <v>0</v>
      </c>
      <c r="AD80" s="413">
        <f ca="1">AB80*K80</f>
        <v>0</v>
      </c>
    </row>
    <row r="81" spans="2:30" s="168" customFormat="1" ht="30.75" hidden="1" customHeight="1">
      <c r="B81" s="329"/>
      <c r="C81" s="361">
        <v>1.66</v>
      </c>
      <c r="D81" s="488" t="s">
        <v>4785</v>
      </c>
      <c r="E81" s="489"/>
      <c r="F81" s="489"/>
      <c r="G81" s="489"/>
      <c r="H81" s="489"/>
      <c r="I81" s="490"/>
      <c r="J81" s="361" t="s">
        <v>4128</v>
      </c>
      <c r="K81" s="362"/>
      <c r="L81" s="333">
        <f t="shared" ca="1" si="1"/>
        <v>447162.52361372503</v>
      </c>
      <c r="M81" s="334">
        <f t="shared" ca="1" si="8"/>
        <v>0</v>
      </c>
      <c r="N81" s="335"/>
      <c r="O81" s="181"/>
      <c r="P81" s="413">
        <f ca="1">IF(IFERROR(VLOOKUP(C81,APU!H:N,4,0),0),VLOOKUP(C81,APU!H:N,4,0),0)</f>
        <v>323710.821</v>
      </c>
      <c r="Q81" s="413">
        <f ca="1">IF(IFERROR(VLOOKUP(C81,APU!H:N,5,0),0),VLOOKUP(C81,APU!H:N,5,0),0)</f>
        <v>22484</v>
      </c>
      <c r="R81" s="413">
        <f ca="1">IF(IFERROR(VLOOKUP(C81,APU!H:N,6,0),0),VLOOKUP(C81,APU!H:N,6,0),0)</f>
        <v>4034.53125</v>
      </c>
      <c r="S81" s="413">
        <f ca="1">IF(IFERROR(VLOOKUP(C81,APU!H:N,7,0),0),VLOOKUP(C81,APU!H:N,7,0),0)</f>
        <v>4800</v>
      </c>
      <c r="T81" s="179"/>
      <c r="U81" s="413">
        <f t="shared" ca="1" si="2"/>
        <v>28402.348180000001</v>
      </c>
      <c r="V81" s="413">
        <f t="shared" ca="1" si="3"/>
        <v>28402.348180000001</v>
      </c>
      <c r="W81" s="413">
        <f t="shared" ca="1" si="4"/>
        <v>313.18531250000001</v>
      </c>
      <c r="X81" s="413">
        <f t="shared" ca="1" si="5"/>
        <v>7100.5870450000002</v>
      </c>
      <c r="Y81" s="413">
        <f t="shared" ca="1" si="6"/>
        <v>15337.268017199998</v>
      </c>
      <c r="Z81" s="413">
        <f ca="1">(P81+Q81+U81+V81+W81+X81+R81+S81)*$Z$14</f>
        <v>12577.434629024998</v>
      </c>
      <c r="AA81" s="413">
        <f t="shared" ca="1" si="7"/>
        <v>447162.52361372503</v>
      </c>
      <c r="AB81" s="413">
        <f ca="1">V81*$AB$14</f>
        <v>5396.4461541999999</v>
      </c>
      <c r="AC81" s="413">
        <f ca="1">AA81*K81</f>
        <v>0</v>
      </c>
      <c r="AD81" s="413">
        <f ca="1">AB81*K81</f>
        <v>0</v>
      </c>
    </row>
    <row r="82" spans="2:30" s="168" customFormat="1" ht="30.75" hidden="1" customHeight="1">
      <c r="B82" s="329"/>
      <c r="C82" s="361">
        <v>1.67</v>
      </c>
      <c r="D82" s="488" t="s">
        <v>4786</v>
      </c>
      <c r="E82" s="489"/>
      <c r="F82" s="489"/>
      <c r="G82" s="489"/>
      <c r="H82" s="489"/>
      <c r="I82" s="490"/>
      <c r="J82" s="361" t="s">
        <v>4128</v>
      </c>
      <c r="K82" s="362"/>
      <c r="L82" s="333">
        <f t="shared" ref="L82:L154" ca="1" si="9">AA82</f>
        <v>1143714.2015116534</v>
      </c>
      <c r="M82" s="334">
        <f t="shared" ca="1" si="8"/>
        <v>0</v>
      </c>
      <c r="N82" s="335"/>
      <c r="O82" s="181"/>
      <c r="P82" s="413">
        <f ca="1">IF(IFERROR(VLOOKUP(C82,APU!H:N,4,0),0),VLOOKUP(C82,APU!H:N,4,0),0)</f>
        <v>877144.53933618963</v>
      </c>
      <c r="Q82" s="413">
        <f ca="1">IF(IFERROR(VLOOKUP(C82,APU!H:N,5,0),0),VLOOKUP(C82,APU!H:N,5,0),0)</f>
        <v>22484</v>
      </c>
      <c r="R82" s="413">
        <f ca="1">IF(IFERROR(VLOOKUP(C82,APU!H:N,6,0),0),VLOOKUP(C82,APU!H:N,6,0),0)</f>
        <v>4034.53125</v>
      </c>
      <c r="S82" s="413">
        <f ca="1">IF(IFERROR(VLOOKUP(C82,APU!H:N,7,0),0),VLOOKUP(C82,APU!H:N,7,0),0)</f>
        <v>4800</v>
      </c>
      <c r="T82" s="179"/>
      <c r="U82" s="413">
        <f t="shared" ref="U82:U154" ca="1" si="10">(P82+Q82+R82+S82)*$U$14</f>
        <v>72677.045646895174</v>
      </c>
      <c r="V82" s="413">
        <f t="shared" ref="V82:V154" ca="1" si="11">(P82+Q82+R82+S82)*$V$14</f>
        <v>72677.045646895174</v>
      </c>
      <c r="W82" s="413">
        <f t="shared" ref="W82:W154" ca="1" si="12">(Q82+R82+S82)*$W$14</f>
        <v>313.18531250000001</v>
      </c>
      <c r="X82" s="413">
        <f t="shared" ref="X82:X154" ca="1" si="13">(P82+Q82+R82+S82)*$X$14</f>
        <v>18169.261411723794</v>
      </c>
      <c r="Y82" s="413">
        <f t="shared" ref="Y82:Y145" ca="1" si="14">(S82+P82+T82+U82+Q82+R82)*$Y$14</f>
        <v>39245.604649323395</v>
      </c>
      <c r="Z82" s="413">
        <f ca="1">(P82+Q82+U82+V82+W82+X82+R82+S82)*$Z$14</f>
        <v>32168.988258126108</v>
      </c>
      <c r="AA82" s="413">
        <f t="shared" ref="AA82:AA145" ca="1" si="15">R82+S82+U82+V82+W82+X82+Z82+Q82+P82+Y82</f>
        <v>1143714.2015116534</v>
      </c>
      <c r="AB82" s="413">
        <f ca="1">V82*$AB$14</f>
        <v>13808.638672910083</v>
      </c>
      <c r="AC82" s="413">
        <f ca="1">AA82*K82</f>
        <v>0</v>
      </c>
      <c r="AD82" s="413">
        <f ca="1">AB82*K82</f>
        <v>0</v>
      </c>
    </row>
    <row r="83" spans="2:30" s="168" customFormat="1" ht="30.75" hidden="1" customHeight="1">
      <c r="B83" s="329"/>
      <c r="C83" s="361">
        <v>1.68</v>
      </c>
      <c r="D83" s="488" t="s">
        <v>4788</v>
      </c>
      <c r="E83" s="489"/>
      <c r="F83" s="489"/>
      <c r="G83" s="489"/>
      <c r="H83" s="489"/>
      <c r="I83" s="490"/>
      <c r="J83" s="361" t="s">
        <v>4128</v>
      </c>
      <c r="K83" s="362"/>
      <c r="L83" s="333">
        <f t="shared" ca="1" si="9"/>
        <v>2815121.165298725</v>
      </c>
      <c r="M83" s="334">
        <f t="shared" ca="1" si="8"/>
        <v>0</v>
      </c>
      <c r="N83" s="335"/>
      <c r="O83" s="181"/>
      <c r="P83" s="413">
        <f ca="1">IF(IFERROR(VLOOKUP(C83,APU!H:N,4,0),0),VLOOKUP(C83,APU!H:N,4,0),0)</f>
        <v>2205133.5460000001</v>
      </c>
      <c r="Q83" s="413">
        <f ca="1">IF(IFERROR(VLOOKUP(C83,APU!H:N,5,0),0),VLOOKUP(C83,APU!H:N,5,0),0)</f>
        <v>22484</v>
      </c>
      <c r="R83" s="413">
        <f ca="1">IF(IFERROR(VLOOKUP(C83,APU!H:N,6,0),0),VLOOKUP(C83,APU!H:N,6,0),0)</f>
        <v>4034.53125</v>
      </c>
      <c r="S83" s="413">
        <f ca="1">IF(IFERROR(VLOOKUP(C83,APU!H:N,7,0),0),VLOOKUP(C83,APU!H:N,7,0),0)</f>
        <v>4800</v>
      </c>
      <c r="T83" s="179"/>
      <c r="U83" s="413">
        <f t="shared" ca="1" si="10"/>
        <v>178916.16618</v>
      </c>
      <c r="V83" s="413">
        <f t="shared" ca="1" si="11"/>
        <v>178916.16618</v>
      </c>
      <c r="W83" s="413">
        <f t="shared" ca="1" si="12"/>
        <v>313.18531250000001</v>
      </c>
      <c r="X83" s="413">
        <f t="shared" ca="1" si="13"/>
        <v>44729.041545</v>
      </c>
      <c r="Y83" s="413">
        <f t="shared" ca="1" si="14"/>
        <v>96614.729737200018</v>
      </c>
      <c r="Z83" s="413">
        <f ca="1">(P83+Q83+U83+V83+W83+X83+R83+S83)*$Z$14</f>
        <v>79179.799094025017</v>
      </c>
      <c r="AA83" s="413">
        <f t="shared" ca="1" si="15"/>
        <v>2815121.165298725</v>
      </c>
      <c r="AB83" s="413">
        <f ca="1">V83*$AB$14</f>
        <v>33994.071574200003</v>
      </c>
      <c r="AC83" s="413">
        <f ca="1">AA83*K83</f>
        <v>0</v>
      </c>
      <c r="AD83" s="413">
        <f ca="1">AB83*K83</f>
        <v>0</v>
      </c>
    </row>
    <row r="84" spans="2:30" s="168" customFormat="1" ht="30.75" hidden="1" customHeight="1">
      <c r="B84" s="329"/>
      <c r="C84" s="361">
        <v>1.69</v>
      </c>
      <c r="D84" s="488" t="s">
        <v>4793</v>
      </c>
      <c r="E84" s="489"/>
      <c r="F84" s="489"/>
      <c r="G84" s="489"/>
      <c r="H84" s="489"/>
      <c r="I84" s="490"/>
      <c r="J84" s="361" t="s">
        <v>4128</v>
      </c>
      <c r="K84" s="362"/>
      <c r="L84" s="333">
        <f t="shared" ca="1" si="9"/>
        <v>786129.37391503179</v>
      </c>
      <c r="M84" s="334">
        <f t="shared" ca="1" si="8"/>
        <v>0</v>
      </c>
      <c r="N84" s="335"/>
      <c r="O84" s="181"/>
      <c r="P84" s="413">
        <f ca="1">IF(IFERROR(VLOOKUP(C84,APU!H:N,4,0),0),VLOOKUP(C84,APU!H:N,4,0),0)</f>
        <v>593031.37582385726</v>
      </c>
      <c r="Q84" s="413">
        <f ca="1">IF(IFERROR(VLOOKUP(C84,APU!H:N,5,0),0),VLOOKUP(C84,APU!H:N,5,0),0)</f>
        <v>22484</v>
      </c>
      <c r="R84" s="413">
        <f ca="1">IF(IFERROR(VLOOKUP(C84,APU!H:N,6,0),0),VLOOKUP(C84,APU!H:N,6,0),0)</f>
        <v>4034.53125</v>
      </c>
      <c r="S84" s="413">
        <f ca="1">IF(IFERROR(VLOOKUP(C84,APU!H:N,7,0),0),VLOOKUP(C84,APU!H:N,7,0),0)</f>
        <v>4800</v>
      </c>
      <c r="T84" s="179"/>
      <c r="U84" s="413">
        <f t="shared" ca="1" si="10"/>
        <v>49947.992565908586</v>
      </c>
      <c r="V84" s="413">
        <f t="shared" ca="1" si="11"/>
        <v>49947.992565908586</v>
      </c>
      <c r="W84" s="413">
        <f t="shared" ca="1" si="12"/>
        <v>313.18531250000001</v>
      </c>
      <c r="X84" s="413">
        <f t="shared" ca="1" si="13"/>
        <v>12486.998141477146</v>
      </c>
      <c r="Y84" s="413">
        <f t="shared" ca="1" si="14"/>
        <v>26971.915985590633</v>
      </c>
      <c r="Z84" s="413">
        <f ca="1">(P84+Q84+U84+V84+W84+X84+R84+S84)*$Z$14</f>
        <v>22111.382269789545</v>
      </c>
      <c r="AA84" s="413">
        <f t="shared" ca="1" si="15"/>
        <v>786129.37391503179</v>
      </c>
      <c r="AB84" s="413">
        <f ca="1">V84*$AB$14</f>
        <v>9490.1185875226311</v>
      </c>
      <c r="AC84" s="413">
        <f ca="1">AA84*K84</f>
        <v>0</v>
      </c>
      <c r="AD84" s="413">
        <f ca="1">AB84*K84</f>
        <v>0</v>
      </c>
    </row>
    <row r="85" spans="2:30" s="168" customFormat="1" ht="30.75" hidden="1" customHeight="1">
      <c r="B85" s="329"/>
      <c r="C85" s="361" t="s">
        <v>4795</v>
      </c>
      <c r="D85" s="488" t="s">
        <v>4794</v>
      </c>
      <c r="E85" s="489"/>
      <c r="F85" s="489"/>
      <c r="G85" s="489"/>
      <c r="H85" s="489"/>
      <c r="I85" s="490"/>
      <c r="J85" s="361" t="s">
        <v>4128</v>
      </c>
      <c r="K85" s="362"/>
      <c r="L85" s="333">
        <f t="shared" ca="1" si="9"/>
        <v>786129.37391503179</v>
      </c>
      <c r="M85" s="334">
        <f t="shared" ca="1" si="8"/>
        <v>0</v>
      </c>
      <c r="N85" s="335"/>
      <c r="O85" s="181"/>
      <c r="P85" s="413">
        <f ca="1">IF(IFERROR(VLOOKUP(C85,APU!H:N,4,0),0),VLOOKUP(C85,APU!H:N,4,0),0)</f>
        <v>593031.37582385726</v>
      </c>
      <c r="Q85" s="413">
        <f ca="1">IF(IFERROR(VLOOKUP(C85,APU!H:N,5,0),0),VLOOKUP(C85,APU!H:N,5,0),0)</f>
        <v>22484</v>
      </c>
      <c r="R85" s="413">
        <f ca="1">IF(IFERROR(VLOOKUP(C85,APU!H:N,6,0),0),VLOOKUP(C85,APU!H:N,6,0),0)</f>
        <v>4034.53125</v>
      </c>
      <c r="S85" s="413">
        <f ca="1">IF(IFERROR(VLOOKUP(C85,APU!H:N,7,0),0),VLOOKUP(C85,APU!H:N,7,0),0)</f>
        <v>4800</v>
      </c>
      <c r="T85" s="179"/>
      <c r="U85" s="413">
        <f t="shared" ca="1" si="10"/>
        <v>49947.992565908586</v>
      </c>
      <c r="V85" s="413">
        <f t="shared" ca="1" si="11"/>
        <v>49947.992565908586</v>
      </c>
      <c r="W85" s="413">
        <f t="shared" ca="1" si="12"/>
        <v>313.18531250000001</v>
      </c>
      <c r="X85" s="413">
        <f t="shared" ca="1" si="13"/>
        <v>12486.998141477146</v>
      </c>
      <c r="Y85" s="413">
        <f t="shared" ca="1" si="14"/>
        <v>26971.915985590633</v>
      </c>
      <c r="Z85" s="413">
        <f ca="1">(P85+Q85+U85+V85+W85+X85+R85+S85)*$Z$14</f>
        <v>22111.382269789545</v>
      </c>
      <c r="AA85" s="413">
        <f t="shared" ca="1" si="15"/>
        <v>786129.37391503179</v>
      </c>
      <c r="AB85" s="413">
        <f ca="1">V85*$AB$14</f>
        <v>9490.1185875226311</v>
      </c>
      <c r="AC85" s="413">
        <f ca="1">AA85*K85</f>
        <v>0</v>
      </c>
      <c r="AD85" s="413">
        <f ca="1">AB85*K85</f>
        <v>0</v>
      </c>
    </row>
    <row r="86" spans="2:30" s="168" customFormat="1" ht="30.75" hidden="1" customHeight="1">
      <c r="B86" s="329"/>
      <c r="C86" s="361">
        <v>1.71</v>
      </c>
      <c r="D86" s="488" t="s">
        <v>4811</v>
      </c>
      <c r="E86" s="489"/>
      <c r="F86" s="489"/>
      <c r="G86" s="489"/>
      <c r="H86" s="489"/>
      <c r="I86" s="490"/>
      <c r="J86" s="361" t="s">
        <v>4128</v>
      </c>
      <c r="K86" s="362"/>
      <c r="L86" s="333">
        <f t="shared" ca="1" si="9"/>
        <v>1159467.590072725</v>
      </c>
      <c r="M86" s="334">
        <f t="shared" ca="1" si="8"/>
        <v>0</v>
      </c>
      <c r="N86" s="335"/>
      <c r="O86" s="181"/>
      <c r="P86" s="413">
        <f ca="1">IF(IFERROR(VLOOKUP(C86,APU!H:N,4,0),0),VLOOKUP(C86,APU!H:N,4,0),0)</f>
        <v>889661.13599999994</v>
      </c>
      <c r="Q86" s="413">
        <f ca="1">IF(IFERROR(VLOOKUP(C86,APU!H:N,5,0),0),VLOOKUP(C86,APU!H:N,5,0),0)</f>
        <v>22484</v>
      </c>
      <c r="R86" s="413">
        <f ca="1">IF(IFERROR(VLOOKUP(C86,APU!H:N,6,0),0),VLOOKUP(C86,APU!H:N,6,0),0)</f>
        <v>4034.53125</v>
      </c>
      <c r="S86" s="413">
        <f ca="1">IF(IFERROR(VLOOKUP(C86,APU!H:N,7,0),0),VLOOKUP(C86,APU!H:N,7,0),0)</f>
        <v>4800</v>
      </c>
      <c r="T86" s="179"/>
      <c r="U86" s="413">
        <f t="shared" ca="1" si="10"/>
        <v>73678.37337999999</v>
      </c>
      <c r="V86" s="413">
        <f t="shared" ca="1" si="11"/>
        <v>73678.37337999999</v>
      </c>
      <c r="W86" s="413">
        <f t="shared" ca="1" si="12"/>
        <v>313.18531250000001</v>
      </c>
      <c r="X86" s="413">
        <f t="shared" ca="1" si="13"/>
        <v>18419.593344999997</v>
      </c>
      <c r="Y86" s="413">
        <f t="shared" ca="1" si="14"/>
        <v>39786.321625199998</v>
      </c>
      <c r="Z86" s="413">
        <f ca="1">(P86+Q86+U86+V86+W86+X86+R86+S86)*$Z$14</f>
        <v>32612.075780024996</v>
      </c>
      <c r="AA86" s="413">
        <f t="shared" ca="1" si="15"/>
        <v>1159467.590072725</v>
      </c>
      <c r="AB86" s="413">
        <f ca="1">V86*$AB$14</f>
        <v>13998.890942199998</v>
      </c>
      <c r="AC86" s="413">
        <f ca="1">AA86*K86</f>
        <v>0</v>
      </c>
      <c r="AD86" s="413">
        <f ca="1">AB86*K86</f>
        <v>0</v>
      </c>
    </row>
    <row r="87" spans="2:30" s="168" customFormat="1" ht="30.75" hidden="1" customHeight="1">
      <c r="B87" s="329"/>
      <c r="C87" s="361">
        <v>1.72</v>
      </c>
      <c r="D87" s="488" t="s">
        <v>4813</v>
      </c>
      <c r="E87" s="489"/>
      <c r="F87" s="489"/>
      <c r="G87" s="489"/>
      <c r="H87" s="489"/>
      <c r="I87" s="490"/>
      <c r="J87" s="361" t="s">
        <v>4128</v>
      </c>
      <c r="K87" s="362"/>
      <c r="L87" s="333">
        <f t="shared" ca="1" si="9"/>
        <v>435702.61191272503</v>
      </c>
      <c r="M87" s="334">
        <f t="shared" ref="M87:M100" ca="1" si="16">L87*K87</f>
        <v>0</v>
      </c>
      <c r="N87" s="335"/>
      <c r="O87" s="181"/>
      <c r="P87" s="413">
        <f ca="1">IF(IFERROR(VLOOKUP(C87,APU!H:N,4,0),0),VLOOKUP(C87,APU!H:N,4,0),0)</f>
        <v>314605.53600000002</v>
      </c>
      <c r="Q87" s="413">
        <f ca="1">IF(IFERROR(VLOOKUP(C87,APU!H:N,5,0),0),VLOOKUP(C87,APU!H:N,5,0),0)</f>
        <v>22484</v>
      </c>
      <c r="R87" s="413">
        <f ca="1">IF(IFERROR(VLOOKUP(C87,APU!H:N,6,0),0),VLOOKUP(C87,APU!H:N,6,0),0)</f>
        <v>4034.53125</v>
      </c>
      <c r="S87" s="413">
        <f ca="1">IF(IFERROR(VLOOKUP(C87,APU!H:N,7,0),0),VLOOKUP(C87,APU!H:N,7,0),0)</f>
        <v>4800</v>
      </c>
      <c r="T87" s="179"/>
      <c r="U87" s="413">
        <f t="shared" ca="1" si="10"/>
        <v>27673.925380000001</v>
      </c>
      <c r="V87" s="413">
        <f t="shared" ca="1" si="11"/>
        <v>27673.925380000001</v>
      </c>
      <c r="W87" s="413">
        <f t="shared" ca="1" si="12"/>
        <v>313.18531250000001</v>
      </c>
      <c r="X87" s="413">
        <f t="shared" ca="1" si="13"/>
        <v>6918.4813450000001</v>
      </c>
      <c r="Y87" s="413">
        <f t="shared" ca="1" si="14"/>
        <v>14943.9197052</v>
      </c>
      <c r="Z87" s="413">
        <f ca="1">(P87+Q87+U87+V87+W87+X87+R87+S87)*$Z$14</f>
        <v>12255.107540024999</v>
      </c>
      <c r="AA87" s="413">
        <f t="shared" ca="1" si="15"/>
        <v>435702.61191272503</v>
      </c>
      <c r="AB87" s="413">
        <f ca="1">V87*$AB$14</f>
        <v>5258.0458221999997</v>
      </c>
      <c r="AC87" s="413">
        <f ca="1">AA87*K87</f>
        <v>0</v>
      </c>
      <c r="AD87" s="413">
        <f ca="1">AB87*K87</f>
        <v>0</v>
      </c>
    </row>
    <row r="88" spans="2:30" s="168" customFormat="1" ht="30.75" hidden="1" customHeight="1">
      <c r="B88" s="329"/>
      <c r="C88" s="361">
        <v>1.73</v>
      </c>
      <c r="D88" s="488" t="s">
        <v>4814</v>
      </c>
      <c r="E88" s="489"/>
      <c r="F88" s="489"/>
      <c r="G88" s="489"/>
      <c r="H88" s="489"/>
      <c r="I88" s="490"/>
      <c r="J88" s="361" t="s">
        <v>4128</v>
      </c>
      <c r="K88" s="362"/>
      <c r="L88" s="333">
        <f t="shared" ca="1" si="9"/>
        <v>1497172.7620465148</v>
      </c>
      <c r="M88" s="334">
        <f t="shared" ca="1" si="16"/>
        <v>0</v>
      </c>
      <c r="N88" s="335"/>
      <c r="O88" s="181"/>
      <c r="P88" s="413">
        <f ca="1">IF(IFERROR(VLOOKUP(C88,APU!H:N,4,0),0),VLOOKUP(C88,APU!H:N,4,0),0)</f>
        <v>1157979.2449891863</v>
      </c>
      <c r="Q88" s="413">
        <f ca="1">IF(IFERROR(VLOOKUP(C88,APU!H:N,5,0),0),VLOOKUP(C88,APU!H:N,5,0),0)</f>
        <v>22484</v>
      </c>
      <c r="R88" s="413">
        <f ca="1">IF(IFERROR(VLOOKUP(C88,APU!H:N,6,0),0),VLOOKUP(C88,APU!H:N,6,0),0)</f>
        <v>4034.53125</v>
      </c>
      <c r="S88" s="413">
        <f ca="1">IF(IFERROR(VLOOKUP(C88,APU!H:N,7,0),0),VLOOKUP(C88,APU!H:N,7,0),0)</f>
        <v>4800</v>
      </c>
      <c r="T88" s="179"/>
      <c r="U88" s="413">
        <f t="shared" ca="1" si="10"/>
        <v>95143.822099134908</v>
      </c>
      <c r="V88" s="413">
        <f t="shared" ca="1" si="11"/>
        <v>95143.822099134908</v>
      </c>
      <c r="W88" s="413">
        <f t="shared" ca="1" si="12"/>
        <v>313.18531250000001</v>
      </c>
      <c r="X88" s="413">
        <f t="shared" ca="1" si="13"/>
        <v>23785.955524783727</v>
      </c>
      <c r="Y88" s="413">
        <f t="shared" ca="1" si="14"/>
        <v>51377.663933532851</v>
      </c>
      <c r="Z88" s="413">
        <f ca="1">(P88+Q88+U88+V88+W88+X88+R88+S88)*$Z$14</f>
        <v>42110.536838242195</v>
      </c>
      <c r="AA88" s="413">
        <f t="shared" ca="1" si="15"/>
        <v>1497172.7620465148</v>
      </c>
      <c r="AB88" s="413">
        <f ca="1">V88*$AB$14</f>
        <v>18077.326198835632</v>
      </c>
      <c r="AC88" s="413">
        <f ca="1">AA88*K88</f>
        <v>0</v>
      </c>
      <c r="AD88" s="413">
        <f ca="1">AB88*K88</f>
        <v>0</v>
      </c>
    </row>
    <row r="89" spans="2:30" s="168" customFormat="1" ht="30.75" hidden="1" customHeight="1">
      <c r="B89" s="329"/>
      <c r="C89" s="361">
        <v>1.74</v>
      </c>
      <c r="D89" s="488" t="s">
        <v>4815</v>
      </c>
      <c r="E89" s="489"/>
      <c r="F89" s="489"/>
      <c r="G89" s="489"/>
      <c r="H89" s="489"/>
      <c r="I89" s="490"/>
      <c r="J89" s="361" t="s">
        <v>4128</v>
      </c>
      <c r="K89" s="362"/>
      <c r="L89" s="333">
        <f t="shared" ca="1" si="9"/>
        <v>844211.80701372505</v>
      </c>
      <c r="M89" s="334">
        <f t="shared" ca="1" si="16"/>
        <v>0</v>
      </c>
      <c r="N89" s="335"/>
      <c r="O89" s="181"/>
      <c r="P89" s="413">
        <f ca="1">IF(IFERROR(VLOOKUP(C89,APU!H:N,4,0),0),VLOOKUP(C89,APU!H:N,4,0),0)</f>
        <v>639179.821</v>
      </c>
      <c r="Q89" s="413">
        <f ca="1">IF(IFERROR(VLOOKUP(C89,APU!H:N,5,0),0),VLOOKUP(C89,APU!H:N,5,0),0)</f>
        <v>22484</v>
      </c>
      <c r="R89" s="413">
        <f ca="1">IF(IFERROR(VLOOKUP(C89,APU!H:N,6,0),0),VLOOKUP(C89,APU!H:N,6,0),0)</f>
        <v>4034.53125</v>
      </c>
      <c r="S89" s="413">
        <f ca="1">IF(IFERROR(VLOOKUP(C89,APU!H:N,7,0),0),VLOOKUP(C89,APU!H:N,7,0),0)</f>
        <v>4800</v>
      </c>
      <c r="T89" s="179"/>
      <c r="U89" s="413">
        <f t="shared" ca="1" si="10"/>
        <v>53639.868179999998</v>
      </c>
      <c r="V89" s="413">
        <f t="shared" ca="1" si="11"/>
        <v>53639.868179999998</v>
      </c>
      <c r="W89" s="413">
        <f t="shared" ca="1" si="12"/>
        <v>313.18531250000001</v>
      </c>
      <c r="X89" s="413">
        <f t="shared" ca="1" si="13"/>
        <v>13409.967044999999</v>
      </c>
      <c r="Y89" s="413">
        <f t="shared" ca="1" si="14"/>
        <v>28965.5288172</v>
      </c>
      <c r="Z89" s="413">
        <f ca="1">(P89+Q89+U89+V89+W89+X89+R89+S89)*$Z$14</f>
        <v>23745.037229025002</v>
      </c>
      <c r="AA89" s="413">
        <f t="shared" ca="1" si="15"/>
        <v>844211.80701372505</v>
      </c>
      <c r="AB89" s="413">
        <f ca="1">V89*$AB$14</f>
        <v>10191.574954199999</v>
      </c>
      <c r="AC89" s="413">
        <f ca="1">AA89*K89</f>
        <v>0</v>
      </c>
      <c r="AD89" s="413">
        <f ca="1">AB89*K89</f>
        <v>0</v>
      </c>
    </row>
    <row r="90" spans="2:30" s="168" customFormat="1" ht="30.75" hidden="1" customHeight="1">
      <c r="B90" s="329"/>
      <c r="C90" s="361">
        <v>1.75</v>
      </c>
      <c r="D90" s="488" t="s">
        <v>4828</v>
      </c>
      <c r="E90" s="489"/>
      <c r="F90" s="489"/>
      <c r="G90" s="489"/>
      <c r="H90" s="489"/>
      <c r="I90" s="490"/>
      <c r="J90" s="361" t="s">
        <v>4128</v>
      </c>
      <c r="K90" s="362"/>
      <c r="L90" s="333">
        <f t="shared" ca="1" si="9"/>
        <v>690328.37805477052</v>
      </c>
      <c r="M90" s="334">
        <f t="shared" ca="1" si="16"/>
        <v>0</v>
      </c>
      <c r="N90" s="335"/>
      <c r="O90" s="181"/>
      <c r="P90" s="413">
        <f ca="1">IF(IFERROR(VLOOKUP(C90,APU!H:N,4,0),0),VLOOKUP(C90,APU!H:N,4,0),0)</f>
        <v>516914.2648590859</v>
      </c>
      <c r="Q90" s="413">
        <f ca="1">IF(IFERROR(VLOOKUP(C90,APU!H:N,5,0),0),VLOOKUP(C90,APU!H:N,5,0),0)</f>
        <v>22484</v>
      </c>
      <c r="R90" s="413">
        <f ca="1">IF(IFERROR(VLOOKUP(C90,APU!H:N,6,0),0),VLOOKUP(C90,APU!H:N,6,0),0)</f>
        <v>4034.53125</v>
      </c>
      <c r="S90" s="413">
        <f ca="1">IF(IFERROR(VLOOKUP(C90,APU!H:N,7,0),0),VLOOKUP(C90,APU!H:N,7,0),0)</f>
        <v>4800</v>
      </c>
      <c r="T90" s="179"/>
      <c r="U90" s="413">
        <f t="shared" ca="1" si="10"/>
        <v>43858.623688726875</v>
      </c>
      <c r="V90" s="413">
        <f t="shared" ca="1" si="11"/>
        <v>43858.623688726875</v>
      </c>
      <c r="W90" s="413">
        <f t="shared" ca="1" si="12"/>
        <v>313.18531250000001</v>
      </c>
      <c r="X90" s="413">
        <f t="shared" ca="1" si="13"/>
        <v>10964.655922181719</v>
      </c>
      <c r="Y90" s="413">
        <f t="shared" ca="1" si="14"/>
        <v>23683.656791912512</v>
      </c>
      <c r="Z90" s="413">
        <f ca="1">(P90+Q90+U90+V90+W90+X90+R90+S90)*$Z$14</f>
        <v>19416.83654163664</v>
      </c>
      <c r="AA90" s="413">
        <f t="shared" ca="1" si="15"/>
        <v>690328.37805477052</v>
      </c>
      <c r="AB90" s="413">
        <f ca="1">V90*$AB$14</f>
        <v>8333.1385008581055</v>
      </c>
      <c r="AC90" s="413">
        <f ca="1">AA90*K90</f>
        <v>0</v>
      </c>
      <c r="AD90" s="413">
        <f ca="1">AB90*K90</f>
        <v>0</v>
      </c>
    </row>
    <row r="91" spans="2:30" s="168" customFormat="1" ht="30.75" hidden="1" customHeight="1">
      <c r="B91" s="329"/>
      <c r="C91" s="361">
        <v>1.76</v>
      </c>
      <c r="D91" s="488" t="s">
        <v>4829</v>
      </c>
      <c r="E91" s="489"/>
      <c r="F91" s="489"/>
      <c r="G91" s="489"/>
      <c r="H91" s="489"/>
      <c r="I91" s="490"/>
      <c r="J91" s="361" t="s">
        <v>4128</v>
      </c>
      <c r="K91" s="362"/>
      <c r="L91" s="333">
        <f t="shared" ca="1" si="9"/>
        <v>735947.89989299024</v>
      </c>
      <c r="M91" s="334">
        <f t="shared" ca="1" si="16"/>
        <v>0</v>
      </c>
      <c r="N91" s="335"/>
      <c r="O91" s="181"/>
      <c r="P91" s="413">
        <f ca="1">IF(IFERROR(VLOOKUP(C91,APU!H:N,4,0),0),VLOOKUP(C91,APU!H:N,4,0),0)</f>
        <v>553160.50817564374</v>
      </c>
      <c r="Q91" s="413">
        <f ca="1">IF(IFERROR(VLOOKUP(C91,APU!H:N,5,0),0),VLOOKUP(C91,APU!H:N,5,0),0)</f>
        <v>22484</v>
      </c>
      <c r="R91" s="413">
        <f ca="1">IF(IFERROR(VLOOKUP(C91,APU!H:N,6,0),0),VLOOKUP(C91,APU!H:N,6,0),0)</f>
        <v>4034.53125</v>
      </c>
      <c r="S91" s="413">
        <f ca="1">IF(IFERROR(VLOOKUP(C91,APU!H:N,7,0),0),VLOOKUP(C91,APU!H:N,7,0),0)</f>
        <v>4800</v>
      </c>
      <c r="T91" s="179"/>
      <c r="U91" s="413">
        <f t="shared" ca="1" si="10"/>
        <v>46758.323154051497</v>
      </c>
      <c r="V91" s="413">
        <f t="shared" ca="1" si="11"/>
        <v>46758.323154051497</v>
      </c>
      <c r="W91" s="413">
        <f t="shared" ca="1" si="12"/>
        <v>313.18531250000001</v>
      </c>
      <c r="X91" s="413">
        <f t="shared" ca="1" si="13"/>
        <v>11689.580788512874</v>
      </c>
      <c r="Y91" s="413">
        <f t="shared" ca="1" si="14"/>
        <v>25249.494503187809</v>
      </c>
      <c r="Z91" s="413">
        <f ca="1">(P91+Q91+U91+V91+W91+X91+R91+S91)*$Z$14</f>
        <v>20699.953555042786</v>
      </c>
      <c r="AA91" s="413">
        <f t="shared" ca="1" si="15"/>
        <v>735947.89989299024</v>
      </c>
      <c r="AB91" s="413">
        <f ca="1">V91*$AB$14</f>
        <v>8884.081399269784</v>
      </c>
      <c r="AC91" s="413">
        <f ca="1">AA91*K91</f>
        <v>0</v>
      </c>
      <c r="AD91" s="413">
        <f ca="1">AB91*K91</f>
        <v>0</v>
      </c>
    </row>
    <row r="92" spans="2:30" s="168" customFormat="1" ht="30.75" customHeight="1">
      <c r="B92" s="329"/>
      <c r="C92" s="361">
        <v>1.77</v>
      </c>
      <c r="D92" s="488" t="s">
        <v>4835</v>
      </c>
      <c r="E92" s="489"/>
      <c r="F92" s="489"/>
      <c r="G92" s="489"/>
      <c r="H92" s="489"/>
      <c r="I92" s="490"/>
      <c r="J92" s="361" t="s">
        <v>4128</v>
      </c>
      <c r="K92" s="362">
        <v>1</v>
      </c>
      <c r="L92" s="333">
        <f t="shared" ca="1" si="9"/>
        <v>1245182.158025725</v>
      </c>
      <c r="M92" s="334">
        <f t="shared" ca="1" si="16"/>
        <v>1245182.158025725</v>
      </c>
      <c r="N92" s="335"/>
      <c r="O92" s="181"/>
      <c r="P92" s="413">
        <f ca="1">IF(IFERROR(VLOOKUP(C92,APU!H:N,4,0),0),VLOOKUP(C92,APU!H:N,4,0),0)</f>
        <v>957764.24100000015</v>
      </c>
      <c r="Q92" s="413">
        <f ca="1">IF(IFERROR(VLOOKUP(C92,APU!H:N,5,0),0),VLOOKUP(C92,APU!H:N,5,0),0)</f>
        <v>22484</v>
      </c>
      <c r="R92" s="413">
        <f ca="1">IF(IFERROR(VLOOKUP(C92,APU!H:N,6,0),0),VLOOKUP(C92,APU!H:N,6,0),0)</f>
        <v>4034.53125</v>
      </c>
      <c r="S92" s="413">
        <f ca="1">IF(IFERROR(VLOOKUP(C92,APU!H:N,7,0),0),VLOOKUP(C92,APU!H:N,7,0),0)</f>
        <v>4800</v>
      </c>
      <c r="T92" s="179"/>
      <c r="U92" s="413">
        <f t="shared" ca="1" si="10"/>
        <v>79126.621780000016</v>
      </c>
      <c r="V92" s="413">
        <f t="shared" ca="1" si="11"/>
        <v>79126.621780000016</v>
      </c>
      <c r="W92" s="413">
        <f t="shared" ca="1" si="12"/>
        <v>313.18531250000001</v>
      </c>
      <c r="X92" s="413">
        <f t="shared" ca="1" si="13"/>
        <v>19781.655445000004</v>
      </c>
      <c r="Y92" s="413">
        <f t="shared" ca="1" si="14"/>
        <v>42728.375761200004</v>
      </c>
      <c r="Z92" s="413">
        <f ca="1">(P92+Q92+U92+V92+W92+X92+R92+S92)*$Z$14</f>
        <v>35022.925697024999</v>
      </c>
      <c r="AA92" s="413">
        <f t="shared" ca="1" si="15"/>
        <v>1245182.158025725</v>
      </c>
      <c r="AB92" s="413">
        <f ca="1">V92*$AB$14</f>
        <v>15034.058138200004</v>
      </c>
      <c r="AC92" s="413">
        <f ca="1">AA92*K92</f>
        <v>1245182.158025725</v>
      </c>
      <c r="AD92" s="413">
        <f ca="1">AB92*K92</f>
        <v>15034.058138200004</v>
      </c>
    </row>
    <row r="93" spans="2:30" s="168" customFormat="1" ht="30.75" hidden="1" customHeight="1">
      <c r="B93" s="329"/>
      <c r="C93" s="361">
        <v>1.78</v>
      </c>
      <c r="D93" s="488" t="s">
        <v>4974</v>
      </c>
      <c r="E93" s="489"/>
      <c r="F93" s="489"/>
      <c r="G93" s="489"/>
      <c r="H93" s="489"/>
      <c r="I93" s="490"/>
      <c r="J93" s="361" t="s">
        <v>4128</v>
      </c>
      <c r="K93" s="362"/>
      <c r="L93" s="333">
        <f t="shared" ref="L93:L99" ca="1" si="17">AA93</f>
        <v>1814029.9149531799</v>
      </c>
      <c r="M93" s="334">
        <f t="shared" ref="M93:M99" ca="1" si="18">L93*K93</f>
        <v>0</v>
      </c>
      <c r="N93" s="335"/>
      <c r="O93" s="181"/>
      <c r="P93" s="413">
        <f ca="1">IF(IFERROR(VLOOKUP(C93,APU!H:N,4,0),0),VLOOKUP(C93,APU!H:N,4,0),0)</f>
        <v>1406182.4209999999</v>
      </c>
      <c r="Q93" s="413">
        <f ca="1">IF(IFERROR(VLOOKUP(C93,APU!H:N,5,0),0),VLOOKUP(C93,APU!H:N,5,0),0)</f>
        <v>25469.875199999999</v>
      </c>
      <c r="R93" s="413">
        <f ca="1">IF(IFERROR(VLOOKUP(C93,APU!H:N,6,0),0),VLOOKUP(C93,APU!H:N,6,0),0)</f>
        <v>4570.317</v>
      </c>
      <c r="S93" s="413">
        <f ca="1">IF(IFERROR(VLOOKUP(C93,APU!H:N,7,0),0),VLOOKUP(C93,APU!H:N,7,0),0)</f>
        <v>4800</v>
      </c>
      <c r="T93" s="179"/>
      <c r="U93" s="413">
        <f t="shared" ref="U93:U99" ca="1" si="19">(P93+Q93+R93+S93)*$U$14</f>
        <v>115281.80905599998</v>
      </c>
      <c r="V93" s="413">
        <f t="shared" ref="V93:V99" ca="1" si="20">(P93+Q93+R93+S93)*$V$14</f>
        <v>115281.80905599998</v>
      </c>
      <c r="W93" s="413">
        <f t="shared" ref="W93:W99" ca="1" si="21">(Q93+R93+S93)*$W$14</f>
        <v>348.40192199999996</v>
      </c>
      <c r="X93" s="413">
        <f t="shared" ref="X93:X99" ca="1" si="22">(P93+Q93+R93+S93)*$X$14</f>
        <v>28820.452263999996</v>
      </c>
      <c r="Y93" s="413">
        <f t="shared" ca="1" si="14"/>
        <v>62252.176890239993</v>
      </c>
      <c r="Z93" s="413">
        <f ca="1">(P93+Q93+U93+V93+W93+X93+R93+S93)*$Z$14</f>
        <v>51022.652564939999</v>
      </c>
      <c r="AA93" s="413">
        <f t="shared" ca="1" si="15"/>
        <v>1814029.9149531799</v>
      </c>
      <c r="AB93" s="413">
        <f ca="1">V93*$AB$14</f>
        <v>21903.543720639998</v>
      </c>
      <c r="AC93" s="413">
        <f ca="1">AA93*K93</f>
        <v>0</v>
      </c>
      <c r="AD93" s="413">
        <f ca="1">AB93*K93</f>
        <v>0</v>
      </c>
    </row>
    <row r="94" spans="2:30" s="168" customFormat="1" ht="30.75" hidden="1" customHeight="1">
      <c r="B94" s="329"/>
      <c r="C94" s="361">
        <v>1.79</v>
      </c>
      <c r="D94" s="488" t="s">
        <v>4975</v>
      </c>
      <c r="E94" s="489"/>
      <c r="F94" s="489"/>
      <c r="G94" s="489"/>
      <c r="H94" s="489"/>
      <c r="I94" s="490"/>
      <c r="J94" s="361" t="s">
        <v>4128</v>
      </c>
      <c r="K94" s="362"/>
      <c r="L94" s="333">
        <f t="shared" ref="L94" ca="1" si="23">AA94</f>
        <v>1935121.7088531798</v>
      </c>
      <c r="M94" s="334">
        <f t="shared" ref="M94" ca="1" si="24">L94*K94</f>
        <v>0</v>
      </c>
      <c r="N94" s="335"/>
      <c r="O94" s="181"/>
      <c r="P94" s="413">
        <f ca="1">IF(IFERROR(VLOOKUP(C94,APU!H:N,4,0),0),VLOOKUP(C94,APU!H:N,4,0),0)</f>
        <v>1502393.9209999999</v>
      </c>
      <c r="Q94" s="413">
        <f ca="1">IF(IFERROR(VLOOKUP(C94,APU!H:N,5,0),0),VLOOKUP(C94,APU!H:N,5,0),0)</f>
        <v>25469.875199999999</v>
      </c>
      <c r="R94" s="413">
        <f ca="1">IF(IFERROR(VLOOKUP(C94,APU!H:N,6,0),0),VLOOKUP(C94,APU!H:N,6,0),0)</f>
        <v>4570.317</v>
      </c>
      <c r="S94" s="413">
        <f ca="1">IF(IFERROR(VLOOKUP(C94,APU!H:N,7,0),0),VLOOKUP(C94,APU!H:N,7,0),0)</f>
        <v>4800</v>
      </c>
      <c r="T94" s="179"/>
      <c r="U94" s="413">
        <f t="shared" ref="U94" ca="1" si="25">(P94+Q94+R94+S94)*$U$14</f>
        <v>122978.72905599998</v>
      </c>
      <c r="V94" s="413">
        <f t="shared" ref="V94" ca="1" si="26">(P94+Q94+R94+S94)*$V$14</f>
        <v>122978.72905599998</v>
      </c>
      <c r="W94" s="413">
        <f t="shared" ref="W94" ca="1" si="27">(Q94+R94+S94)*$W$14</f>
        <v>348.40192199999996</v>
      </c>
      <c r="X94" s="413">
        <f t="shared" ref="X94" ca="1" si="28">(P94+Q94+R94+S94)*$X$14</f>
        <v>30744.682263999995</v>
      </c>
      <c r="Y94" s="413">
        <f t="shared" ca="1" si="14"/>
        <v>66408.513690239997</v>
      </c>
      <c r="Z94" s="413">
        <f ca="1">(P94+Q94+U94+V94+W94+X94+R94+S94)*$Z$14</f>
        <v>54428.539664939992</v>
      </c>
      <c r="AA94" s="413">
        <f t="shared" ca="1" si="15"/>
        <v>1935121.7088531798</v>
      </c>
      <c r="AB94" s="413">
        <f ca="1">V94*$AB$14</f>
        <v>23365.958520639997</v>
      </c>
      <c r="AC94" s="413">
        <f ca="1">AA94*K94</f>
        <v>0</v>
      </c>
      <c r="AD94" s="413">
        <f ca="1">AB94*K94</f>
        <v>0</v>
      </c>
    </row>
    <row r="95" spans="2:30" s="168" customFormat="1" ht="30.75" hidden="1" customHeight="1">
      <c r="B95" s="329"/>
      <c r="C95" s="361" t="s">
        <v>4978</v>
      </c>
      <c r="D95" s="488" t="s">
        <v>4976</v>
      </c>
      <c r="E95" s="489"/>
      <c r="F95" s="489"/>
      <c r="G95" s="489"/>
      <c r="H95" s="489"/>
      <c r="I95" s="490"/>
      <c r="J95" s="361" t="s">
        <v>4128</v>
      </c>
      <c r="K95" s="362"/>
      <c r="L95" s="333">
        <f t="shared" ca="1" si="17"/>
        <v>2177305.2966531804</v>
      </c>
      <c r="M95" s="334">
        <f t="shared" ca="1" si="18"/>
        <v>0</v>
      </c>
      <c r="N95" s="335"/>
      <c r="O95" s="181"/>
      <c r="P95" s="413">
        <f ca="1">IF(IFERROR(VLOOKUP(C95,APU!H:N,4,0),0),VLOOKUP(C95,APU!H:N,4,0),0)</f>
        <v>1694816.9210000001</v>
      </c>
      <c r="Q95" s="413">
        <f ca="1">IF(IFERROR(VLOOKUP(C95,APU!H:N,5,0),0),VLOOKUP(C95,APU!H:N,5,0),0)</f>
        <v>25469.875199999999</v>
      </c>
      <c r="R95" s="413">
        <f ca="1">IF(IFERROR(VLOOKUP(C95,APU!H:N,6,0),0),VLOOKUP(C95,APU!H:N,6,0),0)</f>
        <v>4570.317</v>
      </c>
      <c r="S95" s="413">
        <f ca="1">IF(IFERROR(VLOOKUP(C95,APU!H:N,7,0),0),VLOOKUP(C95,APU!H:N,7,0),0)</f>
        <v>4800</v>
      </c>
      <c r="T95" s="179"/>
      <c r="U95" s="413">
        <f t="shared" ca="1" si="19"/>
        <v>138372.56905600001</v>
      </c>
      <c r="V95" s="413">
        <f t="shared" ca="1" si="20"/>
        <v>138372.56905600001</v>
      </c>
      <c r="W95" s="413">
        <f t="shared" ca="1" si="21"/>
        <v>348.40192199999996</v>
      </c>
      <c r="X95" s="413">
        <f t="shared" ca="1" si="22"/>
        <v>34593.142264000002</v>
      </c>
      <c r="Y95" s="413">
        <f t="shared" ca="1" si="14"/>
        <v>74721.187290240006</v>
      </c>
      <c r="Z95" s="413">
        <f ca="1">(P95+Q95+U95+V95+W95+X95+R95+S95)*$Z$14</f>
        <v>61240.313864940006</v>
      </c>
      <c r="AA95" s="413">
        <f t="shared" ca="1" si="15"/>
        <v>2177305.2966531804</v>
      </c>
      <c r="AB95" s="413">
        <f ca="1">V95*$AB$14</f>
        <v>26290.788120640002</v>
      </c>
      <c r="AC95" s="413">
        <f ca="1">AA95*K95</f>
        <v>0</v>
      </c>
      <c r="AD95" s="413">
        <f ca="1">AB95*K95</f>
        <v>0</v>
      </c>
    </row>
    <row r="96" spans="2:30" s="168" customFormat="1" ht="30.75" hidden="1" customHeight="1">
      <c r="B96" s="329"/>
      <c r="C96" s="361">
        <v>1.81</v>
      </c>
      <c r="D96" s="488" t="s">
        <v>4977</v>
      </c>
      <c r="E96" s="489"/>
      <c r="F96" s="489"/>
      <c r="G96" s="489"/>
      <c r="H96" s="489"/>
      <c r="I96" s="490"/>
      <c r="J96" s="361" t="s">
        <v>4128</v>
      </c>
      <c r="K96" s="362"/>
      <c r="L96" s="333">
        <f t="shared" ca="1" si="17"/>
        <v>6905058.2857987247</v>
      </c>
      <c r="M96" s="334">
        <f t="shared" ca="1" si="18"/>
        <v>0</v>
      </c>
      <c r="N96" s="335"/>
      <c r="O96" s="181"/>
      <c r="P96" s="413">
        <f ca="1">IF(IFERROR(VLOOKUP(C96,APU!H:N,4,0),0),VLOOKUP(C96,APU!H:N,4,0),0)</f>
        <v>5454726.0460000001</v>
      </c>
      <c r="Q96" s="413">
        <f ca="1">IF(IFERROR(VLOOKUP(C96,APU!H:N,5,0),0),VLOOKUP(C96,APU!H:N,5,0),0)</f>
        <v>22484</v>
      </c>
      <c r="R96" s="413">
        <f ca="1">IF(IFERROR(VLOOKUP(C96,APU!H:N,6,0),0),VLOOKUP(C96,APU!H:N,6,0),0)</f>
        <v>4034.53125</v>
      </c>
      <c r="S96" s="413">
        <f ca="1">IF(IFERROR(VLOOKUP(C96,APU!H:N,7,0),0),VLOOKUP(C96,APU!H:N,7,0),0)</f>
        <v>4800</v>
      </c>
      <c r="T96" s="179"/>
      <c r="U96" s="413">
        <f t="shared" ca="1" si="19"/>
        <v>438883.56618000002</v>
      </c>
      <c r="V96" s="413">
        <f t="shared" ca="1" si="20"/>
        <v>438883.56618000002</v>
      </c>
      <c r="W96" s="413">
        <f t="shared" ca="1" si="21"/>
        <v>313.18531250000001</v>
      </c>
      <c r="X96" s="413">
        <f t="shared" ca="1" si="22"/>
        <v>109720.89154500001</v>
      </c>
      <c r="Y96" s="413">
        <f t="shared" ca="1" si="14"/>
        <v>236997.12573720003</v>
      </c>
      <c r="Z96" s="413">
        <f ca="1">(P96+Q96+U96+V96+W96+X96+R96+S96)*$Z$14</f>
        <v>194215.373594025</v>
      </c>
      <c r="AA96" s="413">
        <f t="shared" ca="1" si="15"/>
        <v>6905058.2857987247</v>
      </c>
      <c r="AB96" s="413">
        <f ca="1">V96*$AB$14</f>
        <v>83387.8775742</v>
      </c>
      <c r="AC96" s="413">
        <f ca="1">AA96*K96</f>
        <v>0</v>
      </c>
      <c r="AD96" s="413">
        <f ca="1">AB96*K96</f>
        <v>0</v>
      </c>
    </row>
    <row r="97" spans="2:30" s="168" customFormat="1" ht="30.75" hidden="1" customHeight="1">
      <c r="B97" s="329"/>
      <c r="C97" s="361">
        <v>1.82</v>
      </c>
      <c r="D97" s="488" t="s">
        <v>4984</v>
      </c>
      <c r="E97" s="489"/>
      <c r="F97" s="489"/>
      <c r="G97" s="489"/>
      <c r="H97" s="489"/>
      <c r="I97" s="490"/>
      <c r="J97" s="361" t="s">
        <v>4128</v>
      </c>
      <c r="K97" s="362"/>
      <c r="L97" s="333">
        <f t="shared" ca="1" si="17"/>
        <v>1334835.7663987251</v>
      </c>
      <c r="M97" s="334">
        <f t="shared" ca="1" si="18"/>
        <v>0</v>
      </c>
      <c r="N97" s="335"/>
      <c r="O97" s="181"/>
      <c r="P97" s="413">
        <f ca="1">IF(IFERROR(VLOOKUP(C97,APU!H:N,4,0),0),VLOOKUP(C97,APU!H:N,4,0),0)</f>
        <v>1028997.0460000001</v>
      </c>
      <c r="Q97" s="413">
        <f ca="1">IF(IFERROR(VLOOKUP(C97,APU!H:N,5,0),0),VLOOKUP(C97,APU!H:N,5,0),0)</f>
        <v>22484</v>
      </c>
      <c r="R97" s="413">
        <f ca="1">IF(IFERROR(VLOOKUP(C97,APU!H:N,6,0),0),VLOOKUP(C97,APU!H:N,6,0),0)</f>
        <v>4034.53125</v>
      </c>
      <c r="S97" s="413">
        <f ca="1">IF(IFERROR(VLOOKUP(C97,APU!H:N,7,0),0),VLOOKUP(C97,APU!H:N,7,0),0)</f>
        <v>4800</v>
      </c>
      <c r="T97" s="179"/>
      <c r="U97" s="413">
        <f t="shared" ca="1" si="19"/>
        <v>84825.246180000002</v>
      </c>
      <c r="V97" s="413">
        <f t="shared" ca="1" si="20"/>
        <v>84825.246180000002</v>
      </c>
      <c r="W97" s="413">
        <f t="shared" ca="1" si="21"/>
        <v>313.18531250000001</v>
      </c>
      <c r="X97" s="413">
        <f t="shared" ca="1" si="22"/>
        <v>21206.311545</v>
      </c>
      <c r="Y97" s="413">
        <f t="shared" ca="1" si="14"/>
        <v>45805.632937200004</v>
      </c>
      <c r="Z97" s="413">
        <f ca="1">(P97+Q97+U97+V97+W97+X97+R97+S97)*$Z$14</f>
        <v>37544.566994025001</v>
      </c>
      <c r="AA97" s="413">
        <f t="shared" ca="1" si="15"/>
        <v>1334835.7663987251</v>
      </c>
      <c r="AB97" s="413">
        <f ca="1">V97*$AB$14</f>
        <v>16116.7967742</v>
      </c>
      <c r="AC97" s="413">
        <f ca="1">AA97*K97</f>
        <v>0</v>
      </c>
      <c r="AD97" s="413">
        <f ca="1">AB97*K97</f>
        <v>0</v>
      </c>
    </row>
    <row r="98" spans="2:30" s="168" customFormat="1" ht="30.75" hidden="1" customHeight="1">
      <c r="B98" s="329"/>
      <c r="C98" s="361">
        <v>1.83</v>
      </c>
      <c r="D98" s="488" t="s">
        <v>4985</v>
      </c>
      <c r="E98" s="489"/>
      <c r="F98" s="489"/>
      <c r="G98" s="489"/>
      <c r="H98" s="489"/>
      <c r="I98" s="490"/>
      <c r="J98" s="361" t="s">
        <v>4128</v>
      </c>
      <c r="K98" s="362"/>
      <c r="L98" s="333">
        <f t="shared" ca="1" si="17"/>
        <v>2666845.4992987248</v>
      </c>
      <c r="M98" s="334">
        <f t="shared" ca="1" si="18"/>
        <v>0</v>
      </c>
      <c r="N98" s="335"/>
      <c r="O98" s="181"/>
      <c r="P98" s="413">
        <f ca="1">IF(IFERROR(VLOOKUP(C98,APU!H:N,4,0),0),VLOOKUP(C98,APU!H:N,4,0),0)</f>
        <v>2087323.5460000001</v>
      </c>
      <c r="Q98" s="413">
        <f ca="1">IF(IFERROR(VLOOKUP(C98,APU!H:N,5,0),0),VLOOKUP(C98,APU!H:N,5,0),0)</f>
        <v>22484</v>
      </c>
      <c r="R98" s="413">
        <f ca="1">IF(IFERROR(VLOOKUP(C98,APU!H:N,6,0),0),VLOOKUP(C98,APU!H:N,6,0),0)</f>
        <v>4034.53125</v>
      </c>
      <c r="S98" s="413">
        <f ca="1">IF(IFERROR(VLOOKUP(C98,APU!H:N,7,0),0),VLOOKUP(C98,APU!H:N,7,0),0)</f>
        <v>4800</v>
      </c>
      <c r="T98" s="179"/>
      <c r="U98" s="413">
        <f t="shared" ca="1" si="19"/>
        <v>169491.36618000001</v>
      </c>
      <c r="V98" s="413">
        <f t="shared" ca="1" si="20"/>
        <v>169491.36618000001</v>
      </c>
      <c r="W98" s="413">
        <f t="shared" ca="1" si="21"/>
        <v>313.18531250000001</v>
      </c>
      <c r="X98" s="413">
        <f t="shared" ca="1" si="22"/>
        <v>42372.841545000003</v>
      </c>
      <c r="Y98" s="413">
        <f t="shared" ca="1" si="14"/>
        <v>91525.337737199996</v>
      </c>
      <c r="Z98" s="413">
        <f ca="1">(P98+Q98+U98+V98+W98+X98+R98+S98)*$Z$14</f>
        <v>75009.325094025</v>
      </c>
      <c r="AA98" s="413">
        <f t="shared" ca="1" si="15"/>
        <v>2666845.4992987248</v>
      </c>
      <c r="AB98" s="413">
        <f ca="1">V98*$AB$14</f>
        <v>32203.359574200003</v>
      </c>
      <c r="AC98" s="413">
        <f ca="1">AA98*K98</f>
        <v>0</v>
      </c>
      <c r="AD98" s="413">
        <f ca="1">AB98*K98</f>
        <v>0</v>
      </c>
    </row>
    <row r="99" spans="2:30" s="168" customFormat="1" ht="30.75" hidden="1" customHeight="1">
      <c r="B99" s="329"/>
      <c r="C99" s="361">
        <v>1.84</v>
      </c>
      <c r="D99" s="488" t="s">
        <v>5014</v>
      </c>
      <c r="E99" s="489"/>
      <c r="F99" s="489"/>
      <c r="G99" s="489"/>
      <c r="H99" s="489"/>
      <c r="I99" s="490"/>
      <c r="J99" s="361" t="s">
        <v>4128</v>
      </c>
      <c r="K99" s="362"/>
      <c r="L99" s="333">
        <f t="shared" ca="1" si="17"/>
        <v>318686.93104840501</v>
      </c>
      <c r="M99" s="334">
        <f t="shared" ca="1" si="18"/>
        <v>0</v>
      </c>
      <c r="N99" s="335"/>
      <c r="O99" s="181"/>
      <c r="P99" s="413">
        <f ca="1">IF(IFERROR(VLOOKUP(C99,APU!H:N,4,0),0),VLOOKUP(C99,APU!H:N,4,0),0)</f>
        <v>221632.64480000001</v>
      </c>
      <c r="Q99" s="413">
        <f ca="1">IF(IFERROR(VLOOKUP(C99,APU!H:N,5,0),0),VLOOKUP(C99,APU!H:N,5,0),0)</f>
        <v>22484</v>
      </c>
      <c r="R99" s="413">
        <f ca="1">IF(IFERROR(VLOOKUP(C99,APU!H:N,6,0),0),VLOOKUP(C99,APU!H:N,6,0),0)</f>
        <v>4034.53125</v>
      </c>
      <c r="S99" s="413">
        <f ca="1">IF(IFERROR(VLOOKUP(C99,APU!H:N,7,0),0),VLOOKUP(C99,APU!H:N,7,0),0)</f>
        <v>4800</v>
      </c>
      <c r="T99" s="179"/>
      <c r="U99" s="413">
        <f t="shared" ca="1" si="19"/>
        <v>20236.094084</v>
      </c>
      <c r="V99" s="413">
        <f t="shared" ca="1" si="20"/>
        <v>20236.094084</v>
      </c>
      <c r="W99" s="413">
        <f t="shared" ca="1" si="21"/>
        <v>313.18531250000001</v>
      </c>
      <c r="X99" s="413">
        <f t="shared" ca="1" si="22"/>
        <v>5059.0235210000001</v>
      </c>
      <c r="Y99" s="413">
        <f t="shared" ca="1" si="14"/>
        <v>10927.490805359999</v>
      </c>
      <c r="Z99" s="413">
        <f ca="1">(P99+Q99+U99+V99+W99+X99+R99+S99)*$Z$14</f>
        <v>8963.8671915449977</v>
      </c>
      <c r="AA99" s="413">
        <f t="shared" ca="1" si="15"/>
        <v>318686.93104840501</v>
      </c>
      <c r="AB99" s="413">
        <f ca="1">V99*$AB$14</f>
        <v>3844.85787596</v>
      </c>
      <c r="AC99" s="413">
        <f ca="1">AA99*K99</f>
        <v>0</v>
      </c>
      <c r="AD99" s="413">
        <f ca="1">AB99*K99</f>
        <v>0</v>
      </c>
    </row>
    <row r="100" spans="2:30" s="168" customFormat="1" ht="30.75" customHeight="1">
      <c r="B100" s="329"/>
      <c r="C100" s="361">
        <v>1.85</v>
      </c>
      <c r="D100" s="488" t="s">
        <v>5032</v>
      </c>
      <c r="E100" s="489"/>
      <c r="F100" s="489"/>
      <c r="G100" s="489"/>
      <c r="H100" s="489"/>
      <c r="I100" s="490"/>
      <c r="J100" s="361" t="s">
        <v>4128</v>
      </c>
      <c r="K100" s="362">
        <v>1</v>
      </c>
      <c r="L100" s="333">
        <f t="shared" ca="1" si="9"/>
        <v>1323778.7451437251</v>
      </c>
      <c r="M100" s="334">
        <f t="shared" ca="1" si="16"/>
        <v>1323778.7451437251</v>
      </c>
      <c r="N100" s="335"/>
      <c r="O100" s="181"/>
      <c r="P100" s="413">
        <f ca="1">IF(IFERROR(VLOOKUP(C100,APU!H:N,4,0),0),VLOOKUP(C100,APU!H:N,4,0),0)</f>
        <v>1020211.8710000002</v>
      </c>
      <c r="Q100" s="413">
        <f ca="1">IF(IFERROR(VLOOKUP(C100,APU!H:N,5,0),0),VLOOKUP(C100,APU!H:N,5,0),0)</f>
        <v>22484</v>
      </c>
      <c r="R100" s="413">
        <f ca="1">IF(IFERROR(VLOOKUP(C100,APU!H:N,6,0),0),VLOOKUP(C100,APU!H:N,6,0),0)</f>
        <v>4034.53125</v>
      </c>
      <c r="S100" s="413">
        <f ca="1">IF(IFERROR(VLOOKUP(C100,APU!H:N,7,0),0),VLOOKUP(C100,APU!H:N,7,0),0)</f>
        <v>4800</v>
      </c>
      <c r="T100" s="179"/>
      <c r="U100" s="413">
        <f t="shared" ca="1" si="10"/>
        <v>84122.432180000018</v>
      </c>
      <c r="V100" s="413">
        <f t="shared" ca="1" si="11"/>
        <v>84122.432180000018</v>
      </c>
      <c r="W100" s="413">
        <f t="shared" ca="1" si="12"/>
        <v>313.18531250000001</v>
      </c>
      <c r="X100" s="413">
        <f t="shared" ca="1" si="13"/>
        <v>21030.608045000004</v>
      </c>
      <c r="Y100" s="413">
        <f t="shared" ca="1" si="14"/>
        <v>45426.11337720001</v>
      </c>
      <c r="Z100" s="413">
        <f ca="1">(P100+Q100+U100+V100+W100+X100+R100+S100)*$Z$14</f>
        <v>37233.571799025012</v>
      </c>
      <c r="AA100" s="413">
        <f t="shared" ca="1" si="15"/>
        <v>1323778.7451437251</v>
      </c>
      <c r="AB100" s="413">
        <f ca="1">V100*$AB$14</f>
        <v>15983.262114200004</v>
      </c>
      <c r="AC100" s="413">
        <f ca="1">AA100*K100</f>
        <v>1323778.7451437251</v>
      </c>
      <c r="AD100" s="413">
        <f ca="1">AB100*K100</f>
        <v>15983.262114200004</v>
      </c>
    </row>
    <row r="101" spans="2:30" s="168" customFormat="1" ht="30.75" customHeight="1">
      <c r="B101" s="329"/>
      <c r="C101" s="367">
        <v>2</v>
      </c>
      <c r="D101" s="495" t="s">
        <v>4623</v>
      </c>
      <c r="E101" s="496"/>
      <c r="F101" s="496"/>
      <c r="G101" s="496"/>
      <c r="H101" s="496"/>
      <c r="I101" s="497"/>
      <c r="J101" s="368"/>
      <c r="K101" s="369"/>
      <c r="L101" s="369"/>
      <c r="M101" s="369"/>
      <c r="N101" s="335"/>
      <c r="O101" s="181"/>
      <c r="P101" s="413">
        <f ca="1">IF(IFERROR(VLOOKUP(C101,APU!H:N,4,0),0),VLOOKUP(C101,APU!H:N,4,0),0)</f>
        <v>0</v>
      </c>
      <c r="Q101" s="413">
        <f ca="1">IF(IFERROR(VLOOKUP(C101,APU!H:N,5,0),0),VLOOKUP(C101,APU!H:N,5,0),0)</f>
        <v>0</v>
      </c>
      <c r="R101" s="413">
        <f ca="1">IF(IFERROR(VLOOKUP(C101,APU!H:N,6,0),0),VLOOKUP(C101,APU!H:N,6,0),0)</f>
        <v>0</v>
      </c>
      <c r="S101" s="413">
        <f ca="1">IF(IFERROR(VLOOKUP(C101,APU!H:N,7,0),0),VLOOKUP(C101,APU!H:N,7,0),0)</f>
        <v>0</v>
      </c>
      <c r="T101" s="179"/>
      <c r="U101" s="413">
        <f t="shared" ca="1" si="10"/>
        <v>0</v>
      </c>
      <c r="V101" s="413">
        <f t="shared" ca="1" si="11"/>
        <v>0</v>
      </c>
      <c r="W101" s="413">
        <f t="shared" ca="1" si="12"/>
        <v>0</v>
      </c>
      <c r="X101" s="413">
        <f t="shared" ca="1" si="13"/>
        <v>0</v>
      </c>
      <c r="Y101" s="413">
        <f t="shared" ca="1" si="14"/>
        <v>0</v>
      </c>
      <c r="Z101" s="413">
        <f ca="1">(P101+Q101+U101+V101+W101+X101+R101+S101)*$Z$14</f>
        <v>0</v>
      </c>
      <c r="AA101" s="413">
        <f t="shared" ca="1" si="15"/>
        <v>0</v>
      </c>
      <c r="AB101" s="413">
        <f ca="1">V101*$AB$14</f>
        <v>0</v>
      </c>
      <c r="AC101" s="413">
        <f ca="1">AA101*K101</f>
        <v>0</v>
      </c>
      <c r="AD101" s="413">
        <f ca="1">AB101*K101</f>
        <v>0</v>
      </c>
    </row>
    <row r="102" spans="2:30" s="168" customFormat="1" ht="30.75" customHeight="1">
      <c r="B102" s="329"/>
      <c r="C102" s="361">
        <v>2.1</v>
      </c>
      <c r="D102" s="488" t="s">
        <v>4782</v>
      </c>
      <c r="E102" s="489"/>
      <c r="F102" s="489"/>
      <c r="G102" s="489"/>
      <c r="H102" s="489"/>
      <c r="I102" s="490"/>
      <c r="J102" s="361" t="s">
        <v>4128</v>
      </c>
      <c r="K102" s="363">
        <v>1</v>
      </c>
      <c r="L102" s="333">
        <f t="shared" ca="1" si="9"/>
        <v>1132174.9463424201</v>
      </c>
      <c r="M102" s="334">
        <f t="shared" ref="M102:M105" ca="1" si="29">L102*K102</f>
        <v>1132174.9463424201</v>
      </c>
      <c r="N102" s="335"/>
      <c r="O102" s="181"/>
      <c r="P102" s="413">
        <f ca="1">IF(IFERROR(VLOOKUP(C102,APU!H:N,4,0),0),VLOOKUP(C102,APU!H:N,4,0),0)</f>
        <v>802155.20000000007</v>
      </c>
      <c r="Q102" s="413">
        <f ca="1">IF(IFERROR(VLOOKUP(C102,APU!H:N,5,0),0),VLOOKUP(C102,APU!H:N,5,0),0)</f>
        <v>82453.324799999988</v>
      </c>
      <c r="R102" s="413">
        <f ca="1">IF(IFERROR(VLOOKUP(C102,APU!H:N,6,0),0),VLOOKUP(C102,APU!H:N,6,0),0)</f>
        <v>9351.9329999999991</v>
      </c>
      <c r="S102" s="413">
        <f ca="1">IF(IFERROR(VLOOKUP(C102,APU!H:N,7,0),0),VLOOKUP(C102,APU!H:N,7,0),0)</f>
        <v>4800</v>
      </c>
      <c r="T102" s="179"/>
      <c r="U102" s="413">
        <f t="shared" ca="1" si="10"/>
        <v>71900.836624000003</v>
      </c>
      <c r="V102" s="413">
        <f t="shared" ca="1" si="11"/>
        <v>71900.836624000003</v>
      </c>
      <c r="W102" s="413">
        <f t="shared" ca="1" si="12"/>
        <v>966.05257799999993</v>
      </c>
      <c r="X102" s="413">
        <f t="shared" ca="1" si="13"/>
        <v>17975.209156000001</v>
      </c>
      <c r="Y102" s="413">
        <f t="shared" ca="1" si="14"/>
        <v>38826.451776959999</v>
      </c>
      <c r="Z102" s="413">
        <f ca="1">(P102+Q102+U102+V102+W102+X102+R102+S102)*$Z$14</f>
        <v>31845.101783460002</v>
      </c>
      <c r="AA102" s="413">
        <f t="shared" ca="1" si="15"/>
        <v>1132174.9463424201</v>
      </c>
      <c r="AB102" s="413">
        <f ca="1">V102*$AB$14</f>
        <v>13661.158958560001</v>
      </c>
      <c r="AC102" s="413">
        <f ca="1">AA102*K102</f>
        <v>1132174.9463424201</v>
      </c>
      <c r="AD102" s="413">
        <f ca="1">AB102*K102</f>
        <v>13661.158958560001</v>
      </c>
    </row>
    <row r="103" spans="2:30" s="168" customFormat="1" ht="30.75" hidden="1" customHeight="1">
      <c r="B103" s="329"/>
      <c r="C103" s="361">
        <v>2.2000000000000002</v>
      </c>
      <c r="D103" s="488" t="s">
        <v>4624</v>
      </c>
      <c r="E103" s="489"/>
      <c r="F103" s="489"/>
      <c r="G103" s="489"/>
      <c r="H103" s="489"/>
      <c r="I103" s="490"/>
      <c r="J103" s="361" t="s">
        <v>4128</v>
      </c>
      <c r="K103" s="363"/>
      <c r="L103" s="333">
        <f t="shared" ca="1" si="9"/>
        <v>1132174.9463424201</v>
      </c>
      <c r="M103" s="334">
        <f t="shared" ca="1" si="29"/>
        <v>0</v>
      </c>
      <c r="N103" s="335"/>
      <c r="O103" s="181"/>
      <c r="P103" s="413">
        <f ca="1">IF(IFERROR(VLOOKUP(C103,APU!H:N,4,0),0),VLOOKUP(C103,APU!H:N,4,0),0)</f>
        <v>802155.20000000007</v>
      </c>
      <c r="Q103" s="413">
        <f ca="1">IF(IFERROR(VLOOKUP(C103,APU!H:N,5,0),0),VLOOKUP(C103,APU!H:N,5,0),0)</f>
        <v>82453.324799999988</v>
      </c>
      <c r="R103" s="413">
        <f ca="1">IF(IFERROR(VLOOKUP(C103,APU!H:N,6,0),0),VLOOKUP(C103,APU!H:N,6,0),0)</f>
        <v>9351.9329999999991</v>
      </c>
      <c r="S103" s="413">
        <f ca="1">IF(IFERROR(VLOOKUP(C103,APU!H:N,7,0),0),VLOOKUP(C103,APU!H:N,7,0),0)</f>
        <v>4800</v>
      </c>
      <c r="T103" s="179"/>
      <c r="U103" s="413">
        <f t="shared" ca="1" si="10"/>
        <v>71900.836624000003</v>
      </c>
      <c r="V103" s="413">
        <f t="shared" ca="1" si="11"/>
        <v>71900.836624000003</v>
      </c>
      <c r="W103" s="413">
        <f t="shared" ca="1" si="12"/>
        <v>966.05257799999993</v>
      </c>
      <c r="X103" s="413">
        <f t="shared" ca="1" si="13"/>
        <v>17975.209156000001</v>
      </c>
      <c r="Y103" s="413">
        <f t="shared" ca="1" si="14"/>
        <v>38826.451776959999</v>
      </c>
      <c r="Z103" s="413">
        <f ca="1">(P103+Q103+U103+V103+W103+X103+R103+S103)*$Z$14</f>
        <v>31845.101783460002</v>
      </c>
      <c r="AA103" s="413">
        <f t="shared" ca="1" si="15"/>
        <v>1132174.9463424201</v>
      </c>
      <c r="AB103" s="413">
        <f ca="1">V103*$AB$14</f>
        <v>13661.158958560001</v>
      </c>
      <c r="AC103" s="413">
        <f ca="1">AA103*K103</f>
        <v>0</v>
      </c>
      <c r="AD103" s="413">
        <f ca="1">AB103*K103</f>
        <v>0</v>
      </c>
    </row>
    <row r="104" spans="2:30" s="168" customFormat="1" ht="18.75">
      <c r="B104" s="329"/>
      <c r="C104" s="361">
        <v>2.2999999999999998</v>
      </c>
      <c r="D104" s="488" t="s">
        <v>4640</v>
      </c>
      <c r="E104" s="489"/>
      <c r="F104" s="489"/>
      <c r="G104" s="489"/>
      <c r="H104" s="489"/>
      <c r="I104" s="490"/>
      <c r="J104" s="361" t="s">
        <v>4128</v>
      </c>
      <c r="K104" s="363">
        <v>1</v>
      </c>
      <c r="L104" s="333">
        <f t="shared" ca="1" si="9"/>
        <v>992002.85765750008</v>
      </c>
      <c r="M104" s="334">
        <f t="shared" ca="1" si="29"/>
        <v>992002.85765750008</v>
      </c>
      <c r="N104" s="335"/>
      <c r="O104" s="181"/>
      <c r="P104" s="413">
        <f ca="1">IF(IFERROR(VLOOKUP(C104,APU!H:N,4,0),0),VLOOKUP(C104,APU!H:N,4,0),0)</f>
        <v>531192.20000000007</v>
      </c>
      <c r="Q104" s="413">
        <f ca="1">IF(IFERROR(VLOOKUP(C104,APU!H:N,5,0),0),VLOOKUP(C104,APU!H:N,5,0),0)</f>
        <v>67452</v>
      </c>
      <c r="R104" s="413">
        <f ca="1">IF(IFERROR(VLOOKUP(C104,APU!H:N,6,0),0),VLOOKUP(C104,APU!H:N,6,0),0)</f>
        <v>182649.375</v>
      </c>
      <c r="S104" s="413">
        <f ca="1">IF(IFERROR(VLOOKUP(C104,APU!H:N,7,0),0),VLOOKUP(C104,APU!H:N,7,0),0)</f>
        <v>4800</v>
      </c>
      <c r="T104" s="179"/>
      <c r="U104" s="413">
        <f t="shared" ca="1" si="10"/>
        <v>62887.486000000004</v>
      </c>
      <c r="V104" s="413">
        <f t="shared" ca="1" si="11"/>
        <v>62887.486000000004</v>
      </c>
      <c r="W104" s="413">
        <f t="shared" ca="1" si="12"/>
        <v>2549.0137500000001</v>
      </c>
      <c r="X104" s="413">
        <f t="shared" ca="1" si="13"/>
        <v>15721.871500000001</v>
      </c>
      <c r="Y104" s="413">
        <f t="shared" ca="1" si="14"/>
        <v>33959.242440000002</v>
      </c>
      <c r="Z104" s="413">
        <f ca="1">(P104+Q104+U104+V104+W104+X104+R104+S104)*$Z$14</f>
        <v>27904.182967500004</v>
      </c>
      <c r="AA104" s="413">
        <f t="shared" ca="1" si="15"/>
        <v>992002.85765750008</v>
      </c>
      <c r="AB104" s="413">
        <f ca="1">V104*$AB$14</f>
        <v>11948.622340000002</v>
      </c>
      <c r="AC104" s="413">
        <f ca="1">AA104*K104</f>
        <v>992002.85765750008</v>
      </c>
      <c r="AD104" s="413">
        <f ca="1">AB104*K104</f>
        <v>11948.622340000002</v>
      </c>
    </row>
    <row r="105" spans="2:30" s="168" customFormat="1" ht="18.75" hidden="1">
      <c r="B105" s="329"/>
      <c r="C105" s="361">
        <v>2.4</v>
      </c>
      <c r="D105" s="488" t="s">
        <v>4625</v>
      </c>
      <c r="E105" s="489" t="s">
        <v>4625</v>
      </c>
      <c r="F105" s="489" t="s">
        <v>4625</v>
      </c>
      <c r="G105" s="489" t="s">
        <v>4625</v>
      </c>
      <c r="H105" s="489" t="s">
        <v>4625</v>
      </c>
      <c r="I105" s="490" t="s">
        <v>4625</v>
      </c>
      <c r="J105" s="361" t="s">
        <v>4128</v>
      </c>
      <c r="K105" s="363"/>
      <c r="L105" s="333">
        <f t="shared" ca="1" si="9"/>
        <v>992002.85765750008</v>
      </c>
      <c r="M105" s="334">
        <f t="shared" ca="1" si="29"/>
        <v>0</v>
      </c>
      <c r="N105" s="335"/>
      <c r="O105" s="181"/>
      <c r="P105" s="413">
        <f ca="1">IF(IFERROR(VLOOKUP(C105,APU!H:N,4,0),0),VLOOKUP(C105,APU!H:N,4,0),0)</f>
        <v>531192.20000000007</v>
      </c>
      <c r="Q105" s="413">
        <f ca="1">IF(IFERROR(VLOOKUP(C105,APU!H:N,5,0),0),VLOOKUP(C105,APU!H:N,5,0),0)</f>
        <v>67452</v>
      </c>
      <c r="R105" s="413">
        <f ca="1">IF(IFERROR(VLOOKUP(C105,APU!H:N,6,0),0),VLOOKUP(C105,APU!H:N,6,0),0)</f>
        <v>182649.375</v>
      </c>
      <c r="S105" s="413">
        <f ca="1">IF(IFERROR(VLOOKUP(C105,APU!H:N,7,0),0),VLOOKUP(C105,APU!H:N,7,0),0)</f>
        <v>4800</v>
      </c>
      <c r="T105" s="179"/>
      <c r="U105" s="413">
        <f t="shared" ca="1" si="10"/>
        <v>62887.486000000004</v>
      </c>
      <c r="V105" s="413">
        <f t="shared" ca="1" si="11"/>
        <v>62887.486000000004</v>
      </c>
      <c r="W105" s="413">
        <f t="shared" ca="1" si="12"/>
        <v>2549.0137500000001</v>
      </c>
      <c r="X105" s="413">
        <f t="shared" ca="1" si="13"/>
        <v>15721.871500000001</v>
      </c>
      <c r="Y105" s="413">
        <f t="shared" ca="1" si="14"/>
        <v>33959.242440000002</v>
      </c>
      <c r="Z105" s="413">
        <f ca="1">(P105+Q105+U105+V105+W105+X105+R105+S105)*$Z$14</f>
        <v>27904.182967500004</v>
      </c>
      <c r="AA105" s="413">
        <f t="shared" ca="1" si="15"/>
        <v>992002.85765750008</v>
      </c>
      <c r="AB105" s="413">
        <f ca="1">V105*$AB$14</f>
        <v>11948.622340000002</v>
      </c>
      <c r="AC105" s="413">
        <f ca="1">AA105*K105</f>
        <v>0</v>
      </c>
      <c r="AD105" s="413">
        <f ca="1">AB105*K105</f>
        <v>0</v>
      </c>
    </row>
    <row r="106" spans="2:30" s="168" customFormat="1" ht="18.75" hidden="1">
      <c r="B106" s="329"/>
      <c r="C106" s="361">
        <v>2.5</v>
      </c>
      <c r="D106" s="488" t="s">
        <v>4626</v>
      </c>
      <c r="E106" s="489" t="s">
        <v>4626</v>
      </c>
      <c r="F106" s="489" t="s">
        <v>4626</v>
      </c>
      <c r="G106" s="489" t="s">
        <v>4626</v>
      </c>
      <c r="H106" s="489" t="s">
        <v>4626</v>
      </c>
      <c r="I106" s="490" t="s">
        <v>4626</v>
      </c>
      <c r="J106" s="361" t="s">
        <v>4128</v>
      </c>
      <c r="K106" s="363"/>
      <c r="L106" s="333">
        <f t="shared" ca="1" si="9"/>
        <v>1085910.7794575</v>
      </c>
      <c r="M106" s="334">
        <f ca="1">L106*K106</f>
        <v>0</v>
      </c>
      <c r="N106" s="335"/>
      <c r="O106" s="181"/>
      <c r="P106" s="413">
        <f ca="1">IF(IFERROR(VLOOKUP(C106,APU!H:N,4,0),0),VLOOKUP(C106,APU!H:N,4,0),0)</f>
        <v>605805.19999999995</v>
      </c>
      <c r="Q106" s="413">
        <f ca="1">IF(IFERROR(VLOOKUP(C106,APU!H:N,5,0),0),VLOOKUP(C106,APU!H:N,5,0),0)</f>
        <v>67452</v>
      </c>
      <c r="R106" s="413">
        <f ca="1">IF(IFERROR(VLOOKUP(C106,APU!H:N,6,0),0),VLOOKUP(C106,APU!H:N,6,0),0)</f>
        <v>182649.375</v>
      </c>
      <c r="S106" s="413">
        <f ca="1">IF(IFERROR(VLOOKUP(C106,APU!H:N,7,0),0),VLOOKUP(C106,APU!H:N,7,0),0)</f>
        <v>4800</v>
      </c>
      <c r="T106" s="179"/>
      <c r="U106" s="413">
        <f t="shared" ca="1" si="10"/>
        <v>68856.525999999998</v>
      </c>
      <c r="V106" s="413">
        <f t="shared" ca="1" si="11"/>
        <v>68856.525999999998</v>
      </c>
      <c r="W106" s="413">
        <f t="shared" ca="1" si="12"/>
        <v>2549.0137500000001</v>
      </c>
      <c r="X106" s="413">
        <f t="shared" ca="1" si="13"/>
        <v>17214.1315</v>
      </c>
      <c r="Y106" s="413">
        <f t="shared" ca="1" si="14"/>
        <v>37182.524039999997</v>
      </c>
      <c r="Z106" s="413">
        <f ca="1">(P106+Q106+U106+V106+W106+X106+R106+S106)*$Z$14</f>
        <v>30545.483167499995</v>
      </c>
      <c r="AA106" s="413">
        <f t="shared" ca="1" si="15"/>
        <v>1085910.7794575</v>
      </c>
      <c r="AB106" s="413">
        <f ca="1">V106*$AB$14</f>
        <v>13082.739939999999</v>
      </c>
      <c r="AC106" s="413">
        <f ca="1">AA106*K106</f>
        <v>0</v>
      </c>
      <c r="AD106" s="413">
        <f ca="1">AB106*K106</f>
        <v>0</v>
      </c>
    </row>
    <row r="107" spans="2:30" s="168" customFormat="1" ht="18.75" hidden="1">
      <c r="B107" s="329"/>
      <c r="C107" s="361">
        <v>2.6</v>
      </c>
      <c r="D107" s="488" t="s">
        <v>4641</v>
      </c>
      <c r="E107" s="489"/>
      <c r="F107" s="489"/>
      <c r="G107" s="489"/>
      <c r="H107" s="489"/>
      <c r="I107" s="490"/>
      <c r="J107" s="361" t="s">
        <v>4128</v>
      </c>
      <c r="K107" s="363"/>
      <c r="L107" s="333">
        <f t="shared" ca="1" si="9"/>
        <v>1445201.3523424203</v>
      </c>
      <c r="M107" s="334">
        <f t="shared" ref="M107:M132" ca="1" si="30">L107*K107</f>
        <v>0</v>
      </c>
      <c r="N107" s="335"/>
      <c r="O107" s="181"/>
      <c r="P107" s="413">
        <f ca="1">IF(IFERROR(VLOOKUP(C107,APU!H:N,4,0),0),VLOOKUP(C107,APU!H:N,4,0),0)</f>
        <v>1050865.2000000002</v>
      </c>
      <c r="Q107" s="413">
        <f ca="1">IF(IFERROR(VLOOKUP(C107,APU!H:N,5,0),0),VLOOKUP(C107,APU!H:N,5,0),0)</f>
        <v>82453.324799999988</v>
      </c>
      <c r="R107" s="413">
        <f ca="1">IF(IFERROR(VLOOKUP(C107,APU!H:N,6,0),0),VLOOKUP(C107,APU!H:N,6,0),0)</f>
        <v>9351.9329999999991</v>
      </c>
      <c r="S107" s="413">
        <f ca="1">IF(IFERROR(VLOOKUP(C107,APU!H:N,7,0),0),VLOOKUP(C107,APU!H:N,7,0),0)</f>
        <v>4800</v>
      </c>
      <c r="T107" s="179"/>
      <c r="U107" s="413">
        <f t="shared" ca="1" si="10"/>
        <v>91797.636624000021</v>
      </c>
      <c r="V107" s="413">
        <f t="shared" ca="1" si="11"/>
        <v>91797.636624000021</v>
      </c>
      <c r="W107" s="413">
        <f t="shared" ca="1" si="12"/>
        <v>966.05257799999993</v>
      </c>
      <c r="X107" s="413">
        <f t="shared" ca="1" si="13"/>
        <v>22949.409156000005</v>
      </c>
      <c r="Y107" s="413">
        <f t="shared" ca="1" si="14"/>
        <v>49570.723776960011</v>
      </c>
      <c r="Z107" s="413">
        <f ca="1">(P107+Q107+U107+V107+W107+X107+R107+S107)*$Z$14</f>
        <v>40649.435783460001</v>
      </c>
      <c r="AA107" s="413">
        <f t="shared" ca="1" si="15"/>
        <v>1445201.3523424203</v>
      </c>
      <c r="AB107" s="413">
        <f ca="1">V107*$AB$14</f>
        <v>17441.550958560005</v>
      </c>
      <c r="AC107" s="413">
        <f ca="1">AA107*K107</f>
        <v>0</v>
      </c>
      <c r="AD107" s="413">
        <f ca="1">AB107*K107</f>
        <v>0</v>
      </c>
    </row>
    <row r="108" spans="2:30" s="168" customFormat="1" ht="18.75" hidden="1">
      <c r="B108" s="329"/>
      <c r="C108" s="361">
        <v>2.7</v>
      </c>
      <c r="D108" s="488" t="s">
        <v>4690</v>
      </c>
      <c r="E108" s="489"/>
      <c r="F108" s="489"/>
      <c r="G108" s="489"/>
      <c r="H108" s="489"/>
      <c r="I108" s="490"/>
      <c r="J108" s="361" t="s">
        <v>4128</v>
      </c>
      <c r="K108" s="363"/>
      <c r="L108" s="333">
        <f t="shared" ca="1" si="9"/>
        <v>1527576.7223424201</v>
      </c>
      <c r="M108" s="334">
        <f t="shared" ca="1" si="30"/>
        <v>0</v>
      </c>
      <c r="N108" s="335"/>
      <c r="O108" s="181"/>
      <c r="P108" s="413">
        <f ca="1">IF(IFERROR(VLOOKUP(C108,APU!H:N,4,0),0),VLOOKUP(C108,APU!H:N,4,0),0)</f>
        <v>1116315.2000000002</v>
      </c>
      <c r="Q108" s="413">
        <f ca="1">IF(IFERROR(VLOOKUP(C108,APU!H:N,5,0),0),VLOOKUP(C108,APU!H:N,5,0),0)</f>
        <v>82453.324799999988</v>
      </c>
      <c r="R108" s="413">
        <f ca="1">IF(IFERROR(VLOOKUP(C108,APU!H:N,6,0),0),VLOOKUP(C108,APU!H:N,6,0),0)</f>
        <v>9351.9329999999991</v>
      </c>
      <c r="S108" s="413">
        <f ca="1">IF(IFERROR(VLOOKUP(C108,APU!H:N,7,0),0),VLOOKUP(C108,APU!H:N,7,0),0)</f>
        <v>4800</v>
      </c>
      <c r="T108" s="179"/>
      <c r="U108" s="413">
        <f t="shared" ca="1" si="10"/>
        <v>97033.636624000021</v>
      </c>
      <c r="V108" s="413">
        <f t="shared" ca="1" si="11"/>
        <v>97033.636624000021</v>
      </c>
      <c r="W108" s="413">
        <f t="shared" ca="1" si="12"/>
        <v>966.05257799999993</v>
      </c>
      <c r="X108" s="413">
        <f t="shared" ca="1" si="13"/>
        <v>24258.409156000005</v>
      </c>
      <c r="Y108" s="413">
        <f t="shared" ca="1" si="14"/>
        <v>52398.163776960013</v>
      </c>
      <c r="Z108" s="413">
        <f ca="1">(P108+Q108+U108+V108+W108+X108+R108+S108)*$Z$14</f>
        <v>42966.365783460002</v>
      </c>
      <c r="AA108" s="413">
        <f t="shared" ca="1" si="15"/>
        <v>1527576.7223424201</v>
      </c>
      <c r="AB108" s="413">
        <f ca="1">V108*$AB$14</f>
        <v>18436.390958560005</v>
      </c>
      <c r="AC108" s="413">
        <f ca="1">AA108*K108</f>
        <v>0</v>
      </c>
      <c r="AD108" s="413">
        <f ca="1">AB108*K108</f>
        <v>0</v>
      </c>
    </row>
    <row r="109" spans="2:30" s="168" customFormat="1" ht="18.75" hidden="1">
      <c r="B109" s="329"/>
      <c r="C109" s="361">
        <v>2.8</v>
      </c>
      <c r="D109" s="488" t="s">
        <v>4691</v>
      </c>
      <c r="E109" s="489"/>
      <c r="F109" s="489"/>
      <c r="G109" s="489"/>
      <c r="H109" s="489"/>
      <c r="I109" s="490"/>
      <c r="J109" s="361" t="s">
        <v>4128</v>
      </c>
      <c r="K109" s="363"/>
      <c r="L109" s="333">
        <f t="shared" ca="1" si="9"/>
        <v>3010887.5652825003</v>
      </c>
      <c r="M109" s="334">
        <f t="shared" ca="1" si="30"/>
        <v>0</v>
      </c>
      <c r="N109" s="335"/>
      <c r="O109" s="181"/>
      <c r="P109" s="413">
        <f ca="1">IF(IFERROR(VLOOKUP(C109,APU!H:N,4,0),0),VLOOKUP(C109,APU!H:N,4,0),0)</f>
        <v>1967165.2000000002</v>
      </c>
      <c r="Q109" s="413">
        <f ca="1">IF(IFERROR(VLOOKUP(C109,APU!H:N,5,0),0),VLOOKUP(C109,APU!H:N,5,0),0)</f>
        <v>112420</v>
      </c>
      <c r="R109" s="413">
        <f ca="1">IF(IFERROR(VLOOKUP(C109,APU!H:N,6,0),0),VLOOKUP(C109,APU!H:N,6,0),0)</f>
        <v>304415.625</v>
      </c>
      <c r="S109" s="413">
        <f ca="1">IF(IFERROR(VLOOKUP(C109,APU!H:N,7,0),0),VLOOKUP(C109,APU!H:N,7,0),0)</f>
        <v>4800</v>
      </c>
      <c r="T109" s="179"/>
      <c r="U109" s="413">
        <f t="shared" ca="1" si="10"/>
        <v>191104.06600000002</v>
      </c>
      <c r="V109" s="413">
        <f t="shared" ca="1" si="11"/>
        <v>191104.06600000002</v>
      </c>
      <c r="W109" s="413">
        <f t="shared" ca="1" si="12"/>
        <v>4216.3562499999998</v>
      </c>
      <c r="X109" s="413">
        <f t="shared" ca="1" si="13"/>
        <v>47776.016500000005</v>
      </c>
      <c r="Y109" s="413">
        <f t="shared" ca="1" si="14"/>
        <v>103196.19564000002</v>
      </c>
      <c r="Z109" s="413">
        <f ca="1">(P109+Q109+U109+V109+W109+X109+R109+S109)*$Z$14</f>
        <v>84690.039892500019</v>
      </c>
      <c r="AA109" s="413">
        <f t="shared" ca="1" si="15"/>
        <v>3010887.5652825003</v>
      </c>
      <c r="AB109" s="413">
        <f ca="1">V109*$AB$14</f>
        <v>36309.772540000005</v>
      </c>
      <c r="AC109" s="413">
        <f ca="1">AA109*K109</f>
        <v>0</v>
      </c>
      <c r="AD109" s="413">
        <f ca="1">AB109*K109</f>
        <v>0</v>
      </c>
    </row>
    <row r="110" spans="2:30" s="168" customFormat="1" ht="18.75" hidden="1">
      <c r="B110" s="329"/>
      <c r="C110" s="361">
        <v>2.9</v>
      </c>
      <c r="D110" s="488" t="s">
        <v>4692</v>
      </c>
      <c r="E110" s="489"/>
      <c r="F110" s="489"/>
      <c r="G110" s="489"/>
      <c r="H110" s="489"/>
      <c r="I110" s="490"/>
      <c r="J110" s="361" t="s">
        <v>4128</v>
      </c>
      <c r="K110" s="363"/>
      <c r="L110" s="333">
        <f t="shared" ca="1" si="9"/>
        <v>3786175.4080575006</v>
      </c>
      <c r="M110" s="334">
        <f t="shared" ca="1" si="30"/>
        <v>0</v>
      </c>
      <c r="N110" s="335"/>
      <c r="O110" s="181"/>
      <c r="P110" s="413">
        <f ca="1">IF(IFERROR(VLOOKUP(C110,APU!H:N,4,0),0),VLOOKUP(C110,APU!H:N,4,0),0)</f>
        <v>2751256.2</v>
      </c>
      <c r="Q110" s="413">
        <f ca="1">IF(IFERROR(VLOOKUP(C110,APU!H:N,5,0),0),VLOOKUP(C110,APU!H:N,5,0),0)</f>
        <v>67452</v>
      </c>
      <c r="R110" s="413">
        <f ca="1">IF(IFERROR(VLOOKUP(C110,APU!H:N,6,0),0),VLOOKUP(C110,APU!H:N,6,0),0)</f>
        <v>182649.375</v>
      </c>
      <c r="S110" s="413">
        <f ca="1">IF(IFERROR(VLOOKUP(C110,APU!H:N,7,0),0),VLOOKUP(C110,APU!H:N,7,0),0)</f>
        <v>4800</v>
      </c>
      <c r="T110" s="179"/>
      <c r="U110" s="413">
        <f t="shared" ca="1" si="10"/>
        <v>240492.60600000003</v>
      </c>
      <c r="V110" s="413">
        <f t="shared" ca="1" si="11"/>
        <v>240492.60600000003</v>
      </c>
      <c r="W110" s="413">
        <f t="shared" ca="1" si="12"/>
        <v>2549.0137500000001</v>
      </c>
      <c r="X110" s="413">
        <f t="shared" ca="1" si="13"/>
        <v>60123.151500000007</v>
      </c>
      <c r="Y110" s="413">
        <f t="shared" ca="1" si="14"/>
        <v>129866.00724000002</v>
      </c>
      <c r="Z110" s="413">
        <f ca="1">(P110+Q110+U110+V110+W110+X110+R110+S110)*$Z$14</f>
        <v>106494.44856750002</v>
      </c>
      <c r="AA110" s="413">
        <f t="shared" ca="1" si="15"/>
        <v>3786175.4080575006</v>
      </c>
      <c r="AB110" s="413">
        <f ca="1">V110*$AB$14</f>
        <v>45693.595140000005</v>
      </c>
      <c r="AC110" s="413">
        <f ca="1">AA110*K110</f>
        <v>0</v>
      </c>
      <c r="AD110" s="413">
        <f ca="1">AB110*K110</f>
        <v>0</v>
      </c>
    </row>
    <row r="111" spans="2:30" s="168" customFormat="1" ht="18.75">
      <c r="B111" s="329"/>
      <c r="C111" s="361">
        <v>2.11</v>
      </c>
      <c r="D111" s="488" t="s">
        <v>4734</v>
      </c>
      <c r="E111" s="489"/>
      <c r="F111" s="489"/>
      <c r="G111" s="489"/>
      <c r="H111" s="489"/>
      <c r="I111" s="490"/>
      <c r="J111" s="361" t="s">
        <v>4128</v>
      </c>
      <c r="K111" s="363">
        <v>1</v>
      </c>
      <c r="L111" s="333">
        <f t="shared" ca="1" si="9"/>
        <v>1767371.4019106198</v>
      </c>
      <c r="M111" s="334">
        <f t="shared" ca="1" si="30"/>
        <v>1767371.4019106198</v>
      </c>
      <c r="N111" s="335"/>
      <c r="O111" s="181"/>
      <c r="P111" s="413">
        <f ca="1">IF(IFERROR(VLOOKUP(C111,APU!H:N,4,0),0),VLOOKUP(C111,APU!H:N,4,0),0)</f>
        <v>1175220.2</v>
      </c>
      <c r="Q111" s="413">
        <f ca="1">IF(IFERROR(VLOOKUP(C111,APU!H:N,5,0),0),VLOOKUP(C111,APU!H:N,5,0),0)</f>
        <v>59969.324799999995</v>
      </c>
      <c r="R111" s="413">
        <f ca="1">IF(IFERROR(VLOOKUP(C111,APU!H:N,6,0),0),VLOOKUP(C111,APU!H:N,6,0),0)</f>
        <v>162387.47099999999</v>
      </c>
      <c r="S111" s="413">
        <f ca="1">IF(IFERROR(VLOOKUP(C111,APU!H:N,7,0),0),VLOOKUP(C111,APU!H:N,7,0),0)</f>
        <v>4800</v>
      </c>
      <c r="T111" s="179"/>
      <c r="U111" s="413">
        <f t="shared" ca="1" si="10"/>
        <v>112190.15966399999</v>
      </c>
      <c r="V111" s="413">
        <f t="shared" ca="1" si="11"/>
        <v>112190.15966399999</v>
      </c>
      <c r="W111" s="413">
        <f t="shared" ca="1" si="12"/>
        <v>2271.5679580000001</v>
      </c>
      <c r="X111" s="413">
        <f t="shared" ca="1" si="13"/>
        <v>28047.539915999998</v>
      </c>
      <c r="Y111" s="413">
        <f t="shared" ca="1" si="14"/>
        <v>60582.686218559997</v>
      </c>
      <c r="Z111" s="413">
        <f ca="1">(P111+Q111+U111+V111+W111+X111+R111+S111)*$Z$14</f>
        <v>49712.29269006</v>
      </c>
      <c r="AA111" s="413">
        <f t="shared" ca="1" si="15"/>
        <v>1767371.4019106198</v>
      </c>
      <c r="AB111" s="413">
        <f ca="1">V111*$AB$14</f>
        <v>21316.13033616</v>
      </c>
      <c r="AC111" s="413">
        <f ca="1">AA111*K111</f>
        <v>1767371.4019106198</v>
      </c>
      <c r="AD111" s="413">
        <f ca="1">AB111*K111</f>
        <v>21316.13033616</v>
      </c>
    </row>
    <row r="112" spans="2:30" s="168" customFormat="1" ht="18.75">
      <c r="B112" s="329"/>
      <c r="C112" s="361">
        <v>2.12</v>
      </c>
      <c r="D112" s="488" t="s">
        <v>4735</v>
      </c>
      <c r="E112" s="489"/>
      <c r="F112" s="489"/>
      <c r="G112" s="489"/>
      <c r="H112" s="489"/>
      <c r="I112" s="490"/>
      <c r="J112" s="361" t="s">
        <v>4128</v>
      </c>
      <c r="K112" s="363">
        <v>1</v>
      </c>
      <c r="L112" s="333">
        <f t="shared" ca="1" si="9"/>
        <v>2054974.6321375002</v>
      </c>
      <c r="M112" s="334">
        <f t="shared" ca="1" si="30"/>
        <v>2054974.6321375002</v>
      </c>
      <c r="N112" s="335"/>
      <c r="O112" s="181"/>
      <c r="P112" s="413">
        <f ca="1">IF(IFERROR(VLOOKUP(C112,APU!H:N,4,0),0),VLOOKUP(C112,APU!H:N,4,0),0)</f>
        <v>1375759</v>
      </c>
      <c r="Q112" s="413">
        <f ca="1">IF(IFERROR(VLOOKUP(C112,APU!H:N,5,0),0),VLOOKUP(C112,APU!H:N,5,0),0)</f>
        <v>67452</v>
      </c>
      <c r="R112" s="413">
        <f ca="1">IF(IFERROR(VLOOKUP(C112,APU!H:N,6,0),0),VLOOKUP(C112,APU!H:N,6,0),0)</f>
        <v>182649.375</v>
      </c>
      <c r="S112" s="413">
        <f ca="1">IF(IFERROR(VLOOKUP(C112,APU!H:N,7,0),0),VLOOKUP(C112,APU!H:N,7,0),0)</f>
        <v>4800</v>
      </c>
      <c r="T112" s="179"/>
      <c r="U112" s="413">
        <f t="shared" ca="1" si="10"/>
        <v>130452.83</v>
      </c>
      <c r="V112" s="413">
        <f t="shared" ca="1" si="11"/>
        <v>130452.83</v>
      </c>
      <c r="W112" s="413">
        <f t="shared" ca="1" si="12"/>
        <v>2549.0137500000001</v>
      </c>
      <c r="X112" s="413">
        <f t="shared" ca="1" si="13"/>
        <v>32613.2075</v>
      </c>
      <c r="Y112" s="413">
        <f t="shared" ca="1" si="14"/>
        <v>70444.528200000001</v>
      </c>
      <c r="Z112" s="413">
        <f ca="1">(P112+Q112+U112+V112+W112+X112+R112+S112)*$Z$14</f>
        <v>57801.847687499998</v>
      </c>
      <c r="AA112" s="413">
        <f t="shared" ca="1" si="15"/>
        <v>2054974.6321375002</v>
      </c>
      <c r="AB112" s="413">
        <f ca="1">V112*$AB$14</f>
        <v>24786.037700000001</v>
      </c>
      <c r="AC112" s="413">
        <f ca="1">AA112*K112</f>
        <v>2054974.6321375002</v>
      </c>
      <c r="AD112" s="413">
        <f ca="1">AB112*K112</f>
        <v>24786.037700000001</v>
      </c>
    </row>
    <row r="113" spans="2:30" s="168" customFormat="1" ht="18.75" hidden="1">
      <c r="B113" s="329"/>
      <c r="C113" s="361">
        <v>2.13</v>
      </c>
      <c r="D113" s="488" t="s">
        <v>4736</v>
      </c>
      <c r="E113" s="489"/>
      <c r="F113" s="489"/>
      <c r="G113" s="489"/>
      <c r="H113" s="489"/>
      <c r="I113" s="490"/>
      <c r="J113" s="361" t="s">
        <v>4128</v>
      </c>
      <c r="K113" s="363"/>
      <c r="L113" s="333">
        <f t="shared" ca="1" si="9"/>
        <v>2181503.2004575003</v>
      </c>
      <c r="M113" s="334">
        <f t="shared" ca="1" si="30"/>
        <v>0</v>
      </c>
      <c r="N113" s="335"/>
      <c r="O113" s="181"/>
      <c r="P113" s="413">
        <f ca="1">IF(IFERROR(VLOOKUP(C113,APU!H:N,4,0),0),VLOOKUP(C113,APU!H:N,4,0),0)</f>
        <v>1476290.2</v>
      </c>
      <c r="Q113" s="413">
        <f ca="1">IF(IFERROR(VLOOKUP(C113,APU!H:N,5,0),0),VLOOKUP(C113,APU!H:N,5,0),0)</f>
        <v>67452</v>
      </c>
      <c r="R113" s="413">
        <f ca="1">IF(IFERROR(VLOOKUP(C113,APU!H:N,6,0),0),VLOOKUP(C113,APU!H:N,6,0),0)</f>
        <v>182649.375</v>
      </c>
      <c r="S113" s="413">
        <f ca="1">IF(IFERROR(VLOOKUP(C113,APU!H:N,7,0),0),VLOOKUP(C113,APU!H:N,7,0),0)</f>
        <v>4800</v>
      </c>
      <c r="T113" s="179"/>
      <c r="U113" s="413">
        <f t="shared" ca="1" si="10"/>
        <v>138495.326</v>
      </c>
      <c r="V113" s="413">
        <f t="shared" ca="1" si="11"/>
        <v>138495.326</v>
      </c>
      <c r="W113" s="413">
        <f t="shared" ca="1" si="12"/>
        <v>2549.0137500000001</v>
      </c>
      <c r="X113" s="413">
        <f t="shared" ca="1" si="13"/>
        <v>34623.8315</v>
      </c>
      <c r="Y113" s="413">
        <f t="shared" ca="1" si="14"/>
        <v>74787.476040000009</v>
      </c>
      <c r="Z113" s="413">
        <f ca="1">(P113+Q113+U113+V113+W113+X113+R113+S113)*$Z$14</f>
        <v>61360.652167499997</v>
      </c>
      <c r="AA113" s="413">
        <f t="shared" ca="1" si="15"/>
        <v>2181503.2004575003</v>
      </c>
      <c r="AB113" s="413">
        <f ca="1">V113*$AB$14</f>
        <v>26314.111939999999</v>
      </c>
      <c r="AC113" s="413">
        <f ca="1">AA113*K113</f>
        <v>0</v>
      </c>
      <c r="AD113" s="413">
        <f ca="1">AB113*K113</f>
        <v>0</v>
      </c>
    </row>
    <row r="114" spans="2:30" s="168" customFormat="1" ht="18.75" hidden="1">
      <c r="B114" s="329"/>
      <c r="C114" s="361">
        <v>2.14</v>
      </c>
      <c r="D114" s="488" t="s">
        <v>4749</v>
      </c>
      <c r="E114" s="489"/>
      <c r="F114" s="489"/>
      <c r="G114" s="489"/>
      <c r="H114" s="489"/>
      <c r="I114" s="490"/>
      <c r="J114" s="361" t="s">
        <v>4128</v>
      </c>
      <c r="K114" s="363"/>
      <c r="L114" s="333">
        <f t="shared" ca="1" si="9"/>
        <v>1527442.7626575001</v>
      </c>
      <c r="M114" s="334">
        <f t="shared" ca="1" si="30"/>
        <v>0</v>
      </c>
      <c r="N114" s="335"/>
      <c r="O114" s="181"/>
      <c r="P114" s="413">
        <f ca="1">IF(IFERROR(VLOOKUP(C114,APU!H:N,4,0),0),VLOOKUP(C114,APU!H:N,4,0),0)</f>
        <v>956617.20000000007</v>
      </c>
      <c r="Q114" s="413">
        <f ca="1">IF(IFERROR(VLOOKUP(C114,APU!H:N,5,0),0),VLOOKUP(C114,APU!H:N,5,0),0)</f>
        <v>67452</v>
      </c>
      <c r="R114" s="413">
        <f ca="1">IF(IFERROR(VLOOKUP(C114,APU!H:N,6,0),0),VLOOKUP(C114,APU!H:N,6,0),0)</f>
        <v>182649.375</v>
      </c>
      <c r="S114" s="413">
        <f ca="1">IF(IFERROR(VLOOKUP(C114,APU!H:N,7,0),0),VLOOKUP(C114,APU!H:N,7,0),0)</f>
        <v>4800</v>
      </c>
      <c r="T114" s="179"/>
      <c r="U114" s="413">
        <f t="shared" ca="1" si="10"/>
        <v>96921.486000000019</v>
      </c>
      <c r="V114" s="413">
        <f t="shared" ca="1" si="11"/>
        <v>96921.486000000019</v>
      </c>
      <c r="W114" s="413">
        <f t="shared" ca="1" si="12"/>
        <v>2549.0137500000001</v>
      </c>
      <c r="X114" s="413">
        <f t="shared" ca="1" si="13"/>
        <v>24230.371500000005</v>
      </c>
      <c r="Y114" s="413">
        <f t="shared" ca="1" si="14"/>
        <v>52337.602440000002</v>
      </c>
      <c r="Z114" s="413">
        <f ca="1">(P114+Q114+U114+V114+W114+X114+R114+S114)*$Z$14</f>
        <v>42964.227967499995</v>
      </c>
      <c r="AA114" s="413">
        <f t="shared" ca="1" si="15"/>
        <v>1527442.7626575001</v>
      </c>
      <c r="AB114" s="413">
        <f ca="1">V114*$AB$14</f>
        <v>18415.082340000004</v>
      </c>
      <c r="AC114" s="413">
        <f ca="1">AA114*K114</f>
        <v>0</v>
      </c>
      <c r="AD114" s="413">
        <f ca="1">AB114*K114</f>
        <v>0</v>
      </c>
    </row>
    <row r="115" spans="2:30" s="168" customFormat="1" ht="18.75" hidden="1">
      <c r="B115" s="329"/>
      <c r="C115" s="361">
        <v>2.15</v>
      </c>
      <c r="D115" s="488" t="s">
        <v>4751</v>
      </c>
      <c r="E115" s="489"/>
      <c r="F115" s="489"/>
      <c r="G115" s="489"/>
      <c r="H115" s="489"/>
      <c r="I115" s="490"/>
      <c r="J115" s="361" t="s">
        <v>4128</v>
      </c>
      <c r="K115" s="363"/>
      <c r="L115" s="333">
        <f t="shared" ca="1" si="9"/>
        <v>3474796.5094575002</v>
      </c>
      <c r="M115" s="334">
        <f t="shared" ca="1" si="30"/>
        <v>0</v>
      </c>
      <c r="N115" s="335"/>
      <c r="O115" s="181"/>
      <c r="P115" s="413">
        <f ca="1">IF(IFERROR(VLOOKUP(C115,APU!H:N,4,0),0),VLOOKUP(C115,APU!H:N,4,0),0)</f>
        <v>2503855.2000000002</v>
      </c>
      <c r="Q115" s="413">
        <f ca="1">IF(IFERROR(VLOOKUP(C115,APU!H:N,5,0),0),VLOOKUP(C115,APU!H:N,5,0),0)</f>
        <v>67452</v>
      </c>
      <c r="R115" s="413">
        <f ca="1">IF(IFERROR(VLOOKUP(C115,APU!H:N,6,0),0),VLOOKUP(C115,APU!H:N,6,0),0)</f>
        <v>182649.375</v>
      </c>
      <c r="S115" s="413">
        <f ca="1">IF(IFERROR(VLOOKUP(C115,APU!H:N,7,0),0),VLOOKUP(C115,APU!H:N,7,0),0)</f>
        <v>4800</v>
      </c>
      <c r="T115" s="179"/>
      <c r="U115" s="413">
        <f t="shared" ca="1" si="10"/>
        <v>220700.52600000001</v>
      </c>
      <c r="V115" s="413">
        <f t="shared" ca="1" si="11"/>
        <v>220700.52600000001</v>
      </c>
      <c r="W115" s="413">
        <f t="shared" ca="1" si="12"/>
        <v>2549.0137500000001</v>
      </c>
      <c r="X115" s="413">
        <f t="shared" ca="1" si="13"/>
        <v>55175.131500000003</v>
      </c>
      <c r="Y115" s="413">
        <f t="shared" ca="1" si="14"/>
        <v>119178.28404000001</v>
      </c>
      <c r="Z115" s="413">
        <f ca="1">(P115+Q115+U115+V115+W115+X115+R115+S115)*$Z$14</f>
        <v>97736.453167500003</v>
      </c>
      <c r="AA115" s="413">
        <f t="shared" ca="1" si="15"/>
        <v>3474796.5094575002</v>
      </c>
      <c r="AB115" s="413">
        <f ca="1">V115*$AB$14</f>
        <v>41933.09994</v>
      </c>
      <c r="AC115" s="413">
        <f ca="1">AA115*K115</f>
        <v>0</v>
      </c>
      <c r="AD115" s="413">
        <f ca="1">AB115*K115</f>
        <v>0</v>
      </c>
    </row>
    <row r="116" spans="2:30" s="168" customFormat="1" ht="18.75" hidden="1">
      <c r="B116" s="329"/>
      <c r="C116" s="361">
        <v>2.16</v>
      </c>
      <c r="D116" s="488" t="s">
        <v>4753</v>
      </c>
      <c r="E116" s="489"/>
      <c r="F116" s="489"/>
      <c r="G116" s="489"/>
      <c r="H116" s="489"/>
      <c r="I116" s="490"/>
      <c r="J116" s="361" t="s">
        <v>4128</v>
      </c>
      <c r="K116" s="363"/>
      <c r="L116" s="333">
        <f t="shared" ca="1" si="9"/>
        <v>2775594.3688975</v>
      </c>
      <c r="M116" s="334">
        <f t="shared" ca="1" si="30"/>
        <v>0</v>
      </c>
      <c r="N116" s="335"/>
      <c r="O116" s="181"/>
      <c r="P116" s="413">
        <f ca="1">IF(IFERROR(VLOOKUP(C116,APU!H:N,4,0),0),VLOOKUP(C116,APU!H:N,4,0),0)</f>
        <v>1948315.6</v>
      </c>
      <c r="Q116" s="413">
        <f ca="1">IF(IFERROR(VLOOKUP(C116,APU!H:N,5,0),0),VLOOKUP(C116,APU!H:N,5,0),0)</f>
        <v>67452</v>
      </c>
      <c r="R116" s="413">
        <f ca="1">IF(IFERROR(VLOOKUP(C116,APU!H:N,6,0),0),VLOOKUP(C116,APU!H:N,6,0),0)</f>
        <v>182649.375</v>
      </c>
      <c r="S116" s="413">
        <f ca="1">IF(IFERROR(VLOOKUP(C116,APU!H:N,7,0),0),VLOOKUP(C116,APU!H:N,7,0),0)</f>
        <v>4800</v>
      </c>
      <c r="T116" s="179"/>
      <c r="U116" s="413">
        <f t="shared" ca="1" si="10"/>
        <v>176257.35800000001</v>
      </c>
      <c r="V116" s="413">
        <f t="shared" ca="1" si="11"/>
        <v>176257.35800000001</v>
      </c>
      <c r="W116" s="413">
        <f t="shared" ca="1" si="12"/>
        <v>2549.0137500000001</v>
      </c>
      <c r="X116" s="413">
        <f t="shared" ca="1" si="13"/>
        <v>44064.339500000002</v>
      </c>
      <c r="Y116" s="413">
        <f t="shared" ca="1" si="14"/>
        <v>95178.973320000005</v>
      </c>
      <c r="Z116" s="413">
        <f ca="1">(P116+Q116+U116+V116+W116+X116+R116+S116)*$Z$14</f>
        <v>78070.3513275</v>
      </c>
      <c r="AA116" s="413">
        <f t="shared" ca="1" si="15"/>
        <v>2775594.3688975</v>
      </c>
      <c r="AB116" s="413">
        <f ca="1">V116*$AB$14</f>
        <v>33488.898020000001</v>
      </c>
      <c r="AC116" s="413">
        <f ca="1">AA116*K116</f>
        <v>0</v>
      </c>
      <c r="AD116" s="413">
        <f ca="1">AB116*K116</f>
        <v>0</v>
      </c>
    </row>
    <row r="117" spans="2:30" s="168" customFormat="1" ht="18.75" hidden="1">
      <c r="B117" s="329"/>
      <c r="C117" s="361">
        <v>2.17</v>
      </c>
      <c r="D117" s="488" t="s">
        <v>4754</v>
      </c>
      <c r="E117" s="489"/>
      <c r="F117" s="489"/>
      <c r="G117" s="489"/>
      <c r="H117" s="489"/>
      <c r="I117" s="490"/>
      <c r="J117" s="361" t="s">
        <v>4128</v>
      </c>
      <c r="K117" s="363"/>
      <c r="L117" s="333">
        <f t="shared" ca="1" si="9"/>
        <v>3230141.6605575006</v>
      </c>
      <c r="M117" s="334">
        <f t="shared" ca="1" si="30"/>
        <v>0</v>
      </c>
      <c r="N117" s="335"/>
      <c r="O117" s="181"/>
      <c r="P117" s="413">
        <f ca="1">IF(IFERROR(VLOOKUP(C117,APU!H:N,4,0),0),VLOOKUP(C117,APU!H:N,4,0),0)</f>
        <v>2309468.7000000002</v>
      </c>
      <c r="Q117" s="413">
        <f ca="1">IF(IFERROR(VLOOKUP(C117,APU!H:N,5,0),0),VLOOKUP(C117,APU!H:N,5,0),0)</f>
        <v>67452</v>
      </c>
      <c r="R117" s="413">
        <f ca="1">IF(IFERROR(VLOOKUP(C117,APU!H:N,6,0),0),VLOOKUP(C117,APU!H:N,6,0),0)</f>
        <v>182649.375</v>
      </c>
      <c r="S117" s="413">
        <f ca="1">IF(IFERROR(VLOOKUP(C117,APU!H:N,7,0),0),VLOOKUP(C117,APU!H:N,7,0),0)</f>
        <v>4800</v>
      </c>
      <c r="T117" s="179"/>
      <c r="U117" s="413">
        <f t="shared" ca="1" si="10"/>
        <v>205149.60600000003</v>
      </c>
      <c r="V117" s="413">
        <f t="shared" ca="1" si="11"/>
        <v>205149.60600000003</v>
      </c>
      <c r="W117" s="413">
        <f t="shared" ca="1" si="12"/>
        <v>2549.0137500000001</v>
      </c>
      <c r="X117" s="413">
        <f t="shared" ca="1" si="13"/>
        <v>51287.401500000007</v>
      </c>
      <c r="Y117" s="413">
        <f t="shared" ca="1" si="14"/>
        <v>110780.78724000002</v>
      </c>
      <c r="Z117" s="413">
        <f ca="1">(P117+Q117+U117+V117+W117+X117+R117+S117)*$Z$14</f>
        <v>90855.171067500007</v>
      </c>
      <c r="AA117" s="413">
        <f t="shared" ca="1" si="15"/>
        <v>3230141.6605575006</v>
      </c>
      <c r="AB117" s="413">
        <f ca="1">V117*$AB$14</f>
        <v>38978.425140000007</v>
      </c>
      <c r="AC117" s="413">
        <f ca="1">AA117*K117</f>
        <v>0</v>
      </c>
      <c r="AD117" s="413">
        <f ca="1">AB117*K117</f>
        <v>0</v>
      </c>
    </row>
    <row r="118" spans="2:30" s="168" customFormat="1" ht="18.75" hidden="1">
      <c r="B118" s="329"/>
      <c r="C118" s="361">
        <v>2.1800000000000002</v>
      </c>
      <c r="D118" s="488" t="s">
        <v>4757</v>
      </c>
      <c r="E118" s="489"/>
      <c r="F118" s="489"/>
      <c r="G118" s="489"/>
      <c r="H118" s="489"/>
      <c r="I118" s="490"/>
      <c r="J118" s="361" t="s">
        <v>4128</v>
      </c>
      <c r="K118" s="363"/>
      <c r="L118" s="333">
        <f t="shared" ca="1" si="9"/>
        <v>2764113.3789106202</v>
      </c>
      <c r="M118" s="334">
        <f t="shared" ca="1" si="30"/>
        <v>0</v>
      </c>
      <c r="N118" s="335"/>
      <c r="O118" s="181"/>
      <c r="P118" s="413">
        <f ca="1">IF(IFERROR(VLOOKUP(C118,APU!H:N,4,0),0),VLOOKUP(C118,APU!H:N,4,0),0)</f>
        <v>1967165.2000000002</v>
      </c>
      <c r="Q118" s="413">
        <f ca="1">IF(IFERROR(VLOOKUP(C118,APU!H:N,5,0),0),VLOOKUP(C118,APU!H:N,5,0),0)</f>
        <v>59969.324799999995</v>
      </c>
      <c r="R118" s="413">
        <f ca="1">IF(IFERROR(VLOOKUP(C118,APU!H:N,6,0),0),VLOOKUP(C118,APU!H:N,6,0),0)</f>
        <v>162387.47099999999</v>
      </c>
      <c r="S118" s="413">
        <f ca="1">IF(IFERROR(VLOOKUP(C118,APU!H:N,7,0),0),VLOOKUP(C118,APU!H:N,7,0),0)</f>
        <v>4800</v>
      </c>
      <c r="T118" s="179"/>
      <c r="U118" s="413">
        <f t="shared" ca="1" si="10"/>
        <v>175545.75966400001</v>
      </c>
      <c r="V118" s="413">
        <f t="shared" ca="1" si="11"/>
        <v>175545.75966400001</v>
      </c>
      <c r="W118" s="413">
        <f t="shared" ca="1" si="12"/>
        <v>2271.5679580000001</v>
      </c>
      <c r="X118" s="413">
        <f t="shared" ca="1" si="13"/>
        <v>43886.439916000003</v>
      </c>
      <c r="Y118" s="413">
        <f t="shared" ca="1" si="14"/>
        <v>94794.710218560009</v>
      </c>
      <c r="Z118" s="413">
        <f ca="1">(P118+Q118+U118+V118+W118+X118+R118+S118)*$Z$14</f>
        <v>77747.145690060017</v>
      </c>
      <c r="AA118" s="413">
        <f t="shared" ca="1" si="15"/>
        <v>2764113.3789106202</v>
      </c>
      <c r="AB118" s="413">
        <f ca="1">V118*$AB$14</f>
        <v>33353.694336160006</v>
      </c>
      <c r="AC118" s="413">
        <f ca="1">AA118*K118</f>
        <v>0</v>
      </c>
      <c r="AD118" s="413">
        <f ca="1">AB118*K118</f>
        <v>0</v>
      </c>
    </row>
    <row r="119" spans="2:30" s="168" customFormat="1" ht="18.75" hidden="1">
      <c r="B119" s="329"/>
      <c r="C119" s="361">
        <v>2.19</v>
      </c>
      <c r="D119" s="488" t="s">
        <v>4758</v>
      </c>
      <c r="E119" s="489" t="s">
        <v>4758</v>
      </c>
      <c r="F119" s="489" t="s">
        <v>4758</v>
      </c>
      <c r="G119" s="489" t="s">
        <v>4758</v>
      </c>
      <c r="H119" s="489" t="s">
        <v>4758</v>
      </c>
      <c r="I119" s="490" t="s">
        <v>4758</v>
      </c>
      <c r="J119" s="361" t="s">
        <v>4128</v>
      </c>
      <c r="K119" s="363"/>
      <c r="L119" s="333">
        <f t="shared" ca="1" si="9"/>
        <v>3744388.6294575003</v>
      </c>
      <c r="M119" s="334">
        <f t="shared" ca="1" si="30"/>
        <v>0</v>
      </c>
      <c r="N119" s="335"/>
      <c r="O119" s="181"/>
      <c r="P119" s="413">
        <f ca="1">IF(IFERROR(VLOOKUP(C119,APU!H:N,4,0),0),VLOOKUP(C119,APU!H:N,4,0),0)</f>
        <v>2718055.2</v>
      </c>
      <c r="Q119" s="413">
        <f ca="1">IF(IFERROR(VLOOKUP(C119,APU!H:N,5,0),0),VLOOKUP(C119,APU!H:N,5,0),0)</f>
        <v>67452</v>
      </c>
      <c r="R119" s="413">
        <f ca="1">IF(IFERROR(VLOOKUP(C119,APU!H:N,6,0),0),VLOOKUP(C119,APU!H:N,6,0),0)</f>
        <v>182649.375</v>
      </c>
      <c r="S119" s="413">
        <f ca="1">IF(IFERROR(VLOOKUP(C119,APU!H:N,7,0),0),VLOOKUP(C119,APU!H:N,7,0),0)</f>
        <v>4800</v>
      </c>
      <c r="T119" s="179"/>
      <c r="U119" s="413">
        <f t="shared" ca="1" si="10"/>
        <v>237836.52600000001</v>
      </c>
      <c r="V119" s="413">
        <f t="shared" ca="1" si="11"/>
        <v>237836.52600000001</v>
      </c>
      <c r="W119" s="413">
        <f t="shared" ca="1" si="12"/>
        <v>2549.0137500000001</v>
      </c>
      <c r="X119" s="413">
        <f t="shared" ca="1" si="13"/>
        <v>59459.131500000003</v>
      </c>
      <c r="Y119" s="413">
        <f t="shared" ca="1" si="14"/>
        <v>128431.72404000002</v>
      </c>
      <c r="Z119" s="413">
        <f ca="1">(P119+Q119+U119+V119+W119+X119+R119+S119)*$Z$14</f>
        <v>105319.13316750001</v>
      </c>
      <c r="AA119" s="413">
        <f t="shared" ca="1" si="15"/>
        <v>3744388.6294575003</v>
      </c>
      <c r="AB119" s="413">
        <f ca="1">V119*$AB$14</f>
        <v>45188.939940000004</v>
      </c>
      <c r="AC119" s="413">
        <f ca="1">AA119*K119</f>
        <v>0</v>
      </c>
      <c r="AD119" s="413">
        <f ca="1">AB119*K119</f>
        <v>0</v>
      </c>
    </row>
    <row r="120" spans="2:30" s="168" customFormat="1" ht="18.75" hidden="1">
      <c r="B120" s="329"/>
      <c r="C120" s="361" t="s">
        <v>4756</v>
      </c>
      <c r="D120" s="488" t="s">
        <v>4759</v>
      </c>
      <c r="E120" s="489" t="s">
        <v>4759</v>
      </c>
      <c r="F120" s="489" t="s">
        <v>4759</v>
      </c>
      <c r="G120" s="489" t="s">
        <v>4759</v>
      </c>
      <c r="H120" s="489" t="s">
        <v>4759</v>
      </c>
      <c r="I120" s="490" t="s">
        <v>4759</v>
      </c>
      <c r="J120" s="361" t="s">
        <v>4128</v>
      </c>
      <c r="K120" s="363"/>
      <c r="L120" s="333">
        <f t="shared" ca="1" si="9"/>
        <v>3137060.4879255006</v>
      </c>
      <c r="M120" s="334">
        <f t="shared" ca="1" si="30"/>
        <v>0</v>
      </c>
      <c r="N120" s="335"/>
      <c r="O120" s="181"/>
      <c r="P120" s="413">
        <f ca="1">IF(IFERROR(VLOOKUP(C120,APU!H:N,4,0),0),VLOOKUP(C120,APU!H:N,4,0),0)</f>
        <v>2235512.58</v>
      </c>
      <c r="Q120" s="413">
        <f ca="1">IF(IFERROR(VLOOKUP(C120,APU!H:N,5,0),0),VLOOKUP(C120,APU!H:N,5,0),0)</f>
        <v>67452</v>
      </c>
      <c r="R120" s="413">
        <f ca="1">IF(IFERROR(VLOOKUP(C120,APU!H:N,6,0),0),VLOOKUP(C120,APU!H:N,6,0),0)</f>
        <v>182649.375</v>
      </c>
      <c r="S120" s="413">
        <f ca="1">IF(IFERROR(VLOOKUP(C120,APU!H:N,7,0),0),VLOOKUP(C120,APU!H:N,7,0),0)</f>
        <v>4800</v>
      </c>
      <c r="T120" s="179"/>
      <c r="U120" s="413">
        <f t="shared" ca="1" si="10"/>
        <v>199233.1164</v>
      </c>
      <c r="V120" s="413">
        <f t="shared" ca="1" si="11"/>
        <v>199233.1164</v>
      </c>
      <c r="W120" s="413">
        <f t="shared" ca="1" si="12"/>
        <v>2549.0137500000001</v>
      </c>
      <c r="X120" s="413">
        <f t="shared" ca="1" si="13"/>
        <v>49808.2791</v>
      </c>
      <c r="Y120" s="413">
        <f t="shared" ca="1" si="14"/>
        <v>107585.88285600001</v>
      </c>
      <c r="Z120" s="413">
        <f ca="1">(P120+Q120+U120+V120+W120+X120+R120+S120)*$Z$14</f>
        <v>88237.124419500004</v>
      </c>
      <c r="AA120" s="413">
        <f t="shared" ca="1" si="15"/>
        <v>3137060.4879255006</v>
      </c>
      <c r="AB120" s="413">
        <f ca="1">V120*$AB$14</f>
        <v>37854.292115999997</v>
      </c>
      <c r="AC120" s="413">
        <f ca="1">AA120*K120</f>
        <v>0</v>
      </c>
      <c r="AD120" s="413">
        <f ca="1">AB120*K120</f>
        <v>0</v>
      </c>
    </row>
    <row r="121" spans="2:30" s="168" customFormat="1" ht="18.75" hidden="1">
      <c r="B121" s="329"/>
      <c r="C121" s="361">
        <v>2.21</v>
      </c>
      <c r="D121" s="488" t="s">
        <v>4760</v>
      </c>
      <c r="E121" s="489" t="s">
        <v>4759</v>
      </c>
      <c r="F121" s="489" t="s">
        <v>4759</v>
      </c>
      <c r="G121" s="489" t="s">
        <v>4759</v>
      </c>
      <c r="H121" s="489" t="s">
        <v>4759</v>
      </c>
      <c r="I121" s="490" t="s">
        <v>4759</v>
      </c>
      <c r="J121" s="361" t="s">
        <v>4128</v>
      </c>
      <c r="K121" s="363"/>
      <c r="L121" s="333">
        <f t="shared" ca="1" si="9"/>
        <v>1325787.8568975001</v>
      </c>
      <c r="M121" s="334">
        <f t="shared" ca="1" si="30"/>
        <v>0</v>
      </c>
      <c r="N121" s="335"/>
      <c r="O121" s="181"/>
      <c r="P121" s="413">
        <f ca="1">IF(IFERROR(VLOOKUP(C121,APU!H:N,4,0),0),VLOOKUP(C121,APU!H:N,4,0),0)</f>
        <v>796395.6</v>
      </c>
      <c r="Q121" s="413">
        <f ca="1">IF(IFERROR(VLOOKUP(C121,APU!H:N,5,0),0),VLOOKUP(C121,APU!H:N,5,0),0)</f>
        <v>67452</v>
      </c>
      <c r="R121" s="413">
        <f ca="1">IF(IFERROR(VLOOKUP(C121,APU!H:N,6,0),0),VLOOKUP(C121,APU!H:N,6,0),0)</f>
        <v>182649.375</v>
      </c>
      <c r="S121" s="413">
        <f ca="1">IF(IFERROR(VLOOKUP(C121,APU!H:N,7,0),0),VLOOKUP(C121,APU!H:N,7,0),0)</f>
        <v>4800</v>
      </c>
      <c r="T121" s="179"/>
      <c r="U121" s="413">
        <f t="shared" ca="1" si="10"/>
        <v>84103.758000000016</v>
      </c>
      <c r="V121" s="413">
        <f t="shared" ca="1" si="11"/>
        <v>84103.758000000016</v>
      </c>
      <c r="W121" s="413">
        <f t="shared" ca="1" si="12"/>
        <v>2549.0137500000001</v>
      </c>
      <c r="X121" s="413">
        <f t="shared" ca="1" si="13"/>
        <v>21025.939500000004</v>
      </c>
      <c r="Y121" s="413">
        <f t="shared" ca="1" si="14"/>
        <v>45416.029320000001</v>
      </c>
      <c r="Z121" s="413">
        <f ca="1">(P121+Q121+U121+V121+W121+X121+R121+S121)*$Z$14</f>
        <v>37292.383327500007</v>
      </c>
      <c r="AA121" s="413">
        <f t="shared" ca="1" si="15"/>
        <v>1325787.8568975001</v>
      </c>
      <c r="AB121" s="413">
        <f ca="1">V121*$AB$14</f>
        <v>15979.714020000003</v>
      </c>
      <c r="AC121" s="413">
        <f ca="1">AA121*K121</f>
        <v>0</v>
      </c>
      <c r="AD121" s="413">
        <f ca="1">AB121*K121</f>
        <v>0</v>
      </c>
    </row>
    <row r="122" spans="2:30" s="168" customFormat="1" ht="18.75">
      <c r="B122" s="329"/>
      <c r="C122" s="361">
        <v>2.2200000000000002</v>
      </c>
      <c r="D122" s="488" t="s">
        <v>4781</v>
      </c>
      <c r="E122" s="489" t="s">
        <v>4759</v>
      </c>
      <c r="F122" s="489" t="s">
        <v>4759</v>
      </c>
      <c r="G122" s="489" t="s">
        <v>4759</v>
      </c>
      <c r="H122" s="489" t="s">
        <v>4759</v>
      </c>
      <c r="I122" s="490" t="s">
        <v>4759</v>
      </c>
      <c r="J122" s="361" t="s">
        <v>4128</v>
      </c>
      <c r="K122" s="363">
        <v>1</v>
      </c>
      <c r="L122" s="333">
        <f t="shared" ca="1" si="9"/>
        <v>1089786.60829133</v>
      </c>
      <c r="M122" s="334">
        <f t="shared" ca="1" si="30"/>
        <v>1089786.60829133</v>
      </c>
      <c r="N122" s="335"/>
      <c r="O122" s="181"/>
      <c r="P122" s="413">
        <f ca="1">IF(IFERROR(VLOOKUP(C122,APU!H:N,4,0),0),VLOOKUP(C122,APU!H:N,4,0),0)</f>
        <v>802155.20000000007</v>
      </c>
      <c r="Q122" s="413">
        <f ca="1">IF(IFERROR(VLOOKUP(C122,APU!H:N,5,0),0),VLOOKUP(C122,APU!H:N,5,0),0)</f>
        <v>52450.675200000005</v>
      </c>
      <c r="R122" s="413">
        <f ca="1">IF(IFERROR(VLOOKUP(C122,APU!H:N,6,0),0),VLOOKUP(C122,APU!H:N,6,0),0)</f>
        <v>5949.0045000000009</v>
      </c>
      <c r="S122" s="413">
        <f ca="1">IF(IFERROR(VLOOKUP(C122,APU!H:N,7,0),0),VLOOKUP(C122,APU!H:N,7,0),0)</f>
        <v>4800</v>
      </c>
      <c r="T122" s="179"/>
      <c r="U122" s="413">
        <f t="shared" ca="1" si="10"/>
        <v>69228.39037600001</v>
      </c>
      <c r="V122" s="413">
        <f t="shared" ca="1" si="11"/>
        <v>69228.39037600001</v>
      </c>
      <c r="W122" s="413">
        <f t="shared" ca="1" si="12"/>
        <v>631.99679700000013</v>
      </c>
      <c r="X122" s="413">
        <f t="shared" ca="1" si="13"/>
        <v>17307.097594000003</v>
      </c>
      <c r="Y122" s="413">
        <f t="shared" ca="1" si="14"/>
        <v>37383.330803040008</v>
      </c>
      <c r="Z122" s="413">
        <f ca="1">(P122+Q122+U122+V122+W122+X122+R122+S122)*$Z$14</f>
        <v>30652.522645290006</v>
      </c>
      <c r="AA122" s="413">
        <f t="shared" ca="1" si="15"/>
        <v>1089786.60829133</v>
      </c>
      <c r="AB122" s="413">
        <f ca="1">V122*$AB$14</f>
        <v>13153.394171440003</v>
      </c>
      <c r="AC122" s="413">
        <f ca="1">AA122*K122</f>
        <v>1089786.60829133</v>
      </c>
      <c r="AD122" s="413">
        <f ca="1">AB122*K122</f>
        <v>13153.394171440003</v>
      </c>
    </row>
    <row r="123" spans="2:30" s="168" customFormat="1" ht="18.75">
      <c r="B123" s="329"/>
      <c r="C123" s="361">
        <v>2.23</v>
      </c>
      <c r="D123" s="488" t="s">
        <v>4783</v>
      </c>
      <c r="E123" s="489" t="s">
        <v>4759</v>
      </c>
      <c r="F123" s="489" t="s">
        <v>4759</v>
      </c>
      <c r="G123" s="489" t="s">
        <v>4759</v>
      </c>
      <c r="H123" s="489" t="s">
        <v>4759</v>
      </c>
      <c r="I123" s="490" t="s">
        <v>4759</v>
      </c>
      <c r="J123" s="361" t="s">
        <v>4128</v>
      </c>
      <c r="K123" s="363">
        <v>1</v>
      </c>
      <c r="L123" s="333">
        <f t="shared" ca="1" si="9"/>
        <v>1425297.3038575002</v>
      </c>
      <c r="M123" s="334">
        <f t="shared" ca="1" si="30"/>
        <v>1425297.3038575002</v>
      </c>
      <c r="N123" s="335"/>
      <c r="O123" s="181"/>
      <c r="P123" s="413">
        <f ca="1">IF(IFERROR(VLOOKUP(C123,APU!H:N,4,0),0),VLOOKUP(C123,APU!H:N,4,0),0)</f>
        <v>875459.20000000007</v>
      </c>
      <c r="Q123" s="413">
        <f ca="1">IF(IFERROR(VLOOKUP(C123,APU!H:N,5,0),0),VLOOKUP(C123,APU!H:N,5,0),0)</f>
        <v>67452</v>
      </c>
      <c r="R123" s="413">
        <f ca="1">IF(IFERROR(VLOOKUP(C123,APU!H:N,6,0),0),VLOOKUP(C123,APU!H:N,6,0),0)</f>
        <v>182649.375</v>
      </c>
      <c r="S123" s="413">
        <f ca="1">IF(IFERROR(VLOOKUP(C123,APU!H:N,7,0),0),VLOOKUP(C123,APU!H:N,7,0),0)</f>
        <v>4800</v>
      </c>
      <c r="T123" s="179"/>
      <c r="U123" s="413">
        <f t="shared" ca="1" si="10"/>
        <v>90428.84600000002</v>
      </c>
      <c r="V123" s="413">
        <f t="shared" ca="1" si="11"/>
        <v>90428.84600000002</v>
      </c>
      <c r="W123" s="413">
        <f t="shared" ca="1" si="12"/>
        <v>2549.0137500000001</v>
      </c>
      <c r="X123" s="413">
        <f t="shared" ca="1" si="13"/>
        <v>22607.211500000005</v>
      </c>
      <c r="Y123" s="413">
        <f t="shared" ca="1" si="14"/>
        <v>48831.576840000002</v>
      </c>
      <c r="Z123" s="413">
        <f ca="1">(P123+Q123+U123+V123+W123+X123+R123+S123)*$Z$14</f>
        <v>40091.234767499998</v>
      </c>
      <c r="AA123" s="413">
        <f t="shared" ca="1" si="15"/>
        <v>1425297.3038575002</v>
      </c>
      <c r="AB123" s="413">
        <f ca="1">V123*$AB$14</f>
        <v>17181.480740000003</v>
      </c>
      <c r="AC123" s="413">
        <f ca="1">AA123*K123</f>
        <v>1425297.3038575002</v>
      </c>
      <c r="AD123" s="413">
        <f ca="1">AB123*K123</f>
        <v>17181.480740000003</v>
      </c>
    </row>
    <row r="124" spans="2:30" s="168" customFormat="1" ht="18.75" hidden="1">
      <c r="B124" s="329"/>
      <c r="C124" s="361">
        <v>2.2400000000000002</v>
      </c>
      <c r="D124" s="488" t="s">
        <v>4797</v>
      </c>
      <c r="E124" s="489" t="s">
        <v>4759</v>
      </c>
      <c r="F124" s="489" t="s">
        <v>4759</v>
      </c>
      <c r="G124" s="489" t="s">
        <v>4759</v>
      </c>
      <c r="H124" s="489" t="s">
        <v>4759</v>
      </c>
      <c r="I124" s="490" t="s">
        <v>4759</v>
      </c>
      <c r="J124" s="361" t="s">
        <v>4128</v>
      </c>
      <c r="K124" s="363"/>
      <c r="L124" s="333">
        <f t="shared" ca="1" si="9"/>
        <v>2378545.0854974999</v>
      </c>
      <c r="M124" s="334">
        <f t="shared" ca="1" si="30"/>
        <v>0</v>
      </c>
      <c r="N124" s="335"/>
      <c r="O124" s="181"/>
      <c r="P124" s="413">
        <f ca="1">IF(IFERROR(VLOOKUP(C124,APU!H:N,4,0),0),VLOOKUP(C124,APU!H:N,4,0),0)</f>
        <v>1632846.6</v>
      </c>
      <c r="Q124" s="413">
        <f ca="1">IF(IFERROR(VLOOKUP(C124,APU!H:N,5,0),0),VLOOKUP(C124,APU!H:N,5,0),0)</f>
        <v>67452</v>
      </c>
      <c r="R124" s="413">
        <f ca="1">IF(IFERROR(VLOOKUP(C124,APU!H:N,6,0),0),VLOOKUP(C124,APU!H:N,6,0),0)</f>
        <v>182649.375</v>
      </c>
      <c r="S124" s="413">
        <f ca="1">IF(IFERROR(VLOOKUP(C124,APU!H:N,7,0),0),VLOOKUP(C124,APU!H:N,7,0),0)</f>
        <v>4800</v>
      </c>
      <c r="T124" s="179"/>
      <c r="U124" s="413">
        <f t="shared" ca="1" si="10"/>
        <v>151019.83800000002</v>
      </c>
      <c r="V124" s="413">
        <f t="shared" ca="1" si="11"/>
        <v>151019.83800000002</v>
      </c>
      <c r="W124" s="413">
        <f t="shared" ca="1" si="12"/>
        <v>2549.0137500000001</v>
      </c>
      <c r="X124" s="413">
        <f t="shared" ca="1" si="13"/>
        <v>37754.959500000004</v>
      </c>
      <c r="Y124" s="413">
        <f t="shared" ca="1" si="14"/>
        <v>81550.712520000001</v>
      </c>
      <c r="Z124" s="413">
        <f ca="1">(P124+Q124+U124+V124+W124+X124+R124+S124)*$Z$14</f>
        <v>66902.748727500002</v>
      </c>
      <c r="AA124" s="413">
        <f t="shared" ca="1" si="15"/>
        <v>2378545.0854974999</v>
      </c>
      <c r="AB124" s="413">
        <f ca="1">V124*$AB$14</f>
        <v>28693.769220000002</v>
      </c>
      <c r="AC124" s="413">
        <f ca="1">AA124*K124</f>
        <v>0</v>
      </c>
      <c r="AD124" s="413">
        <f ca="1">AB124*K124</f>
        <v>0</v>
      </c>
    </row>
    <row r="125" spans="2:30" s="168" customFormat="1" ht="18.75" hidden="1">
      <c r="B125" s="329"/>
      <c r="C125" s="361">
        <v>2.25</v>
      </c>
      <c r="D125" s="488" t="s">
        <v>4798</v>
      </c>
      <c r="E125" s="489" t="s">
        <v>4759</v>
      </c>
      <c r="F125" s="489" t="s">
        <v>4759</v>
      </c>
      <c r="G125" s="489" t="s">
        <v>4759</v>
      </c>
      <c r="H125" s="489" t="s">
        <v>4759</v>
      </c>
      <c r="I125" s="490" t="s">
        <v>4759</v>
      </c>
      <c r="J125" s="361" t="s">
        <v>4128</v>
      </c>
      <c r="K125" s="363"/>
      <c r="L125" s="333">
        <f t="shared" ca="1" si="9"/>
        <v>2154319.3283574996</v>
      </c>
      <c r="M125" s="334">
        <f t="shared" ca="1" si="30"/>
        <v>0</v>
      </c>
      <c r="N125" s="335"/>
      <c r="O125" s="181"/>
      <c r="P125" s="413">
        <f ca="1">IF(IFERROR(VLOOKUP(C125,APU!H:N,4,0),0),VLOOKUP(C125,APU!H:N,4,0),0)</f>
        <v>1454691.7</v>
      </c>
      <c r="Q125" s="413">
        <f ca="1">IF(IFERROR(VLOOKUP(C125,APU!H:N,5,0),0),VLOOKUP(C125,APU!H:N,5,0),0)</f>
        <v>67452</v>
      </c>
      <c r="R125" s="413">
        <f ca="1">IF(IFERROR(VLOOKUP(C125,APU!H:N,6,0),0),VLOOKUP(C125,APU!H:N,6,0),0)</f>
        <v>182649.375</v>
      </c>
      <c r="S125" s="413">
        <f ca="1">IF(IFERROR(VLOOKUP(C125,APU!H:N,7,0),0),VLOOKUP(C125,APU!H:N,7,0),0)</f>
        <v>4800</v>
      </c>
      <c r="T125" s="179"/>
      <c r="U125" s="413">
        <f t="shared" ca="1" si="10"/>
        <v>136767.446</v>
      </c>
      <c r="V125" s="413">
        <f t="shared" ca="1" si="11"/>
        <v>136767.446</v>
      </c>
      <c r="W125" s="413">
        <f t="shared" ca="1" si="12"/>
        <v>2549.0137500000001</v>
      </c>
      <c r="X125" s="413">
        <f t="shared" ca="1" si="13"/>
        <v>34191.861499999999</v>
      </c>
      <c r="Y125" s="413">
        <f t="shared" ca="1" si="14"/>
        <v>73854.420840000006</v>
      </c>
      <c r="Z125" s="413">
        <f ca="1">(P125+Q125+U125+V125+W125+X125+R125+S125)*$Z$14</f>
        <v>60596.065267499987</v>
      </c>
      <c r="AA125" s="413">
        <f t="shared" ca="1" si="15"/>
        <v>2154319.3283574996</v>
      </c>
      <c r="AB125" s="413">
        <f ca="1">V125*$AB$14</f>
        <v>25985.814739999998</v>
      </c>
      <c r="AC125" s="413">
        <f ca="1">AA125*K125</f>
        <v>0</v>
      </c>
      <c r="AD125" s="413">
        <f ca="1">AB125*K125</f>
        <v>0</v>
      </c>
    </row>
    <row r="126" spans="2:30" s="168" customFormat="1" ht="18.75" hidden="1">
      <c r="B126" s="329"/>
      <c r="C126" s="361">
        <v>2.2599999999999998</v>
      </c>
      <c r="D126" s="488" t="s">
        <v>4803</v>
      </c>
      <c r="E126" s="489" t="s">
        <v>4759</v>
      </c>
      <c r="F126" s="489" t="s">
        <v>4759</v>
      </c>
      <c r="G126" s="489" t="s">
        <v>4759</v>
      </c>
      <c r="H126" s="489" t="s">
        <v>4759</v>
      </c>
      <c r="I126" s="490" t="s">
        <v>4759</v>
      </c>
      <c r="J126" s="361" t="s">
        <v>4128</v>
      </c>
      <c r="K126" s="363"/>
      <c r="L126" s="333">
        <f t="shared" ca="1" si="9"/>
        <v>25878496.640147503</v>
      </c>
      <c r="M126" s="334">
        <f t="shared" ca="1" si="30"/>
        <v>0</v>
      </c>
      <c r="N126" s="335"/>
      <c r="O126" s="181"/>
      <c r="P126" s="413">
        <f ca="1">IF(IFERROR(VLOOKUP(C126,APU!H:N,4,0),0),VLOOKUP(C126,APU!H:N,4,0),0)</f>
        <v>19533421.600000001</v>
      </c>
      <c r="Q126" s="413">
        <f ca="1">IF(IFERROR(VLOOKUP(C126,APU!H:N,5,0),0),VLOOKUP(C126,APU!H:N,5,0),0)</f>
        <v>157388</v>
      </c>
      <c r="R126" s="413">
        <f ca="1">IF(IFERROR(VLOOKUP(C126,APU!H:N,6,0),0),VLOOKUP(C126,APU!H:N,6,0),0)</f>
        <v>846181.875</v>
      </c>
      <c r="S126" s="413">
        <f ca="1">IF(IFERROR(VLOOKUP(C126,APU!H:N,7,0),0),VLOOKUP(C126,APU!H:N,7,0),0)</f>
        <v>16000</v>
      </c>
      <c r="T126" s="179"/>
      <c r="U126" s="413">
        <f t="shared" ca="1" si="10"/>
        <v>1644239.3180000002</v>
      </c>
      <c r="V126" s="413">
        <f t="shared" ca="1" si="11"/>
        <v>1644239.3180000002</v>
      </c>
      <c r="W126" s="413">
        <f t="shared" ca="1" si="12"/>
        <v>10195.69875</v>
      </c>
      <c r="X126" s="413">
        <f t="shared" ca="1" si="13"/>
        <v>411059.82950000005</v>
      </c>
      <c r="Y126" s="413">
        <f t="shared" ca="1" si="14"/>
        <v>887889.23172000004</v>
      </c>
      <c r="Z126" s="413">
        <f ca="1">(P126+Q126+U126+V126+W126+X126+R126+S126)*$Z$14</f>
        <v>727881.76917750004</v>
      </c>
      <c r="AA126" s="413">
        <f t="shared" ca="1" si="15"/>
        <v>25878496.640147503</v>
      </c>
      <c r="AB126" s="413">
        <f ca="1">V126*$AB$14</f>
        <v>312405.47042000003</v>
      </c>
      <c r="AC126" s="413">
        <f ca="1">AA126*K126</f>
        <v>0</v>
      </c>
      <c r="AD126" s="413">
        <f ca="1">AB126*K126</f>
        <v>0</v>
      </c>
    </row>
    <row r="127" spans="2:30" s="168" customFormat="1" ht="18.75" hidden="1">
      <c r="B127" s="329"/>
      <c r="C127" s="361">
        <v>2.27</v>
      </c>
      <c r="D127" s="488" t="s">
        <v>4824</v>
      </c>
      <c r="E127" s="489" t="s">
        <v>4759</v>
      </c>
      <c r="F127" s="489" t="s">
        <v>4759</v>
      </c>
      <c r="G127" s="489" t="s">
        <v>4759</v>
      </c>
      <c r="H127" s="489" t="s">
        <v>4759</v>
      </c>
      <c r="I127" s="490" t="s">
        <v>4759</v>
      </c>
      <c r="J127" s="361" t="s">
        <v>4128</v>
      </c>
      <c r="K127" s="363"/>
      <c r="L127" s="333">
        <f t="shared" ca="1" si="9"/>
        <v>2900518.5461775004</v>
      </c>
      <c r="M127" s="334">
        <f t="shared" ca="1" si="30"/>
        <v>0</v>
      </c>
      <c r="N127" s="335"/>
      <c r="O127" s="181"/>
      <c r="P127" s="413">
        <f ca="1">IF(IFERROR(VLOOKUP(C127,APU!H:N,4,0),0),VLOOKUP(C127,APU!H:N,4,0),0)</f>
        <v>2036280.4000000001</v>
      </c>
      <c r="Q127" s="413">
        <f ca="1">IF(IFERROR(VLOOKUP(C127,APU!H:N,5,0),0),VLOOKUP(C127,APU!H:N,5,0),0)</f>
        <v>67452</v>
      </c>
      <c r="R127" s="413">
        <f ca="1">IF(IFERROR(VLOOKUP(C127,APU!H:N,6,0),0),VLOOKUP(C127,APU!H:N,6,0),0)</f>
        <v>182649.375</v>
      </c>
      <c r="S127" s="413">
        <f ca="1">IF(IFERROR(VLOOKUP(C127,APU!H:N,7,0),0),VLOOKUP(C127,APU!H:N,7,0),0)</f>
        <v>16000</v>
      </c>
      <c r="T127" s="179"/>
      <c r="U127" s="413">
        <f t="shared" ca="1" si="10"/>
        <v>184190.54200000004</v>
      </c>
      <c r="V127" s="413">
        <f t="shared" ca="1" si="11"/>
        <v>184190.54200000004</v>
      </c>
      <c r="W127" s="413">
        <f t="shared" ca="1" si="12"/>
        <v>2661.0137500000001</v>
      </c>
      <c r="X127" s="413">
        <f t="shared" ca="1" si="13"/>
        <v>46047.635500000011</v>
      </c>
      <c r="Y127" s="413">
        <f t="shared" ca="1" si="14"/>
        <v>99462.892680000019</v>
      </c>
      <c r="Z127" s="413">
        <f ca="1">(P127+Q127+U127+V127+W127+X127+R127+S127)*$Z$14</f>
        <v>81584.145247499997</v>
      </c>
      <c r="AA127" s="413">
        <f t="shared" ca="1" si="15"/>
        <v>2900518.5461775004</v>
      </c>
      <c r="AB127" s="413">
        <f ca="1">V127*$AB$14</f>
        <v>34996.202980000009</v>
      </c>
      <c r="AC127" s="413">
        <f ca="1">AA127*K127</f>
        <v>0</v>
      </c>
      <c r="AD127" s="413">
        <f ca="1">AB127*K127</f>
        <v>0</v>
      </c>
    </row>
    <row r="128" spans="2:30" s="168" customFormat="1" ht="18.75" hidden="1">
      <c r="B128" s="329"/>
      <c r="C128" s="361">
        <v>2.2799999999999998</v>
      </c>
      <c r="D128" s="488" t="s">
        <v>4833</v>
      </c>
      <c r="E128" s="489" t="s">
        <v>4759</v>
      </c>
      <c r="F128" s="489" t="s">
        <v>4759</v>
      </c>
      <c r="G128" s="489" t="s">
        <v>4759</v>
      </c>
      <c r="H128" s="489" t="s">
        <v>4759</v>
      </c>
      <c r="I128" s="490" t="s">
        <v>4759</v>
      </c>
      <c r="J128" s="361" t="s">
        <v>4128</v>
      </c>
      <c r="K128" s="363"/>
      <c r="L128" s="333">
        <f t="shared" ca="1" si="9"/>
        <v>3334952.9374556202</v>
      </c>
      <c r="M128" s="334">
        <f t="shared" ca="1" si="30"/>
        <v>0</v>
      </c>
      <c r="N128" s="335"/>
      <c r="O128" s="181"/>
      <c r="P128" s="413">
        <f ca="1">IF(IFERROR(VLOOKUP(C128,APU!H:N,4,0),0),VLOOKUP(C128,APU!H:N,4,0),0)</f>
        <v>2180270.4000000004</v>
      </c>
      <c r="Q128" s="413">
        <f ca="1">IF(IFERROR(VLOOKUP(C128,APU!H:N,5,0),0),VLOOKUP(C128,APU!H:N,5,0),0)</f>
        <v>104937.3248</v>
      </c>
      <c r="R128" s="413">
        <f ca="1">IF(IFERROR(VLOOKUP(C128,APU!H:N,6,0),0),VLOOKUP(C128,APU!H:N,6,0),0)</f>
        <v>284153.72100000002</v>
      </c>
      <c r="S128" s="413">
        <f ca="1">IF(IFERROR(VLOOKUP(C128,APU!H:N,7,0),0),VLOOKUP(C128,APU!H:N,7,0),0)</f>
        <v>76559.999999999985</v>
      </c>
      <c r="T128" s="179"/>
      <c r="U128" s="413">
        <f t="shared" ca="1" si="10"/>
        <v>211673.71566400002</v>
      </c>
      <c r="V128" s="413">
        <f t="shared" ca="1" si="11"/>
        <v>211673.71566400002</v>
      </c>
      <c r="W128" s="413">
        <f t="shared" ca="1" si="12"/>
        <v>4656.5104580000007</v>
      </c>
      <c r="X128" s="413">
        <f t="shared" ca="1" si="13"/>
        <v>52918.428916000004</v>
      </c>
      <c r="Y128" s="413">
        <f t="shared" ca="1" si="14"/>
        <v>114303.80645856002</v>
      </c>
      <c r="Z128" s="413">
        <f ca="1">(P128+Q128+U128+V128+W128+X128+R128+S128)*$Z$14</f>
        <v>93805.314495059996</v>
      </c>
      <c r="AA128" s="413">
        <f t="shared" ca="1" si="15"/>
        <v>3334952.9374556202</v>
      </c>
      <c r="AB128" s="413">
        <f ca="1">V128*$AB$14</f>
        <v>40218.005976160006</v>
      </c>
      <c r="AC128" s="413">
        <f ca="1">AA128*K128</f>
        <v>0</v>
      </c>
      <c r="AD128" s="413">
        <f ca="1">AB128*K128</f>
        <v>0</v>
      </c>
    </row>
    <row r="129" spans="2:30" s="168" customFormat="1" ht="18.75" hidden="1">
      <c r="B129" s="329"/>
      <c r="C129" s="361">
        <v>2.29</v>
      </c>
      <c r="D129" s="488" t="s">
        <v>4988</v>
      </c>
      <c r="E129" s="489" t="s">
        <v>4759</v>
      </c>
      <c r="F129" s="489" t="s">
        <v>4759</v>
      </c>
      <c r="G129" s="489" t="s">
        <v>4759</v>
      </c>
      <c r="H129" s="489" t="s">
        <v>4759</v>
      </c>
      <c r="I129" s="490" t="s">
        <v>4759</v>
      </c>
      <c r="J129" s="361" t="s">
        <v>4128</v>
      </c>
      <c r="K129" s="363"/>
      <c r="L129" s="333">
        <f t="shared" ca="1" si="9"/>
        <v>2483110.9101775005</v>
      </c>
      <c r="M129" s="334">
        <f t="shared" ca="1" si="30"/>
        <v>0</v>
      </c>
      <c r="N129" s="335"/>
      <c r="O129" s="181"/>
      <c r="P129" s="413">
        <f ca="1">IF(IFERROR(VLOOKUP(C129,APU!H:N,4,0),0),VLOOKUP(C129,APU!H:N,4,0),0)</f>
        <v>1643580.4000000001</v>
      </c>
      <c r="Q129" s="413">
        <f ca="1">IF(IFERROR(VLOOKUP(C129,APU!H:N,5,0),0),VLOOKUP(C129,APU!H:N,5,0),0)</f>
        <v>67452</v>
      </c>
      <c r="R129" s="413">
        <f ca="1">IF(IFERROR(VLOOKUP(C129,APU!H:N,6,0),0),VLOOKUP(C129,APU!H:N,6,0),0)</f>
        <v>182649.375</v>
      </c>
      <c r="S129" s="413">
        <f ca="1">IF(IFERROR(VLOOKUP(C129,APU!H:N,7,0),0),VLOOKUP(C129,APU!H:N,7,0),0)</f>
        <v>76559.999999999985</v>
      </c>
      <c r="T129" s="179"/>
      <c r="U129" s="413">
        <f t="shared" ca="1" si="10"/>
        <v>157619.342</v>
      </c>
      <c r="V129" s="413">
        <f t="shared" ca="1" si="11"/>
        <v>157619.342</v>
      </c>
      <c r="W129" s="413">
        <f t="shared" ca="1" si="12"/>
        <v>3266.61375</v>
      </c>
      <c r="X129" s="413">
        <f t="shared" ca="1" si="13"/>
        <v>39404.835500000001</v>
      </c>
      <c r="Y129" s="413">
        <f t="shared" ca="1" si="14"/>
        <v>85114.444680000001</v>
      </c>
      <c r="Z129" s="413">
        <f ca="1">(P129+Q129+U129+V129+W129+X129+R129+S129)*$Z$14</f>
        <v>69844.557247500008</v>
      </c>
      <c r="AA129" s="413">
        <f t="shared" ca="1" si="15"/>
        <v>2483110.9101775005</v>
      </c>
      <c r="AB129" s="413">
        <f ca="1">V129*$AB$14</f>
        <v>29947.67498</v>
      </c>
      <c r="AC129" s="413">
        <f ca="1">AA129*K129</f>
        <v>0</v>
      </c>
      <c r="AD129" s="413">
        <f ca="1">AB129*K129</f>
        <v>0</v>
      </c>
    </row>
    <row r="130" spans="2:30" s="168" customFormat="1" ht="18.75" hidden="1">
      <c r="B130" s="329"/>
      <c r="C130" s="361" t="s">
        <v>5015</v>
      </c>
      <c r="D130" s="488" t="s">
        <v>4853</v>
      </c>
      <c r="E130" s="489" t="s">
        <v>4759</v>
      </c>
      <c r="F130" s="489" t="s">
        <v>4759</v>
      </c>
      <c r="G130" s="489" t="s">
        <v>4759</v>
      </c>
      <c r="H130" s="489" t="s">
        <v>4759</v>
      </c>
      <c r="I130" s="490" t="s">
        <v>4759</v>
      </c>
      <c r="J130" s="361" t="s">
        <v>4128</v>
      </c>
      <c r="K130" s="363"/>
      <c r="L130" s="333">
        <f t="shared" ca="1" si="9"/>
        <v>0</v>
      </c>
      <c r="M130" s="334">
        <f t="shared" ca="1" si="30"/>
        <v>0</v>
      </c>
      <c r="N130" s="335"/>
      <c r="O130" s="181"/>
      <c r="P130" s="413">
        <f ca="1">IF(IFERROR(VLOOKUP(C130,APU!H:N,4,0),0),VLOOKUP(C130,APU!H:N,4,0),0)</f>
        <v>0</v>
      </c>
      <c r="Q130" s="413">
        <f ca="1">IF(IFERROR(VLOOKUP(C130,APU!H:N,5,0),0),VLOOKUP(C130,APU!H:N,5,0),0)</f>
        <v>0</v>
      </c>
      <c r="R130" s="413">
        <f ca="1">IF(IFERROR(VLOOKUP(C130,APU!H:N,6,0),0),VLOOKUP(C130,APU!H:N,6,0),0)</f>
        <v>0</v>
      </c>
      <c r="S130" s="413">
        <f ca="1">IF(IFERROR(VLOOKUP(C130,APU!H:N,7,0),0),VLOOKUP(C130,APU!H:N,7,0),0)</f>
        <v>0</v>
      </c>
      <c r="T130" s="179"/>
      <c r="U130" s="413">
        <f t="shared" ca="1" si="10"/>
        <v>0</v>
      </c>
      <c r="V130" s="413">
        <f t="shared" ca="1" si="11"/>
        <v>0</v>
      </c>
      <c r="W130" s="413">
        <f t="shared" ca="1" si="12"/>
        <v>0</v>
      </c>
      <c r="X130" s="413">
        <f t="shared" ca="1" si="13"/>
        <v>0</v>
      </c>
      <c r="Y130" s="413">
        <f t="shared" ca="1" si="14"/>
        <v>0</v>
      </c>
      <c r="Z130" s="413">
        <f ca="1">(P130+Q130+U130+V130+W130+X130+R130+S130)*$Z$14</f>
        <v>0</v>
      </c>
      <c r="AA130" s="413">
        <f t="shared" ca="1" si="15"/>
        <v>0</v>
      </c>
      <c r="AB130" s="413">
        <f ca="1">V130*$AB$14</f>
        <v>0</v>
      </c>
      <c r="AC130" s="413">
        <f ca="1">AA130*K130</f>
        <v>0</v>
      </c>
      <c r="AD130" s="413">
        <f ca="1">AB130*K130</f>
        <v>0</v>
      </c>
    </row>
    <row r="131" spans="2:30" s="168" customFormat="1" ht="18.75" hidden="1">
      <c r="B131" s="329"/>
      <c r="C131" s="361">
        <v>2.31</v>
      </c>
      <c r="D131" s="488" t="s">
        <v>5016</v>
      </c>
      <c r="E131" s="489" t="s">
        <v>4759</v>
      </c>
      <c r="F131" s="489" t="s">
        <v>4759</v>
      </c>
      <c r="G131" s="489" t="s">
        <v>4759</v>
      </c>
      <c r="H131" s="489" t="s">
        <v>4759</v>
      </c>
      <c r="I131" s="490" t="s">
        <v>4759</v>
      </c>
      <c r="J131" s="361" t="s">
        <v>4128</v>
      </c>
      <c r="K131" s="363"/>
      <c r="L131" s="333">
        <f t="shared" ref="L131" ca="1" si="31">AA131</f>
        <v>306806.88107249996</v>
      </c>
      <c r="M131" s="334">
        <f t="shared" ref="M131" ca="1" si="32">L131*K131</f>
        <v>0</v>
      </c>
      <c r="N131" s="335"/>
      <c r="O131" s="181"/>
      <c r="P131" s="413">
        <f ca="1">IF(IFERROR(VLOOKUP(C131,APU!H:N,4,0),0),VLOOKUP(C131,APU!H:N,4,0),0)</f>
        <v>207345.59999999998</v>
      </c>
      <c r="Q131" s="413">
        <f ca="1">IF(IFERROR(VLOOKUP(C131,APU!H:N,5,0),0),VLOOKUP(C131,APU!H:N,5,0),0)</f>
        <v>22484</v>
      </c>
      <c r="R131" s="413">
        <f ca="1">IF(IFERROR(VLOOKUP(C131,APU!H:N,6,0),0),VLOOKUP(C131,APU!H:N,6,0),0)</f>
        <v>883.125</v>
      </c>
      <c r="S131" s="413">
        <f ca="1">IF(IFERROR(VLOOKUP(C131,APU!H:N,7,0),0),VLOOKUP(C131,APU!H:N,7,0),0)</f>
        <v>12760</v>
      </c>
      <c r="T131" s="179"/>
      <c r="U131" s="413">
        <f t="shared" ref="U131" ca="1" si="33">(P131+Q131+R131+S131)*$U$14</f>
        <v>19477.817999999999</v>
      </c>
      <c r="V131" s="413">
        <f t="shared" ref="V131" ca="1" si="34">(P131+Q131+R131+S131)*$V$14</f>
        <v>19477.817999999999</v>
      </c>
      <c r="W131" s="413">
        <f t="shared" ref="W131" ca="1" si="35">(Q131+R131+S131)*$W$14</f>
        <v>361.27125000000001</v>
      </c>
      <c r="X131" s="413">
        <f t="shared" ref="X131" ca="1" si="36">(P131+Q131+R131+S131)*$X$14</f>
        <v>4869.4544999999998</v>
      </c>
      <c r="Y131" s="413">
        <f t="shared" ca="1" si="14"/>
        <v>10518.021719999999</v>
      </c>
      <c r="Z131" s="413">
        <f ca="1">(P131+Q131+U131+V131+W131+X131+R131+S131)*$Z$14</f>
        <v>8629.7726024999993</v>
      </c>
      <c r="AA131" s="413">
        <f t="shared" ca="1" si="15"/>
        <v>306806.88107249996</v>
      </c>
      <c r="AB131" s="413">
        <f ca="1">V131*$AB$14</f>
        <v>3700.7854199999997</v>
      </c>
      <c r="AC131" s="413">
        <f ca="1">AA131*K131</f>
        <v>0</v>
      </c>
      <c r="AD131" s="413">
        <f ca="1">AB131*K131</f>
        <v>0</v>
      </c>
    </row>
    <row r="132" spans="2:30" s="168" customFormat="1" ht="18.75" hidden="1">
      <c r="B132" s="329"/>
      <c r="C132" s="361">
        <v>2.3199999999999998</v>
      </c>
      <c r="D132" s="488" t="s">
        <v>5017</v>
      </c>
      <c r="E132" s="489" t="s">
        <v>4759</v>
      </c>
      <c r="F132" s="489" t="s">
        <v>4759</v>
      </c>
      <c r="G132" s="489" t="s">
        <v>4759</v>
      </c>
      <c r="H132" s="489" t="s">
        <v>4759</v>
      </c>
      <c r="I132" s="490" t="s">
        <v>4759</v>
      </c>
      <c r="J132" s="361" t="s">
        <v>4128</v>
      </c>
      <c r="K132" s="363"/>
      <c r="L132" s="333">
        <f t="shared" ca="1" si="9"/>
        <v>4744549.2674996275</v>
      </c>
      <c r="M132" s="334">
        <f t="shared" ca="1" si="30"/>
        <v>0</v>
      </c>
      <c r="N132" s="335"/>
      <c r="O132" s="181"/>
      <c r="P132" s="413">
        <f ca="1">IF(IFERROR(VLOOKUP(C132,APU!H:N,4,0),0),VLOOKUP(C132,APU!H:N,4,0),0)</f>
        <v>3532662.9312800001</v>
      </c>
      <c r="Q132" s="413">
        <f ca="1">IF(IFERROR(VLOOKUP(C132,APU!H:N,5,0),0),VLOOKUP(C132,APU!H:N,5,0),0)</f>
        <v>59969.324799999995</v>
      </c>
      <c r="R132" s="413">
        <f ca="1">IF(IFERROR(VLOOKUP(C132,APU!H:N,6,0),0),VLOOKUP(C132,APU!H:N,6,0),0)</f>
        <v>162387.47099999999</v>
      </c>
      <c r="S132" s="413">
        <f ca="1">IF(IFERROR(VLOOKUP(C132,APU!H:N,7,0),0),VLOOKUP(C132,APU!H:N,7,0),0)</f>
        <v>12760</v>
      </c>
      <c r="T132" s="179"/>
      <c r="U132" s="413">
        <f t="shared" ca="1" si="10"/>
        <v>301422.37816640001</v>
      </c>
      <c r="V132" s="413">
        <f t="shared" ca="1" si="11"/>
        <v>301422.37816640001</v>
      </c>
      <c r="W132" s="413">
        <f t="shared" ca="1" si="12"/>
        <v>2351.167958</v>
      </c>
      <c r="X132" s="413">
        <f t="shared" ca="1" si="13"/>
        <v>75355.594541600003</v>
      </c>
      <c r="Y132" s="413">
        <f t="shared" ca="1" si="14"/>
        <v>162768.084209856</v>
      </c>
      <c r="Z132" s="413">
        <f ca="1">(P132+Q132+U132+V132+W132+X132+R132+S132)*$Z$14</f>
        <v>133449.937377372</v>
      </c>
      <c r="AA132" s="413">
        <f t="shared" ca="1" si="15"/>
        <v>4744549.2674996275</v>
      </c>
      <c r="AB132" s="413">
        <f ca="1">V132*$AB$14</f>
        <v>57270.251851616005</v>
      </c>
      <c r="AC132" s="413">
        <f ca="1">AA132*K132</f>
        <v>0</v>
      </c>
      <c r="AD132" s="413">
        <f ca="1">AB132*K132</f>
        <v>0</v>
      </c>
    </row>
    <row r="133" spans="2:30" s="168" customFormat="1" ht="30.75" customHeight="1">
      <c r="B133" s="329"/>
      <c r="C133" s="367">
        <v>3</v>
      </c>
      <c r="D133" s="495" t="s">
        <v>4644</v>
      </c>
      <c r="E133" s="496"/>
      <c r="F133" s="496"/>
      <c r="G133" s="496"/>
      <c r="H133" s="496"/>
      <c r="I133" s="497"/>
      <c r="J133" s="368"/>
      <c r="K133" s="369"/>
      <c r="L133" s="369"/>
      <c r="M133" s="369"/>
      <c r="N133" s="335"/>
      <c r="O133" s="181"/>
      <c r="P133" s="413">
        <f ca="1">IF(IFERROR(VLOOKUP(C133,APU!H:N,4,0),0),VLOOKUP(C133,APU!H:N,4,0),0)</f>
        <v>0</v>
      </c>
      <c r="Q133" s="413">
        <f ca="1">IF(IFERROR(VLOOKUP(C133,APU!H:N,5,0),0),VLOOKUP(C133,APU!H:N,5,0),0)</f>
        <v>0</v>
      </c>
      <c r="R133" s="413">
        <f ca="1">IF(IFERROR(VLOOKUP(C133,APU!H:N,6,0),0),VLOOKUP(C133,APU!H:N,6,0),0)</f>
        <v>0</v>
      </c>
      <c r="S133" s="413">
        <f ca="1">IF(IFERROR(VLOOKUP(C133,APU!H:N,7,0),0),VLOOKUP(C133,APU!H:N,7,0),0)</f>
        <v>0</v>
      </c>
      <c r="T133" s="179"/>
      <c r="U133" s="413">
        <f t="shared" ca="1" si="10"/>
        <v>0</v>
      </c>
      <c r="V133" s="413">
        <f t="shared" ca="1" si="11"/>
        <v>0</v>
      </c>
      <c r="W133" s="413">
        <f t="shared" ca="1" si="12"/>
        <v>0</v>
      </c>
      <c r="X133" s="413">
        <f t="shared" ca="1" si="13"/>
        <v>0</v>
      </c>
      <c r="Y133" s="413">
        <f t="shared" ca="1" si="14"/>
        <v>0</v>
      </c>
      <c r="Z133" s="413">
        <f ca="1">(P133+Q133+U133+V133+W133+X133+R133+S133)*$Z$14</f>
        <v>0</v>
      </c>
      <c r="AA133" s="413">
        <f t="shared" ca="1" si="15"/>
        <v>0</v>
      </c>
      <c r="AB133" s="413">
        <f ca="1">V133*$AB$14</f>
        <v>0</v>
      </c>
      <c r="AC133" s="413">
        <f ca="1">AA133*K133</f>
        <v>0</v>
      </c>
      <c r="AD133" s="413">
        <f ca="1">AB133*K133</f>
        <v>0</v>
      </c>
    </row>
    <row r="134" spans="2:30" s="168" customFormat="1" ht="38.25" hidden="1" customHeight="1">
      <c r="B134" s="329"/>
      <c r="C134" s="361">
        <v>3.1</v>
      </c>
      <c r="D134" s="485" t="s">
        <v>4929</v>
      </c>
      <c r="E134" s="486" t="s">
        <v>4645</v>
      </c>
      <c r="F134" s="486" t="s">
        <v>4645</v>
      </c>
      <c r="G134" s="486" t="s">
        <v>4645</v>
      </c>
      <c r="H134" s="486" t="s">
        <v>4645</v>
      </c>
      <c r="I134" s="487" t="s">
        <v>4645</v>
      </c>
      <c r="J134" s="361" t="s">
        <v>4128</v>
      </c>
      <c r="K134" s="363"/>
      <c r="L134" s="333">
        <f t="shared" ca="1" si="9"/>
        <v>42857001.475403994</v>
      </c>
      <c r="M134" s="334">
        <f t="shared" ref="M134:M191" ca="1" si="37">L134*K134</f>
        <v>0</v>
      </c>
      <c r="N134" s="335"/>
      <c r="O134" s="181"/>
      <c r="P134" s="413">
        <f ca="1">IF(IFERROR(VLOOKUP(C134,APU!H:N,4,0),0),VLOOKUP(C134,APU!H:N,4,0),0)*500</f>
        <v>27101697.839999996</v>
      </c>
      <c r="Q134" s="413">
        <f ca="1">IF(IFERROR(VLOOKUP(C134,APU!H:N,5,0),0),VLOOKUP(C134,APU!H:N,5,0),0)*500</f>
        <v>4874531.2</v>
      </c>
      <c r="R134" s="413">
        <f ca="1">IF(IFERROR(VLOOKUP(C134,APU!H:N,6,0),0),VLOOKUP(C134,APU!H:N,6,0),0)*500</f>
        <v>1218687</v>
      </c>
      <c r="S134" s="413">
        <f ca="1">IF(IFERROR(VLOOKUP(C134,APU!H:N,7,0),0),VLOOKUP(C134,APU!H:N,7,0),0)*500</f>
        <v>800000</v>
      </c>
      <c r="T134" s="179"/>
      <c r="U134" s="413">
        <f t="shared" ca="1" si="10"/>
        <v>2719593.2831999995</v>
      </c>
      <c r="V134" s="413">
        <f t="shared" ca="1" si="11"/>
        <v>2719593.2831999995</v>
      </c>
      <c r="W134" s="413">
        <f t="shared" ca="1" si="12"/>
        <v>68932.182000000001</v>
      </c>
      <c r="X134" s="413">
        <f t="shared" ca="1" si="13"/>
        <v>679898.32079999987</v>
      </c>
      <c r="Y134" s="413">
        <f t="shared" ca="1" si="14"/>
        <v>1468580.3729279998</v>
      </c>
      <c r="Z134" s="413">
        <f ca="1">(P134+Q134+U134+V134+W134+X134+R134+S134)*$Z$14</f>
        <v>1205487.9932759998</v>
      </c>
      <c r="AA134" s="413">
        <f t="shared" ca="1" si="15"/>
        <v>42857001.475403994</v>
      </c>
      <c r="AB134" s="413">
        <f ca="1">V134*$AB$14</f>
        <v>516722.72380799992</v>
      </c>
      <c r="AC134" s="413">
        <f ca="1">AA134*K134</f>
        <v>0</v>
      </c>
      <c r="AD134" s="413">
        <f ca="1">AB134*K134</f>
        <v>0</v>
      </c>
    </row>
    <row r="135" spans="2:30" s="168" customFormat="1" ht="38.25" hidden="1" customHeight="1">
      <c r="B135" s="329"/>
      <c r="C135" s="361">
        <v>3.2</v>
      </c>
      <c r="D135" s="485" t="s">
        <v>4930</v>
      </c>
      <c r="E135" s="486" t="s">
        <v>4646</v>
      </c>
      <c r="F135" s="486" t="s">
        <v>4646</v>
      </c>
      <c r="G135" s="486" t="s">
        <v>4646</v>
      </c>
      <c r="H135" s="486" t="s">
        <v>4646</v>
      </c>
      <c r="I135" s="487" t="s">
        <v>4646</v>
      </c>
      <c r="J135" s="361" t="s">
        <v>4128</v>
      </c>
      <c r="K135" s="363"/>
      <c r="L135" s="333">
        <f t="shared" ca="1" si="9"/>
        <v>18318563.324830003</v>
      </c>
      <c r="M135" s="334">
        <f t="shared" ca="1" si="37"/>
        <v>0</v>
      </c>
      <c r="N135" s="335"/>
      <c r="O135" s="181"/>
      <c r="P135" s="413">
        <f ca="1">IF(IFERROR(VLOOKUP(C135,APU!H:N,4,0),0),VLOOKUP(C135,APU!H:N,4,0),0)*500</f>
        <v>10384773.000000002</v>
      </c>
      <c r="Q135" s="413">
        <f ca="1">IF(IFERROR(VLOOKUP(C135,APU!H:N,5,0),0),VLOOKUP(C135,APU!H:N,5,0),0)*500</f>
        <v>2626131.2000000002</v>
      </c>
      <c r="R135" s="413">
        <f ca="1">IF(IFERROR(VLOOKUP(C135,APU!H:N,6,0),0),VLOOKUP(C135,APU!H:N,6,0),0)*500</f>
        <v>709961.5</v>
      </c>
      <c r="S135" s="413">
        <f ca="1">IF(IFERROR(VLOOKUP(C135,APU!H:N,7,0),0),VLOOKUP(C135,APU!H:N,7,0),0)*500</f>
        <v>800000</v>
      </c>
      <c r="T135" s="179"/>
      <c r="U135" s="413">
        <f t="shared" ca="1" si="10"/>
        <v>1161669.2560000003</v>
      </c>
      <c r="V135" s="413">
        <f t="shared" ca="1" si="11"/>
        <v>1161669.2560000003</v>
      </c>
      <c r="W135" s="413">
        <f t="shared" ca="1" si="12"/>
        <v>41360.927000000003</v>
      </c>
      <c r="X135" s="413">
        <f t="shared" ca="1" si="13"/>
        <v>290417.31400000007</v>
      </c>
      <c r="Y135" s="413">
        <f t="shared" ca="1" si="14"/>
        <v>627301.39824000013</v>
      </c>
      <c r="Z135" s="413">
        <f ca="1">(P135+Q135+U135+V135+W135+X135+R135+S135)*$Z$14</f>
        <v>515279.47359000001</v>
      </c>
      <c r="AA135" s="413">
        <f t="shared" ca="1" si="15"/>
        <v>18318563.324830003</v>
      </c>
      <c r="AB135" s="413">
        <f ca="1">V135*$AB$14</f>
        <v>220717.15864000007</v>
      </c>
      <c r="AC135" s="413">
        <f ca="1">AA135*K135</f>
        <v>0</v>
      </c>
      <c r="AD135" s="413">
        <f ca="1">AB135*K135</f>
        <v>0</v>
      </c>
    </row>
    <row r="136" spans="2:30" s="168" customFormat="1" ht="38.25" hidden="1" customHeight="1">
      <c r="B136" s="329"/>
      <c r="C136" s="361">
        <v>3.3</v>
      </c>
      <c r="D136" s="485" t="s">
        <v>4931</v>
      </c>
      <c r="E136" s="486"/>
      <c r="F136" s="486"/>
      <c r="G136" s="486"/>
      <c r="H136" s="486"/>
      <c r="I136" s="487"/>
      <c r="J136" s="361" t="s">
        <v>4128</v>
      </c>
      <c r="K136" s="363"/>
      <c r="L136" s="333">
        <f t="shared" ca="1" si="9"/>
        <v>26591999.090740003</v>
      </c>
      <c r="M136" s="334">
        <f t="shared" ca="1" si="37"/>
        <v>0</v>
      </c>
      <c r="N136" s="335"/>
      <c r="O136" s="181"/>
      <c r="P136" s="413">
        <f ca="1">IF(IFERROR(VLOOKUP(C136,APU!H:N,4,0),0),VLOOKUP(C136,APU!H:N,4,0),0)*500</f>
        <v>15990743.999999998</v>
      </c>
      <c r="Q136" s="413">
        <f ca="1">IF(IFERROR(VLOOKUP(C136,APU!H:N,5,0),0),VLOOKUP(C136,APU!H:N,5,0),0)*500</f>
        <v>3381593.5999999996</v>
      </c>
      <c r="R136" s="413">
        <f ca="1">IF(IFERROR(VLOOKUP(C136,APU!H:N,6,0),0),VLOOKUP(C136,APU!H:N,6,0),0)*500</f>
        <v>914197</v>
      </c>
      <c r="S136" s="413">
        <f ca="1">IF(IFERROR(VLOOKUP(C136,APU!H:N,7,0),0),VLOOKUP(C136,APU!H:N,7,0),0)*500</f>
        <v>800000</v>
      </c>
      <c r="T136" s="179"/>
      <c r="U136" s="413">
        <f t="shared" ca="1" si="10"/>
        <v>1686922.7679999999</v>
      </c>
      <c r="V136" s="413">
        <f t="shared" ca="1" si="11"/>
        <v>1686922.7679999999</v>
      </c>
      <c r="W136" s="413">
        <f t="shared" ca="1" si="12"/>
        <v>50957.905999999995</v>
      </c>
      <c r="X136" s="413">
        <f t="shared" ca="1" si="13"/>
        <v>421730.69199999998</v>
      </c>
      <c r="Y136" s="413">
        <f t="shared" ca="1" si="14"/>
        <v>910938.29472000001</v>
      </c>
      <c r="Z136" s="413">
        <f ca="1">(P136+Q136+U136+V136+W136+X136+R136+S136)*$Z$14</f>
        <v>747992.06201999984</v>
      </c>
      <c r="AA136" s="413">
        <f t="shared" ca="1" si="15"/>
        <v>26591999.090740003</v>
      </c>
      <c r="AB136" s="413">
        <f ca="1">V136*$AB$14</f>
        <v>320515.32591999997</v>
      </c>
      <c r="AC136" s="413">
        <f ca="1">AA136*K136</f>
        <v>0</v>
      </c>
      <c r="AD136" s="413">
        <f ca="1">AB136*K136</f>
        <v>0</v>
      </c>
    </row>
    <row r="137" spans="2:30" s="168" customFormat="1" ht="30.75" hidden="1" customHeight="1">
      <c r="B137" s="329"/>
      <c r="C137" s="361">
        <v>3.4</v>
      </c>
      <c r="D137" s="488" t="s">
        <v>4932</v>
      </c>
      <c r="E137" s="489" t="s">
        <v>4647</v>
      </c>
      <c r="F137" s="489" t="s">
        <v>4647</v>
      </c>
      <c r="G137" s="489" t="s">
        <v>4647</v>
      </c>
      <c r="H137" s="489" t="s">
        <v>4647</v>
      </c>
      <c r="I137" s="490" t="s">
        <v>4647</v>
      </c>
      <c r="J137" s="361" t="s">
        <v>4128</v>
      </c>
      <c r="K137" s="363"/>
      <c r="L137" s="333">
        <f t="shared" ca="1" si="9"/>
        <v>8542320.3600200005</v>
      </c>
      <c r="M137" s="334">
        <f t="shared" ca="1" si="37"/>
        <v>0</v>
      </c>
      <c r="N137" s="335"/>
      <c r="O137" s="181"/>
      <c r="P137" s="413">
        <f ca="1">IF(IFERROR(VLOOKUP(C137,APU!H:N,4,0),0),VLOOKUP(C137,APU!H:N,4,0),0)*500</f>
        <v>4284000</v>
      </c>
      <c r="Q137" s="413">
        <f ca="1">IF(IFERROR(VLOOKUP(C137,APU!H:N,5,0),0),VLOOKUP(C137,APU!H:N,5,0),0)*500</f>
        <v>1870668.7999999998</v>
      </c>
      <c r="R137" s="413">
        <f ca="1">IF(IFERROR(VLOOKUP(C137,APU!H:N,6,0),0),VLOOKUP(C137,APU!H:N,6,0),0)*500</f>
        <v>212173</v>
      </c>
      <c r="S137" s="413">
        <f ca="1">IF(IFERROR(VLOOKUP(C137,APU!H:N,7,0),0),VLOOKUP(C137,APU!H:N,7,0),0)*500</f>
        <v>400000</v>
      </c>
      <c r="T137" s="179"/>
      <c r="U137" s="413">
        <f t="shared" ca="1" si="10"/>
        <v>541347.34400000004</v>
      </c>
      <c r="V137" s="413">
        <f t="shared" ca="1" si="11"/>
        <v>541347.34400000004</v>
      </c>
      <c r="W137" s="413">
        <f t="shared" ca="1" si="12"/>
        <v>24828.417999999998</v>
      </c>
      <c r="X137" s="413">
        <f t="shared" ca="1" si="13"/>
        <v>135336.83600000001</v>
      </c>
      <c r="Y137" s="413">
        <f t="shared" ca="1" si="14"/>
        <v>292327.56576000003</v>
      </c>
      <c r="Z137" s="413">
        <f ca="1">(P137+Q137+U137+V137+W137+X137+R137+S137)*$Z$14</f>
        <v>240291.05225999997</v>
      </c>
      <c r="AA137" s="413">
        <f t="shared" ca="1" si="15"/>
        <v>8542320.3600200005</v>
      </c>
      <c r="AB137" s="413">
        <f ca="1">V137*$AB$14</f>
        <v>102855.99536000002</v>
      </c>
      <c r="AC137" s="413">
        <f ca="1">AA137*K137</f>
        <v>0</v>
      </c>
      <c r="AD137" s="413">
        <f ca="1">AB137*K137</f>
        <v>0</v>
      </c>
    </row>
    <row r="138" spans="2:30" s="168" customFormat="1" ht="30.75" customHeight="1">
      <c r="B138" s="329"/>
      <c r="C138" s="361">
        <v>3.5</v>
      </c>
      <c r="D138" s="488" t="s">
        <v>4933</v>
      </c>
      <c r="E138" s="489"/>
      <c r="F138" s="489"/>
      <c r="G138" s="489"/>
      <c r="H138" s="489"/>
      <c r="I138" s="490"/>
      <c r="J138" s="361" t="s">
        <v>4128</v>
      </c>
      <c r="K138" s="363">
        <v>1</v>
      </c>
      <c r="L138" s="333">
        <f t="shared" ca="1" si="9"/>
        <v>10838346.58202</v>
      </c>
      <c r="M138" s="334">
        <f t="shared" ca="1" si="37"/>
        <v>10838346.58202</v>
      </c>
      <c r="N138" s="335"/>
      <c r="O138" s="181"/>
      <c r="P138" s="413">
        <f ca="1">IF(IFERROR(VLOOKUP(C138,APU!H:N,4,0),0),VLOOKUP(C138,APU!H:N,4,0),0)*500</f>
        <v>6108269.9999999991</v>
      </c>
      <c r="Q138" s="413">
        <f ca="1">IF(IFERROR(VLOOKUP(C138,APU!H:N,5,0),0),VLOOKUP(C138,APU!H:N,5,0),0)*500</f>
        <v>1870668.7999999998</v>
      </c>
      <c r="R138" s="413">
        <f ca="1">IF(IFERROR(VLOOKUP(C138,APU!H:N,6,0),0),VLOOKUP(C138,APU!H:N,6,0),0)*500</f>
        <v>212173</v>
      </c>
      <c r="S138" s="413">
        <f ca="1">IF(IFERROR(VLOOKUP(C138,APU!H:N,7,0),0),VLOOKUP(C138,APU!H:N,7,0),0)*500</f>
        <v>400000</v>
      </c>
      <c r="T138" s="179"/>
      <c r="U138" s="413">
        <f t="shared" ca="1" si="10"/>
        <v>687288.9439999999</v>
      </c>
      <c r="V138" s="413">
        <f t="shared" ca="1" si="11"/>
        <v>687288.9439999999</v>
      </c>
      <c r="W138" s="413">
        <f t="shared" ca="1" si="12"/>
        <v>24828.417999999998</v>
      </c>
      <c r="X138" s="413">
        <f t="shared" ca="1" si="13"/>
        <v>171822.23599999998</v>
      </c>
      <c r="Y138" s="413">
        <f t="shared" ca="1" si="14"/>
        <v>371136.02975999995</v>
      </c>
      <c r="Z138" s="413">
        <f ca="1">(P138+Q138+U138+V138+W138+X138+R138+S138)*$Z$14</f>
        <v>304870.21025999996</v>
      </c>
      <c r="AA138" s="413">
        <f t="shared" ca="1" si="15"/>
        <v>10838346.58202</v>
      </c>
      <c r="AB138" s="413">
        <f ca="1">V138*$AB$14</f>
        <v>130584.89935999998</v>
      </c>
      <c r="AC138" s="413">
        <f ca="1">AA138*K138</f>
        <v>10838346.58202</v>
      </c>
      <c r="AD138" s="413">
        <f ca="1">AB138*K138</f>
        <v>130584.89935999998</v>
      </c>
    </row>
    <row r="139" spans="2:30" s="168" customFormat="1" ht="30.75" customHeight="1">
      <c r="B139" s="329"/>
      <c r="C139" s="361">
        <v>3.6</v>
      </c>
      <c r="D139" s="488" t="s">
        <v>4934</v>
      </c>
      <c r="E139" s="489"/>
      <c r="F139" s="489"/>
      <c r="G139" s="489"/>
      <c r="H139" s="489"/>
      <c r="I139" s="490"/>
      <c r="J139" s="361" t="s">
        <v>4128</v>
      </c>
      <c r="K139" s="363">
        <v>1</v>
      </c>
      <c r="L139" s="333">
        <f t="shared" ca="1" si="9"/>
        <v>9081504.6000200007</v>
      </c>
      <c r="M139" s="334">
        <f ca="1">L139*K139</f>
        <v>9081504.6000200007</v>
      </c>
      <c r="N139" s="335"/>
      <c r="O139" s="181"/>
      <c r="P139" s="413">
        <f ca="1">IF(IFERROR(VLOOKUP(C139,APU!H:N,4,0),0),VLOOKUP(C139,APU!H:N,4,0),0)*500</f>
        <v>4712400</v>
      </c>
      <c r="Q139" s="413">
        <f ca="1">IF(IFERROR(VLOOKUP(C139,APU!H:N,5,0),0),VLOOKUP(C139,APU!H:N,5,0),0)*500</f>
        <v>1870668.7999999998</v>
      </c>
      <c r="R139" s="413">
        <f ca="1">IF(IFERROR(VLOOKUP(C139,APU!H:N,6,0),0),VLOOKUP(C139,APU!H:N,6,0),0)*500</f>
        <v>212173</v>
      </c>
      <c r="S139" s="413">
        <f ca="1">IF(IFERROR(VLOOKUP(C139,APU!H:N,7,0),0),VLOOKUP(C139,APU!H:N,7,0),0)*500</f>
        <v>400000</v>
      </c>
      <c r="T139" s="179"/>
      <c r="U139" s="413">
        <f t="shared" ca="1" si="10"/>
        <v>575619.34400000004</v>
      </c>
      <c r="V139" s="413">
        <f t="shared" ca="1" si="11"/>
        <v>575619.34400000004</v>
      </c>
      <c r="W139" s="413">
        <f t="shared" ca="1" si="12"/>
        <v>24828.417999999998</v>
      </c>
      <c r="X139" s="413">
        <f t="shared" ca="1" si="13"/>
        <v>143904.83600000001</v>
      </c>
      <c r="Y139" s="413">
        <f t="shared" ca="1" si="14"/>
        <v>310834.44576000003</v>
      </c>
      <c r="Z139" s="413">
        <f ca="1">(P139+Q139+U139+V139+W139+X139+R139+S139)*$Z$14</f>
        <v>255456.41225999995</v>
      </c>
      <c r="AA139" s="413">
        <f t="shared" ca="1" si="15"/>
        <v>9081504.6000200007</v>
      </c>
      <c r="AB139" s="413">
        <f ca="1">V139*$AB$14</f>
        <v>109367.67536000001</v>
      </c>
      <c r="AC139" s="413">
        <f ca="1">AA139*K139</f>
        <v>9081504.6000200007</v>
      </c>
      <c r="AD139" s="413">
        <f ca="1">AB139*K139</f>
        <v>109367.67536000001</v>
      </c>
    </row>
    <row r="140" spans="2:30" s="168" customFormat="1" ht="39" hidden="1" customHeight="1">
      <c r="B140" s="329"/>
      <c r="C140" s="361">
        <v>3.7</v>
      </c>
      <c r="D140" s="488" t="s">
        <v>4935</v>
      </c>
      <c r="E140" s="489" t="s">
        <v>4648</v>
      </c>
      <c r="F140" s="489" t="s">
        <v>4648</v>
      </c>
      <c r="G140" s="489" t="s">
        <v>4648</v>
      </c>
      <c r="H140" s="489" t="s">
        <v>4648</v>
      </c>
      <c r="I140" s="490" t="s">
        <v>4648</v>
      </c>
      <c r="J140" s="361" t="s">
        <v>4128</v>
      </c>
      <c r="K140" s="363"/>
      <c r="L140" s="333">
        <f t="shared" ca="1" si="9"/>
        <v>9175104.0967200007</v>
      </c>
      <c r="M140" s="334">
        <f t="shared" ca="1" si="37"/>
        <v>0</v>
      </c>
      <c r="N140" s="335"/>
      <c r="O140" s="181"/>
      <c r="P140" s="413">
        <f ca="1">IF(IFERROR(VLOOKUP(C140,APU!H:N,4,0),0),VLOOKUP(C140,APU!H:N,4,0),0)*500</f>
        <v>4926600</v>
      </c>
      <c r="Q140" s="413">
        <f ca="1">IF(IFERROR(VLOOKUP(C140,APU!H:N,5,0),0),VLOOKUP(C140,APU!H:N,5,0),0)*500</f>
        <v>1870668.7999999998</v>
      </c>
      <c r="R140" s="413">
        <f ca="1">IF(IFERROR(VLOOKUP(C140,APU!H:N,6,0),0),VLOOKUP(C140,APU!H:N,6,0),0)*500</f>
        <v>73476</v>
      </c>
      <c r="S140" s="413">
        <f ca="1">IF(IFERROR(VLOOKUP(C140,APU!H:N,7,0),0),VLOOKUP(C140,APU!H:N,7,0),0)*500</f>
        <v>400000</v>
      </c>
      <c r="T140" s="179"/>
      <c r="U140" s="413">
        <f t="shared" ca="1" si="10"/>
        <v>581659.58400000003</v>
      </c>
      <c r="V140" s="413">
        <f t="shared" ca="1" si="11"/>
        <v>581659.58400000003</v>
      </c>
      <c r="W140" s="413">
        <f t="shared" ca="1" si="12"/>
        <v>23441.448</v>
      </c>
      <c r="X140" s="413">
        <f t="shared" ca="1" si="13"/>
        <v>145414.89600000001</v>
      </c>
      <c r="Y140" s="413">
        <f t="shared" ca="1" si="14"/>
        <v>314096.17535999999</v>
      </c>
      <c r="Z140" s="413">
        <f ca="1">(P140+Q140+U140+V140+W140+X140+R140+S140)*$Z$14</f>
        <v>258087.60935999997</v>
      </c>
      <c r="AA140" s="413">
        <f t="shared" ca="1" si="15"/>
        <v>9175104.0967200007</v>
      </c>
      <c r="AB140" s="413">
        <f ca="1">V140*$AB$14</f>
        <v>110515.32096000001</v>
      </c>
      <c r="AC140" s="413">
        <f ca="1">AA140*K140</f>
        <v>0</v>
      </c>
      <c r="AD140" s="413">
        <f ca="1">AB140*K140</f>
        <v>0</v>
      </c>
    </row>
    <row r="141" spans="2:30" s="168" customFormat="1" ht="30.75" hidden="1" customHeight="1">
      <c r="B141" s="329"/>
      <c r="C141" s="361">
        <v>3.8</v>
      </c>
      <c r="D141" s="488" t="s">
        <v>4936</v>
      </c>
      <c r="E141" s="489"/>
      <c r="F141" s="489"/>
      <c r="G141" s="489"/>
      <c r="H141" s="489"/>
      <c r="I141" s="490"/>
      <c r="J141" s="361" t="s">
        <v>4128</v>
      </c>
      <c r="K141" s="363"/>
      <c r="L141" s="333">
        <f t="shared" ca="1" si="9"/>
        <v>8776107.7591200005</v>
      </c>
      <c r="M141" s="334">
        <f t="shared" ca="1" si="37"/>
        <v>0</v>
      </c>
      <c r="N141" s="335"/>
      <c r="O141" s="181"/>
      <c r="P141" s="413">
        <f ca="1">IF(IFERROR(VLOOKUP(C141,APU!H:N,4,0),0),VLOOKUP(C141,APU!H:N,4,0),0)*500</f>
        <v>4609584</v>
      </c>
      <c r="Q141" s="413">
        <f ca="1">IF(IFERROR(VLOOKUP(C141,APU!H:N,5,0),0),VLOOKUP(C141,APU!H:N,5,0),0)*500</f>
        <v>1870668.7999999998</v>
      </c>
      <c r="R141" s="413">
        <f ca="1">IF(IFERROR(VLOOKUP(C141,APU!H:N,6,0),0),VLOOKUP(C141,APU!H:N,6,0),0)*500</f>
        <v>73476</v>
      </c>
      <c r="S141" s="413">
        <f ca="1">IF(IFERROR(VLOOKUP(C141,APU!H:N,7,0),0),VLOOKUP(C141,APU!H:N,7,0),0)*500</f>
        <v>400000</v>
      </c>
      <c r="T141" s="179"/>
      <c r="U141" s="413">
        <f t="shared" ca="1" si="10"/>
        <v>556298.304</v>
      </c>
      <c r="V141" s="413">
        <f t="shared" ca="1" si="11"/>
        <v>556298.304</v>
      </c>
      <c r="W141" s="413">
        <f t="shared" ca="1" si="12"/>
        <v>23441.448</v>
      </c>
      <c r="X141" s="413">
        <f t="shared" ca="1" si="13"/>
        <v>139074.576</v>
      </c>
      <c r="Y141" s="413">
        <f t="shared" ca="1" si="14"/>
        <v>300401.08415999997</v>
      </c>
      <c r="Z141" s="413">
        <f ca="1">(P141+Q141+U141+V141+W141+X141+R141+S141)*$Z$14</f>
        <v>246865.24296</v>
      </c>
      <c r="AA141" s="413">
        <f t="shared" ca="1" si="15"/>
        <v>8776107.7591200005</v>
      </c>
      <c r="AB141" s="413">
        <f ca="1">V141*$AB$14</f>
        <v>105696.67776000001</v>
      </c>
      <c r="AC141" s="413">
        <f ca="1">AA141*K141</f>
        <v>0</v>
      </c>
      <c r="AD141" s="413">
        <f ca="1">AB141*K141</f>
        <v>0</v>
      </c>
    </row>
    <row r="142" spans="2:30" s="168" customFormat="1" ht="30.75" hidden="1" customHeight="1">
      <c r="B142" s="329"/>
      <c r="C142" s="361">
        <v>3.9</v>
      </c>
      <c r="D142" s="488" t="s">
        <v>4937</v>
      </c>
      <c r="E142" s="489"/>
      <c r="F142" s="489"/>
      <c r="G142" s="489"/>
      <c r="H142" s="489"/>
      <c r="I142" s="490"/>
      <c r="J142" s="361" t="s">
        <v>4128</v>
      </c>
      <c r="K142" s="363"/>
      <c r="L142" s="333">
        <f t="shared" ca="1" si="9"/>
        <v>6344104.4637899995</v>
      </c>
      <c r="M142" s="334">
        <f t="shared" ca="1" si="37"/>
        <v>0</v>
      </c>
      <c r="N142" s="335"/>
      <c r="O142" s="181"/>
      <c r="P142" s="413">
        <f ca="1">IF(IFERROR(VLOOKUP(C142,APU!H:N,4,0),0),VLOOKUP(C142,APU!H:N,4,0),0)*500</f>
        <v>3073056</v>
      </c>
      <c r="Q142" s="413">
        <f ca="1">IF(IFERROR(VLOOKUP(C142,APU!H:N,5,0),0),VLOOKUP(C142,APU!H:N,5,0),0)*500</f>
        <v>1492937.6</v>
      </c>
      <c r="R142" s="413">
        <f ca="1">IF(IFERROR(VLOOKUP(C142,APU!H:N,6,0),0),VLOOKUP(C142,APU!H:N,6,0),0)*500</f>
        <v>58639.5</v>
      </c>
      <c r="S142" s="413">
        <f ca="1">IF(IFERROR(VLOOKUP(C142,APU!H:N,7,0),0),VLOOKUP(C142,APU!H:N,7,0),0)*500</f>
        <v>400000</v>
      </c>
      <c r="T142" s="179"/>
      <c r="U142" s="413">
        <f t="shared" ca="1" si="10"/>
        <v>401970.64799999999</v>
      </c>
      <c r="V142" s="413">
        <f t="shared" ca="1" si="11"/>
        <v>401970.64799999999</v>
      </c>
      <c r="W142" s="413">
        <f t="shared" ca="1" si="12"/>
        <v>19515.771000000001</v>
      </c>
      <c r="X142" s="413">
        <f t="shared" ca="1" si="13"/>
        <v>100492.662</v>
      </c>
      <c r="Y142" s="413">
        <f t="shared" ca="1" si="14"/>
        <v>217064.14992</v>
      </c>
      <c r="Z142" s="413">
        <f ca="1">(P142+Q142+U142+V142+W142+X142+R142+S142)*$Z$14</f>
        <v>178457.48486999996</v>
      </c>
      <c r="AA142" s="413">
        <f t="shared" ca="1" si="15"/>
        <v>6344104.4637899995</v>
      </c>
      <c r="AB142" s="413">
        <f ca="1">V142*$AB$14</f>
        <v>76374.423119999992</v>
      </c>
      <c r="AC142" s="413">
        <f ca="1">AA142*K142</f>
        <v>0</v>
      </c>
      <c r="AD142" s="413">
        <f ca="1">AB142*K142</f>
        <v>0</v>
      </c>
    </row>
    <row r="143" spans="2:30" s="168" customFormat="1" ht="30.75" hidden="1" customHeight="1">
      <c r="B143" s="329"/>
      <c r="C143" s="361" t="s">
        <v>4696</v>
      </c>
      <c r="D143" s="488" t="s">
        <v>4938</v>
      </c>
      <c r="E143" s="489"/>
      <c r="F143" s="489"/>
      <c r="G143" s="489"/>
      <c r="H143" s="489"/>
      <c r="I143" s="490"/>
      <c r="J143" s="361" t="s">
        <v>4128</v>
      </c>
      <c r="K143" s="363"/>
      <c r="L143" s="333">
        <f t="shared" ca="1" si="9"/>
        <v>5981053.7421900006</v>
      </c>
      <c r="M143" s="334">
        <f t="shared" ca="1" si="37"/>
        <v>0</v>
      </c>
      <c r="N143" s="335"/>
      <c r="O143" s="181"/>
      <c r="P143" s="413">
        <f ca="1">IF(IFERROR(VLOOKUP(C143,APU!H:N,4,0),0),VLOOKUP(C143,APU!H:N,4,0),0)*500</f>
        <v>2784600</v>
      </c>
      <c r="Q143" s="413">
        <f ca="1">IF(IFERROR(VLOOKUP(C143,APU!H:N,5,0),0),VLOOKUP(C143,APU!H:N,5,0),0)*500</f>
        <v>1492937.6</v>
      </c>
      <c r="R143" s="413">
        <f ca="1">IF(IFERROR(VLOOKUP(C143,APU!H:N,6,0),0),VLOOKUP(C143,APU!H:N,6,0),0)*500</f>
        <v>58639.5</v>
      </c>
      <c r="S143" s="413">
        <f ca="1">IF(IFERROR(VLOOKUP(C143,APU!H:N,7,0),0),VLOOKUP(C143,APU!H:N,7,0),0)*500</f>
        <v>400000</v>
      </c>
      <c r="T143" s="179"/>
      <c r="U143" s="413">
        <f t="shared" ca="1" si="10"/>
        <v>378894.16800000001</v>
      </c>
      <c r="V143" s="413">
        <f t="shared" ca="1" si="11"/>
        <v>378894.16800000001</v>
      </c>
      <c r="W143" s="413">
        <f t="shared" ca="1" si="12"/>
        <v>19515.771000000001</v>
      </c>
      <c r="X143" s="413">
        <f t="shared" ca="1" si="13"/>
        <v>94723.542000000001</v>
      </c>
      <c r="Y143" s="413">
        <f t="shared" ca="1" si="14"/>
        <v>204602.85072000002</v>
      </c>
      <c r="Z143" s="413">
        <f ca="1">(P143+Q143+U143+V143+W143+X143+R143+S143)*$Z$14</f>
        <v>168246.14246999996</v>
      </c>
      <c r="AA143" s="413">
        <f t="shared" ca="1" si="15"/>
        <v>5981053.7421900006</v>
      </c>
      <c r="AB143" s="413">
        <f ca="1">V143*$AB$14</f>
        <v>71989.891919999995</v>
      </c>
      <c r="AC143" s="413">
        <f ca="1">AA143*K143</f>
        <v>0</v>
      </c>
      <c r="AD143" s="413">
        <f ca="1">AB143*K143</f>
        <v>0</v>
      </c>
    </row>
    <row r="144" spans="2:30" s="168" customFormat="1" ht="30.75" hidden="1" customHeight="1">
      <c r="B144" s="329"/>
      <c r="C144" s="361">
        <v>3.11</v>
      </c>
      <c r="D144" s="488" t="s">
        <v>4939</v>
      </c>
      <c r="E144" s="489"/>
      <c r="F144" s="489"/>
      <c r="G144" s="489"/>
      <c r="H144" s="489"/>
      <c r="I144" s="490"/>
      <c r="J144" s="361" t="s">
        <v>4128</v>
      </c>
      <c r="K144" s="363"/>
      <c r="L144" s="333">
        <f t="shared" ca="1" si="9"/>
        <v>19150012.53672</v>
      </c>
      <c r="M144" s="334">
        <f t="shared" ca="1" si="37"/>
        <v>0</v>
      </c>
      <c r="N144" s="335"/>
      <c r="O144" s="181"/>
      <c r="P144" s="413">
        <f ca="1">IF(IFERROR(VLOOKUP(C144,APU!H:N,4,0),0),VLOOKUP(C144,APU!H:N,4,0),0)*500</f>
        <v>12852000</v>
      </c>
      <c r="Q144" s="413">
        <f ca="1">IF(IFERROR(VLOOKUP(C144,APU!H:N,5,0),0),VLOOKUP(C144,APU!H:N,5,0),0)*500</f>
        <v>1870668.7999999998</v>
      </c>
      <c r="R144" s="413">
        <f ca="1">IF(IFERROR(VLOOKUP(C144,APU!H:N,6,0),0),VLOOKUP(C144,APU!H:N,6,0),0)*500</f>
        <v>73476</v>
      </c>
      <c r="S144" s="413">
        <f ca="1">IF(IFERROR(VLOOKUP(C144,APU!H:N,7,0),0),VLOOKUP(C144,APU!H:N,7,0),0)*500</f>
        <v>400000</v>
      </c>
      <c r="T144" s="179"/>
      <c r="U144" s="413">
        <f t="shared" ca="1" si="10"/>
        <v>1215691.584</v>
      </c>
      <c r="V144" s="413">
        <f t="shared" ca="1" si="11"/>
        <v>1215691.584</v>
      </c>
      <c r="W144" s="413">
        <f t="shared" ca="1" si="12"/>
        <v>23441.448</v>
      </c>
      <c r="X144" s="413">
        <f t="shared" ca="1" si="13"/>
        <v>303922.89600000001</v>
      </c>
      <c r="Y144" s="413">
        <f t="shared" ca="1" si="14"/>
        <v>656473.45536000002</v>
      </c>
      <c r="Z144" s="413">
        <f ca="1">(P144+Q144+U144+V144+W144+X144+R144+S144)*$Z$14</f>
        <v>538646.76936000003</v>
      </c>
      <c r="AA144" s="413">
        <f t="shared" ca="1" si="15"/>
        <v>19150012.53672</v>
      </c>
      <c r="AB144" s="413">
        <f ca="1">V144*$AB$14</f>
        <v>230981.40096</v>
      </c>
      <c r="AC144" s="413">
        <f ca="1">AA144*K144</f>
        <v>0</v>
      </c>
      <c r="AD144" s="413">
        <f ca="1">AB144*K144</f>
        <v>0</v>
      </c>
    </row>
    <row r="145" spans="2:30" s="168" customFormat="1" ht="30.75" hidden="1" customHeight="1">
      <c r="B145" s="329"/>
      <c r="C145" s="361">
        <v>3.12</v>
      </c>
      <c r="D145" s="488" t="s">
        <v>4940</v>
      </c>
      <c r="E145" s="489"/>
      <c r="F145" s="489"/>
      <c r="G145" s="489"/>
      <c r="H145" s="489"/>
      <c r="I145" s="490"/>
      <c r="J145" s="361" t="s">
        <v>4128</v>
      </c>
      <c r="K145" s="363"/>
      <c r="L145" s="333">
        <f t="shared" ca="1" si="9"/>
        <v>10612928.736719999</v>
      </c>
      <c r="M145" s="334">
        <f t="shared" ca="1" si="37"/>
        <v>0</v>
      </c>
      <c r="N145" s="335"/>
      <c r="O145" s="181"/>
      <c r="P145" s="413">
        <f ca="1">IF(IFERROR(VLOOKUP(C145,APU!H:N,4,0),0),VLOOKUP(C145,APU!H:N,4,0),0)*500</f>
        <v>6069000</v>
      </c>
      <c r="Q145" s="413">
        <f ca="1">IF(IFERROR(VLOOKUP(C145,APU!H:N,5,0),0),VLOOKUP(C145,APU!H:N,5,0),0)*500</f>
        <v>1870668.7999999998</v>
      </c>
      <c r="R145" s="413">
        <f ca="1">IF(IFERROR(VLOOKUP(C145,APU!H:N,6,0),0),VLOOKUP(C145,APU!H:N,6,0),0)*500</f>
        <v>73476</v>
      </c>
      <c r="S145" s="413">
        <f ca="1">IF(IFERROR(VLOOKUP(C145,APU!H:N,7,0),0),VLOOKUP(C145,APU!H:N,7,0),0)*500</f>
        <v>400000</v>
      </c>
      <c r="T145" s="179"/>
      <c r="U145" s="413">
        <f t="shared" ca="1" si="10"/>
        <v>673051.58400000003</v>
      </c>
      <c r="V145" s="413">
        <f t="shared" ca="1" si="11"/>
        <v>673051.58400000003</v>
      </c>
      <c r="W145" s="413">
        <f t="shared" ca="1" si="12"/>
        <v>23441.448</v>
      </c>
      <c r="X145" s="413">
        <f t="shared" ca="1" si="13"/>
        <v>168262.89600000001</v>
      </c>
      <c r="Y145" s="413">
        <f t="shared" ca="1" si="14"/>
        <v>363447.85535999999</v>
      </c>
      <c r="Z145" s="413">
        <f ca="1">(P145+Q145+U145+V145+W145+X145+R145+S145)*$Z$14</f>
        <v>298528.56936000002</v>
      </c>
      <c r="AA145" s="413">
        <f t="shared" ca="1" si="15"/>
        <v>10612928.736719999</v>
      </c>
      <c r="AB145" s="413">
        <f ca="1">V145*$AB$14</f>
        <v>127879.80096000001</v>
      </c>
      <c r="AC145" s="413">
        <f ca="1">AA145*K145</f>
        <v>0</v>
      </c>
      <c r="AD145" s="413">
        <f ca="1">AB145*K145</f>
        <v>0</v>
      </c>
    </row>
    <row r="146" spans="2:30" s="168" customFormat="1" ht="30.75" hidden="1" customHeight="1">
      <c r="B146" s="329"/>
      <c r="C146" s="361">
        <v>3.13</v>
      </c>
      <c r="D146" s="488" t="s">
        <v>4941</v>
      </c>
      <c r="E146" s="489"/>
      <c r="F146" s="489"/>
      <c r="G146" s="489"/>
      <c r="H146" s="489"/>
      <c r="I146" s="490"/>
      <c r="J146" s="361" t="s">
        <v>4128</v>
      </c>
      <c r="K146" s="363"/>
      <c r="L146" s="333">
        <f t="shared" ca="1" si="9"/>
        <v>11331841.056720002</v>
      </c>
      <c r="M146" s="334">
        <f t="shared" ca="1" si="37"/>
        <v>0</v>
      </c>
      <c r="N146" s="335"/>
      <c r="O146" s="181"/>
      <c r="P146" s="413">
        <f ca="1">IF(IFERROR(VLOOKUP(C146,APU!H:N,4,0),0),VLOOKUP(C146,APU!H:N,4,0),0)*500</f>
        <v>6640200.0000000009</v>
      </c>
      <c r="Q146" s="413">
        <f ca="1">IF(IFERROR(VLOOKUP(C146,APU!H:N,5,0),0),VLOOKUP(C146,APU!H:N,5,0),0)*500</f>
        <v>1870668.7999999998</v>
      </c>
      <c r="R146" s="413">
        <f ca="1">IF(IFERROR(VLOOKUP(C146,APU!H:N,6,0),0),VLOOKUP(C146,APU!H:N,6,0),0)*500</f>
        <v>73476</v>
      </c>
      <c r="S146" s="413">
        <f ca="1">IF(IFERROR(VLOOKUP(C146,APU!H:N,7,0),0),VLOOKUP(C146,APU!H:N,7,0),0)*500</f>
        <v>400000</v>
      </c>
      <c r="T146" s="179"/>
      <c r="U146" s="413">
        <f t="shared" ca="1" si="10"/>
        <v>718747.58400000003</v>
      </c>
      <c r="V146" s="413">
        <f t="shared" ca="1" si="11"/>
        <v>718747.58400000003</v>
      </c>
      <c r="W146" s="413">
        <f t="shared" ca="1" si="12"/>
        <v>23441.448</v>
      </c>
      <c r="X146" s="413">
        <f t="shared" ca="1" si="13"/>
        <v>179686.89600000001</v>
      </c>
      <c r="Y146" s="413">
        <f t="shared" ref="Y146:Y209" ca="1" si="38">(S146+P146+T146+U146+Q146+R146)*$Y$14</f>
        <v>388123.69536000001</v>
      </c>
      <c r="Z146" s="413">
        <f ca="1">(P146+Q146+U146+V146+W146+X146+R146+S146)*$Z$14</f>
        <v>318749.04936000006</v>
      </c>
      <c r="AA146" s="413">
        <f t="shared" ref="AA146:AA209" ca="1" si="39">R146+S146+U146+V146+W146+X146+Z146+Q146+P146+Y146</f>
        <v>11331841.056720002</v>
      </c>
      <c r="AB146" s="413">
        <f ca="1">V146*$AB$14</f>
        <v>136562.04096000001</v>
      </c>
      <c r="AC146" s="413">
        <f ca="1">AA146*K146</f>
        <v>0</v>
      </c>
      <c r="AD146" s="413">
        <f ca="1">AB146*K146</f>
        <v>0</v>
      </c>
    </row>
    <row r="147" spans="2:30" s="168" customFormat="1" ht="30.75" hidden="1" customHeight="1">
      <c r="B147" s="329"/>
      <c r="C147" s="361">
        <v>3.14</v>
      </c>
      <c r="D147" s="488" t="s">
        <v>4942</v>
      </c>
      <c r="E147" s="489"/>
      <c r="F147" s="489"/>
      <c r="G147" s="489"/>
      <c r="H147" s="489"/>
      <c r="I147" s="490"/>
      <c r="J147" s="361" t="s">
        <v>4128</v>
      </c>
      <c r="K147" s="363"/>
      <c r="L147" s="333">
        <f t="shared" ca="1" si="9"/>
        <v>29211049.56002</v>
      </c>
      <c r="M147" s="334">
        <f t="shared" ca="1" si="37"/>
        <v>0</v>
      </c>
      <c r="N147" s="335"/>
      <c r="O147" s="181"/>
      <c r="P147" s="413">
        <f ca="1">IF(IFERROR(VLOOKUP(C147,APU!H:N,4,0),0),VLOOKUP(C147,APU!H:N,4,0),0)*500</f>
        <v>20706000</v>
      </c>
      <c r="Q147" s="413">
        <f ca="1">IF(IFERROR(VLOOKUP(C147,APU!H:N,5,0),0),VLOOKUP(C147,APU!H:N,5,0),0)*500</f>
        <v>1870668.7999999998</v>
      </c>
      <c r="R147" s="413">
        <f ca="1">IF(IFERROR(VLOOKUP(C147,APU!H:N,6,0),0),VLOOKUP(C147,APU!H:N,6,0),0)*500</f>
        <v>212173</v>
      </c>
      <c r="S147" s="413">
        <f ca="1">IF(IFERROR(VLOOKUP(C147,APU!H:N,7,0),0),VLOOKUP(C147,APU!H:N,7,0),0)*500</f>
        <v>400000</v>
      </c>
      <c r="T147" s="179"/>
      <c r="U147" s="413">
        <f t="shared" ca="1" si="10"/>
        <v>1855107.344</v>
      </c>
      <c r="V147" s="413">
        <f t="shared" ca="1" si="11"/>
        <v>1855107.344</v>
      </c>
      <c r="W147" s="413">
        <f t="shared" ca="1" si="12"/>
        <v>24828.417999999998</v>
      </c>
      <c r="X147" s="413">
        <f t="shared" ca="1" si="13"/>
        <v>463776.83600000001</v>
      </c>
      <c r="Y147" s="413">
        <f t="shared" ca="1" si="38"/>
        <v>1001757.9657600001</v>
      </c>
      <c r="Z147" s="413">
        <f ca="1">(P147+Q147+U147+V147+W147+X147+R147+S147)*$Z$14</f>
        <v>821629.85226000007</v>
      </c>
      <c r="AA147" s="413">
        <f t="shared" ca="1" si="39"/>
        <v>29211049.56002</v>
      </c>
      <c r="AB147" s="413">
        <f ca="1">V147*$AB$14</f>
        <v>352470.39536000002</v>
      </c>
      <c r="AC147" s="413">
        <f ca="1">AA147*K147</f>
        <v>0</v>
      </c>
      <c r="AD147" s="413">
        <f ca="1">AB147*K147</f>
        <v>0</v>
      </c>
    </row>
    <row r="148" spans="2:30" s="168" customFormat="1" ht="30.75" hidden="1" customHeight="1">
      <c r="B148" s="329"/>
      <c r="C148" s="361">
        <v>3.15</v>
      </c>
      <c r="D148" s="488" t="s">
        <v>4943</v>
      </c>
      <c r="E148" s="489"/>
      <c r="F148" s="489"/>
      <c r="G148" s="489"/>
      <c r="H148" s="489"/>
      <c r="I148" s="490"/>
      <c r="J148" s="361" t="s">
        <v>4128</v>
      </c>
      <c r="K148" s="363"/>
      <c r="L148" s="333">
        <f t="shared" ca="1" si="9"/>
        <v>16558712.555247501</v>
      </c>
      <c r="M148" s="334">
        <f t="shared" ca="1" si="37"/>
        <v>0</v>
      </c>
      <c r="N148" s="335"/>
      <c r="O148" s="181"/>
      <c r="P148" s="413">
        <f ca="1">IF(IFERROR(VLOOKUP(C148,APU!H:N,4,0),0),VLOOKUP(C148,APU!H:N,4,0),0)*500</f>
        <v>9381246</v>
      </c>
      <c r="Q148" s="413">
        <f ca="1">IF(IFERROR(VLOOKUP(C148,APU!H:N,5,0),0),VLOOKUP(C148,APU!H:N,5,0),0)*500</f>
        <v>3003862.4</v>
      </c>
      <c r="R148" s="413">
        <f ca="1">IF(IFERROR(VLOOKUP(C148,APU!H:N,6,0),0),VLOOKUP(C148,APU!H:N,6,0),0)*500</f>
        <v>340700.875</v>
      </c>
      <c r="S148" s="413">
        <f ca="1">IF(IFERROR(VLOOKUP(C148,APU!H:N,7,0),0),VLOOKUP(C148,APU!H:N,7,0),0)*500</f>
        <v>400000</v>
      </c>
      <c r="T148" s="179"/>
      <c r="U148" s="413">
        <f t="shared" ca="1" si="10"/>
        <v>1050064.7420000001</v>
      </c>
      <c r="V148" s="413">
        <f t="shared" ca="1" si="11"/>
        <v>1050064.7420000001</v>
      </c>
      <c r="W148" s="413">
        <f t="shared" ca="1" si="12"/>
        <v>37445.632749999997</v>
      </c>
      <c r="X148" s="413">
        <f t="shared" ca="1" si="13"/>
        <v>262516.18550000002</v>
      </c>
      <c r="Y148" s="413">
        <f t="shared" ca="1" si="38"/>
        <v>567034.96068000002</v>
      </c>
      <c r="Z148" s="413">
        <f ca="1">(P148+Q148+U148+V148+W148+X148+R148+S148)*$Z$14</f>
        <v>465777.01731750002</v>
      </c>
      <c r="AA148" s="413">
        <f t="shared" ca="1" si="39"/>
        <v>16558712.555247501</v>
      </c>
      <c r="AB148" s="413">
        <f ca="1">V148*$AB$14</f>
        <v>199512.30098000003</v>
      </c>
      <c r="AC148" s="413">
        <f ca="1">AA148*K148</f>
        <v>0</v>
      </c>
      <c r="AD148" s="413">
        <f ca="1">AB148*K148</f>
        <v>0</v>
      </c>
    </row>
    <row r="149" spans="2:30" s="168" customFormat="1" ht="30.75" hidden="1" customHeight="1">
      <c r="B149" s="329"/>
      <c r="C149" s="361">
        <v>3.16</v>
      </c>
      <c r="D149" s="488" t="s">
        <v>4944</v>
      </c>
      <c r="E149" s="489"/>
      <c r="F149" s="489"/>
      <c r="G149" s="489"/>
      <c r="H149" s="489"/>
      <c r="I149" s="490"/>
      <c r="J149" s="361" t="s">
        <v>4128</v>
      </c>
      <c r="K149" s="363"/>
      <c r="L149" s="333">
        <f t="shared" ca="1" si="9"/>
        <v>7570027.3983779997</v>
      </c>
      <c r="M149" s="334">
        <f t="shared" ca="1" si="37"/>
        <v>0</v>
      </c>
      <c r="N149" s="335"/>
      <c r="O149" s="181"/>
      <c r="P149" s="413">
        <f ca="1">IF(IFERROR(VLOOKUP(C149,APU!H:N,4,0),0),VLOOKUP(C149,APU!H:N,4,0),0)*500</f>
        <v>1980043.38</v>
      </c>
      <c r="Q149" s="413">
        <f ca="1">IF(IFERROR(VLOOKUP(C149,APU!H:N,5,0),0),VLOOKUP(C149,APU!H:N,5,0),0)*500</f>
        <v>3003862.4</v>
      </c>
      <c r="R149" s="413">
        <f ca="1">IF(IFERROR(VLOOKUP(C149,APU!H:N,6,0),0),VLOOKUP(C149,APU!H:N,6,0),0)*500</f>
        <v>597985.5</v>
      </c>
      <c r="S149" s="413">
        <f ca="1">IF(IFERROR(VLOOKUP(C149,APU!H:N,7,0),0),VLOOKUP(C149,APU!H:N,7,0),0)*500</f>
        <v>400000</v>
      </c>
      <c r="T149" s="179"/>
      <c r="U149" s="413">
        <f t="shared" ca="1" si="10"/>
        <v>478551.30239999993</v>
      </c>
      <c r="V149" s="413">
        <f t="shared" ca="1" si="11"/>
        <v>478551.30239999993</v>
      </c>
      <c r="W149" s="413">
        <f t="shared" ca="1" si="12"/>
        <v>40018.478999999999</v>
      </c>
      <c r="X149" s="413">
        <f t="shared" ca="1" si="13"/>
        <v>119637.82559999998</v>
      </c>
      <c r="Y149" s="413">
        <f t="shared" ca="1" si="38"/>
        <v>258417.70329599999</v>
      </c>
      <c r="Z149" s="413">
        <f ca="1">(P149+Q149+U149+V149+W149+X149+R149+S149)*$Z$14</f>
        <v>212959.50568200002</v>
      </c>
      <c r="AA149" s="413">
        <f t="shared" ca="1" si="39"/>
        <v>7570027.3983779997</v>
      </c>
      <c r="AB149" s="413">
        <f ca="1">V149*$AB$14</f>
        <v>90924.747455999983</v>
      </c>
      <c r="AC149" s="413">
        <f ca="1">AA149*K149</f>
        <v>0</v>
      </c>
      <c r="AD149" s="413">
        <f ca="1">AB149*K149</f>
        <v>0</v>
      </c>
    </row>
    <row r="150" spans="2:30" s="168" customFormat="1" ht="30.75" hidden="1" customHeight="1">
      <c r="B150" s="329"/>
      <c r="C150" s="361">
        <v>3.17</v>
      </c>
      <c r="D150" s="488" t="s">
        <v>4945</v>
      </c>
      <c r="E150" s="489"/>
      <c r="F150" s="489"/>
      <c r="G150" s="489"/>
      <c r="H150" s="489"/>
      <c r="I150" s="490"/>
      <c r="J150" s="361" t="s">
        <v>4128</v>
      </c>
      <c r="K150" s="363"/>
      <c r="L150" s="333">
        <f t="shared" ca="1" si="9"/>
        <v>3865796.3835899998</v>
      </c>
      <c r="M150" s="334">
        <f t="shared" ca="1" si="37"/>
        <v>0</v>
      </c>
      <c r="N150" s="335"/>
      <c r="O150" s="181"/>
      <c r="P150" s="413">
        <f ca="1">IF(IFERROR(VLOOKUP(C150,APU!H:N,4,0),0),VLOOKUP(C150,APU!H:N,4,0),0)*500</f>
        <v>1642200</v>
      </c>
      <c r="Q150" s="413">
        <f ca="1">IF(IFERROR(VLOOKUP(C150,APU!H:N,5,0),0),VLOOKUP(C150,APU!H:N,5,0),0)*500</f>
        <v>1133193.5999999999</v>
      </c>
      <c r="R150" s="413">
        <f ca="1">IF(IFERROR(VLOOKUP(C150,APU!H:N,6,0),0),VLOOKUP(C150,APU!H:N,6,0),0)*500</f>
        <v>44509.5</v>
      </c>
      <c r="S150" s="413">
        <f ca="1">IF(IFERROR(VLOOKUP(C150,APU!H:N,7,0),0),VLOOKUP(C150,APU!H:N,7,0),0)*500</f>
        <v>240000</v>
      </c>
      <c r="T150" s="179"/>
      <c r="U150" s="413">
        <f t="shared" ca="1" si="10"/>
        <v>244792.24799999996</v>
      </c>
      <c r="V150" s="413">
        <f t="shared" ca="1" si="11"/>
        <v>244792.24799999996</v>
      </c>
      <c r="W150" s="413">
        <f t="shared" ca="1" si="12"/>
        <v>14177.030999999999</v>
      </c>
      <c r="X150" s="413">
        <f t="shared" ca="1" si="13"/>
        <v>61198.061999999991</v>
      </c>
      <c r="Y150" s="413">
        <f t="shared" ca="1" si="38"/>
        <v>132187.81392000002</v>
      </c>
      <c r="Z150" s="413">
        <f ca="1">(P150+Q150+U150+V150+W150+X150+R150+S150)*$Z$14</f>
        <v>108745.88066999998</v>
      </c>
      <c r="AA150" s="413">
        <f t="shared" ca="1" si="39"/>
        <v>3865796.3835899998</v>
      </c>
      <c r="AB150" s="413">
        <f ca="1">V150*$AB$14</f>
        <v>46510.527119999992</v>
      </c>
      <c r="AC150" s="413">
        <f ca="1">AA150*K150</f>
        <v>0</v>
      </c>
      <c r="AD150" s="413">
        <f ca="1">AB150*K150</f>
        <v>0</v>
      </c>
    </row>
    <row r="151" spans="2:30" s="168" customFormat="1" ht="30.75" hidden="1" customHeight="1">
      <c r="B151" s="329"/>
      <c r="C151" s="361">
        <v>3.18</v>
      </c>
      <c r="D151" s="488" t="s">
        <v>4946</v>
      </c>
      <c r="E151" s="489"/>
      <c r="F151" s="489"/>
      <c r="G151" s="489"/>
      <c r="H151" s="489"/>
      <c r="I151" s="490"/>
      <c r="J151" s="361" t="s">
        <v>4128</v>
      </c>
      <c r="K151" s="363"/>
      <c r="L151" s="333">
        <f t="shared" ca="1" si="9"/>
        <v>3596204.2635899996</v>
      </c>
      <c r="M151" s="334">
        <f t="shared" ca="1" si="37"/>
        <v>0</v>
      </c>
      <c r="N151" s="335"/>
      <c r="O151" s="181"/>
      <c r="P151" s="413">
        <f ca="1">IF(IFERROR(VLOOKUP(C151,APU!H:N,4,0),0),VLOOKUP(C151,APU!H:N,4,0),0)*500</f>
        <v>1428000</v>
      </c>
      <c r="Q151" s="413">
        <f ca="1">IF(IFERROR(VLOOKUP(C151,APU!H:N,5,0),0),VLOOKUP(C151,APU!H:N,5,0),0)*500</f>
        <v>1133193.5999999999</v>
      </c>
      <c r="R151" s="413">
        <f ca="1">IF(IFERROR(VLOOKUP(C151,APU!H:N,6,0),0),VLOOKUP(C151,APU!H:N,6,0),0)*500</f>
        <v>44509.5</v>
      </c>
      <c r="S151" s="413">
        <f ca="1">IF(IFERROR(VLOOKUP(C151,APU!H:N,7,0),0),VLOOKUP(C151,APU!H:N,7,0),0)*500</f>
        <v>240000</v>
      </c>
      <c r="T151" s="179"/>
      <c r="U151" s="413">
        <f t="shared" ca="1" si="10"/>
        <v>227656.24799999996</v>
      </c>
      <c r="V151" s="413">
        <f t="shared" ca="1" si="11"/>
        <v>227656.24799999996</v>
      </c>
      <c r="W151" s="413">
        <f t="shared" ca="1" si="12"/>
        <v>14177.030999999999</v>
      </c>
      <c r="X151" s="413">
        <f t="shared" ca="1" si="13"/>
        <v>56914.061999999991</v>
      </c>
      <c r="Y151" s="413">
        <f t="shared" ca="1" si="38"/>
        <v>122934.37392</v>
      </c>
      <c r="Z151" s="413">
        <f ca="1">(P151+Q151+U151+V151+W151+X151+R151+S151)*$Z$14</f>
        <v>101163.20066999999</v>
      </c>
      <c r="AA151" s="413">
        <f t="shared" ca="1" si="39"/>
        <v>3596204.2635899996</v>
      </c>
      <c r="AB151" s="413">
        <f ca="1">V151*$AB$14</f>
        <v>43254.687119999995</v>
      </c>
      <c r="AC151" s="413">
        <f ca="1">AA151*K151</f>
        <v>0</v>
      </c>
      <c r="AD151" s="413">
        <f ca="1">AB151*K151</f>
        <v>0</v>
      </c>
    </row>
    <row r="152" spans="2:30" s="168" customFormat="1" ht="30.75" customHeight="1">
      <c r="B152" s="329"/>
      <c r="C152" s="361">
        <v>3.19</v>
      </c>
      <c r="D152" s="488" t="s">
        <v>4947</v>
      </c>
      <c r="E152" s="489" t="s">
        <v>4648</v>
      </c>
      <c r="F152" s="489" t="s">
        <v>4648</v>
      </c>
      <c r="G152" s="489" t="s">
        <v>4648</v>
      </c>
      <c r="H152" s="489" t="s">
        <v>4648</v>
      </c>
      <c r="I152" s="490" t="s">
        <v>4648</v>
      </c>
      <c r="J152" s="361" t="s">
        <v>4128</v>
      </c>
      <c r="K152" s="363">
        <v>1</v>
      </c>
      <c r="L152" s="333">
        <f t="shared" ca="1" si="9"/>
        <v>11241977.016720001</v>
      </c>
      <c r="M152" s="334">
        <f t="shared" ca="1" si="37"/>
        <v>11241977.016720001</v>
      </c>
      <c r="N152" s="335"/>
      <c r="O152" s="181"/>
      <c r="P152" s="413">
        <f ca="1">IF(IFERROR(VLOOKUP(C152,APU!H:N,4,0),0),VLOOKUP(C152,APU!H:N,4,0),0)*500</f>
        <v>6568800</v>
      </c>
      <c r="Q152" s="413">
        <f ca="1">IF(IFERROR(VLOOKUP(C152,APU!H:N,5,0),0),VLOOKUP(C152,APU!H:N,5,0),0)*500</f>
        <v>1870668.7999999998</v>
      </c>
      <c r="R152" s="413">
        <f ca="1">IF(IFERROR(VLOOKUP(C152,APU!H:N,6,0),0),VLOOKUP(C152,APU!H:N,6,0),0)*500</f>
        <v>73476</v>
      </c>
      <c r="S152" s="413">
        <f ca="1">IF(IFERROR(VLOOKUP(C152,APU!H:N,7,0),0),VLOOKUP(C152,APU!H:N,7,0),0)*500</f>
        <v>400000</v>
      </c>
      <c r="T152" s="179"/>
      <c r="U152" s="413">
        <f t="shared" ca="1" si="10"/>
        <v>713035.58400000003</v>
      </c>
      <c r="V152" s="413">
        <f t="shared" ca="1" si="11"/>
        <v>713035.58400000003</v>
      </c>
      <c r="W152" s="413">
        <f t="shared" ca="1" si="12"/>
        <v>23441.448</v>
      </c>
      <c r="X152" s="413">
        <f t="shared" ca="1" si="13"/>
        <v>178258.89600000001</v>
      </c>
      <c r="Y152" s="413">
        <f t="shared" ca="1" si="38"/>
        <v>385039.21535999997</v>
      </c>
      <c r="Z152" s="413">
        <f ca="1">(P152+Q152+U152+V152+W152+X152+R152+S152)*$Z$14</f>
        <v>316221.48936000007</v>
      </c>
      <c r="AA152" s="413">
        <f t="shared" ca="1" si="39"/>
        <v>11241977.016720001</v>
      </c>
      <c r="AB152" s="413">
        <f ca="1">V152*$AB$14</f>
        <v>135476.76096000001</v>
      </c>
      <c r="AC152" s="413">
        <f ca="1">AA152*K152</f>
        <v>11241977.016720001</v>
      </c>
      <c r="AD152" s="413">
        <f ca="1">AB152*K152</f>
        <v>135476.76096000001</v>
      </c>
    </row>
    <row r="153" spans="2:30" s="168" customFormat="1" ht="30.75" customHeight="1">
      <c r="B153" s="329"/>
      <c r="C153" s="361" t="s">
        <v>4784</v>
      </c>
      <c r="D153" s="488" t="s">
        <v>4948</v>
      </c>
      <c r="E153" s="489" t="s">
        <v>4648</v>
      </c>
      <c r="F153" s="489" t="s">
        <v>4648</v>
      </c>
      <c r="G153" s="489" t="s">
        <v>4648</v>
      </c>
      <c r="H153" s="489" t="s">
        <v>4648</v>
      </c>
      <c r="I153" s="490" t="s">
        <v>4648</v>
      </c>
      <c r="J153" s="361" t="s">
        <v>4128</v>
      </c>
      <c r="K153" s="363">
        <v>1</v>
      </c>
      <c r="L153" s="333">
        <f t="shared" ca="1" si="9"/>
        <v>10658428.403331498</v>
      </c>
      <c r="M153" s="334">
        <f t="shared" ca="1" si="37"/>
        <v>10658428.403331498</v>
      </c>
      <c r="N153" s="335"/>
      <c r="O153" s="181"/>
      <c r="P153" s="413">
        <f ca="1">IF(IFERROR(VLOOKUP(C153,APU!H:N,4,0),0),VLOOKUP(C153,APU!H:N,4,0),0)*500</f>
        <v>4693271.9399999985</v>
      </c>
      <c r="Q153" s="413">
        <f ca="1">IF(IFERROR(VLOOKUP(C153,APU!H:N,5,0),0),VLOOKUP(C153,APU!H:N,5,0),0)*500</f>
        <v>3003862.4</v>
      </c>
      <c r="R153" s="413">
        <f ca="1">IF(IFERROR(VLOOKUP(C153,APU!H:N,6,0),0),VLOOKUP(C153,APU!H:N,6,0),0)*500</f>
        <v>340700.875</v>
      </c>
      <c r="S153" s="413">
        <f ca="1">IF(IFERROR(VLOOKUP(C153,APU!H:N,7,0),0),VLOOKUP(C153,APU!H:N,7,0),0)*500</f>
        <v>400000</v>
      </c>
      <c r="T153" s="179"/>
      <c r="U153" s="413">
        <f t="shared" ca="1" si="10"/>
        <v>675026.81719999982</v>
      </c>
      <c r="V153" s="413">
        <f t="shared" ca="1" si="11"/>
        <v>675026.81719999982</v>
      </c>
      <c r="W153" s="413">
        <f t="shared" ca="1" si="12"/>
        <v>37445.632749999997</v>
      </c>
      <c r="X153" s="413">
        <f t="shared" ca="1" si="13"/>
        <v>168756.70429999995</v>
      </c>
      <c r="Y153" s="413">
        <f t="shared" ca="1" si="38"/>
        <v>364514.48128799989</v>
      </c>
      <c r="Z153" s="413">
        <f ca="1">(P153+Q153+U153+V153+W153+X153+R153+S153)*$Z$14</f>
        <v>299822.73559349991</v>
      </c>
      <c r="AA153" s="413">
        <f t="shared" ca="1" si="39"/>
        <v>10658428.403331498</v>
      </c>
      <c r="AB153" s="413">
        <f ca="1">V153*$AB$14</f>
        <v>128255.09526799996</v>
      </c>
      <c r="AC153" s="413">
        <f ca="1">AA153*K153</f>
        <v>10658428.403331498</v>
      </c>
      <c r="AD153" s="413">
        <f ca="1">AB153*K153</f>
        <v>128255.09526799996</v>
      </c>
    </row>
    <row r="154" spans="2:30" s="168" customFormat="1" ht="30.75" hidden="1" customHeight="1">
      <c r="B154" s="329"/>
      <c r="C154" s="361">
        <v>3.21</v>
      </c>
      <c r="D154" s="488" t="s">
        <v>4949</v>
      </c>
      <c r="E154" s="489" t="s">
        <v>4647</v>
      </c>
      <c r="F154" s="489" t="s">
        <v>4647</v>
      </c>
      <c r="G154" s="489" t="s">
        <v>4647</v>
      </c>
      <c r="H154" s="489" t="s">
        <v>4647</v>
      </c>
      <c r="I154" s="490" t="s">
        <v>4647</v>
      </c>
      <c r="J154" s="361" t="s">
        <v>4128</v>
      </c>
      <c r="K154" s="363"/>
      <c r="L154" s="333">
        <f t="shared" ca="1" si="9"/>
        <v>18677731.286075</v>
      </c>
      <c r="M154" s="334">
        <f t="shared" ca="1" si="37"/>
        <v>0</v>
      </c>
      <c r="N154" s="335"/>
      <c r="O154" s="181"/>
      <c r="P154" s="413">
        <f ca="1">IF(IFERROR(VLOOKUP(C154,APU!H:N,4,0),0),VLOOKUP(C154,APU!H:N,4,0),0)*500</f>
        <v>10237037.475000001</v>
      </c>
      <c r="Q154" s="413">
        <f ca="1">IF(IFERROR(VLOOKUP(C154,APU!H:N,5,0),0),VLOOKUP(C154,APU!H:N,5,0),0)*500</f>
        <v>3741337.5999999996</v>
      </c>
      <c r="R154" s="413">
        <f ca="1">IF(IFERROR(VLOOKUP(C154,APU!H:N,6,0),0),VLOOKUP(C154,APU!H:N,6,0),0)*500</f>
        <v>424346</v>
      </c>
      <c r="S154" s="413">
        <f ca="1">IF(IFERROR(VLOOKUP(C154,APU!H:N,7,0),0),VLOOKUP(C154,APU!H:N,7,0),0)*500</f>
        <v>400000</v>
      </c>
      <c r="T154" s="179"/>
      <c r="U154" s="413">
        <f t="shared" ca="1" si="10"/>
        <v>1184217.6860000002</v>
      </c>
      <c r="V154" s="413">
        <f t="shared" ca="1" si="11"/>
        <v>1184217.6860000002</v>
      </c>
      <c r="W154" s="413">
        <f t="shared" ca="1" si="12"/>
        <v>45656.835999999996</v>
      </c>
      <c r="X154" s="413">
        <f t="shared" ca="1" si="13"/>
        <v>296054.42150000005</v>
      </c>
      <c r="Y154" s="413">
        <f t="shared" ca="1" si="38"/>
        <v>639477.55044000014</v>
      </c>
      <c r="Z154" s="413">
        <f ca="1">(P154+Q154+U154+V154+W154+X154+R154+S154)*$Z$14</f>
        <v>525386.03113500006</v>
      </c>
      <c r="AA154" s="413">
        <f t="shared" ca="1" si="39"/>
        <v>18677731.286075</v>
      </c>
      <c r="AB154" s="413">
        <f ca="1">V154*$AB$14</f>
        <v>225001.36034000004</v>
      </c>
      <c r="AC154" s="413">
        <f ca="1">AA154*K154</f>
        <v>0</v>
      </c>
      <c r="AD154" s="413">
        <f ca="1">AB154*K154</f>
        <v>0</v>
      </c>
    </row>
    <row r="155" spans="2:30" s="168" customFormat="1" ht="30.75" hidden="1" customHeight="1">
      <c r="B155" s="329"/>
      <c r="C155" s="361">
        <v>3.22</v>
      </c>
      <c r="D155" s="488" t="s">
        <v>4950</v>
      </c>
      <c r="E155" s="489" t="s">
        <v>4648</v>
      </c>
      <c r="F155" s="489" t="s">
        <v>4648</v>
      </c>
      <c r="G155" s="489" t="s">
        <v>4648</v>
      </c>
      <c r="H155" s="489" t="s">
        <v>4648</v>
      </c>
      <c r="I155" s="490" t="s">
        <v>4648</v>
      </c>
      <c r="J155" s="361" t="s">
        <v>4128</v>
      </c>
      <c r="K155" s="363"/>
      <c r="L155" s="333">
        <f t="shared" ref="L155:L212" ca="1" si="40">AA155</f>
        <v>7483468.9653035002</v>
      </c>
      <c r="M155" s="334">
        <f t="shared" ca="1" si="37"/>
        <v>0</v>
      </c>
      <c r="N155" s="335"/>
      <c r="O155" s="181"/>
      <c r="P155" s="413">
        <f ca="1">IF(IFERROR(VLOOKUP(C155,APU!H:N,4,0),0),VLOOKUP(C155,APU!H:N,4,0),0)*500</f>
        <v>2170659.96</v>
      </c>
      <c r="Q155" s="413">
        <f ca="1">IF(IFERROR(VLOOKUP(C155,APU!H:N,5,0),0),VLOOKUP(C155,APU!H:N,5,0),0)*500</f>
        <v>3003862.4</v>
      </c>
      <c r="R155" s="413">
        <f ca="1">IF(IFERROR(VLOOKUP(C155,APU!H:N,6,0),0),VLOOKUP(C155,APU!H:N,6,0),0)*500</f>
        <v>340700.875</v>
      </c>
      <c r="S155" s="413">
        <f ca="1">IF(IFERROR(VLOOKUP(C155,APU!H:N,7,0),0),VLOOKUP(C155,APU!H:N,7,0),0)*500</f>
        <v>400000</v>
      </c>
      <c r="T155" s="179"/>
      <c r="U155" s="413">
        <f t="shared" ref="U155:U212" ca="1" si="41">(P155+Q155+R155+S155)*$U$14</f>
        <v>473217.85879999999</v>
      </c>
      <c r="V155" s="413">
        <f t="shared" ref="V155:V212" ca="1" si="42">(P155+Q155+R155+S155)*$V$14</f>
        <v>473217.85879999999</v>
      </c>
      <c r="W155" s="413">
        <f t="shared" ref="W155:W212" ca="1" si="43">(Q155+R155+S155)*$W$14</f>
        <v>37445.632749999997</v>
      </c>
      <c r="X155" s="413">
        <f t="shared" ref="X155:X212" ca="1" si="44">(P155+Q155+R155+S155)*$X$14</f>
        <v>118304.4647</v>
      </c>
      <c r="Y155" s="413">
        <f t="shared" ca="1" si="38"/>
        <v>255537.643752</v>
      </c>
      <c r="Z155" s="413">
        <f ca="1">(P155+Q155+U155+V155+W155+X155+R155+S155)*$Z$14</f>
        <v>210522.27150149996</v>
      </c>
      <c r="AA155" s="413">
        <f t="shared" ca="1" si="39"/>
        <v>7483468.9653035002</v>
      </c>
      <c r="AB155" s="413">
        <f ca="1">V155*$AB$14</f>
        <v>89911.393171999996</v>
      </c>
      <c r="AC155" s="413">
        <f ca="1">AA155*K155</f>
        <v>0</v>
      </c>
      <c r="AD155" s="413">
        <f ca="1">AB155*K155</f>
        <v>0</v>
      </c>
    </row>
    <row r="156" spans="2:30" s="168" customFormat="1" ht="30.75" hidden="1" customHeight="1">
      <c r="B156" s="329"/>
      <c r="C156" s="361">
        <v>3.23</v>
      </c>
      <c r="D156" s="488" t="s">
        <v>4951</v>
      </c>
      <c r="E156" s="489"/>
      <c r="F156" s="489"/>
      <c r="G156" s="489"/>
      <c r="H156" s="489"/>
      <c r="I156" s="490"/>
      <c r="J156" s="361" t="s">
        <v>4128</v>
      </c>
      <c r="K156" s="363"/>
      <c r="L156" s="333">
        <f t="shared" ca="1" si="40"/>
        <v>8907294.6334774997</v>
      </c>
      <c r="M156" s="334">
        <f t="shared" ca="1" si="37"/>
        <v>0</v>
      </c>
      <c r="N156" s="335"/>
      <c r="O156" s="181"/>
      <c r="P156" s="413">
        <f ca="1">IF(IFERROR(VLOOKUP(C156,APU!H:N,4,0),0),VLOOKUP(C156,APU!H:N,4,0),0)*500</f>
        <v>4998000</v>
      </c>
      <c r="Q156" s="413">
        <f ca="1">IF(IFERROR(VLOOKUP(C156,APU!H:N,5,0),0),VLOOKUP(C156,APU!H:N,5,0),0)*500</f>
        <v>1492937.6</v>
      </c>
      <c r="R156" s="413">
        <f ca="1">IF(IFERROR(VLOOKUP(C156,APU!H:N,6,0),0),VLOOKUP(C156,APU!H:N,6,0),0)*500</f>
        <v>169330.375</v>
      </c>
      <c r="S156" s="413">
        <f ca="1">IF(IFERROR(VLOOKUP(C156,APU!H:N,7,0),0),VLOOKUP(C156,APU!H:N,7,0),0)*500</f>
        <v>400000</v>
      </c>
      <c r="T156" s="179"/>
      <c r="U156" s="413">
        <f t="shared" ca="1" si="41"/>
        <v>564821.43799999997</v>
      </c>
      <c r="V156" s="413">
        <f t="shared" ca="1" si="42"/>
        <v>564821.43799999997</v>
      </c>
      <c r="W156" s="413">
        <f t="shared" ca="1" si="43"/>
        <v>20622.679750000003</v>
      </c>
      <c r="X156" s="413">
        <f t="shared" ca="1" si="44"/>
        <v>141205.35949999999</v>
      </c>
      <c r="Y156" s="413">
        <f t="shared" ca="1" si="38"/>
        <v>305003.57652000006</v>
      </c>
      <c r="Z156" s="413">
        <f ca="1">(P156+Q156+U156+V156+W156+X156+R156+S156)*$Z$14</f>
        <v>250552.1667075</v>
      </c>
      <c r="AA156" s="413">
        <f t="shared" ca="1" si="39"/>
        <v>8907294.6334774997</v>
      </c>
      <c r="AB156" s="413">
        <f ca="1">V156*$AB$14</f>
        <v>107316.07321999999</v>
      </c>
      <c r="AC156" s="413">
        <f ca="1">AA156*K156</f>
        <v>0</v>
      </c>
      <c r="AD156" s="413">
        <f ca="1">AB156*K156</f>
        <v>0</v>
      </c>
    </row>
    <row r="157" spans="2:30" s="168" customFormat="1" ht="30.75" hidden="1" customHeight="1">
      <c r="B157" s="329"/>
      <c r="C157" s="361">
        <v>3.24</v>
      </c>
      <c r="D157" s="488" t="s">
        <v>4952</v>
      </c>
      <c r="E157" s="489"/>
      <c r="F157" s="489"/>
      <c r="G157" s="489"/>
      <c r="H157" s="489"/>
      <c r="I157" s="490"/>
      <c r="J157" s="361" t="s">
        <v>4128</v>
      </c>
      <c r="K157" s="363"/>
      <c r="L157" s="333">
        <f t="shared" ca="1" si="40"/>
        <v>4550685.9742775001</v>
      </c>
      <c r="M157" s="334">
        <f t="shared" ca="1" si="37"/>
        <v>0</v>
      </c>
      <c r="N157" s="335"/>
      <c r="O157" s="181"/>
      <c r="P157" s="413">
        <f ca="1">IF(IFERROR(VLOOKUP(C157,APU!H:N,4,0),0),VLOOKUP(C157,APU!H:N,4,0),0)*500</f>
        <v>1536528</v>
      </c>
      <c r="Q157" s="413">
        <f ca="1">IF(IFERROR(VLOOKUP(C157,APU!H:N,5,0),0),VLOOKUP(C157,APU!H:N,5,0),0)*500</f>
        <v>1492937.6</v>
      </c>
      <c r="R157" s="413">
        <f ca="1">IF(IFERROR(VLOOKUP(C157,APU!H:N,6,0),0),VLOOKUP(C157,APU!H:N,6,0),0)*500</f>
        <v>169330.375</v>
      </c>
      <c r="S157" s="413">
        <f ca="1">IF(IFERROR(VLOOKUP(C157,APU!H:N,7,0),0),VLOOKUP(C157,APU!H:N,7,0),0)*500</f>
        <v>400000</v>
      </c>
      <c r="T157" s="179"/>
      <c r="U157" s="413">
        <f t="shared" ca="1" si="41"/>
        <v>287903.67800000001</v>
      </c>
      <c r="V157" s="413">
        <f t="shared" ca="1" si="42"/>
        <v>287903.67800000001</v>
      </c>
      <c r="W157" s="413">
        <f t="shared" ca="1" si="43"/>
        <v>20622.679750000003</v>
      </c>
      <c r="X157" s="413">
        <f t="shared" ca="1" si="44"/>
        <v>71975.919500000004</v>
      </c>
      <c r="Y157" s="413">
        <f t="shared" ca="1" si="38"/>
        <v>155467.98611999999</v>
      </c>
      <c r="Z157" s="413">
        <f ca="1">(P157+Q157+U157+V157+W157+X157+R157+S157)*$Z$14</f>
        <v>128016.0579075</v>
      </c>
      <c r="AA157" s="413">
        <f t="shared" ca="1" si="39"/>
        <v>4550685.9742775001</v>
      </c>
      <c r="AB157" s="413">
        <f ca="1">V157*$AB$14</f>
        <v>54701.698820000005</v>
      </c>
      <c r="AC157" s="413">
        <f ca="1">AA157*K157</f>
        <v>0</v>
      </c>
      <c r="AD157" s="413">
        <f ca="1">AB157*K157</f>
        <v>0</v>
      </c>
    </row>
    <row r="158" spans="2:30" s="168" customFormat="1" ht="30.75" hidden="1" customHeight="1">
      <c r="B158" s="329"/>
      <c r="C158" s="361">
        <v>3.25</v>
      </c>
      <c r="D158" s="488" t="s">
        <v>4953</v>
      </c>
      <c r="E158" s="489"/>
      <c r="F158" s="489"/>
      <c r="G158" s="489"/>
      <c r="H158" s="489"/>
      <c r="I158" s="490"/>
      <c r="J158" s="361" t="s">
        <v>4128</v>
      </c>
      <c r="K158" s="363"/>
      <c r="L158" s="333">
        <f t="shared" ca="1" si="40"/>
        <v>5222868.9934775</v>
      </c>
      <c r="M158" s="334">
        <f t="shared" ca="1" si="37"/>
        <v>0</v>
      </c>
      <c r="N158" s="335"/>
      <c r="O158" s="181"/>
      <c r="P158" s="413">
        <f ca="1">IF(IFERROR(VLOOKUP(C158,APU!H:N,4,0),0),VLOOKUP(C158,APU!H:N,4,0),0)*500</f>
        <v>2070600</v>
      </c>
      <c r="Q158" s="413">
        <f ca="1">IF(IFERROR(VLOOKUP(C158,APU!H:N,5,0),0),VLOOKUP(C158,APU!H:N,5,0),0)*500</f>
        <v>1492937.6</v>
      </c>
      <c r="R158" s="413">
        <f ca="1">IF(IFERROR(VLOOKUP(C158,APU!H:N,6,0),0),VLOOKUP(C158,APU!H:N,6,0),0)*500</f>
        <v>169330.375</v>
      </c>
      <c r="S158" s="413">
        <f ca="1">IF(IFERROR(VLOOKUP(C158,APU!H:N,7,0),0),VLOOKUP(C158,APU!H:N,7,0),0)*500</f>
        <v>400000</v>
      </c>
      <c r="T158" s="179"/>
      <c r="U158" s="413">
        <f t="shared" ca="1" si="41"/>
        <v>330629.43800000002</v>
      </c>
      <c r="V158" s="413">
        <f t="shared" ca="1" si="42"/>
        <v>330629.43800000002</v>
      </c>
      <c r="W158" s="413">
        <f t="shared" ca="1" si="43"/>
        <v>20622.679750000003</v>
      </c>
      <c r="X158" s="413">
        <f t="shared" ca="1" si="44"/>
        <v>82657.359500000006</v>
      </c>
      <c r="Y158" s="413">
        <f t="shared" ca="1" si="38"/>
        <v>178539.89652000004</v>
      </c>
      <c r="Z158" s="413">
        <f ca="1">(P158+Q158+U158+V158+W158+X158+R158+S158)*$Z$14</f>
        <v>146922.20670750001</v>
      </c>
      <c r="AA158" s="413">
        <f t="shared" ca="1" si="39"/>
        <v>5222868.9934775</v>
      </c>
      <c r="AB158" s="413">
        <f ca="1">V158*$AB$14</f>
        <v>62819.593220000002</v>
      </c>
      <c r="AC158" s="413">
        <f ca="1">AA158*K158</f>
        <v>0</v>
      </c>
      <c r="AD158" s="413">
        <f ca="1">AB158*K158</f>
        <v>0</v>
      </c>
    </row>
    <row r="159" spans="2:30" s="168" customFormat="1" ht="30.75" hidden="1" customHeight="1">
      <c r="B159" s="329"/>
      <c r="C159" s="361">
        <v>3.26</v>
      </c>
      <c r="D159" s="488" t="s">
        <v>4954</v>
      </c>
      <c r="E159" s="489"/>
      <c r="F159" s="489"/>
      <c r="G159" s="489"/>
      <c r="H159" s="489"/>
      <c r="I159" s="490"/>
      <c r="J159" s="361" t="s">
        <v>4128</v>
      </c>
      <c r="K159" s="363"/>
      <c r="L159" s="333">
        <f t="shared" ca="1" si="40"/>
        <v>6549262.2238774998</v>
      </c>
      <c r="M159" s="334">
        <f t="shared" ca="1" si="37"/>
        <v>0</v>
      </c>
      <c r="N159" s="335"/>
      <c r="O159" s="181"/>
      <c r="P159" s="413">
        <f ca="1">IF(IFERROR(VLOOKUP(C159,APU!H:N,4,0),0),VLOOKUP(C159,APU!H:N,4,0),0)*500</f>
        <v>3124463.9999999995</v>
      </c>
      <c r="Q159" s="413">
        <f ca="1">IF(IFERROR(VLOOKUP(C159,APU!H:N,5,0),0),VLOOKUP(C159,APU!H:N,5,0),0)*500</f>
        <v>1492937.6</v>
      </c>
      <c r="R159" s="413">
        <f ca="1">IF(IFERROR(VLOOKUP(C159,APU!H:N,6,0),0),VLOOKUP(C159,APU!H:N,6,0),0)*500</f>
        <v>169330.375</v>
      </c>
      <c r="S159" s="413">
        <f ca="1">IF(IFERROR(VLOOKUP(C159,APU!H:N,7,0),0),VLOOKUP(C159,APU!H:N,7,0),0)*500</f>
        <v>400000</v>
      </c>
      <c r="T159" s="179"/>
      <c r="U159" s="413">
        <f t="shared" ca="1" si="41"/>
        <v>414938.55799999996</v>
      </c>
      <c r="V159" s="413">
        <f t="shared" ca="1" si="42"/>
        <v>414938.55799999996</v>
      </c>
      <c r="W159" s="413">
        <f t="shared" ca="1" si="43"/>
        <v>20622.679750000003</v>
      </c>
      <c r="X159" s="413">
        <f t="shared" ca="1" si="44"/>
        <v>103734.63949999999</v>
      </c>
      <c r="Y159" s="413">
        <f t="shared" ca="1" si="38"/>
        <v>224066.82131999999</v>
      </c>
      <c r="Z159" s="413">
        <f ca="1">(P159+Q159+U159+V159+W159+X159+R159+S159)*$Z$14</f>
        <v>184228.99230749998</v>
      </c>
      <c r="AA159" s="413">
        <f t="shared" ca="1" si="39"/>
        <v>6549262.2238774998</v>
      </c>
      <c r="AB159" s="413">
        <f ca="1">V159*$AB$14</f>
        <v>78838.326019999993</v>
      </c>
      <c r="AC159" s="413">
        <f ca="1">AA159*K159</f>
        <v>0</v>
      </c>
      <c r="AD159" s="413">
        <f ca="1">AB159*K159</f>
        <v>0</v>
      </c>
    </row>
    <row r="160" spans="2:30" s="168" customFormat="1" ht="30.75" hidden="1" customHeight="1">
      <c r="B160" s="329"/>
      <c r="C160" s="361">
        <v>3.27</v>
      </c>
      <c r="D160" s="488" t="s">
        <v>4955</v>
      </c>
      <c r="E160" s="489"/>
      <c r="F160" s="489"/>
      <c r="G160" s="489"/>
      <c r="H160" s="489"/>
      <c r="I160" s="490"/>
      <c r="J160" s="361" t="s">
        <v>4128</v>
      </c>
      <c r="K160" s="363"/>
      <c r="L160" s="333">
        <f t="shared" ca="1" si="40"/>
        <v>8233314.3334774999</v>
      </c>
      <c r="M160" s="334">
        <f t="shared" ca="1" si="37"/>
        <v>0</v>
      </c>
      <c r="N160" s="335"/>
      <c r="O160" s="181"/>
      <c r="P160" s="413">
        <f ca="1">IF(IFERROR(VLOOKUP(C160,APU!H:N,4,0),0),VLOOKUP(C160,APU!H:N,4,0),0)*500</f>
        <v>4462500</v>
      </c>
      <c r="Q160" s="413">
        <f ca="1">IF(IFERROR(VLOOKUP(C160,APU!H:N,5,0),0),VLOOKUP(C160,APU!H:N,5,0),0)*500</f>
        <v>1492937.6</v>
      </c>
      <c r="R160" s="413">
        <f ca="1">IF(IFERROR(VLOOKUP(C160,APU!H:N,6,0),0),VLOOKUP(C160,APU!H:N,6,0),0)*500</f>
        <v>169330.375</v>
      </c>
      <c r="S160" s="413">
        <f ca="1">IF(IFERROR(VLOOKUP(C160,APU!H:N,7,0),0),VLOOKUP(C160,APU!H:N,7,0),0)*500</f>
        <v>400000</v>
      </c>
      <c r="T160" s="179"/>
      <c r="U160" s="413">
        <f t="shared" ca="1" si="41"/>
        <v>521981.43799999997</v>
      </c>
      <c r="V160" s="413">
        <f t="shared" ca="1" si="42"/>
        <v>521981.43799999997</v>
      </c>
      <c r="W160" s="413">
        <f t="shared" ca="1" si="43"/>
        <v>20622.679750000003</v>
      </c>
      <c r="X160" s="413">
        <f t="shared" ca="1" si="44"/>
        <v>130495.35949999999</v>
      </c>
      <c r="Y160" s="413">
        <f t="shared" ca="1" si="38"/>
        <v>281869.97652000003</v>
      </c>
      <c r="Z160" s="413">
        <f ca="1">(P160+Q160+U160+V160+W160+X160+R160+S160)*$Z$14</f>
        <v>231595.46670749999</v>
      </c>
      <c r="AA160" s="413">
        <f t="shared" ca="1" si="39"/>
        <v>8233314.3334774999</v>
      </c>
      <c r="AB160" s="413">
        <f ca="1">V160*$AB$14</f>
        <v>99176.47322</v>
      </c>
      <c r="AC160" s="413">
        <f ca="1">AA160*K160</f>
        <v>0</v>
      </c>
      <c r="AD160" s="413">
        <f ca="1">AB160*K160</f>
        <v>0</v>
      </c>
    </row>
    <row r="161" spans="2:30" s="168" customFormat="1" ht="30.75" hidden="1" customHeight="1">
      <c r="B161" s="329"/>
      <c r="C161" s="361">
        <v>3.28</v>
      </c>
      <c r="D161" s="488" t="s">
        <v>4956</v>
      </c>
      <c r="E161" s="489"/>
      <c r="F161" s="489"/>
      <c r="G161" s="489"/>
      <c r="H161" s="489"/>
      <c r="I161" s="490"/>
      <c r="J161" s="361" t="s">
        <v>4128</v>
      </c>
      <c r="K161" s="363"/>
      <c r="L161" s="333">
        <f t="shared" ca="1" si="40"/>
        <v>17893698.633477498</v>
      </c>
      <c r="M161" s="334">
        <f t="shared" ca="1" si="37"/>
        <v>0</v>
      </c>
      <c r="N161" s="335"/>
      <c r="O161" s="181"/>
      <c r="P161" s="413">
        <f ca="1">IF(IFERROR(VLOOKUP(C161,APU!H:N,4,0),0),VLOOKUP(C161,APU!H:N,4,0),0)*500</f>
        <v>12138000</v>
      </c>
      <c r="Q161" s="413">
        <f ca="1">IF(IFERROR(VLOOKUP(C161,APU!H:N,5,0),0),VLOOKUP(C161,APU!H:N,5,0),0)*500</f>
        <v>1492937.6</v>
      </c>
      <c r="R161" s="413">
        <f ca="1">IF(IFERROR(VLOOKUP(C161,APU!H:N,6,0),0),VLOOKUP(C161,APU!H:N,6,0),0)*500</f>
        <v>169330.375</v>
      </c>
      <c r="S161" s="413">
        <f ca="1">IF(IFERROR(VLOOKUP(C161,APU!H:N,7,0),0),VLOOKUP(C161,APU!H:N,7,0),0)*500</f>
        <v>400000</v>
      </c>
      <c r="T161" s="179"/>
      <c r="U161" s="413">
        <f t="shared" ca="1" si="41"/>
        <v>1136021.4380000001</v>
      </c>
      <c r="V161" s="413">
        <f t="shared" ca="1" si="42"/>
        <v>1136021.4380000001</v>
      </c>
      <c r="W161" s="413">
        <f t="shared" ca="1" si="43"/>
        <v>20622.679750000003</v>
      </c>
      <c r="X161" s="413">
        <f t="shared" ca="1" si="44"/>
        <v>284005.35950000002</v>
      </c>
      <c r="Y161" s="413">
        <f t="shared" ca="1" si="38"/>
        <v>613451.57652</v>
      </c>
      <c r="Z161" s="413">
        <f ca="1">(P161+Q161+U161+V161+W161+X161+R161+S161)*$Z$14</f>
        <v>503308.16670749994</v>
      </c>
      <c r="AA161" s="413">
        <f t="shared" ca="1" si="39"/>
        <v>17893698.633477498</v>
      </c>
      <c r="AB161" s="413">
        <f ca="1">V161*$AB$14</f>
        <v>215844.07322000002</v>
      </c>
      <c r="AC161" s="413">
        <f ca="1">AA161*K161</f>
        <v>0</v>
      </c>
      <c r="AD161" s="413">
        <f ca="1">AB161*K161</f>
        <v>0</v>
      </c>
    </row>
    <row r="162" spans="2:30" s="168" customFormat="1" ht="30.75" hidden="1" customHeight="1">
      <c r="B162" s="329"/>
      <c r="C162" s="361">
        <v>3.29</v>
      </c>
      <c r="D162" s="488" t="s">
        <v>4957</v>
      </c>
      <c r="E162" s="489"/>
      <c r="F162" s="489"/>
      <c r="G162" s="489"/>
      <c r="H162" s="489"/>
      <c r="I162" s="490"/>
      <c r="J162" s="361" t="s">
        <v>4128</v>
      </c>
      <c r="K162" s="363"/>
      <c r="L162" s="333">
        <f t="shared" ca="1" si="40"/>
        <v>5402597.0734775001</v>
      </c>
      <c r="M162" s="334">
        <f t="shared" ca="1" si="37"/>
        <v>0</v>
      </c>
      <c r="N162" s="335"/>
      <c r="O162" s="181"/>
      <c r="P162" s="413">
        <f ca="1">IF(IFERROR(VLOOKUP(C162,APU!H:N,4,0),0),VLOOKUP(C162,APU!H:N,4,0),0)*500</f>
        <v>2213400</v>
      </c>
      <c r="Q162" s="413">
        <f ca="1">IF(IFERROR(VLOOKUP(C162,APU!H:N,5,0),0),VLOOKUP(C162,APU!H:N,5,0),0)*500</f>
        <v>1492937.6</v>
      </c>
      <c r="R162" s="413">
        <f ca="1">IF(IFERROR(VLOOKUP(C162,APU!H:N,6,0),0),VLOOKUP(C162,APU!H:N,6,0),0)*500</f>
        <v>169330.375</v>
      </c>
      <c r="S162" s="413">
        <f ca="1">IF(IFERROR(VLOOKUP(C162,APU!H:N,7,0),0),VLOOKUP(C162,APU!H:N,7,0),0)*500</f>
        <v>400000</v>
      </c>
      <c r="T162" s="179"/>
      <c r="U162" s="413">
        <f t="shared" ca="1" si="41"/>
        <v>342053.43799999997</v>
      </c>
      <c r="V162" s="413">
        <f t="shared" ca="1" si="42"/>
        <v>342053.43799999997</v>
      </c>
      <c r="W162" s="413">
        <f t="shared" ca="1" si="43"/>
        <v>20622.679750000003</v>
      </c>
      <c r="X162" s="413">
        <f t="shared" ca="1" si="44"/>
        <v>85513.359499999991</v>
      </c>
      <c r="Y162" s="413">
        <f t="shared" ca="1" si="38"/>
        <v>184708.85652000003</v>
      </c>
      <c r="Z162" s="413">
        <f ca="1">(P162+Q162+U162+V162+W162+X162+R162+S162)*$Z$14</f>
        <v>151977.3267075</v>
      </c>
      <c r="AA162" s="413">
        <f t="shared" ca="1" si="39"/>
        <v>5402597.0734775001</v>
      </c>
      <c r="AB162" s="413">
        <f ca="1">V162*$AB$14</f>
        <v>64990.153219999993</v>
      </c>
      <c r="AC162" s="413">
        <f ca="1">AA162*K162</f>
        <v>0</v>
      </c>
      <c r="AD162" s="413">
        <f ca="1">AB162*K162</f>
        <v>0</v>
      </c>
    </row>
    <row r="163" spans="2:30" s="168" customFormat="1" ht="30.75" hidden="1" customHeight="1">
      <c r="B163" s="329"/>
      <c r="C163" s="361" t="s">
        <v>4808</v>
      </c>
      <c r="D163" s="488" t="s">
        <v>4958</v>
      </c>
      <c r="E163" s="489"/>
      <c r="F163" s="489"/>
      <c r="G163" s="489"/>
      <c r="H163" s="489"/>
      <c r="I163" s="490"/>
      <c r="J163" s="361" t="s">
        <v>4128</v>
      </c>
      <c r="K163" s="363"/>
      <c r="L163" s="333">
        <f t="shared" ca="1" si="40"/>
        <v>5084352.1008200003</v>
      </c>
      <c r="M163" s="334">
        <f t="shared" ca="1" si="37"/>
        <v>0</v>
      </c>
      <c r="N163" s="335"/>
      <c r="O163" s="181"/>
      <c r="P163" s="413">
        <f ca="1">IF(IFERROR(VLOOKUP(C163,APU!H:N,4,0),0),VLOOKUP(C163,APU!H:N,4,0),0)*500</f>
        <v>1536528</v>
      </c>
      <c r="Q163" s="413">
        <f ca="1">IF(IFERROR(VLOOKUP(C163,APU!H:N,5,0),0),VLOOKUP(C163,APU!H:N,5,0),0)*500</f>
        <v>1870668.7999999998</v>
      </c>
      <c r="R163" s="413">
        <f ca="1">IF(IFERROR(VLOOKUP(C163,APU!H:N,6,0),0),VLOOKUP(C163,APU!H:N,6,0),0)*500</f>
        <v>212173</v>
      </c>
      <c r="S163" s="413">
        <f ca="1">IF(IFERROR(VLOOKUP(C163,APU!H:N,7,0),0),VLOOKUP(C163,APU!H:N,7,0),0)*500</f>
        <v>400000</v>
      </c>
      <c r="T163" s="179"/>
      <c r="U163" s="413">
        <f t="shared" ca="1" si="41"/>
        <v>321549.58399999997</v>
      </c>
      <c r="V163" s="413">
        <f t="shared" ca="1" si="42"/>
        <v>321549.58399999997</v>
      </c>
      <c r="W163" s="413">
        <f t="shared" ca="1" si="43"/>
        <v>24828.417999999998</v>
      </c>
      <c r="X163" s="413">
        <f t="shared" ca="1" si="44"/>
        <v>80387.395999999993</v>
      </c>
      <c r="Y163" s="413">
        <f t="shared" ca="1" si="38"/>
        <v>173636.77536</v>
      </c>
      <c r="Z163" s="413">
        <f ca="1">(P163+Q163+U163+V163+W163+X163+R163+S163)*$Z$14</f>
        <v>143030.54345999999</v>
      </c>
      <c r="AA163" s="413">
        <f t="shared" ca="1" si="39"/>
        <v>5084352.1008200003</v>
      </c>
      <c r="AB163" s="413">
        <f ca="1">V163*$AB$14</f>
        <v>61094.420959999996</v>
      </c>
      <c r="AC163" s="413">
        <f ca="1">AA163*K163</f>
        <v>0</v>
      </c>
      <c r="AD163" s="413">
        <f ca="1">AB163*K163</f>
        <v>0</v>
      </c>
    </row>
    <row r="164" spans="2:30" s="168" customFormat="1" ht="30.75" hidden="1" customHeight="1">
      <c r="B164" s="329"/>
      <c r="C164" s="361">
        <v>3.31</v>
      </c>
      <c r="D164" s="488" t="s">
        <v>4959</v>
      </c>
      <c r="E164" s="489"/>
      <c r="F164" s="489"/>
      <c r="G164" s="489"/>
      <c r="H164" s="489"/>
      <c r="I164" s="490"/>
      <c r="J164" s="361" t="s">
        <v>4128</v>
      </c>
      <c r="K164" s="363"/>
      <c r="L164" s="333">
        <f t="shared" ca="1" si="40"/>
        <v>5756535.1200199993</v>
      </c>
      <c r="M164" s="334">
        <f t="shared" ca="1" si="37"/>
        <v>0</v>
      </c>
      <c r="N164" s="335"/>
      <c r="O164" s="181"/>
      <c r="P164" s="413">
        <f ca="1">IF(IFERROR(VLOOKUP(C164,APU!H:N,4,0),0),VLOOKUP(C164,APU!H:N,4,0),0)*500</f>
        <v>2070600</v>
      </c>
      <c r="Q164" s="413">
        <f ca="1">IF(IFERROR(VLOOKUP(C164,APU!H:N,5,0),0),VLOOKUP(C164,APU!H:N,5,0),0)*500</f>
        <v>1870668.7999999998</v>
      </c>
      <c r="R164" s="413">
        <f ca="1">IF(IFERROR(VLOOKUP(C164,APU!H:N,6,0),0),VLOOKUP(C164,APU!H:N,6,0),0)*500</f>
        <v>212173</v>
      </c>
      <c r="S164" s="413">
        <f ca="1">IF(IFERROR(VLOOKUP(C164,APU!H:N,7,0),0),VLOOKUP(C164,APU!H:N,7,0),0)*500</f>
        <v>400000</v>
      </c>
      <c r="T164" s="179"/>
      <c r="U164" s="413">
        <f t="shared" ca="1" si="41"/>
        <v>364275.34399999998</v>
      </c>
      <c r="V164" s="413">
        <f t="shared" ca="1" si="42"/>
        <v>364275.34399999998</v>
      </c>
      <c r="W164" s="413">
        <f t="shared" ca="1" si="43"/>
        <v>24828.417999999998</v>
      </c>
      <c r="X164" s="413">
        <f t="shared" ca="1" si="44"/>
        <v>91068.835999999996</v>
      </c>
      <c r="Y164" s="413">
        <f t="shared" ca="1" si="38"/>
        <v>196708.68575999999</v>
      </c>
      <c r="Z164" s="413">
        <f ca="1">(P164+Q164+U164+V164+W164+X164+R164+S164)*$Z$14</f>
        <v>161936.69225999995</v>
      </c>
      <c r="AA164" s="413">
        <f t="shared" ca="1" si="39"/>
        <v>5756535.1200199993</v>
      </c>
      <c r="AB164" s="413">
        <f ca="1">V164*$AB$14</f>
        <v>69212.315359999993</v>
      </c>
      <c r="AC164" s="413">
        <f ca="1">AA164*K164</f>
        <v>0</v>
      </c>
      <c r="AD164" s="413">
        <f ca="1">AB164*K164</f>
        <v>0</v>
      </c>
    </row>
    <row r="165" spans="2:30" s="168" customFormat="1" ht="30.75" hidden="1" customHeight="1">
      <c r="B165" s="329"/>
      <c r="C165" s="361">
        <v>3.32</v>
      </c>
      <c r="D165" s="488" t="s">
        <v>4960</v>
      </c>
      <c r="E165" s="489"/>
      <c r="F165" s="489"/>
      <c r="G165" s="489"/>
      <c r="H165" s="489"/>
      <c r="I165" s="490"/>
      <c r="J165" s="361" t="s">
        <v>4128</v>
      </c>
      <c r="K165" s="363"/>
      <c r="L165" s="333">
        <f t="shared" ca="1" si="40"/>
        <v>7082928.3504199991</v>
      </c>
      <c r="M165" s="334">
        <f t="shared" ca="1" si="37"/>
        <v>0</v>
      </c>
      <c r="N165" s="335"/>
      <c r="O165" s="181"/>
      <c r="P165" s="413">
        <f ca="1">IF(IFERROR(VLOOKUP(C165,APU!H:N,4,0),0),VLOOKUP(C165,APU!H:N,4,0),0)*500</f>
        <v>3124463.9999999995</v>
      </c>
      <c r="Q165" s="413">
        <f ca="1">IF(IFERROR(VLOOKUP(C165,APU!H:N,5,0),0),VLOOKUP(C165,APU!H:N,5,0),0)*500</f>
        <v>1870668.7999999998</v>
      </c>
      <c r="R165" s="413">
        <f ca="1">IF(IFERROR(VLOOKUP(C165,APU!H:N,6,0),0),VLOOKUP(C165,APU!H:N,6,0),0)*500</f>
        <v>212173</v>
      </c>
      <c r="S165" s="413">
        <f ca="1">IF(IFERROR(VLOOKUP(C165,APU!H:N,7,0),0),VLOOKUP(C165,APU!H:N,7,0),0)*500</f>
        <v>400000</v>
      </c>
      <c r="T165" s="179"/>
      <c r="U165" s="413">
        <f t="shared" ca="1" si="41"/>
        <v>448584.46399999992</v>
      </c>
      <c r="V165" s="413">
        <f t="shared" ca="1" si="42"/>
        <v>448584.46399999992</v>
      </c>
      <c r="W165" s="413">
        <f t="shared" ca="1" si="43"/>
        <v>24828.417999999998</v>
      </c>
      <c r="X165" s="413">
        <f t="shared" ca="1" si="44"/>
        <v>112146.11599999998</v>
      </c>
      <c r="Y165" s="413">
        <f t="shared" ca="1" si="38"/>
        <v>242235.61055999997</v>
      </c>
      <c r="Z165" s="413">
        <f ca="1">(P165+Q165+U165+V165+W165+X165+R165+S165)*$Z$14</f>
        <v>199243.47785999993</v>
      </c>
      <c r="AA165" s="413">
        <f t="shared" ca="1" si="39"/>
        <v>7082928.3504199991</v>
      </c>
      <c r="AB165" s="413">
        <f ca="1">V165*$AB$14</f>
        <v>85231.048159999991</v>
      </c>
      <c r="AC165" s="413">
        <f ca="1">AA165*K165</f>
        <v>0</v>
      </c>
      <c r="AD165" s="413">
        <f ca="1">AB165*K165</f>
        <v>0</v>
      </c>
    </row>
    <row r="166" spans="2:30" s="168" customFormat="1" ht="30.75" hidden="1" customHeight="1">
      <c r="B166" s="329"/>
      <c r="C166" s="361">
        <v>3.33</v>
      </c>
      <c r="D166" s="488" t="s">
        <v>4961</v>
      </c>
      <c r="E166" s="489"/>
      <c r="F166" s="489"/>
      <c r="G166" s="489"/>
      <c r="H166" s="489"/>
      <c r="I166" s="490"/>
      <c r="J166" s="361" t="s">
        <v>4128</v>
      </c>
      <c r="K166" s="363"/>
      <c r="L166" s="333">
        <f t="shared" ca="1" si="40"/>
        <v>5492461.1134774992</v>
      </c>
      <c r="M166" s="334">
        <f t="shared" ca="1" si="37"/>
        <v>0</v>
      </c>
      <c r="N166" s="335"/>
      <c r="O166" s="181"/>
      <c r="P166" s="413">
        <f ca="1">IF(IFERROR(VLOOKUP(C166,APU!H:N,4,0),0),VLOOKUP(C166,APU!H:N,4,0),0)*500</f>
        <v>2284799.9999999995</v>
      </c>
      <c r="Q166" s="413">
        <f ca="1">IF(IFERROR(VLOOKUP(C166,APU!H:N,5,0),0),VLOOKUP(C166,APU!H:N,5,0),0)*500</f>
        <v>1492937.6</v>
      </c>
      <c r="R166" s="413">
        <f ca="1">IF(IFERROR(VLOOKUP(C166,APU!H:N,6,0),0),VLOOKUP(C166,APU!H:N,6,0),0)*500</f>
        <v>169330.375</v>
      </c>
      <c r="S166" s="413">
        <f ca="1">IF(IFERROR(VLOOKUP(C166,APU!H:N,7,0),0),VLOOKUP(C166,APU!H:N,7,0),0)*500</f>
        <v>400000</v>
      </c>
      <c r="T166" s="179"/>
      <c r="U166" s="413">
        <f t="shared" ca="1" si="41"/>
        <v>347765.43799999997</v>
      </c>
      <c r="V166" s="413">
        <f t="shared" ca="1" si="42"/>
        <v>347765.43799999997</v>
      </c>
      <c r="W166" s="413">
        <f t="shared" ca="1" si="43"/>
        <v>20622.679750000003</v>
      </c>
      <c r="X166" s="413">
        <f t="shared" ca="1" si="44"/>
        <v>86941.359499999991</v>
      </c>
      <c r="Y166" s="413">
        <f t="shared" ca="1" si="38"/>
        <v>187793.33651999998</v>
      </c>
      <c r="Z166" s="413">
        <f ca="1">(P166+Q166+U166+V166+W166+X166+R166+S166)*$Z$14</f>
        <v>154504.8867075</v>
      </c>
      <c r="AA166" s="413">
        <f t="shared" ca="1" si="39"/>
        <v>5492461.1134774992</v>
      </c>
      <c r="AB166" s="413">
        <f ca="1">V166*$AB$14</f>
        <v>66075.433219999992</v>
      </c>
      <c r="AC166" s="413">
        <f ca="1">AA166*K166</f>
        <v>0</v>
      </c>
      <c r="AD166" s="413">
        <f ca="1">AB166*K166</f>
        <v>0</v>
      </c>
    </row>
    <row r="167" spans="2:30" s="168" customFormat="1" ht="30.75" hidden="1" customHeight="1">
      <c r="B167" s="329"/>
      <c r="C167" s="361">
        <v>3.34</v>
      </c>
      <c r="D167" s="488" t="s">
        <v>4962</v>
      </c>
      <c r="E167" s="489"/>
      <c r="F167" s="489"/>
      <c r="G167" s="489"/>
      <c r="H167" s="489"/>
      <c r="I167" s="490"/>
      <c r="J167" s="361" t="s">
        <v>4128</v>
      </c>
      <c r="K167" s="363"/>
      <c r="L167" s="333">
        <f t="shared" ref="L167:L178" ca="1" si="45">AA167</f>
        <v>14184524.552738421</v>
      </c>
      <c r="M167" s="334">
        <f t="shared" ref="M167:M178" ca="1" si="46">L167*K167</f>
        <v>0</v>
      </c>
      <c r="N167" s="335"/>
      <c r="O167" s="181"/>
      <c r="P167" s="413">
        <f ca="1">IF(IFERROR(VLOOKUP(C167,APU!H:N,4,0),0),VLOOKUP(C167,APU!H:N,4,0),0)*500</f>
        <v>4546955.3471999997</v>
      </c>
      <c r="Q167" s="413">
        <f ca="1">IF(IFERROR(VLOOKUP(C167,APU!H:N,5,0),0),VLOOKUP(C167,APU!H:N,5,0),0)*500</f>
        <v>5629993.6000000006</v>
      </c>
      <c r="R167" s="413">
        <f ca="1">IF(IFERROR(VLOOKUP(C167,APU!H:N,6,0),0),VLOOKUP(C167,APU!H:N,6,0),0)*500</f>
        <v>638559.125</v>
      </c>
      <c r="S167" s="413">
        <f ca="1">IF(IFERROR(VLOOKUP(C167,APU!H:N,7,0),0),VLOOKUP(C167,APU!H:N,7,0),0)*500</f>
        <v>400000</v>
      </c>
      <c r="T167" s="179"/>
      <c r="U167" s="413">
        <f t="shared" ref="U167:U178" ca="1" si="47">(P167+Q167+R167+S167)*$U$14</f>
        <v>897240.64577599999</v>
      </c>
      <c r="V167" s="413">
        <f t="shared" ref="V167:V178" ca="1" si="48">(P167+Q167+R167+S167)*$V$14</f>
        <v>897240.64577599999</v>
      </c>
      <c r="W167" s="413">
        <f t="shared" ref="W167:W178" ca="1" si="49">(Q167+R167+S167)*$W$14</f>
        <v>66685.527250000014</v>
      </c>
      <c r="X167" s="413">
        <f t="shared" ref="X167:X178" ca="1" si="50">(P167+Q167+R167+S167)*$X$14</f>
        <v>224310.161444</v>
      </c>
      <c r="Y167" s="413">
        <f t="shared" ca="1" si="38"/>
        <v>484509.94871904003</v>
      </c>
      <c r="Z167" s="413">
        <f ca="1">(P167+Q167+U167+V167+W167+X167+R167+S167)*$Z$14</f>
        <v>399029.55157338001</v>
      </c>
      <c r="AA167" s="413">
        <f t="shared" ca="1" si="39"/>
        <v>14184524.552738421</v>
      </c>
      <c r="AB167" s="413">
        <f ca="1">V167*$AB$14</f>
        <v>170475.72269744001</v>
      </c>
      <c r="AC167" s="413">
        <f ca="1">AA167*K167</f>
        <v>0</v>
      </c>
      <c r="AD167" s="413">
        <f ca="1">AB167*K167</f>
        <v>0</v>
      </c>
    </row>
    <row r="168" spans="2:30" s="168" customFormat="1" ht="30.75" hidden="1" customHeight="1">
      <c r="B168" s="329"/>
      <c r="C168" s="361">
        <v>3.35</v>
      </c>
      <c r="D168" s="488" t="s">
        <v>4990</v>
      </c>
      <c r="E168" s="489" t="s">
        <v>4647</v>
      </c>
      <c r="F168" s="489" t="s">
        <v>4647</v>
      </c>
      <c r="G168" s="489" t="s">
        <v>4647</v>
      </c>
      <c r="H168" s="489" t="s">
        <v>4647</v>
      </c>
      <c r="I168" s="490" t="s">
        <v>4647</v>
      </c>
      <c r="J168" s="361" t="s">
        <v>4128</v>
      </c>
      <c r="K168" s="363"/>
      <c r="L168" s="333">
        <f t="shared" ca="1" si="45"/>
        <v>14633849.486075001</v>
      </c>
      <c r="M168" s="334">
        <f t="shared" ca="1" si="46"/>
        <v>0</v>
      </c>
      <c r="N168" s="335"/>
      <c r="O168" s="181"/>
      <c r="P168" s="413">
        <f ca="1">IF(IFERROR(VLOOKUP(C168,APU!H:N,4,0),0),VLOOKUP(C168,APU!H:N,4,0),0)*500</f>
        <v>7024037.4749999996</v>
      </c>
      <c r="Q168" s="413">
        <f ca="1">IF(IFERROR(VLOOKUP(C168,APU!H:N,5,0),0),VLOOKUP(C168,APU!H:N,5,0),0)*500</f>
        <v>3741337.5999999996</v>
      </c>
      <c r="R168" s="413">
        <f ca="1">IF(IFERROR(VLOOKUP(C168,APU!H:N,6,0),0),VLOOKUP(C168,APU!H:N,6,0),0)*500</f>
        <v>424346</v>
      </c>
      <c r="S168" s="413">
        <f ca="1">IF(IFERROR(VLOOKUP(C168,APU!H:N,7,0),0),VLOOKUP(C168,APU!H:N,7,0),0)*500</f>
        <v>400000</v>
      </c>
      <c r="T168" s="179"/>
      <c r="U168" s="413">
        <f t="shared" ca="1" si="47"/>
        <v>927177.68599999999</v>
      </c>
      <c r="V168" s="413">
        <f t="shared" ca="1" si="48"/>
        <v>927177.68599999999</v>
      </c>
      <c r="W168" s="413">
        <f t="shared" ca="1" si="49"/>
        <v>45656.835999999996</v>
      </c>
      <c r="X168" s="413">
        <f t="shared" ca="1" si="50"/>
        <v>231794.4215</v>
      </c>
      <c r="Y168" s="413">
        <f t="shared" ca="1" si="38"/>
        <v>500675.95043999999</v>
      </c>
      <c r="Z168" s="413">
        <f ca="1">(P168+Q168+U168+V168+W168+X168+R168+S168)*$Z$14</f>
        <v>411645.83113499993</v>
      </c>
      <c r="AA168" s="413">
        <f t="shared" ca="1" si="39"/>
        <v>14633849.486075001</v>
      </c>
      <c r="AB168" s="413">
        <f ca="1">V168*$AB$14</f>
        <v>176163.76034000001</v>
      </c>
      <c r="AC168" s="413">
        <f ca="1">AA168*K168</f>
        <v>0</v>
      </c>
      <c r="AD168" s="413">
        <f ca="1">AB168*K168</f>
        <v>0</v>
      </c>
    </row>
    <row r="169" spans="2:30" s="168" customFormat="1" ht="30.75" hidden="1" customHeight="1">
      <c r="B169" s="329"/>
      <c r="C169" s="361">
        <v>3.36</v>
      </c>
      <c r="D169" s="488" t="s">
        <v>4991</v>
      </c>
      <c r="E169" s="489" t="s">
        <v>4647</v>
      </c>
      <c r="F169" s="489" t="s">
        <v>4647</v>
      </c>
      <c r="G169" s="489" t="s">
        <v>4647</v>
      </c>
      <c r="H169" s="489" t="s">
        <v>4647</v>
      </c>
      <c r="I169" s="490" t="s">
        <v>4647</v>
      </c>
      <c r="J169" s="361" t="s">
        <v>4128</v>
      </c>
      <c r="K169" s="363"/>
      <c r="L169" s="333">
        <f t="shared" ca="1" si="45"/>
        <v>27467852.865702502</v>
      </c>
      <c r="M169" s="334">
        <f t="shared" ca="1" si="46"/>
        <v>0</v>
      </c>
      <c r="N169" s="335"/>
      <c r="O169" s="181"/>
      <c r="P169" s="413">
        <f ca="1">IF(IFERROR(VLOOKUP(C169,APU!H:N,4,0),0),VLOOKUP(C169,APU!H:N,4,0),0)*500</f>
        <v>15949037.475000001</v>
      </c>
      <c r="Q169" s="413">
        <f ca="1">IF(IFERROR(VLOOKUP(C169,APU!H:N,5,0),0),VLOOKUP(C169,APU!H:N,5,0),0)*500</f>
        <v>4874531.2</v>
      </c>
      <c r="R169" s="413">
        <f ca="1">IF(IFERROR(VLOOKUP(C169,APU!H:N,6,0),0),VLOOKUP(C169,APU!H:N,6,0),0)*500</f>
        <v>552873.875</v>
      </c>
      <c r="S169" s="413">
        <f ca="1">IF(IFERROR(VLOOKUP(C169,APU!H:N,7,0),0),VLOOKUP(C169,APU!H:N,7,0),0)*500</f>
        <v>400000</v>
      </c>
      <c r="T169" s="179"/>
      <c r="U169" s="413">
        <f t="shared" ca="1" si="47"/>
        <v>1742115.4040000001</v>
      </c>
      <c r="V169" s="413">
        <f t="shared" ca="1" si="48"/>
        <v>1742115.4040000001</v>
      </c>
      <c r="W169" s="413">
        <f t="shared" ca="1" si="49"/>
        <v>58274.050750000002</v>
      </c>
      <c r="X169" s="413">
        <f t="shared" ca="1" si="50"/>
        <v>435528.85100000002</v>
      </c>
      <c r="Y169" s="413">
        <f t="shared" ca="1" si="38"/>
        <v>940742.31816000002</v>
      </c>
      <c r="Z169" s="413">
        <f ca="1">(P169+Q169+U169+V169+W169+X169+R169+S169)*$Z$14</f>
        <v>772634.28779249988</v>
      </c>
      <c r="AA169" s="413">
        <f t="shared" ca="1" si="39"/>
        <v>27467852.865702502</v>
      </c>
      <c r="AB169" s="413">
        <f ca="1">V169*$AB$14</f>
        <v>331001.92676</v>
      </c>
      <c r="AC169" s="413">
        <f ca="1">AA169*K169</f>
        <v>0</v>
      </c>
      <c r="AD169" s="413">
        <f ca="1">AB169*K169</f>
        <v>0</v>
      </c>
    </row>
    <row r="170" spans="2:30" s="168" customFormat="1" ht="30.75" hidden="1" customHeight="1">
      <c r="B170" s="329"/>
      <c r="C170" s="361">
        <v>3.37</v>
      </c>
      <c r="D170" s="488" t="s">
        <v>4992</v>
      </c>
      <c r="E170" s="489" t="s">
        <v>4647</v>
      </c>
      <c r="F170" s="489" t="s">
        <v>4647</v>
      </c>
      <c r="G170" s="489" t="s">
        <v>4647</v>
      </c>
      <c r="H170" s="489" t="s">
        <v>4647</v>
      </c>
      <c r="I170" s="490" t="s">
        <v>4647</v>
      </c>
      <c r="J170" s="361" t="s">
        <v>4128</v>
      </c>
      <c r="K170" s="363"/>
      <c r="L170" s="333">
        <f t="shared" ca="1" si="45"/>
        <v>32859695.265702501</v>
      </c>
      <c r="M170" s="334">
        <f t="shared" ca="1" si="46"/>
        <v>0</v>
      </c>
      <c r="N170" s="335"/>
      <c r="O170" s="181"/>
      <c r="P170" s="413">
        <f ca="1">IF(IFERROR(VLOOKUP(C170,APU!H:N,4,0),0),VLOOKUP(C170,APU!H:N,4,0),0)*500</f>
        <v>20233037.475000001</v>
      </c>
      <c r="Q170" s="413">
        <f ca="1">IF(IFERROR(VLOOKUP(C170,APU!H:N,5,0),0),VLOOKUP(C170,APU!H:N,5,0),0)*500</f>
        <v>4874531.2</v>
      </c>
      <c r="R170" s="413">
        <f ca="1">IF(IFERROR(VLOOKUP(C170,APU!H:N,6,0),0),VLOOKUP(C170,APU!H:N,6,0),0)*500</f>
        <v>552873.875</v>
      </c>
      <c r="S170" s="413">
        <f ca="1">IF(IFERROR(VLOOKUP(C170,APU!H:N,7,0),0),VLOOKUP(C170,APU!H:N,7,0),0)*500</f>
        <v>400000</v>
      </c>
      <c r="T170" s="179"/>
      <c r="U170" s="413">
        <f t="shared" ca="1" si="47"/>
        <v>2084835.4040000001</v>
      </c>
      <c r="V170" s="413">
        <f t="shared" ca="1" si="48"/>
        <v>2084835.4040000001</v>
      </c>
      <c r="W170" s="413">
        <f t="shared" ca="1" si="49"/>
        <v>58274.050750000002</v>
      </c>
      <c r="X170" s="413">
        <f t="shared" ca="1" si="50"/>
        <v>521208.85100000002</v>
      </c>
      <c r="Y170" s="413">
        <f t="shared" ca="1" si="38"/>
        <v>1125811.1181600001</v>
      </c>
      <c r="Z170" s="413">
        <f ca="1">(P170+Q170+U170+V170+W170+X170+R170+S170)*$Z$14</f>
        <v>924287.88779249985</v>
      </c>
      <c r="AA170" s="413">
        <f t="shared" ca="1" si="39"/>
        <v>32859695.265702501</v>
      </c>
      <c r="AB170" s="413">
        <f ca="1">V170*$AB$14</f>
        <v>396118.72676000005</v>
      </c>
      <c r="AC170" s="413">
        <f ca="1">AA170*K170</f>
        <v>0</v>
      </c>
      <c r="AD170" s="413">
        <f ca="1">AB170*K170</f>
        <v>0</v>
      </c>
    </row>
    <row r="171" spans="2:30" s="168" customFormat="1" ht="30.75" hidden="1" customHeight="1">
      <c r="B171" s="329"/>
      <c r="C171" s="361">
        <v>3.38</v>
      </c>
      <c r="D171" s="488" t="s">
        <v>4993</v>
      </c>
      <c r="E171" s="489" t="s">
        <v>4647</v>
      </c>
      <c r="F171" s="489" t="s">
        <v>4647</v>
      </c>
      <c r="G171" s="489" t="s">
        <v>4647</v>
      </c>
      <c r="H171" s="489" t="s">
        <v>4647</v>
      </c>
      <c r="I171" s="490" t="s">
        <v>4647</v>
      </c>
      <c r="J171" s="361" t="s">
        <v>4128</v>
      </c>
      <c r="K171" s="363"/>
      <c r="L171" s="333">
        <f t="shared" ref="L171" ca="1" si="51">AA171</f>
        <v>40048818.465702504</v>
      </c>
      <c r="M171" s="334">
        <f t="shared" ref="M171" ca="1" si="52">L171*K171</f>
        <v>0</v>
      </c>
      <c r="N171" s="335"/>
      <c r="O171" s="181"/>
      <c r="P171" s="413">
        <f ca="1">IF(IFERROR(VLOOKUP(C171,APU!H:N,4,0),0),VLOOKUP(C171,APU!H:N,4,0),0)*500</f>
        <v>25945037.475000001</v>
      </c>
      <c r="Q171" s="413">
        <f ca="1">IF(IFERROR(VLOOKUP(C171,APU!H:N,5,0),0),VLOOKUP(C171,APU!H:N,5,0),0)*500</f>
        <v>4874531.2</v>
      </c>
      <c r="R171" s="413">
        <f ca="1">IF(IFERROR(VLOOKUP(C171,APU!H:N,6,0),0),VLOOKUP(C171,APU!H:N,6,0),0)*500</f>
        <v>552873.875</v>
      </c>
      <c r="S171" s="413">
        <f ca="1">IF(IFERROR(VLOOKUP(C171,APU!H:N,7,0),0),VLOOKUP(C171,APU!H:N,7,0),0)*500</f>
        <v>400000</v>
      </c>
      <c r="T171" s="179"/>
      <c r="U171" s="413">
        <f t="shared" ref="U171" ca="1" si="53">(P171+Q171+R171+S171)*$U$14</f>
        <v>2541795.4040000001</v>
      </c>
      <c r="V171" s="413">
        <f t="shared" ref="V171" ca="1" si="54">(P171+Q171+R171+S171)*$V$14</f>
        <v>2541795.4040000001</v>
      </c>
      <c r="W171" s="413">
        <f t="shared" ref="W171" ca="1" si="55">(Q171+R171+S171)*$W$14</f>
        <v>58274.050750000002</v>
      </c>
      <c r="X171" s="413">
        <f t="shared" ref="X171" ca="1" si="56">(P171+Q171+R171+S171)*$X$14</f>
        <v>635448.85100000002</v>
      </c>
      <c r="Y171" s="413">
        <f t="shared" ca="1" si="38"/>
        <v>1372569.5181600002</v>
      </c>
      <c r="Z171" s="413">
        <f ca="1">(P171+Q171+U171+V171+W171+X171+R171+S171)*$Z$14</f>
        <v>1126492.6877925002</v>
      </c>
      <c r="AA171" s="413">
        <f t="shared" ca="1" si="39"/>
        <v>40048818.465702504</v>
      </c>
      <c r="AB171" s="413">
        <f ca="1">V171*$AB$14</f>
        <v>482941.12676000001</v>
      </c>
      <c r="AC171" s="413">
        <f ca="1">AA171*K171</f>
        <v>0</v>
      </c>
      <c r="AD171" s="413">
        <f ca="1">AB171*K171</f>
        <v>0</v>
      </c>
    </row>
    <row r="172" spans="2:30" s="168" customFormat="1" ht="30.75" hidden="1" customHeight="1">
      <c r="B172" s="329"/>
      <c r="C172" s="361">
        <v>3.39</v>
      </c>
      <c r="D172" s="485" t="s">
        <v>4998</v>
      </c>
      <c r="E172" s="486"/>
      <c r="F172" s="486"/>
      <c r="G172" s="486"/>
      <c r="H172" s="486"/>
      <c r="I172" s="487"/>
      <c r="J172" s="361" t="s">
        <v>4128</v>
      </c>
      <c r="K172" s="363"/>
      <c r="L172" s="333">
        <f t="shared" ca="1" si="45"/>
        <v>10029018.133105</v>
      </c>
      <c r="M172" s="334">
        <f t="shared" ca="1" si="46"/>
        <v>0</v>
      </c>
      <c r="N172" s="335"/>
      <c r="O172" s="181"/>
      <c r="P172" s="413">
        <f ca="1">IF(IFERROR(VLOOKUP(C172,APU!H:N,4,0),0),VLOOKUP(C172,APU!H:N,4,0),0)*500</f>
        <v>4617200</v>
      </c>
      <c r="Q172" s="413">
        <f ca="1">IF(IFERROR(VLOOKUP(C172,APU!H:N,5,0),0),VLOOKUP(C172,APU!H:N,5,0),0)*500</f>
        <v>2626131.2000000002</v>
      </c>
      <c r="R172" s="413">
        <f ca="1">IF(IFERROR(VLOOKUP(C172,APU!H:N,6,0),0),VLOOKUP(C172,APU!H:N,6,0),0)*500</f>
        <v>297858.25</v>
      </c>
      <c r="S172" s="413">
        <f ca="1">IF(IFERROR(VLOOKUP(C172,APU!H:N,7,0),0),VLOOKUP(C172,APU!H:N,7,0),0)*500</f>
        <v>400000</v>
      </c>
      <c r="T172" s="179"/>
      <c r="U172" s="413">
        <f t="shared" ca="1" si="47"/>
        <v>635295.15600000008</v>
      </c>
      <c r="V172" s="413">
        <f t="shared" ca="1" si="48"/>
        <v>635295.15600000008</v>
      </c>
      <c r="W172" s="413">
        <f t="shared" ca="1" si="49"/>
        <v>33239.894500000002</v>
      </c>
      <c r="X172" s="413">
        <f t="shared" ca="1" si="50"/>
        <v>158823.78900000002</v>
      </c>
      <c r="Y172" s="413">
        <f t="shared" ca="1" si="38"/>
        <v>343059.38424000004</v>
      </c>
      <c r="Z172" s="413">
        <f ca="1">(P172+Q172+U172+V172+W172+X172+R172+S172)*$Z$14</f>
        <v>282115.30336500006</v>
      </c>
      <c r="AA172" s="413">
        <f t="shared" ca="1" si="39"/>
        <v>10029018.133105</v>
      </c>
      <c r="AB172" s="413">
        <f ca="1">V172*$AB$14</f>
        <v>120706.07964000001</v>
      </c>
      <c r="AC172" s="413">
        <f ca="1">AA172*K172</f>
        <v>0</v>
      </c>
      <c r="AD172" s="413">
        <f ca="1">AB172*K172</f>
        <v>0</v>
      </c>
    </row>
    <row r="173" spans="2:30" s="168" customFormat="1" ht="30.75" hidden="1" customHeight="1">
      <c r="B173" s="329"/>
      <c r="C173" s="361" t="s">
        <v>4997</v>
      </c>
      <c r="D173" s="485" t="s">
        <v>4999</v>
      </c>
      <c r="E173" s="486"/>
      <c r="F173" s="486"/>
      <c r="G173" s="486"/>
      <c r="H173" s="486"/>
      <c r="I173" s="487"/>
      <c r="J173" s="361" t="s">
        <v>4128</v>
      </c>
      <c r="K173" s="363"/>
      <c r="L173" s="333">
        <f t="shared" ref="L173" ca="1" si="57">AA173</f>
        <v>12635075.293104999</v>
      </c>
      <c r="M173" s="334">
        <f t="shared" ref="M173" ca="1" si="58">L173*K173</f>
        <v>0</v>
      </c>
      <c r="N173" s="335"/>
      <c r="O173" s="181"/>
      <c r="P173" s="413">
        <f ca="1">IF(IFERROR(VLOOKUP(C173,APU!H:N,4,0),0),VLOOKUP(C173,APU!H:N,4,0),0)*500</f>
        <v>6687800</v>
      </c>
      <c r="Q173" s="413">
        <f ca="1">IF(IFERROR(VLOOKUP(C173,APU!H:N,5,0),0),VLOOKUP(C173,APU!H:N,5,0),0)*500</f>
        <v>2626131.2000000002</v>
      </c>
      <c r="R173" s="413">
        <f ca="1">IF(IFERROR(VLOOKUP(C173,APU!H:N,6,0),0),VLOOKUP(C173,APU!H:N,6,0),0)*500</f>
        <v>297858.25</v>
      </c>
      <c r="S173" s="413">
        <f ca="1">IF(IFERROR(VLOOKUP(C173,APU!H:N,7,0),0),VLOOKUP(C173,APU!H:N,7,0),0)*500</f>
        <v>400000</v>
      </c>
      <c r="T173" s="179"/>
      <c r="U173" s="413">
        <f t="shared" ref="U173" ca="1" si="59">(P173+Q173+R173+S173)*$U$14</f>
        <v>800943.15599999996</v>
      </c>
      <c r="V173" s="413">
        <f t="shared" ref="V173" ca="1" si="60">(P173+Q173+R173+S173)*$V$14</f>
        <v>800943.15599999996</v>
      </c>
      <c r="W173" s="413">
        <f t="shared" ref="W173" ca="1" si="61">(Q173+R173+S173)*$W$14</f>
        <v>33239.894500000002</v>
      </c>
      <c r="X173" s="413">
        <f t="shared" ref="X173" ca="1" si="62">(P173+Q173+R173+S173)*$X$14</f>
        <v>200235.78899999999</v>
      </c>
      <c r="Y173" s="413">
        <f t="shared" ca="1" si="38"/>
        <v>432509.30423999997</v>
      </c>
      <c r="Z173" s="413">
        <f ca="1">(P173+Q173+U173+V173+W173+X173+R173+S173)*$Z$14</f>
        <v>355414.54336499999</v>
      </c>
      <c r="AA173" s="413">
        <f t="shared" ca="1" si="39"/>
        <v>12635075.293104999</v>
      </c>
      <c r="AB173" s="413">
        <f ca="1">V173*$AB$14</f>
        <v>152179.19964000001</v>
      </c>
      <c r="AC173" s="413">
        <f ca="1">AA173*K173</f>
        <v>0</v>
      </c>
      <c r="AD173" s="413">
        <f ca="1">AB173*K173</f>
        <v>0</v>
      </c>
    </row>
    <row r="174" spans="2:30" s="168" customFormat="1" ht="30.75" hidden="1" customHeight="1">
      <c r="B174" s="329"/>
      <c r="C174" s="361">
        <v>3.41</v>
      </c>
      <c r="D174" s="485" t="s">
        <v>5000</v>
      </c>
      <c r="E174" s="486"/>
      <c r="F174" s="486"/>
      <c r="G174" s="486"/>
      <c r="H174" s="486"/>
      <c r="I174" s="487"/>
      <c r="J174" s="361" t="s">
        <v>4128</v>
      </c>
      <c r="K174" s="363"/>
      <c r="L174" s="333">
        <f t="shared" ca="1" si="45"/>
        <v>26642829.306189999</v>
      </c>
      <c r="M174" s="334">
        <f t="shared" ca="1" si="46"/>
        <v>0</v>
      </c>
      <c r="N174" s="335"/>
      <c r="O174" s="181"/>
      <c r="P174" s="413">
        <f ca="1">IF(IFERROR(VLOOKUP(C174,APU!H:N,4,0),0),VLOOKUP(C174,APU!H:N,4,0),0)*500</f>
        <v>16969400</v>
      </c>
      <c r="Q174" s="413">
        <f ca="1">IF(IFERROR(VLOOKUP(C174,APU!H:N,5,0),0),VLOOKUP(C174,APU!H:N,5,0),0)*500</f>
        <v>3381593.5999999996</v>
      </c>
      <c r="R174" s="413">
        <f ca="1">IF(IFERROR(VLOOKUP(C174,APU!H:N,6,0),0),VLOOKUP(C174,APU!H:N,6,0),0)*500</f>
        <v>383543.5</v>
      </c>
      <c r="S174" s="413">
        <f ca="1">IF(IFERROR(VLOOKUP(C174,APU!H:N,7,0),0),VLOOKUP(C174,APU!H:N,7,0),0)*500</f>
        <v>400000</v>
      </c>
      <c r="T174" s="179"/>
      <c r="U174" s="413">
        <f t="shared" ca="1" si="47"/>
        <v>1690762.9680000001</v>
      </c>
      <c r="V174" s="413">
        <f t="shared" ca="1" si="48"/>
        <v>1690762.9680000001</v>
      </c>
      <c r="W174" s="413">
        <f t="shared" ca="1" si="49"/>
        <v>41651.370999999999</v>
      </c>
      <c r="X174" s="413">
        <f t="shared" ca="1" si="50"/>
        <v>422690.74200000003</v>
      </c>
      <c r="Y174" s="413">
        <f t="shared" ca="1" si="38"/>
        <v>913012.00271999987</v>
      </c>
      <c r="Z174" s="413">
        <f ca="1">(P174+Q174+U174+V174+W174+X174+R174+S174)*$Z$14</f>
        <v>749412.15446999983</v>
      </c>
      <c r="AA174" s="413">
        <f t="shared" ca="1" si="39"/>
        <v>26642829.306189999</v>
      </c>
      <c r="AB174" s="413">
        <f ca="1">V174*$AB$14</f>
        <v>321244.96392000001</v>
      </c>
      <c r="AC174" s="413">
        <f ca="1">AA174*K174</f>
        <v>0</v>
      </c>
      <c r="AD174" s="413">
        <f ca="1">AB174*K174</f>
        <v>0</v>
      </c>
    </row>
    <row r="175" spans="2:30" s="168" customFormat="1" ht="30.75" hidden="1" customHeight="1">
      <c r="B175" s="329"/>
      <c r="C175" s="361">
        <v>3.42</v>
      </c>
      <c r="D175" s="485" t="s">
        <v>5001</v>
      </c>
      <c r="E175" s="486"/>
      <c r="F175" s="486"/>
      <c r="G175" s="486"/>
      <c r="H175" s="486"/>
      <c r="I175" s="487"/>
      <c r="J175" s="361" t="s">
        <v>4128</v>
      </c>
      <c r="K175" s="363"/>
      <c r="L175" s="333">
        <f t="shared" ca="1" si="45"/>
        <v>44579188.406582497</v>
      </c>
      <c r="M175" s="334">
        <f t="shared" ca="1" si="46"/>
        <v>0</v>
      </c>
      <c r="N175" s="335"/>
      <c r="O175" s="181"/>
      <c r="P175" s="413">
        <f ca="1">IF(IFERROR(VLOOKUP(C175,APU!H:N,4,0),0),VLOOKUP(C175,APU!H:N,4,0),0)*500</f>
        <v>30392600.000000004</v>
      </c>
      <c r="Q175" s="413">
        <f ca="1">IF(IFERROR(VLOOKUP(C175,APU!H:N,5,0),0),VLOOKUP(C175,APU!H:N,5,0),0)*500</f>
        <v>4119068.8</v>
      </c>
      <c r="R175" s="413">
        <f ca="1">IF(IFERROR(VLOOKUP(C175,APU!H:N,6,0),0),VLOOKUP(C175,APU!H:N,6,0),0)*500</f>
        <v>467188.625</v>
      </c>
      <c r="S175" s="413">
        <f ca="1">IF(IFERROR(VLOOKUP(C175,APU!H:N,7,0),0),VLOOKUP(C175,APU!H:N,7,0),0)*500</f>
        <v>400000</v>
      </c>
      <c r="T175" s="179"/>
      <c r="U175" s="413">
        <f t="shared" ca="1" si="47"/>
        <v>2830308.5940000005</v>
      </c>
      <c r="V175" s="413">
        <f t="shared" ca="1" si="48"/>
        <v>2830308.5940000005</v>
      </c>
      <c r="W175" s="413">
        <f t="shared" ca="1" si="49"/>
        <v>49862.574249999998</v>
      </c>
      <c r="X175" s="413">
        <f t="shared" ca="1" si="50"/>
        <v>707577.14850000013</v>
      </c>
      <c r="Y175" s="413">
        <f t="shared" ca="1" si="38"/>
        <v>1528366.6407600001</v>
      </c>
      <c r="Z175" s="413">
        <f ca="1">(P175+Q175+U175+V175+W175+X175+R175+S175)*$Z$14</f>
        <v>1253907.4300725001</v>
      </c>
      <c r="AA175" s="413">
        <f t="shared" ca="1" si="39"/>
        <v>44579188.406582497</v>
      </c>
      <c r="AB175" s="413">
        <f ca="1">V175*$AB$14</f>
        <v>537758.63286000013</v>
      </c>
      <c r="AC175" s="413">
        <f ca="1">AA175*K175</f>
        <v>0</v>
      </c>
      <c r="AD175" s="413">
        <f ca="1">AB175*K175</f>
        <v>0</v>
      </c>
    </row>
    <row r="176" spans="2:30" s="168" customFormat="1" ht="30.75" hidden="1" customHeight="1">
      <c r="B176" s="329"/>
      <c r="C176" s="361">
        <v>3.43</v>
      </c>
      <c r="D176" s="485" t="s">
        <v>5004</v>
      </c>
      <c r="E176" s="486"/>
      <c r="F176" s="486"/>
      <c r="G176" s="486"/>
      <c r="H176" s="486"/>
      <c r="I176" s="487"/>
      <c r="J176" s="361" t="s">
        <v>4128</v>
      </c>
      <c r="K176" s="363"/>
      <c r="L176" s="333">
        <f t="shared" ca="1" si="45"/>
        <v>6890745.5758774998</v>
      </c>
      <c r="M176" s="334">
        <f t="shared" ca="1" si="46"/>
        <v>0</v>
      </c>
      <c r="N176" s="335"/>
      <c r="O176" s="181"/>
      <c r="P176" s="413">
        <f ca="1">IF(IFERROR(VLOOKUP(C176,APU!H:N,4,0),0),VLOOKUP(C176,APU!H:N,4,0),0)*500</f>
        <v>3395783.9999999995</v>
      </c>
      <c r="Q176" s="413">
        <f ca="1">IF(IFERROR(VLOOKUP(C176,APU!H:N,5,0),0),VLOOKUP(C176,APU!H:N,5,0),0)*500</f>
        <v>1492937.6</v>
      </c>
      <c r="R176" s="413">
        <f ca="1">IF(IFERROR(VLOOKUP(C176,APU!H:N,6,0),0),VLOOKUP(C176,APU!H:N,6,0),0)*500</f>
        <v>169330.375</v>
      </c>
      <c r="S176" s="413">
        <f ca="1">IF(IFERROR(VLOOKUP(C176,APU!H:N,7,0),0),VLOOKUP(C176,APU!H:N,7,0),0)*500</f>
        <v>400000</v>
      </c>
      <c r="T176" s="179"/>
      <c r="U176" s="413">
        <f t="shared" ca="1" si="47"/>
        <v>436644.158</v>
      </c>
      <c r="V176" s="413">
        <f t="shared" ca="1" si="48"/>
        <v>436644.158</v>
      </c>
      <c r="W176" s="413">
        <f t="shared" ca="1" si="49"/>
        <v>20622.679750000003</v>
      </c>
      <c r="X176" s="413">
        <f t="shared" ca="1" si="50"/>
        <v>109161.0395</v>
      </c>
      <c r="Y176" s="413">
        <f t="shared" ca="1" si="38"/>
        <v>235787.84531999999</v>
      </c>
      <c r="Z176" s="413">
        <f ca="1">(P176+Q176+U176+V176+W176+X176+R176+S176)*$Z$14</f>
        <v>193833.72030749999</v>
      </c>
      <c r="AA176" s="413">
        <f t="shared" ca="1" si="39"/>
        <v>6890745.5758774998</v>
      </c>
      <c r="AB176" s="413">
        <f ca="1">V176*$AB$14</f>
        <v>82962.390020000006</v>
      </c>
      <c r="AC176" s="413">
        <f ca="1">AA176*K176</f>
        <v>0</v>
      </c>
      <c r="AD176" s="413">
        <f ca="1">AB176*K176</f>
        <v>0</v>
      </c>
    </row>
    <row r="177" spans="2:30" s="168" customFormat="1" ht="30.75" hidden="1" customHeight="1">
      <c r="B177" s="329"/>
      <c r="C177" s="361">
        <v>3.44</v>
      </c>
      <c r="D177" s="485" t="s">
        <v>5005</v>
      </c>
      <c r="E177" s="486"/>
      <c r="F177" s="486"/>
      <c r="G177" s="486"/>
      <c r="H177" s="486"/>
      <c r="I177" s="487"/>
      <c r="J177" s="361" t="s">
        <v>4128</v>
      </c>
      <c r="K177" s="363"/>
      <c r="L177" s="333">
        <f t="shared" ca="1" si="45"/>
        <v>13755035.339899998</v>
      </c>
      <c r="M177" s="334">
        <f t="shared" ca="1" si="46"/>
        <v>0</v>
      </c>
      <c r="N177" s="335"/>
      <c r="O177" s="181"/>
      <c r="P177" s="413">
        <f ca="1">IF(IFERROR(VLOOKUP(C177,APU!H:N,4,0),0),VLOOKUP(C177,APU!H:N,4,0),0)*500</f>
        <v>6325790.1000000006</v>
      </c>
      <c r="Q177" s="413">
        <f ca="1">IF(IFERROR(VLOOKUP(C177,APU!H:N,5,0),0),VLOOKUP(C177,APU!H:N,5,0),0)*500</f>
        <v>3741337.5999999996</v>
      </c>
      <c r="R177" s="413">
        <f ca="1">IF(IFERROR(VLOOKUP(C177,APU!H:N,6,0),0),VLOOKUP(C177,APU!H:N,6,0),0)*500</f>
        <v>424346</v>
      </c>
      <c r="S177" s="413">
        <f ca="1">IF(IFERROR(VLOOKUP(C177,APU!H:N,7,0),0),VLOOKUP(C177,APU!H:N,7,0),0)*500</f>
        <v>400000</v>
      </c>
      <c r="T177" s="179"/>
      <c r="U177" s="413">
        <f t="shared" ca="1" si="47"/>
        <v>871317.89599999995</v>
      </c>
      <c r="V177" s="413">
        <f t="shared" ca="1" si="48"/>
        <v>871317.89599999995</v>
      </c>
      <c r="W177" s="413">
        <f t="shared" ca="1" si="49"/>
        <v>45656.835999999996</v>
      </c>
      <c r="X177" s="413">
        <f t="shared" ca="1" si="50"/>
        <v>217829.47399999999</v>
      </c>
      <c r="Y177" s="413">
        <f t="shared" ca="1" si="38"/>
        <v>470511.66384000005</v>
      </c>
      <c r="Z177" s="413">
        <f ca="1">(P177+Q177+U177+V177+W177+X177+R177+S177)*$Z$14</f>
        <v>386927.87405999989</v>
      </c>
      <c r="AA177" s="413">
        <f t="shared" ca="1" si="39"/>
        <v>13755035.339899998</v>
      </c>
      <c r="AB177" s="413">
        <f ca="1">V177*$AB$14</f>
        <v>165550.40023999999</v>
      </c>
      <c r="AC177" s="413">
        <f ca="1">AA177*K177</f>
        <v>0</v>
      </c>
      <c r="AD177" s="413">
        <f ca="1">AB177*K177</f>
        <v>0</v>
      </c>
    </row>
    <row r="178" spans="2:30" s="168" customFormat="1" ht="30.75" hidden="1" customHeight="1">
      <c r="B178" s="329"/>
      <c r="C178" s="361">
        <v>3.45</v>
      </c>
      <c r="D178" s="485" t="s">
        <v>5018</v>
      </c>
      <c r="E178" s="486"/>
      <c r="F178" s="486"/>
      <c r="G178" s="486"/>
      <c r="H178" s="486"/>
      <c r="I178" s="487"/>
      <c r="J178" s="361" t="s">
        <v>4128</v>
      </c>
      <c r="K178" s="363"/>
      <c r="L178" s="333">
        <f t="shared" ca="1" si="45"/>
        <v>14416497.579127997</v>
      </c>
      <c r="M178" s="334">
        <f t="shared" ca="1" si="46"/>
        <v>0</v>
      </c>
      <c r="N178" s="335"/>
      <c r="O178" s="181"/>
      <c r="P178" s="413">
        <f ca="1">IF(IFERROR(VLOOKUP(C178,APU!H:N,4,0),0),VLOOKUP(C178,APU!H:N,4,0),0)*500</f>
        <v>6851344.0799999991</v>
      </c>
      <c r="Q178" s="413">
        <f ca="1">IF(IFERROR(VLOOKUP(C178,APU!H:N,5,0),0),VLOOKUP(C178,APU!H:N,5,0),0)*500</f>
        <v>3741337.5999999996</v>
      </c>
      <c r="R178" s="413">
        <f ca="1">IF(IFERROR(VLOOKUP(C178,APU!H:N,6,0),0),VLOOKUP(C178,APU!H:N,6,0),0)*500</f>
        <v>424346</v>
      </c>
      <c r="S178" s="413">
        <f ca="1">IF(IFERROR(VLOOKUP(C178,APU!H:N,7,0),0),VLOOKUP(C178,APU!H:N,7,0),0)*500</f>
        <v>400000</v>
      </c>
      <c r="T178" s="179"/>
      <c r="U178" s="413">
        <f t="shared" ca="1" si="47"/>
        <v>913362.21439999994</v>
      </c>
      <c r="V178" s="413">
        <f t="shared" ca="1" si="48"/>
        <v>913362.21439999994</v>
      </c>
      <c r="W178" s="413">
        <f t="shared" ca="1" si="49"/>
        <v>45656.835999999996</v>
      </c>
      <c r="X178" s="413">
        <f t="shared" ca="1" si="50"/>
        <v>228340.55359999998</v>
      </c>
      <c r="Y178" s="413">
        <f t="shared" ca="1" si="38"/>
        <v>493215.59577599994</v>
      </c>
      <c r="Z178" s="413">
        <f ca="1">(P178+Q178+U178+V178+W178+X178+R178+S178)*$Z$14</f>
        <v>405532.48495200003</v>
      </c>
      <c r="AA178" s="413">
        <f t="shared" ca="1" si="39"/>
        <v>14416497.579127997</v>
      </c>
      <c r="AB178" s="413">
        <f ca="1">V178*$AB$14</f>
        <v>173538.82073599999</v>
      </c>
      <c r="AC178" s="413">
        <f ca="1">AA178*K178</f>
        <v>0</v>
      </c>
      <c r="AD178" s="413">
        <f ca="1">AB178*K178</f>
        <v>0</v>
      </c>
    </row>
    <row r="179" spans="2:30" s="168" customFormat="1" ht="30.75" hidden="1" customHeight="1">
      <c r="B179" s="329"/>
      <c r="C179" s="361">
        <v>3.46</v>
      </c>
      <c r="D179" s="485" t="s">
        <v>5019</v>
      </c>
      <c r="E179" s="486"/>
      <c r="F179" s="486"/>
      <c r="G179" s="486"/>
      <c r="H179" s="486"/>
      <c r="I179" s="487"/>
      <c r="J179" s="361" t="s">
        <v>4128</v>
      </c>
      <c r="K179" s="363"/>
      <c r="L179" s="333">
        <f t="shared" ca="1" si="40"/>
        <v>12027316.795529999</v>
      </c>
      <c r="M179" s="334">
        <f t="shared" ca="1" si="37"/>
        <v>0</v>
      </c>
      <c r="N179" s="335"/>
      <c r="O179" s="181"/>
      <c r="P179" s="413">
        <f ca="1">IF(IFERROR(VLOOKUP(C179,APU!H:N,4,0),0),VLOOKUP(C179,APU!H:N,4,0),0)*500</f>
        <v>4953059.6499999994</v>
      </c>
      <c r="Q179" s="413">
        <f ca="1">IF(IFERROR(VLOOKUP(C179,APU!H:N,5,0),0),VLOOKUP(C179,APU!H:N,5,0),0)*500</f>
        <v>3741337.5999999996</v>
      </c>
      <c r="R179" s="413">
        <f ca="1">IF(IFERROR(VLOOKUP(C179,APU!H:N,6,0),0),VLOOKUP(C179,APU!H:N,6,0),0)*500</f>
        <v>424346</v>
      </c>
      <c r="S179" s="413">
        <f ca="1">IF(IFERROR(VLOOKUP(C179,APU!H:N,7,0),0),VLOOKUP(C179,APU!H:N,7,0),0)*500</f>
        <v>400000</v>
      </c>
      <c r="T179" s="179"/>
      <c r="U179" s="413">
        <f t="shared" ca="1" si="41"/>
        <v>761499.46</v>
      </c>
      <c r="V179" s="413">
        <f t="shared" ca="1" si="42"/>
        <v>761499.46</v>
      </c>
      <c r="W179" s="413">
        <f t="shared" ca="1" si="43"/>
        <v>45656.835999999996</v>
      </c>
      <c r="X179" s="413">
        <f t="shared" ca="1" si="44"/>
        <v>190374.86499999999</v>
      </c>
      <c r="Y179" s="413">
        <f t="shared" ca="1" si="38"/>
        <v>411209.70839999994</v>
      </c>
      <c r="Z179" s="413">
        <f ca="1">(P179+Q179+U179+V179+W179+X179+R179+S179)*$Z$14</f>
        <v>338333.21613000002</v>
      </c>
      <c r="AA179" s="413">
        <f t="shared" ca="1" si="39"/>
        <v>12027316.795529999</v>
      </c>
      <c r="AB179" s="413">
        <f ca="1">V179*$AB$14</f>
        <v>144684.89739999999</v>
      </c>
      <c r="AC179" s="413">
        <f ca="1">AA179*K179</f>
        <v>0</v>
      </c>
      <c r="AD179" s="413">
        <f ca="1">AB179*K179</f>
        <v>0</v>
      </c>
    </row>
    <row r="180" spans="2:30" s="168" customFormat="1" ht="18.75">
      <c r="B180" s="329"/>
      <c r="C180" s="367">
        <v>4</v>
      </c>
      <c r="D180" s="495" t="s">
        <v>4654</v>
      </c>
      <c r="E180" s="496"/>
      <c r="F180" s="496"/>
      <c r="G180" s="496"/>
      <c r="H180" s="496"/>
      <c r="I180" s="497"/>
      <c r="J180" s="368"/>
      <c r="K180" s="369"/>
      <c r="L180" s="369"/>
      <c r="M180" s="369"/>
      <c r="N180" s="335"/>
      <c r="O180" s="181"/>
      <c r="P180" s="413">
        <f ca="1">IF(IFERROR(VLOOKUP(C180,APU!H:N,4,0),0),VLOOKUP(C180,APU!H:N,4,0),0)</f>
        <v>0</v>
      </c>
      <c r="Q180" s="413">
        <f ca="1">IF(IFERROR(VLOOKUP(C180,APU!H:N,5,0),0),VLOOKUP(C180,APU!H:N,5,0),0)</f>
        <v>0</v>
      </c>
      <c r="R180" s="413">
        <f ca="1">IF(IFERROR(VLOOKUP(C180,APU!H:N,6,0),0),VLOOKUP(C180,APU!H:N,6,0),0)</f>
        <v>0</v>
      </c>
      <c r="S180" s="413">
        <f ca="1">IF(IFERROR(VLOOKUP(C180,APU!H:N,7,0),0),VLOOKUP(C180,APU!H:N,7,0),0)</f>
        <v>0</v>
      </c>
      <c r="T180" s="179"/>
      <c r="U180" s="413">
        <f t="shared" ca="1" si="41"/>
        <v>0</v>
      </c>
      <c r="V180" s="413">
        <f t="shared" ca="1" si="42"/>
        <v>0</v>
      </c>
      <c r="W180" s="413">
        <f t="shared" ca="1" si="43"/>
        <v>0</v>
      </c>
      <c r="X180" s="413">
        <f t="shared" ca="1" si="44"/>
        <v>0</v>
      </c>
      <c r="Y180" s="413">
        <f t="shared" ca="1" si="38"/>
        <v>0</v>
      </c>
      <c r="Z180" s="413">
        <f ca="1">(P180+Q180+U180+V180+W180+X180+R180+S180)*$Z$14</f>
        <v>0</v>
      </c>
      <c r="AA180" s="413">
        <f t="shared" ca="1" si="39"/>
        <v>0</v>
      </c>
      <c r="AB180" s="413">
        <f ca="1">V180*$AB$14</f>
        <v>0</v>
      </c>
      <c r="AC180" s="413">
        <f ca="1">AA180*K180</f>
        <v>0</v>
      </c>
      <c r="AD180" s="413">
        <f ca="1">AB180*K180</f>
        <v>0</v>
      </c>
    </row>
    <row r="181" spans="2:30" s="168" customFormat="1" ht="24.75" hidden="1" customHeight="1">
      <c r="B181" s="329"/>
      <c r="C181" s="361">
        <v>4.0999999999999996</v>
      </c>
      <c r="D181" s="485" t="s">
        <v>4655</v>
      </c>
      <c r="E181" s="486"/>
      <c r="F181" s="486"/>
      <c r="G181" s="486"/>
      <c r="H181" s="486"/>
      <c r="I181" s="487"/>
      <c r="J181" s="331" t="s">
        <v>4128</v>
      </c>
      <c r="K181" s="332"/>
      <c r="L181" s="333">
        <f t="shared" ca="1" si="40"/>
        <v>9367269.2545605004</v>
      </c>
      <c r="M181" s="334">
        <f t="shared" ca="1" si="37"/>
        <v>0</v>
      </c>
      <c r="N181" s="335"/>
      <c r="O181" s="181"/>
      <c r="P181" s="413">
        <f ca="1">IF(IFERROR(VLOOKUP(C181,APU!H:N,4,0),0),VLOOKUP(C181,APU!H:N,4,0),0)</f>
        <v>6642933.4299999997</v>
      </c>
      <c r="Q181" s="413">
        <f ca="1">IF(IFERROR(VLOOKUP(C181,APU!H:N,5,0),0),VLOOKUP(C181,APU!H:N,5,0),0)</f>
        <v>172770</v>
      </c>
      <c r="R181" s="413">
        <f ca="1">IF(IFERROR(VLOOKUP(C181,APU!H:N,6,0),0),VLOOKUP(C181,APU!H:N,6,0),0)</f>
        <v>604415.625</v>
      </c>
      <c r="S181" s="413">
        <f ca="1">IF(IFERROR(VLOOKUP(C181,APU!H:N,7,0),0),VLOOKUP(C181,APU!H:N,7,0),0)</f>
        <v>16000</v>
      </c>
      <c r="T181" s="179"/>
      <c r="U181" s="413">
        <f t="shared" ca="1" si="41"/>
        <v>594889.52439999999</v>
      </c>
      <c r="V181" s="413">
        <f t="shared" ca="1" si="42"/>
        <v>594889.52439999999</v>
      </c>
      <c r="W181" s="413">
        <f t="shared" ca="1" si="43"/>
        <v>7931.8562499999998</v>
      </c>
      <c r="X181" s="413">
        <f t="shared" ca="1" si="44"/>
        <v>148722.3811</v>
      </c>
      <c r="Y181" s="413">
        <f t="shared" ca="1" si="38"/>
        <v>321240.34317599999</v>
      </c>
      <c r="Z181" s="413">
        <f ca="1">(P181+Q181+U181+V181+W181+X181+R181+S181)*$Z$14</f>
        <v>263476.57023449993</v>
      </c>
      <c r="AA181" s="413">
        <f t="shared" ca="1" si="39"/>
        <v>9367269.2545605004</v>
      </c>
      <c r="AB181" s="413">
        <f ca="1">V181*$AB$14</f>
        <v>113029.009636</v>
      </c>
      <c r="AC181" s="413">
        <f ca="1">AA181*K181</f>
        <v>0</v>
      </c>
      <c r="AD181" s="413">
        <f ca="1">AB181*K181</f>
        <v>0</v>
      </c>
    </row>
    <row r="182" spans="2:30" s="168" customFormat="1" ht="18.75">
      <c r="B182" s="329"/>
      <c r="C182" s="361">
        <v>4.2</v>
      </c>
      <c r="D182" s="485" t="s">
        <v>5009</v>
      </c>
      <c r="E182" s="486" t="s">
        <v>4728</v>
      </c>
      <c r="F182" s="486" t="s">
        <v>4728</v>
      </c>
      <c r="G182" s="486" t="s">
        <v>4728</v>
      </c>
      <c r="H182" s="486" t="s">
        <v>4728</v>
      </c>
      <c r="I182" s="487" t="s">
        <v>4728</v>
      </c>
      <c r="J182" s="331" t="s">
        <v>4128</v>
      </c>
      <c r="K182" s="332">
        <v>1</v>
      </c>
      <c r="L182" s="333">
        <f t="shared" ca="1" si="40"/>
        <v>1167447.5447960501</v>
      </c>
      <c r="M182" s="334">
        <f t="shared" ca="1" si="37"/>
        <v>1167447.5447960501</v>
      </c>
      <c r="N182" s="335"/>
      <c r="O182" s="181"/>
      <c r="P182" s="413">
        <f ca="1">IF(IFERROR(VLOOKUP(C182,APU!H:N,4,0),0),VLOOKUP(C182,APU!H:N,4,0),0)</f>
        <v>851179.86800000002</v>
      </c>
      <c r="Q182" s="413">
        <f ca="1">IF(IFERROR(VLOOKUP(C182,APU!H:N,5,0),0),VLOOKUP(C182,APU!H:N,5,0),0)</f>
        <v>54051</v>
      </c>
      <c r="R182" s="413">
        <f ca="1">IF(IFERROR(VLOOKUP(C182,APU!H:N,6,0),0),VLOOKUP(C182,APU!H:N,6,0),0)</f>
        <v>5725.3125</v>
      </c>
      <c r="S182" s="413">
        <f ca="1">IF(IFERROR(VLOOKUP(C182,APU!H:N,7,0),0),VLOOKUP(C182,APU!H:N,7,0),0)</f>
        <v>16000</v>
      </c>
      <c r="T182" s="179"/>
      <c r="U182" s="413">
        <f t="shared" ca="1" si="41"/>
        <v>74156.494440000009</v>
      </c>
      <c r="V182" s="413">
        <f t="shared" ca="1" si="42"/>
        <v>74156.494440000009</v>
      </c>
      <c r="W182" s="413">
        <f t="shared" ca="1" si="43"/>
        <v>757.76312500000006</v>
      </c>
      <c r="X182" s="413">
        <f t="shared" ca="1" si="44"/>
        <v>18539.123610000002</v>
      </c>
      <c r="Y182" s="413">
        <f t="shared" ca="1" si="38"/>
        <v>40044.506997600001</v>
      </c>
      <c r="Z182" s="413">
        <f ca="1">(P182+Q182+U182+V182+W182+X182+R182+S182)*$Z$14</f>
        <v>32836.981683450002</v>
      </c>
      <c r="AA182" s="413">
        <f t="shared" ca="1" si="39"/>
        <v>1167447.5447960501</v>
      </c>
      <c r="AB182" s="413">
        <f ca="1">V182*$AB$14</f>
        <v>14089.733943600002</v>
      </c>
      <c r="AC182" s="413">
        <f ca="1">AA182*K182</f>
        <v>1167447.5447960501</v>
      </c>
      <c r="AD182" s="413">
        <f ca="1">AB182*K182</f>
        <v>14089.733943600002</v>
      </c>
    </row>
    <row r="183" spans="2:30" s="168" customFormat="1" ht="18.75" hidden="1">
      <c r="B183" s="329"/>
      <c r="C183" s="361">
        <v>4.3</v>
      </c>
      <c r="D183" s="485" t="s">
        <v>5010</v>
      </c>
      <c r="E183" s="486" t="s">
        <v>4729</v>
      </c>
      <c r="F183" s="486" t="s">
        <v>4729</v>
      </c>
      <c r="G183" s="486" t="s">
        <v>4729</v>
      </c>
      <c r="H183" s="486" t="s">
        <v>4729</v>
      </c>
      <c r="I183" s="487" t="s">
        <v>4729</v>
      </c>
      <c r="J183" s="331" t="s">
        <v>4128</v>
      </c>
      <c r="K183" s="332"/>
      <c r="L183" s="333">
        <f t="shared" ca="1" si="40"/>
        <v>1430633.55693125</v>
      </c>
      <c r="M183" s="334">
        <f t="shared" ca="1" si="37"/>
        <v>0</v>
      </c>
      <c r="N183" s="335"/>
      <c r="O183" s="181"/>
      <c r="P183" s="413">
        <f ca="1">IF(IFERROR(VLOOKUP(C183,APU!H:N,4,0),0),VLOOKUP(C183,APU!H:N,4,0),0)</f>
        <v>1060290</v>
      </c>
      <c r="Q183" s="413">
        <f ca="1">IF(IFERROR(VLOOKUP(C183,APU!H:N,5,0),0),VLOOKUP(C183,APU!H:N,5,0),0)</f>
        <v>54051</v>
      </c>
      <c r="R183" s="413">
        <f ca="1">IF(IFERROR(VLOOKUP(C183,APU!H:N,6,0),0),VLOOKUP(C183,APU!H:N,6,0),0)</f>
        <v>5725.3125</v>
      </c>
      <c r="S183" s="413">
        <f ca="1">IF(IFERROR(VLOOKUP(C183,APU!H:N,7,0),0),VLOOKUP(C183,APU!H:N,7,0),0)</f>
        <v>16000</v>
      </c>
      <c r="T183" s="179"/>
      <c r="U183" s="413">
        <f t="shared" ca="1" si="41"/>
        <v>90885.305000000008</v>
      </c>
      <c r="V183" s="413">
        <f t="shared" ca="1" si="42"/>
        <v>90885.305000000008</v>
      </c>
      <c r="W183" s="413">
        <f t="shared" ca="1" si="43"/>
        <v>757.76312500000006</v>
      </c>
      <c r="X183" s="413">
        <f t="shared" ca="1" si="44"/>
        <v>22721.326250000002</v>
      </c>
      <c r="Y183" s="413">
        <f t="shared" ca="1" si="38"/>
        <v>49078.064699999995</v>
      </c>
      <c r="Z183" s="413">
        <f ca="1">(P183+Q183+U183+V183+W183+X183+R183+S183)*$Z$14</f>
        <v>40239.480356249995</v>
      </c>
      <c r="AA183" s="413">
        <f t="shared" ca="1" si="39"/>
        <v>1430633.55693125</v>
      </c>
      <c r="AB183" s="413">
        <f ca="1">V183*$AB$14</f>
        <v>17268.20795</v>
      </c>
      <c r="AC183" s="413">
        <f ca="1">AA183*K183</f>
        <v>0</v>
      </c>
      <c r="AD183" s="413">
        <f ca="1">AB183*K183</f>
        <v>0</v>
      </c>
    </row>
    <row r="184" spans="2:30" s="168" customFormat="1" ht="26.25" hidden="1" customHeight="1">
      <c r="B184" s="329"/>
      <c r="C184" s="361">
        <v>4.4000000000000004</v>
      </c>
      <c r="D184" s="485" t="s">
        <v>4739</v>
      </c>
      <c r="E184" s="486"/>
      <c r="F184" s="486"/>
      <c r="G184" s="486"/>
      <c r="H184" s="486"/>
      <c r="I184" s="487"/>
      <c r="J184" s="331" t="s">
        <v>4128</v>
      </c>
      <c r="K184" s="332"/>
      <c r="L184" s="333">
        <f t="shared" ca="1" si="40"/>
        <v>11308332.518560501</v>
      </c>
      <c r="M184" s="334">
        <f t="shared" ca="1" si="37"/>
        <v>0</v>
      </c>
      <c r="N184" s="335"/>
      <c r="O184" s="181"/>
      <c r="P184" s="413">
        <f ca="1">IF(IFERROR(VLOOKUP(C184,APU!H:N,4,0),0),VLOOKUP(C184,APU!H:N,4,0),0)</f>
        <v>8185173.4299999997</v>
      </c>
      <c r="Q184" s="413">
        <f ca="1">IF(IFERROR(VLOOKUP(C184,APU!H:N,5,0),0),VLOOKUP(C184,APU!H:N,5,0),0)</f>
        <v>172770</v>
      </c>
      <c r="R184" s="413">
        <f ca="1">IF(IFERROR(VLOOKUP(C184,APU!H:N,6,0),0),VLOOKUP(C184,APU!H:N,6,0),0)</f>
        <v>604415.625</v>
      </c>
      <c r="S184" s="413">
        <f ca="1">IF(IFERROR(VLOOKUP(C184,APU!H:N,7,0),0),VLOOKUP(C184,APU!H:N,7,0),0)</f>
        <v>16000</v>
      </c>
      <c r="T184" s="179"/>
      <c r="U184" s="413">
        <f t="shared" ca="1" si="41"/>
        <v>718268.72439999995</v>
      </c>
      <c r="V184" s="413">
        <f t="shared" ca="1" si="42"/>
        <v>718268.72439999995</v>
      </c>
      <c r="W184" s="413">
        <f t="shared" ca="1" si="43"/>
        <v>7931.8562499999998</v>
      </c>
      <c r="X184" s="413">
        <f t="shared" ca="1" si="44"/>
        <v>179567.18109999999</v>
      </c>
      <c r="Y184" s="413">
        <f t="shared" ca="1" si="38"/>
        <v>387865.11117600003</v>
      </c>
      <c r="Z184" s="413">
        <f ca="1">(P184+Q184+U184+V184+W184+X184+R184+S184)*$Z$14</f>
        <v>318071.86623449996</v>
      </c>
      <c r="AA184" s="413">
        <f t="shared" ca="1" si="39"/>
        <v>11308332.518560501</v>
      </c>
      <c r="AB184" s="413">
        <f ca="1">V184*$AB$14</f>
        <v>136471.05763599998</v>
      </c>
      <c r="AC184" s="413">
        <f ca="1">AA184*K184</f>
        <v>0</v>
      </c>
      <c r="AD184" s="413">
        <f ca="1">AB184*K184</f>
        <v>0</v>
      </c>
    </row>
    <row r="185" spans="2:30" s="168" customFormat="1" ht="24" hidden="1" customHeight="1">
      <c r="B185" s="329"/>
      <c r="C185" s="361">
        <v>4.5</v>
      </c>
      <c r="D185" s="485" t="s">
        <v>4740</v>
      </c>
      <c r="E185" s="486"/>
      <c r="F185" s="486"/>
      <c r="G185" s="486"/>
      <c r="H185" s="486"/>
      <c r="I185" s="487"/>
      <c r="J185" s="331" t="s">
        <v>4128</v>
      </c>
      <c r="K185" s="332"/>
      <c r="L185" s="333">
        <f t="shared" ca="1" si="40"/>
        <v>12199777.055557499</v>
      </c>
      <c r="M185" s="334">
        <f t="shared" ca="1" si="37"/>
        <v>0</v>
      </c>
      <c r="N185" s="335"/>
      <c r="O185" s="181"/>
      <c r="P185" s="413">
        <f ca="1">IF(IFERROR(VLOOKUP(C185,APU!H:N,4,0),0),VLOOKUP(C185,APU!H:N,4,0),0)</f>
        <v>8893456.0749999993</v>
      </c>
      <c r="Q185" s="413">
        <f ca="1">IF(IFERROR(VLOOKUP(C185,APU!H:N,5,0),0),VLOOKUP(C185,APU!H:N,5,0),0)</f>
        <v>172770</v>
      </c>
      <c r="R185" s="413">
        <f ca="1">IF(IFERROR(VLOOKUP(C185,APU!H:N,6,0),0),VLOOKUP(C185,APU!H:N,6,0),0)</f>
        <v>604415.625</v>
      </c>
      <c r="S185" s="413">
        <f ca="1">IF(IFERROR(VLOOKUP(C185,APU!H:N,7,0),0),VLOOKUP(C185,APU!H:N,7,0),0)</f>
        <v>16000</v>
      </c>
      <c r="T185" s="179"/>
      <c r="U185" s="413">
        <f t="shared" ca="1" si="41"/>
        <v>774931.33600000001</v>
      </c>
      <c r="V185" s="413">
        <f t="shared" ca="1" si="42"/>
        <v>774931.33600000001</v>
      </c>
      <c r="W185" s="413">
        <f t="shared" ca="1" si="43"/>
        <v>7931.8562499999998</v>
      </c>
      <c r="X185" s="413">
        <f t="shared" ca="1" si="44"/>
        <v>193732.834</v>
      </c>
      <c r="Y185" s="413">
        <f t="shared" ca="1" si="38"/>
        <v>418462.92143999995</v>
      </c>
      <c r="Z185" s="413">
        <f ca="1">(P185+Q185+U185+V185+W185+X185+R185+S185)*$Z$14</f>
        <v>343145.07186749991</v>
      </c>
      <c r="AA185" s="413">
        <f t="shared" ca="1" si="39"/>
        <v>12199777.055557499</v>
      </c>
      <c r="AB185" s="413">
        <f ca="1">V185*$AB$14</f>
        <v>147236.95384</v>
      </c>
      <c r="AC185" s="413">
        <f ca="1">AA185*K185</f>
        <v>0</v>
      </c>
      <c r="AD185" s="413">
        <f ca="1">AB185*K185</f>
        <v>0</v>
      </c>
    </row>
    <row r="186" spans="2:30" s="168" customFormat="1" ht="18.75" hidden="1">
      <c r="B186" s="329"/>
      <c r="C186" s="361">
        <v>4.5999999999999996</v>
      </c>
      <c r="D186" s="485" t="s">
        <v>4741</v>
      </c>
      <c r="E186" s="486"/>
      <c r="F186" s="486"/>
      <c r="G186" s="486"/>
      <c r="H186" s="486"/>
      <c r="I186" s="487"/>
      <c r="J186" s="331" t="s">
        <v>4128</v>
      </c>
      <c r="K186" s="332"/>
      <c r="L186" s="333">
        <f t="shared" ca="1" si="40"/>
        <v>478939.96769625891</v>
      </c>
      <c r="M186" s="334">
        <f t="shared" ca="1" si="37"/>
        <v>0</v>
      </c>
      <c r="N186" s="335"/>
      <c r="O186" s="181"/>
      <c r="P186" s="413">
        <f ca="1">IF(IFERROR(VLOOKUP(C186,APU!H:N,4,0),0),VLOOKUP(C186,APU!H:N,4,0),0)</f>
        <v>264628.86323999998</v>
      </c>
      <c r="Q186" s="413">
        <f ca="1">IF(IFERROR(VLOOKUP(C186,APU!H:N,5,0),0),VLOOKUP(C186,APU!H:N,5,0),0)</f>
        <v>92162.428799999994</v>
      </c>
      <c r="R186" s="413">
        <f ca="1">IF(IFERROR(VLOOKUP(C186,APU!H:N,6,0),0),VLOOKUP(C186,APU!H:N,6,0),0)</f>
        <v>6801.7767499999991</v>
      </c>
      <c r="S186" s="413">
        <f ca="1">IF(IFERROR(VLOOKUP(C186,APU!H:N,7,0),0),VLOOKUP(C186,APU!H:N,7,0),0)</f>
        <v>16000</v>
      </c>
      <c r="T186" s="179"/>
      <c r="U186" s="413">
        <f t="shared" ca="1" si="41"/>
        <v>30367.445503200001</v>
      </c>
      <c r="V186" s="413">
        <f t="shared" ca="1" si="42"/>
        <v>30367.445503200001</v>
      </c>
      <c r="W186" s="413">
        <f t="shared" ca="1" si="43"/>
        <v>1149.6420555</v>
      </c>
      <c r="X186" s="413">
        <f t="shared" ca="1" si="44"/>
        <v>7591.8613758000001</v>
      </c>
      <c r="Y186" s="413">
        <f t="shared" ca="1" si="38"/>
        <v>16398.420571727998</v>
      </c>
      <c r="Z186" s="413">
        <f ca="1">(P186+Q186+U186+V186+W186+X186+R186+S186)*$Z$14</f>
        <v>13472.083896830998</v>
      </c>
      <c r="AA186" s="413">
        <f t="shared" ca="1" si="39"/>
        <v>478939.96769625891</v>
      </c>
      <c r="AB186" s="413">
        <f ca="1">V186*$AB$14</f>
        <v>5769.8146456080003</v>
      </c>
      <c r="AC186" s="413">
        <f ca="1">AA186*K186</f>
        <v>0</v>
      </c>
      <c r="AD186" s="413">
        <f ca="1">AB186*K186</f>
        <v>0</v>
      </c>
    </row>
    <row r="187" spans="2:30" s="168" customFormat="1" ht="27.75" customHeight="1">
      <c r="B187" s="329"/>
      <c r="C187" s="361">
        <v>4.7</v>
      </c>
      <c r="D187" s="485" t="s">
        <v>4790</v>
      </c>
      <c r="E187" s="486"/>
      <c r="F187" s="486"/>
      <c r="G187" s="486"/>
      <c r="H187" s="486"/>
      <c r="I187" s="487"/>
      <c r="J187" s="331" t="s">
        <v>4128</v>
      </c>
      <c r="K187" s="332">
        <v>1</v>
      </c>
      <c r="L187" s="333">
        <f t="shared" ca="1" si="40"/>
        <v>18601691.265157502</v>
      </c>
      <c r="M187" s="334">
        <f t="shared" ca="1" si="37"/>
        <v>18601691.265157502</v>
      </c>
      <c r="N187" s="335"/>
      <c r="O187" s="181"/>
      <c r="P187" s="413">
        <f ca="1">IF(IFERROR(VLOOKUP(C187,APU!H:N,4,0),0),VLOOKUP(C187,APU!H:N,4,0),0)</f>
        <v>13979992.074999999</v>
      </c>
      <c r="Q187" s="413">
        <f ca="1">IF(IFERROR(VLOOKUP(C187,APU!H:N,5,0),0),VLOOKUP(C187,APU!H:N,5,0),0)</f>
        <v>172770</v>
      </c>
      <c r="R187" s="413">
        <f ca="1">IF(IFERROR(VLOOKUP(C187,APU!H:N,6,0),0),VLOOKUP(C187,APU!H:N,6,0),0)</f>
        <v>604415.625</v>
      </c>
      <c r="S187" s="413">
        <f ca="1">IF(IFERROR(VLOOKUP(C187,APU!H:N,7,0),0),VLOOKUP(C187,APU!H:N,7,0),0)</f>
        <v>16000</v>
      </c>
      <c r="T187" s="179"/>
      <c r="U187" s="413">
        <f t="shared" ca="1" si="41"/>
        <v>1181854.216</v>
      </c>
      <c r="V187" s="413">
        <f t="shared" ca="1" si="42"/>
        <v>1181854.216</v>
      </c>
      <c r="W187" s="413">
        <f t="shared" ca="1" si="43"/>
        <v>7931.8562499999998</v>
      </c>
      <c r="X187" s="413">
        <f t="shared" ca="1" si="44"/>
        <v>295463.554</v>
      </c>
      <c r="Y187" s="413">
        <f t="shared" ca="1" si="38"/>
        <v>638201.27663999994</v>
      </c>
      <c r="Z187" s="413">
        <f ca="1">(P187+Q187+U187+V187+W187+X187+R187+S187)*$Z$14</f>
        <v>523208.4462675</v>
      </c>
      <c r="AA187" s="413">
        <f t="shared" ca="1" si="39"/>
        <v>18601691.265157502</v>
      </c>
      <c r="AB187" s="413">
        <f ca="1">V187*$AB$14</f>
        <v>224552.30103999999</v>
      </c>
      <c r="AC187" s="413">
        <f ca="1">AA187*K187</f>
        <v>18601691.265157502</v>
      </c>
      <c r="AD187" s="413">
        <f ca="1">AB187*K187</f>
        <v>224552.30103999999</v>
      </c>
    </row>
    <row r="188" spans="2:30" s="168" customFormat="1" ht="27" hidden="1" customHeight="1">
      <c r="B188" s="329"/>
      <c r="C188" s="361">
        <v>4.8</v>
      </c>
      <c r="D188" s="485" t="s">
        <v>4817</v>
      </c>
      <c r="E188" s="486"/>
      <c r="F188" s="486"/>
      <c r="G188" s="486"/>
      <c r="H188" s="486"/>
      <c r="I188" s="487"/>
      <c r="J188" s="331" t="s">
        <v>4128</v>
      </c>
      <c r="K188" s="332"/>
      <c r="L188" s="333">
        <f t="shared" ca="1" si="40"/>
        <v>14985562.295557499</v>
      </c>
      <c r="M188" s="334">
        <f t="shared" ca="1" si="37"/>
        <v>0</v>
      </c>
      <c r="N188" s="335"/>
      <c r="O188" s="181"/>
      <c r="P188" s="413">
        <f ca="1">IF(IFERROR(VLOOKUP(C188,APU!H:N,4,0),0),VLOOKUP(C188,APU!H:N,4,0),0)</f>
        <v>11106856.074999999</v>
      </c>
      <c r="Q188" s="413">
        <f ca="1">IF(IFERROR(VLOOKUP(C188,APU!H:N,5,0),0),VLOOKUP(C188,APU!H:N,5,0),0)</f>
        <v>172770</v>
      </c>
      <c r="R188" s="413">
        <f ca="1">IF(IFERROR(VLOOKUP(C188,APU!H:N,6,0),0),VLOOKUP(C188,APU!H:N,6,0),0)</f>
        <v>604415.625</v>
      </c>
      <c r="S188" s="413">
        <f ca="1">IF(IFERROR(VLOOKUP(C188,APU!H:N,7,0),0),VLOOKUP(C188,APU!H:N,7,0),0)</f>
        <v>16000</v>
      </c>
      <c r="T188" s="179"/>
      <c r="U188" s="413">
        <f t="shared" ca="1" si="41"/>
        <v>952003.33600000001</v>
      </c>
      <c r="V188" s="413">
        <f t="shared" ca="1" si="42"/>
        <v>952003.33600000001</v>
      </c>
      <c r="W188" s="413">
        <f t="shared" ca="1" si="43"/>
        <v>7931.8562499999998</v>
      </c>
      <c r="X188" s="413">
        <f t="shared" ca="1" si="44"/>
        <v>238000.834</v>
      </c>
      <c r="Y188" s="413">
        <f t="shared" ca="1" si="38"/>
        <v>514081.80143999995</v>
      </c>
      <c r="Z188" s="413">
        <f ca="1">(P188+Q188+U188+V188+W188+X188+R188+S188)*$Z$14</f>
        <v>421499.43186749989</v>
      </c>
      <c r="AA188" s="413">
        <f t="shared" ca="1" si="39"/>
        <v>14985562.295557499</v>
      </c>
      <c r="AB188" s="413">
        <f ca="1">V188*$AB$14</f>
        <v>180880.63383999999</v>
      </c>
      <c r="AC188" s="413">
        <f ca="1">AA188*K188</f>
        <v>0</v>
      </c>
      <c r="AD188" s="413">
        <f ca="1">AB188*K188</f>
        <v>0</v>
      </c>
    </row>
    <row r="189" spans="2:30" s="168" customFormat="1" ht="24.75" hidden="1" customHeight="1">
      <c r="B189" s="329"/>
      <c r="C189" s="361">
        <v>4.9000000000000004</v>
      </c>
      <c r="D189" s="485" t="s">
        <v>4818</v>
      </c>
      <c r="E189" s="486"/>
      <c r="F189" s="486"/>
      <c r="G189" s="486"/>
      <c r="H189" s="486"/>
      <c r="I189" s="487"/>
      <c r="J189" s="331" t="s">
        <v>4128</v>
      </c>
      <c r="K189" s="332"/>
      <c r="L189" s="333">
        <f t="shared" ref="L189:L190" ca="1" si="63">AA189</f>
        <v>25381474.284316428</v>
      </c>
      <c r="M189" s="334">
        <f t="shared" ref="M189:M190" ca="1" si="64">L189*K189</f>
        <v>0</v>
      </c>
      <c r="N189" s="335"/>
      <c r="O189" s="181"/>
      <c r="P189" s="413">
        <f ca="1">IF(IFERROR(VLOOKUP(C189,APU!H:N,4,0),0),VLOOKUP(C189,APU!H:N,4,0),0)</f>
        <v>19105492.007000003</v>
      </c>
      <c r="Q189" s="413">
        <f ca="1">IF(IFERROR(VLOOKUP(C189,APU!H:N,5,0),0),VLOOKUP(C189,APU!H:N,5,0),0)</f>
        <v>230378.42879999999</v>
      </c>
      <c r="R189" s="413">
        <f ca="1">IF(IFERROR(VLOOKUP(C189,APU!H:N,6,0),0),VLOOKUP(C189,APU!H:N,6,0),0)</f>
        <v>805951.97100000002</v>
      </c>
      <c r="S189" s="413">
        <f ca="1">IF(IFERROR(VLOOKUP(C189,APU!H:N,7,0),0),VLOOKUP(C189,APU!H:N,7,0),0)</f>
        <v>16000</v>
      </c>
      <c r="T189" s="179"/>
      <c r="U189" s="413">
        <f t="shared" ref="U189:U190" ca="1" si="65">(P189+Q189+R189+S189)*$U$14</f>
        <v>1612625.7925440005</v>
      </c>
      <c r="V189" s="413">
        <f t="shared" ref="V189:V190" ca="1" si="66">(P189+Q189+R189+S189)*$V$14</f>
        <v>1612625.7925440005</v>
      </c>
      <c r="W189" s="413">
        <f t="shared" ref="W189:W190" ca="1" si="67">(Q189+R189+S189)*$W$14</f>
        <v>10523.303998000001</v>
      </c>
      <c r="X189" s="413">
        <f t="shared" ref="X189:X190" ca="1" si="68">(P189+Q189+R189+S189)*$X$14</f>
        <v>403156.44813600014</v>
      </c>
      <c r="Y189" s="413">
        <f t="shared" ca="1" si="38"/>
        <v>870817.92797376029</v>
      </c>
      <c r="Z189" s="413">
        <f ca="1">(P189+Q189+U189+V189+W189+X189+R189+S189)*$Z$14</f>
        <v>713902.61232066026</v>
      </c>
      <c r="AA189" s="413">
        <f t="shared" ca="1" si="39"/>
        <v>25381474.284316428</v>
      </c>
      <c r="AB189" s="413">
        <f ca="1">V189*$AB$14</f>
        <v>306398.90058336011</v>
      </c>
      <c r="AC189" s="413">
        <f ca="1">AA189*K189</f>
        <v>0</v>
      </c>
      <c r="AD189" s="413">
        <f ca="1">AB189*K189</f>
        <v>0</v>
      </c>
    </row>
    <row r="190" spans="2:30" s="168" customFormat="1" ht="24.75" hidden="1" customHeight="1">
      <c r="B190" s="329"/>
      <c r="C190" s="361" t="s">
        <v>5007</v>
      </c>
      <c r="D190" s="485" t="s">
        <v>5008</v>
      </c>
      <c r="E190" s="486"/>
      <c r="F190" s="486"/>
      <c r="G190" s="486"/>
      <c r="H190" s="486"/>
      <c r="I190" s="487"/>
      <c r="J190" s="331" t="s">
        <v>4128</v>
      </c>
      <c r="K190" s="332"/>
      <c r="L190" s="333">
        <f t="shared" ca="1" si="63"/>
        <v>24123377.724316418</v>
      </c>
      <c r="M190" s="334">
        <f t="shared" ca="1" si="64"/>
        <v>0</v>
      </c>
      <c r="N190" s="335"/>
      <c r="O190" s="181"/>
      <c r="P190" s="413">
        <f ca="1">IF(IFERROR(VLOOKUP(C190,APU!H:N,4,0),0),VLOOKUP(C190,APU!H:N,4,0),0)</f>
        <v>18105892.006999999</v>
      </c>
      <c r="Q190" s="413">
        <f ca="1">IF(IFERROR(VLOOKUP(C190,APU!H:N,5,0),0),VLOOKUP(C190,APU!H:N,5,0),0)</f>
        <v>230378.42879999999</v>
      </c>
      <c r="R190" s="413">
        <f ca="1">IF(IFERROR(VLOOKUP(C190,APU!H:N,6,0),0),VLOOKUP(C190,APU!H:N,6,0),0)</f>
        <v>805951.97100000002</v>
      </c>
      <c r="S190" s="413">
        <f ca="1">IF(IFERROR(VLOOKUP(C190,APU!H:N,7,0),0),VLOOKUP(C190,APU!H:N,7,0),0)</f>
        <v>16000</v>
      </c>
      <c r="T190" s="179"/>
      <c r="U190" s="413">
        <f t="shared" ca="1" si="65"/>
        <v>1532657.7925440001</v>
      </c>
      <c r="V190" s="413">
        <f t="shared" ca="1" si="66"/>
        <v>1532657.7925440001</v>
      </c>
      <c r="W190" s="413">
        <f t="shared" ca="1" si="67"/>
        <v>10523.303998000001</v>
      </c>
      <c r="X190" s="413">
        <f t="shared" ca="1" si="68"/>
        <v>383164.44813600002</v>
      </c>
      <c r="Y190" s="413">
        <f t="shared" ca="1" si="38"/>
        <v>827635.20797376009</v>
      </c>
      <c r="Z190" s="413">
        <f ca="1">(P190+Q190+U190+V190+W190+X190+R190+S190)*$Z$14</f>
        <v>678516.77232066006</v>
      </c>
      <c r="AA190" s="413">
        <f t="shared" ca="1" si="39"/>
        <v>24123377.724316418</v>
      </c>
      <c r="AB190" s="413">
        <f ca="1">V190*$AB$14</f>
        <v>291204.98058336001</v>
      </c>
      <c r="AC190" s="413">
        <f ca="1">AA190*K190</f>
        <v>0</v>
      </c>
      <c r="AD190" s="413">
        <f ca="1">AB190*K190</f>
        <v>0</v>
      </c>
    </row>
    <row r="191" spans="2:30" s="168" customFormat="1" ht="24.75" hidden="1" customHeight="1">
      <c r="B191" s="329"/>
      <c r="C191" s="361">
        <v>4.1100000000000003</v>
      </c>
      <c r="D191" s="485" t="s">
        <v>5011</v>
      </c>
      <c r="E191" s="486" t="s">
        <v>4729</v>
      </c>
      <c r="F191" s="486" t="s">
        <v>4729</v>
      </c>
      <c r="G191" s="486" t="s">
        <v>4729</v>
      </c>
      <c r="H191" s="486" t="s">
        <v>4729</v>
      </c>
      <c r="I191" s="487" t="s">
        <v>4729</v>
      </c>
      <c r="J191" s="331" t="s">
        <v>4128</v>
      </c>
      <c r="K191" s="332"/>
      <c r="L191" s="333">
        <f t="shared" ca="1" si="40"/>
        <v>400941.43193125003</v>
      </c>
      <c r="M191" s="334">
        <f t="shared" ca="1" si="37"/>
        <v>0</v>
      </c>
      <c r="N191" s="335"/>
      <c r="O191" s="181"/>
      <c r="P191" s="413">
        <f ca="1">IF(IFERROR(VLOOKUP(C191,APU!H:N,4,0),0),VLOOKUP(C191,APU!H:N,4,0),0)</f>
        <v>242165.00000000003</v>
      </c>
      <c r="Q191" s="413">
        <f ca="1">IF(IFERROR(VLOOKUP(C191,APU!H:N,5,0),0),VLOOKUP(C191,APU!H:N,5,0),0)</f>
        <v>54051</v>
      </c>
      <c r="R191" s="413">
        <f ca="1">IF(IFERROR(VLOOKUP(C191,APU!H:N,6,0),0),VLOOKUP(C191,APU!H:N,6,0),0)</f>
        <v>5725.3125</v>
      </c>
      <c r="S191" s="413">
        <f ca="1">IF(IFERROR(VLOOKUP(C191,APU!H:N,7,0),0),VLOOKUP(C191,APU!H:N,7,0),0)</f>
        <v>16000</v>
      </c>
      <c r="T191" s="179"/>
      <c r="U191" s="413">
        <f t="shared" ca="1" si="41"/>
        <v>25435.305</v>
      </c>
      <c r="V191" s="413">
        <f t="shared" ca="1" si="42"/>
        <v>25435.305</v>
      </c>
      <c r="W191" s="413">
        <f t="shared" ca="1" si="43"/>
        <v>757.76312500000006</v>
      </c>
      <c r="X191" s="413">
        <f t="shared" ca="1" si="44"/>
        <v>6358.8262500000001</v>
      </c>
      <c r="Y191" s="413">
        <f t="shared" ca="1" si="38"/>
        <v>13735.064700000003</v>
      </c>
      <c r="Z191" s="413">
        <f ca="1">(P191+Q191+U191+V191+W191+X191+R191+S191)*$Z$14</f>
        <v>11277.855356249998</v>
      </c>
      <c r="AA191" s="413">
        <f t="shared" ca="1" si="39"/>
        <v>400941.43193125003</v>
      </c>
      <c r="AB191" s="413">
        <f ca="1">V191*$AB$14</f>
        <v>4832.70795</v>
      </c>
      <c r="AC191" s="413">
        <f ca="1">AA191*K191</f>
        <v>0</v>
      </c>
      <c r="AD191" s="413">
        <f ca="1">AB191*K191</f>
        <v>0</v>
      </c>
    </row>
    <row r="192" spans="2:30" s="168" customFormat="1" ht="30.75" customHeight="1">
      <c r="B192" s="329"/>
      <c r="C192" s="367">
        <v>5</v>
      </c>
      <c r="D192" s="495" t="s">
        <v>4656</v>
      </c>
      <c r="E192" s="496"/>
      <c r="F192" s="496"/>
      <c r="G192" s="496"/>
      <c r="H192" s="496"/>
      <c r="I192" s="497"/>
      <c r="J192" s="368"/>
      <c r="K192" s="369"/>
      <c r="L192" s="369"/>
      <c r="M192" s="369"/>
      <c r="N192" s="335"/>
      <c r="O192" s="181"/>
      <c r="P192" s="413">
        <f ca="1">IF(IFERROR(VLOOKUP(C192,APU!H:N,4,0),0),VLOOKUP(C192,APU!H:N,4,0),0)</f>
        <v>0</v>
      </c>
      <c r="Q192" s="413">
        <f ca="1">IF(IFERROR(VLOOKUP(C192,APU!H:N,5,0),0),VLOOKUP(C192,APU!H:N,5,0),0)</f>
        <v>0</v>
      </c>
      <c r="R192" s="413">
        <f ca="1">IF(IFERROR(VLOOKUP(C192,APU!H:N,6,0),0),VLOOKUP(C192,APU!H:N,6,0),0)</f>
        <v>0</v>
      </c>
      <c r="S192" s="413">
        <f ca="1">IF(IFERROR(VLOOKUP(C192,APU!H:N,7,0),0),VLOOKUP(C192,APU!H:N,7,0),0)</f>
        <v>0</v>
      </c>
      <c r="T192" s="179"/>
      <c r="U192" s="413">
        <f t="shared" ca="1" si="41"/>
        <v>0</v>
      </c>
      <c r="V192" s="413">
        <f t="shared" ca="1" si="42"/>
        <v>0</v>
      </c>
      <c r="W192" s="413">
        <f t="shared" ca="1" si="43"/>
        <v>0</v>
      </c>
      <c r="X192" s="413">
        <f t="shared" ca="1" si="44"/>
        <v>0</v>
      </c>
      <c r="Y192" s="413">
        <f t="shared" ca="1" si="38"/>
        <v>0</v>
      </c>
      <c r="Z192" s="413">
        <f ca="1">(P192+Q192+U192+V192+W192+X192+R192+S192)*$Z$14</f>
        <v>0</v>
      </c>
      <c r="AA192" s="413">
        <f t="shared" ca="1" si="39"/>
        <v>0</v>
      </c>
      <c r="AB192" s="413">
        <f ca="1">V192*$AB$14</f>
        <v>0</v>
      </c>
      <c r="AC192" s="413">
        <f ca="1">AA192*K192</f>
        <v>0</v>
      </c>
      <c r="AD192" s="413">
        <f ca="1">AB192*K192</f>
        <v>0</v>
      </c>
    </row>
    <row r="193" spans="2:30" s="168" customFormat="1" ht="30.75" hidden="1" customHeight="1">
      <c r="B193" s="329"/>
      <c r="C193" s="361">
        <v>5.0999999999999996</v>
      </c>
      <c r="D193" s="488" t="s">
        <v>4822</v>
      </c>
      <c r="E193" s="489"/>
      <c r="F193" s="489"/>
      <c r="G193" s="489"/>
      <c r="H193" s="489"/>
      <c r="I193" s="490"/>
      <c r="J193" s="331" t="s">
        <v>4128</v>
      </c>
      <c r="K193" s="332"/>
      <c r="L193" s="333">
        <f t="shared" ca="1" si="40"/>
        <v>391460.89185279497</v>
      </c>
      <c r="M193" s="334">
        <f t="shared" ref="M193:M195" ca="1" si="69">L193*K193</f>
        <v>0</v>
      </c>
      <c r="N193" s="335"/>
      <c r="O193" s="181"/>
      <c r="P193" s="413">
        <f ca="1">IF(IFERROR(VLOOKUP(C193,APU!H:N,4,0),0),VLOOKUP(C193,APU!H:N,4,0),0)</f>
        <v>227580.36</v>
      </c>
      <c r="Q193" s="413">
        <f ca="1">IF(IFERROR(VLOOKUP(C193,APU!H:N,5,0),0),VLOOKUP(C193,APU!H:N,5,0),0)</f>
        <v>59969.324799999995</v>
      </c>
      <c r="R193" s="413">
        <f ca="1">IF(IFERROR(VLOOKUP(C193,APU!H:N,6,0),0),VLOOKUP(C193,APU!H:N,6,0),0)</f>
        <v>6801.7767499999991</v>
      </c>
      <c r="S193" s="413">
        <f ca="1">IF(IFERROR(VLOOKUP(C193,APU!H:N,7,0),0),VLOOKUP(C193,APU!H:N,7,0),0)</f>
        <v>16000</v>
      </c>
      <c r="T193" s="179"/>
      <c r="U193" s="413">
        <f t="shared" ca="1" si="41"/>
        <v>24828.116924000002</v>
      </c>
      <c r="V193" s="413">
        <f t="shared" ca="1" si="42"/>
        <v>24828.116924000002</v>
      </c>
      <c r="W193" s="413">
        <f t="shared" ca="1" si="43"/>
        <v>827.71101549999992</v>
      </c>
      <c r="X193" s="413">
        <f t="shared" ca="1" si="44"/>
        <v>6207.0292310000004</v>
      </c>
      <c r="Y193" s="413">
        <f t="shared" ca="1" si="38"/>
        <v>13407.183138959999</v>
      </c>
      <c r="Z193" s="413">
        <f ca="1">(P193+Q193+U193+V193+W193+X193+R193+S193)*$Z$14</f>
        <v>11011.273069335</v>
      </c>
      <c r="AA193" s="413">
        <f t="shared" ca="1" si="39"/>
        <v>391460.89185279497</v>
      </c>
      <c r="AB193" s="413">
        <f ca="1">V193*$AB$14</f>
        <v>4717.3422155600001</v>
      </c>
      <c r="AC193" s="413">
        <f ca="1">AA193*K193</f>
        <v>0</v>
      </c>
      <c r="AD193" s="413">
        <f ca="1">AB193*K193</f>
        <v>0</v>
      </c>
    </row>
    <row r="194" spans="2:30" s="168" customFormat="1" ht="30.75" customHeight="1">
      <c r="B194" s="329"/>
      <c r="C194" s="361">
        <v>5.2</v>
      </c>
      <c r="D194" s="488" t="s">
        <v>4667</v>
      </c>
      <c r="E194" s="489"/>
      <c r="F194" s="489"/>
      <c r="G194" s="489"/>
      <c r="H194" s="489"/>
      <c r="I194" s="490"/>
      <c r="J194" s="331" t="s">
        <v>4128</v>
      </c>
      <c r="K194" s="332">
        <v>1</v>
      </c>
      <c r="L194" s="333">
        <f t="shared" ca="1" si="40"/>
        <v>408289.66794625</v>
      </c>
      <c r="M194" s="334">
        <f t="shared" ca="1" si="69"/>
        <v>408289.66794625</v>
      </c>
      <c r="N194" s="335"/>
      <c r="O194" s="181"/>
      <c r="P194" s="413">
        <f ca="1">IF(IFERROR(VLOOKUP(C194,APU!H:N,4,0),0),VLOOKUP(C194,APU!H:N,4,0),0)</f>
        <v>173930.4</v>
      </c>
      <c r="Q194" s="413">
        <f ca="1">IF(IFERROR(VLOOKUP(C194,APU!H:N,5,0),0),VLOOKUP(C194,APU!H:N,5,0),0)</f>
        <v>134904</v>
      </c>
      <c r="R194" s="413">
        <f ca="1">IF(IFERROR(VLOOKUP(C194,APU!H:N,6,0),0),VLOOKUP(C194,APU!H:N,6,0),0)</f>
        <v>6344.0625</v>
      </c>
      <c r="S194" s="413">
        <f ca="1">IF(IFERROR(VLOOKUP(C194,APU!H:N,7,0),0),VLOOKUP(C194,APU!H:N,7,0),0)</f>
        <v>8000</v>
      </c>
      <c r="T194" s="179"/>
      <c r="U194" s="413">
        <f t="shared" ca="1" si="41"/>
        <v>25854.277000000002</v>
      </c>
      <c r="V194" s="413">
        <f t="shared" ca="1" si="42"/>
        <v>25854.277000000002</v>
      </c>
      <c r="W194" s="413">
        <f t="shared" ca="1" si="43"/>
        <v>1492.4806249999999</v>
      </c>
      <c r="X194" s="413">
        <f t="shared" ca="1" si="44"/>
        <v>6463.5692500000005</v>
      </c>
      <c r="Y194" s="413">
        <f t="shared" ca="1" si="38"/>
        <v>13961.309580000001</v>
      </c>
      <c r="Z194" s="413">
        <f ca="1">(P194+Q194+U194+V194+W194+X194+R194+S194)*$Z$14</f>
        <v>11485.291991250002</v>
      </c>
      <c r="AA194" s="413">
        <f t="shared" ca="1" si="39"/>
        <v>408289.66794625</v>
      </c>
      <c r="AB194" s="413">
        <f ca="1">V194*$AB$14</f>
        <v>4912.3126300000004</v>
      </c>
      <c r="AC194" s="413">
        <f ca="1">AA194*K194</f>
        <v>408289.66794625</v>
      </c>
      <c r="AD194" s="413">
        <f ca="1">AB194*K194</f>
        <v>4912.3126300000004</v>
      </c>
    </row>
    <row r="195" spans="2:30" s="168" customFormat="1" ht="30.75" customHeight="1">
      <c r="B195" s="329"/>
      <c r="C195" s="361">
        <v>5.3</v>
      </c>
      <c r="D195" s="488" t="s">
        <v>4823</v>
      </c>
      <c r="E195" s="489"/>
      <c r="F195" s="489"/>
      <c r="G195" s="489"/>
      <c r="H195" s="489"/>
      <c r="I195" s="490"/>
      <c r="J195" s="331" t="s">
        <v>4128</v>
      </c>
      <c r="K195" s="332">
        <v>1</v>
      </c>
      <c r="L195" s="333">
        <f t="shared" ca="1" si="40"/>
        <v>1012387.717246495</v>
      </c>
      <c r="M195" s="334">
        <f t="shared" ca="1" si="69"/>
        <v>1012387.717246495</v>
      </c>
      <c r="N195" s="335"/>
      <c r="O195" s="181"/>
      <c r="P195" s="413">
        <f ca="1">IF(IFERROR(VLOOKUP(C195,APU!H:N,4,0),0),VLOOKUP(C195,APU!H:N,4,0),0)</f>
        <v>685859.83199999994</v>
      </c>
      <c r="Q195" s="413">
        <f ca="1">IF(IFERROR(VLOOKUP(C195,APU!H:N,5,0),0),VLOOKUP(C195,APU!H:N,5,0),0)</f>
        <v>104937.3248</v>
      </c>
      <c r="R195" s="413">
        <f ca="1">IF(IFERROR(VLOOKUP(C195,APU!H:N,6,0),0),VLOOKUP(C195,APU!H:N,6,0),0)</f>
        <v>4616.8817500000005</v>
      </c>
      <c r="S195" s="413">
        <f ca="1">IF(IFERROR(VLOOKUP(C195,APU!H:N,7,0),0),VLOOKUP(C195,APU!H:N,7,0),0)</f>
        <v>8000</v>
      </c>
      <c r="T195" s="179"/>
      <c r="U195" s="413">
        <f t="shared" ca="1" si="41"/>
        <v>64273.123083999999</v>
      </c>
      <c r="V195" s="413">
        <f t="shared" ca="1" si="42"/>
        <v>64273.123083999999</v>
      </c>
      <c r="W195" s="413">
        <f t="shared" ca="1" si="43"/>
        <v>1175.5420655</v>
      </c>
      <c r="X195" s="413">
        <f t="shared" ca="1" si="44"/>
        <v>16068.280771</v>
      </c>
      <c r="Y195" s="413">
        <f t="shared" ca="1" si="38"/>
        <v>34707.486465359994</v>
      </c>
      <c r="Z195" s="413">
        <f ca="1">(P195+Q195+U195+V195+W195+X195+R195+S195)*$Z$14</f>
        <v>28476.123226634998</v>
      </c>
      <c r="AA195" s="413">
        <f t="shared" ca="1" si="39"/>
        <v>1012387.717246495</v>
      </c>
      <c r="AB195" s="413">
        <f ca="1">V195*$AB$14</f>
        <v>12211.89338596</v>
      </c>
      <c r="AC195" s="413">
        <f ca="1">AA195*K195</f>
        <v>1012387.717246495</v>
      </c>
      <c r="AD195" s="413">
        <f ca="1">AB195*K195</f>
        <v>12211.89338596</v>
      </c>
    </row>
    <row r="196" spans="2:30" s="168" customFormat="1" ht="18.75">
      <c r="B196" s="329"/>
      <c r="C196" s="367">
        <v>6</v>
      </c>
      <c r="D196" s="495" t="s">
        <v>4657</v>
      </c>
      <c r="E196" s="496"/>
      <c r="F196" s="496"/>
      <c r="G196" s="496"/>
      <c r="H196" s="496"/>
      <c r="I196" s="497"/>
      <c r="J196" s="368"/>
      <c r="K196" s="369"/>
      <c r="L196" s="369"/>
      <c r="M196" s="369"/>
      <c r="N196" s="335"/>
      <c r="O196" s="181"/>
      <c r="P196" s="413">
        <f ca="1">IF(IFERROR(VLOOKUP(C196,APU!H:N,4,0),0),VLOOKUP(C196,APU!H:N,4,0),0)</f>
        <v>0</v>
      </c>
      <c r="Q196" s="413">
        <f ca="1">IF(IFERROR(VLOOKUP(C196,APU!H:N,5,0),0),VLOOKUP(C196,APU!H:N,5,0),0)</f>
        <v>0</v>
      </c>
      <c r="R196" s="413">
        <f ca="1">IF(IFERROR(VLOOKUP(C196,APU!H:N,6,0),0),VLOOKUP(C196,APU!H:N,6,0),0)</f>
        <v>0</v>
      </c>
      <c r="S196" s="413">
        <f ca="1">IF(IFERROR(VLOOKUP(C196,APU!H:N,7,0),0),VLOOKUP(C196,APU!H:N,7,0),0)</f>
        <v>0</v>
      </c>
      <c r="T196" s="179"/>
      <c r="U196" s="413">
        <f t="shared" ca="1" si="41"/>
        <v>0</v>
      </c>
      <c r="V196" s="413">
        <f t="shared" ca="1" si="42"/>
        <v>0</v>
      </c>
      <c r="W196" s="413">
        <f t="shared" ca="1" si="43"/>
        <v>0</v>
      </c>
      <c r="X196" s="413">
        <f t="shared" ca="1" si="44"/>
        <v>0</v>
      </c>
      <c r="Y196" s="413">
        <f t="shared" ca="1" si="38"/>
        <v>0</v>
      </c>
      <c r="Z196" s="413">
        <f ca="1">(P196+Q196+U196+V196+W196+X196+R196+S196)*$Z$14</f>
        <v>0</v>
      </c>
      <c r="AA196" s="413">
        <f t="shared" ca="1" si="39"/>
        <v>0</v>
      </c>
      <c r="AB196" s="413">
        <f ca="1">V196*$AB$14</f>
        <v>0</v>
      </c>
      <c r="AC196" s="413">
        <f ca="1">AA196*K196</f>
        <v>0</v>
      </c>
      <c r="AD196" s="413">
        <f ca="1">AB196*K196</f>
        <v>0</v>
      </c>
    </row>
    <row r="197" spans="2:30" s="168" customFormat="1" ht="18.75">
      <c r="B197" s="329"/>
      <c r="C197" s="361">
        <v>6.1</v>
      </c>
      <c r="D197" s="488" t="s">
        <v>4658</v>
      </c>
      <c r="E197" s="489"/>
      <c r="F197" s="489"/>
      <c r="G197" s="489"/>
      <c r="H197" s="489"/>
      <c r="I197" s="490"/>
      <c r="J197" s="331" t="s">
        <v>4128</v>
      </c>
      <c r="K197" s="332">
        <v>1</v>
      </c>
      <c r="L197" s="333">
        <f t="shared" ca="1" si="40"/>
        <v>625585.51036507997</v>
      </c>
      <c r="M197" s="334">
        <f t="shared" ref="M197:M212" ca="1" si="70">L197*K197</f>
        <v>625585.51036507997</v>
      </c>
      <c r="N197" s="335"/>
      <c r="O197" s="181"/>
      <c r="P197" s="413">
        <f ca="1">IF(IFERROR(VLOOKUP(C197,APU!H:N,4,0),0),VLOOKUP(C197,APU!H:N,4,0),0)</f>
        <v>270606</v>
      </c>
      <c r="Q197" s="413">
        <f ca="1">IF(IFERROR(VLOOKUP(C197,APU!H:N,5,0),0),VLOOKUP(C197,APU!H:N,5,0),0)</f>
        <v>187354.67520000003</v>
      </c>
      <c r="R197" s="413">
        <f ca="1">IF(IFERROR(VLOOKUP(C197,APU!H:N,6,0),0),VLOOKUP(C197,APU!H:N,6,0),0)</f>
        <v>21249.942000000003</v>
      </c>
      <c r="S197" s="413">
        <f ca="1">IF(IFERROR(VLOOKUP(C197,APU!H:N,7,0),0),VLOOKUP(C197,APU!H:N,7,0),0)</f>
        <v>16000</v>
      </c>
      <c r="T197" s="179"/>
      <c r="U197" s="413">
        <f t="shared" ca="1" si="41"/>
        <v>39616.849376000006</v>
      </c>
      <c r="V197" s="413">
        <f t="shared" ca="1" si="42"/>
        <v>39616.849376000006</v>
      </c>
      <c r="W197" s="413">
        <f t="shared" ca="1" si="43"/>
        <v>2246.0461720000003</v>
      </c>
      <c r="X197" s="413">
        <f t="shared" ca="1" si="44"/>
        <v>9904.2123440000014</v>
      </c>
      <c r="Y197" s="413">
        <f t="shared" ca="1" si="38"/>
        <v>21393.098663040004</v>
      </c>
      <c r="Z197" s="413">
        <f ca="1">(P197+Q197+U197+V197+W197+X197+R197+S197)*$Z$14</f>
        <v>17597.837234040002</v>
      </c>
      <c r="AA197" s="413">
        <f t="shared" ca="1" si="39"/>
        <v>625585.51036507997</v>
      </c>
      <c r="AB197" s="413">
        <f ca="1">V197*$AB$14</f>
        <v>7527.2013814400016</v>
      </c>
      <c r="AC197" s="413">
        <f ca="1">AA197*K197</f>
        <v>625585.51036507997</v>
      </c>
      <c r="AD197" s="413">
        <f ca="1">AB197*K197</f>
        <v>7527.2013814400016</v>
      </c>
    </row>
    <row r="198" spans="2:30" s="168" customFormat="1" ht="38.25" hidden="1" customHeight="1">
      <c r="B198" s="329"/>
      <c r="C198" s="361">
        <v>6.2</v>
      </c>
      <c r="D198" s="485" t="s">
        <v>4659</v>
      </c>
      <c r="E198" s="486"/>
      <c r="F198" s="486"/>
      <c r="G198" s="486"/>
      <c r="H198" s="486"/>
      <c r="I198" s="487"/>
      <c r="J198" s="331" t="s">
        <v>4128</v>
      </c>
      <c r="K198" s="332"/>
      <c r="L198" s="333">
        <f t="shared" ca="1" si="40"/>
        <v>1551979.9169399999</v>
      </c>
      <c r="M198" s="334">
        <f t="shared" ca="1" si="70"/>
        <v>0</v>
      </c>
      <c r="N198" s="335"/>
      <c r="O198" s="181"/>
      <c r="P198" s="413">
        <f ca="1">IF(IFERROR(VLOOKUP(C198,APU!H:N,4,0),0),VLOOKUP(C198,APU!H:N,4,0),0)</f>
        <v>713552.9</v>
      </c>
      <c r="Q198" s="413">
        <f ca="1">IF(IFERROR(VLOOKUP(C198,APU!H:N,5,0),0),VLOOKUP(C198,APU!H:N,5,0),0)</f>
        <v>480200</v>
      </c>
      <c r="R198" s="413">
        <f ca="1">IF(IFERROR(VLOOKUP(C198,APU!H:N,6,0),0),VLOOKUP(C198,APU!H:N,6,0),0)</f>
        <v>19130</v>
      </c>
      <c r="S198" s="413">
        <f ca="1">IF(IFERROR(VLOOKUP(C198,APU!H:N,7,0),0),VLOOKUP(C198,APU!H:N,7,0),0)</f>
        <v>16000</v>
      </c>
      <c r="T198" s="179"/>
      <c r="U198" s="413">
        <f t="shared" ca="1" si="41"/>
        <v>98310.631999999998</v>
      </c>
      <c r="V198" s="413">
        <f t="shared" ca="1" si="42"/>
        <v>98310.631999999998</v>
      </c>
      <c r="W198" s="413">
        <f t="shared" ca="1" si="43"/>
        <v>5153.3</v>
      </c>
      <c r="X198" s="413">
        <f t="shared" ca="1" si="44"/>
        <v>24577.657999999999</v>
      </c>
      <c r="Y198" s="413">
        <f t="shared" ca="1" si="38"/>
        <v>53087.741280000009</v>
      </c>
      <c r="Z198" s="413">
        <f ca="1">(P198+Q198+U198+V198+W198+X198+R198+S198)*$Z$14</f>
        <v>43657.053659999998</v>
      </c>
      <c r="AA198" s="413">
        <f t="shared" ca="1" si="39"/>
        <v>1551979.9169399999</v>
      </c>
      <c r="AB198" s="413">
        <f ca="1">V198*$AB$14</f>
        <v>18679.020079999998</v>
      </c>
      <c r="AC198" s="413">
        <f ca="1">AA198*K198</f>
        <v>0</v>
      </c>
      <c r="AD198" s="413">
        <f ca="1">AB198*K198</f>
        <v>0</v>
      </c>
    </row>
    <row r="199" spans="2:30" s="168" customFormat="1" ht="18.75" hidden="1">
      <c r="B199" s="329"/>
      <c r="C199" s="361">
        <v>6.3</v>
      </c>
      <c r="D199" s="485" t="s">
        <v>4727</v>
      </c>
      <c r="E199" s="486"/>
      <c r="F199" s="486"/>
      <c r="G199" s="486"/>
      <c r="H199" s="486"/>
      <c r="I199" s="487"/>
      <c r="J199" s="331" t="s">
        <v>4128</v>
      </c>
      <c r="K199" s="332"/>
      <c r="L199" s="333">
        <f t="shared" ca="1" si="40"/>
        <v>1601644.3177916002</v>
      </c>
      <c r="M199" s="334">
        <f t="shared" ca="1" si="70"/>
        <v>0</v>
      </c>
      <c r="N199" s="335"/>
      <c r="O199" s="181"/>
      <c r="P199" s="413">
        <f ca="1">IF(IFERROR(VLOOKUP(C199,APU!H:N,4,0),0),VLOOKUP(C199,APU!H:N,4,0),0)</f>
        <v>726122.15600000008</v>
      </c>
      <c r="Q199" s="413">
        <f ca="1">IF(IFERROR(VLOOKUP(C199,APU!H:N,5,0),0),VLOOKUP(C199,APU!H:N,5,0),0)</f>
        <v>480200</v>
      </c>
      <c r="R199" s="413">
        <f ca="1">IF(IFERROR(VLOOKUP(C199,APU!H:N,6,0),0),VLOOKUP(C199,APU!H:N,6,0),0)</f>
        <v>45802.5</v>
      </c>
      <c r="S199" s="413">
        <f ca="1">IF(IFERROR(VLOOKUP(C199,APU!H:N,7,0),0),VLOOKUP(C199,APU!H:N,7,0),0)</f>
        <v>16000</v>
      </c>
      <c r="T199" s="179"/>
      <c r="U199" s="413">
        <f t="shared" ca="1" si="41"/>
        <v>101449.97248</v>
      </c>
      <c r="V199" s="413">
        <f t="shared" ca="1" si="42"/>
        <v>101449.97248</v>
      </c>
      <c r="W199" s="413">
        <f t="shared" ca="1" si="43"/>
        <v>5420.0250000000005</v>
      </c>
      <c r="X199" s="413">
        <f t="shared" ca="1" si="44"/>
        <v>25362.493119999999</v>
      </c>
      <c r="Y199" s="413">
        <f t="shared" ca="1" si="38"/>
        <v>54782.985139199998</v>
      </c>
      <c r="Z199" s="413">
        <f ca="1">(P199+Q199+U199+V199+W199+X199+R199+S199)*$Z$14</f>
        <v>45054.213572399996</v>
      </c>
      <c r="AA199" s="413">
        <f t="shared" ca="1" si="39"/>
        <v>1601644.3177916002</v>
      </c>
      <c r="AB199" s="413">
        <f ca="1">V199*$AB$14</f>
        <v>19275.494771199999</v>
      </c>
      <c r="AC199" s="413">
        <f ca="1">AA199*K199</f>
        <v>0</v>
      </c>
      <c r="AD199" s="413">
        <f ca="1">AB199*K199</f>
        <v>0</v>
      </c>
    </row>
    <row r="200" spans="2:30" s="168" customFormat="1" ht="41.25" customHeight="1">
      <c r="B200" s="329"/>
      <c r="C200" s="367">
        <v>7</v>
      </c>
      <c r="D200" s="495" t="s">
        <v>4699</v>
      </c>
      <c r="E200" s="496"/>
      <c r="F200" s="496"/>
      <c r="G200" s="496"/>
      <c r="H200" s="496"/>
      <c r="I200" s="497"/>
      <c r="J200" s="368"/>
      <c r="K200" s="369"/>
      <c r="L200" s="369"/>
      <c r="M200" s="369"/>
      <c r="N200" s="335"/>
      <c r="O200" s="181"/>
      <c r="P200" s="413">
        <f ca="1">IF(IFERROR(VLOOKUP(C200,APU!H:N,4,0),0),VLOOKUP(C200,APU!H:N,4,0),0)</f>
        <v>0</v>
      </c>
      <c r="Q200" s="413">
        <f ca="1">IF(IFERROR(VLOOKUP(C200,APU!H:N,5,0),0),VLOOKUP(C200,APU!H:N,5,0),0)</f>
        <v>0</v>
      </c>
      <c r="R200" s="413">
        <f ca="1">IF(IFERROR(VLOOKUP(C200,APU!H:N,6,0),0),VLOOKUP(C200,APU!H:N,6,0),0)</f>
        <v>0</v>
      </c>
      <c r="S200" s="413">
        <f ca="1">IF(IFERROR(VLOOKUP(C200,APU!H:N,7,0),0),VLOOKUP(C200,APU!H:N,7,0),0)</f>
        <v>0</v>
      </c>
      <c r="T200" s="179"/>
      <c r="U200" s="413">
        <f t="shared" ca="1" si="41"/>
        <v>0</v>
      </c>
      <c r="V200" s="413">
        <f t="shared" ca="1" si="42"/>
        <v>0</v>
      </c>
      <c r="W200" s="413">
        <f t="shared" ca="1" si="43"/>
        <v>0</v>
      </c>
      <c r="X200" s="413">
        <f t="shared" ca="1" si="44"/>
        <v>0</v>
      </c>
      <c r="Y200" s="413">
        <f t="shared" ca="1" si="38"/>
        <v>0</v>
      </c>
      <c r="Z200" s="413">
        <f ca="1">(P200+Q200+U200+V200+W200+X200+R200+S200)*$Z$14</f>
        <v>0</v>
      </c>
      <c r="AA200" s="413">
        <f t="shared" ca="1" si="39"/>
        <v>0</v>
      </c>
      <c r="AB200" s="413">
        <f ca="1">V200*$AB$14</f>
        <v>0</v>
      </c>
      <c r="AC200" s="413">
        <f ca="1">AA200*K200</f>
        <v>0</v>
      </c>
      <c r="AD200" s="413">
        <f ca="1">AB200*K200</f>
        <v>0</v>
      </c>
    </row>
    <row r="201" spans="2:30" s="168" customFormat="1" ht="41.25" hidden="1" customHeight="1">
      <c r="B201" s="329"/>
      <c r="C201" s="361">
        <v>7.1</v>
      </c>
      <c r="D201" s="485" t="s">
        <v>5020</v>
      </c>
      <c r="E201" s="486" t="s">
        <v>4700</v>
      </c>
      <c r="F201" s="486" t="s">
        <v>4700</v>
      </c>
      <c r="G201" s="486" t="s">
        <v>4700</v>
      </c>
      <c r="H201" s="486" t="s">
        <v>4700</v>
      </c>
      <c r="I201" s="487" t="s">
        <v>4700</v>
      </c>
      <c r="J201" s="331" t="s">
        <v>170</v>
      </c>
      <c r="K201" s="332"/>
      <c r="L201" s="333">
        <f t="shared" ca="1" si="40"/>
        <v>7304012.1394309998</v>
      </c>
      <c r="M201" s="334">
        <f t="shared" ca="1" si="70"/>
        <v>0</v>
      </c>
      <c r="N201" s="335"/>
      <c r="O201" s="181"/>
      <c r="P201" s="413">
        <f ca="1">IF(IFERROR(VLOOKUP(C201,APU!H:N,4,0),0),VLOOKUP(C201,APU!H:N,4,0),0)*500</f>
        <v>1759752.9599999997</v>
      </c>
      <c r="Q201" s="413">
        <f ca="1">IF(IFERROR(VLOOKUP(C201,APU!H:N,5,0),0),VLOOKUP(C201,APU!H:N,5,0),0)*500</f>
        <v>3505460</v>
      </c>
      <c r="R201" s="413">
        <f ca="1">IF(IFERROR(VLOOKUP(C201,APU!H:N,6,0),0),VLOOKUP(C201,APU!H:N,6,0),0)*500</f>
        <v>105247.75</v>
      </c>
      <c r="S201" s="413">
        <f ca="1">IF(IFERROR(VLOOKUP(C201,APU!H:N,7,0),0),VLOOKUP(C201,APU!H:N,7,0),0)*500</f>
        <v>400000</v>
      </c>
      <c r="T201" s="179"/>
      <c r="U201" s="413">
        <f t="shared" ca="1" si="41"/>
        <v>461636.85680000001</v>
      </c>
      <c r="V201" s="413">
        <f t="shared" ca="1" si="42"/>
        <v>461636.85680000001</v>
      </c>
      <c r="W201" s="413">
        <f t="shared" ca="1" si="43"/>
        <v>40107.077499999999</v>
      </c>
      <c r="X201" s="413">
        <f t="shared" ca="1" si="44"/>
        <v>115409.2142</v>
      </c>
      <c r="Y201" s="413">
        <f t="shared" ca="1" si="38"/>
        <v>249283.902672</v>
      </c>
      <c r="Z201" s="413">
        <f ca="1">(P201+Q201+U201+V201+W201+X201+R201+S201)*$Z$14</f>
        <v>205477.52145900001</v>
      </c>
      <c r="AA201" s="413">
        <f t="shared" ca="1" si="39"/>
        <v>7304012.1394309998</v>
      </c>
      <c r="AB201" s="413">
        <f ca="1">V201*$AB$14</f>
        <v>87711.002791999999</v>
      </c>
      <c r="AC201" s="413">
        <f ca="1">AA201*K201</f>
        <v>0</v>
      </c>
      <c r="AD201" s="413">
        <f ca="1">AB201*K201</f>
        <v>0</v>
      </c>
    </row>
    <row r="202" spans="2:30" s="168" customFormat="1" ht="41.25" customHeight="1">
      <c r="B202" s="329"/>
      <c r="C202" s="361">
        <v>7.2</v>
      </c>
      <c r="D202" s="485" t="s">
        <v>5021</v>
      </c>
      <c r="E202" s="486" t="s">
        <v>4701</v>
      </c>
      <c r="F202" s="486" t="s">
        <v>4701</v>
      </c>
      <c r="G202" s="486" t="s">
        <v>4701</v>
      </c>
      <c r="H202" s="486" t="s">
        <v>4701</v>
      </c>
      <c r="I202" s="487" t="s">
        <v>4701</v>
      </c>
      <c r="J202" s="331" t="s">
        <v>170</v>
      </c>
      <c r="K202" s="332">
        <v>1</v>
      </c>
      <c r="L202" s="333">
        <f t="shared" ca="1" si="40"/>
        <v>10579945.893800002</v>
      </c>
      <c r="M202" s="334">
        <f t="shared" ca="1" si="70"/>
        <v>10579945.893800002</v>
      </c>
      <c r="N202" s="335"/>
      <c r="O202" s="181"/>
      <c r="P202" s="413">
        <f ca="1">IF(IFERROR(VLOOKUP(C202,APU!H:N,4,0),0),VLOOKUP(C202,APU!H:N,4,0),0)*500</f>
        <v>2816730</v>
      </c>
      <c r="Q202" s="413">
        <f ca="1">IF(IFERROR(VLOOKUP(C202,APU!H:N,5,0),0),VLOOKUP(C202,APU!H:N,5,0),0)*500</f>
        <v>4994080</v>
      </c>
      <c r="R202" s="413">
        <f ca="1">IF(IFERROR(VLOOKUP(C202,APU!H:N,6,0),0),VLOOKUP(C202,APU!H:N,6,0),0)*500</f>
        <v>149942</v>
      </c>
      <c r="S202" s="413">
        <f ca="1">IF(IFERROR(VLOOKUP(C202,APU!H:N,7,0),0),VLOOKUP(C202,APU!H:N,7,0),0)*500</f>
        <v>400000</v>
      </c>
      <c r="T202" s="179"/>
      <c r="U202" s="413">
        <f t="shared" ca="1" si="41"/>
        <v>668860.16000000003</v>
      </c>
      <c r="V202" s="413">
        <f t="shared" ca="1" si="42"/>
        <v>668860.16000000003</v>
      </c>
      <c r="W202" s="413">
        <f t="shared" ca="1" si="43"/>
        <v>55440.22</v>
      </c>
      <c r="X202" s="413">
        <f t="shared" ca="1" si="44"/>
        <v>167215.04000000001</v>
      </c>
      <c r="Y202" s="413">
        <f t="shared" ca="1" si="38"/>
        <v>361184.48639999999</v>
      </c>
      <c r="Z202" s="413">
        <f ca="1">(P202+Q202+U202+V202+W202+X202+R202+S202)*$Z$14</f>
        <v>297633.82740000001</v>
      </c>
      <c r="AA202" s="413">
        <f t="shared" ca="1" si="39"/>
        <v>10579945.893800002</v>
      </c>
      <c r="AB202" s="413">
        <f ca="1">V202*$AB$14</f>
        <v>127083.43040000001</v>
      </c>
      <c r="AC202" s="413">
        <f ca="1">AA202*K202</f>
        <v>10579945.893800002</v>
      </c>
      <c r="AD202" s="413">
        <f ca="1">AB202*K202</f>
        <v>127083.43040000001</v>
      </c>
    </row>
    <row r="203" spans="2:30" s="168" customFormat="1" ht="18.75" hidden="1">
      <c r="B203" s="329"/>
      <c r="C203" s="361">
        <v>7.3</v>
      </c>
      <c r="D203" s="485" t="s">
        <v>5022</v>
      </c>
      <c r="E203" s="486" t="s">
        <v>4702</v>
      </c>
      <c r="F203" s="486" t="s">
        <v>4702</v>
      </c>
      <c r="G203" s="486" t="s">
        <v>4702</v>
      </c>
      <c r="H203" s="486" t="s">
        <v>4702</v>
      </c>
      <c r="I203" s="487" t="s">
        <v>4702</v>
      </c>
      <c r="J203" s="331" t="s">
        <v>170</v>
      </c>
      <c r="K203" s="332"/>
      <c r="L203" s="333">
        <f t="shared" ca="1" si="40"/>
        <v>16004244.141171504</v>
      </c>
      <c r="M203" s="334">
        <f t="shared" ca="1" si="70"/>
        <v>0</v>
      </c>
      <c r="N203" s="335"/>
      <c r="O203" s="181"/>
      <c r="P203" s="413">
        <f ca="1">IF(IFERROR(VLOOKUP(C203,APU!H:N,4,0),0),VLOOKUP(C203,APU!H:N,4,0),0)*500</f>
        <v>4508524.4400000004</v>
      </c>
      <c r="Q203" s="413">
        <f ca="1">IF(IFERROR(VLOOKUP(C203,APU!H:N,5,0),0),VLOOKUP(C203,APU!H:N,5,0),0)*500</f>
        <v>7515130.0000000009</v>
      </c>
      <c r="R203" s="413">
        <f ca="1">IF(IFERROR(VLOOKUP(C203,APU!H:N,6,0),0),VLOOKUP(C203,APU!H:N,6,0),0)*500</f>
        <v>225633.875</v>
      </c>
      <c r="S203" s="413">
        <f ca="1">IF(IFERROR(VLOOKUP(C203,APU!H:N,7,0),0),VLOOKUP(C203,APU!H:N,7,0),0)*500</f>
        <v>400000</v>
      </c>
      <c r="T203" s="179"/>
      <c r="U203" s="413">
        <f t="shared" ca="1" si="41"/>
        <v>1011943.0652000002</v>
      </c>
      <c r="V203" s="413">
        <f t="shared" ca="1" si="42"/>
        <v>1011943.0652000002</v>
      </c>
      <c r="W203" s="413">
        <f t="shared" ca="1" si="43"/>
        <v>81407.638750000013</v>
      </c>
      <c r="X203" s="413">
        <f t="shared" ca="1" si="44"/>
        <v>252985.76630000005</v>
      </c>
      <c r="Y203" s="413">
        <f t="shared" ca="1" si="38"/>
        <v>546449.25520800008</v>
      </c>
      <c r="Z203" s="413">
        <f ca="1">(P203+Q203+U203+V203+W203+X203+R203+S203)*$Z$14</f>
        <v>450227.0355135001</v>
      </c>
      <c r="AA203" s="413">
        <f t="shared" ca="1" si="39"/>
        <v>16004244.141171504</v>
      </c>
      <c r="AB203" s="413">
        <f ca="1">V203*$AB$14</f>
        <v>192269.18238800004</v>
      </c>
      <c r="AC203" s="413">
        <f ca="1">AA203*K203</f>
        <v>0</v>
      </c>
      <c r="AD203" s="413">
        <f ca="1">AB203*K203</f>
        <v>0</v>
      </c>
    </row>
    <row r="204" spans="2:30" s="168" customFormat="1" ht="18.75" hidden="1">
      <c r="B204" s="329"/>
      <c r="C204" s="361">
        <v>7.4</v>
      </c>
      <c r="D204" s="485" t="s">
        <v>5023</v>
      </c>
      <c r="E204" s="486" t="s">
        <v>4703</v>
      </c>
      <c r="F204" s="486" t="s">
        <v>4703</v>
      </c>
      <c r="G204" s="486" t="s">
        <v>4703</v>
      </c>
      <c r="H204" s="486" t="s">
        <v>4703</v>
      </c>
      <c r="I204" s="487" t="s">
        <v>4703</v>
      </c>
      <c r="J204" s="331" t="s">
        <v>170</v>
      </c>
      <c r="K204" s="332"/>
      <c r="L204" s="333">
        <f t="shared" ca="1" si="40"/>
        <v>24852577.9518875</v>
      </c>
      <c r="M204" s="334">
        <f t="shared" ca="1" si="70"/>
        <v>0</v>
      </c>
      <c r="N204" s="335"/>
      <c r="O204" s="181"/>
      <c r="P204" s="413">
        <f ca="1">IF(IFERROR(VLOOKUP(C204,APU!H:N,4,0),0),VLOOKUP(C204,APU!H:N,4,0),0)*500</f>
        <v>15667302</v>
      </c>
      <c r="Q204" s="413">
        <f ca="1">IF(IFERROR(VLOOKUP(C204,APU!H:N,5,0),0),VLOOKUP(C204,APU!H:N,5,0),0)*500</f>
        <v>3001250.0000000005</v>
      </c>
      <c r="R204" s="413">
        <f ca="1">IF(IFERROR(VLOOKUP(C204,APU!H:N,6,0),0),VLOOKUP(C204,APU!H:N,6,0),0)*500</f>
        <v>644546.875</v>
      </c>
      <c r="S204" s="413">
        <f ca="1">IF(IFERROR(VLOOKUP(C204,APU!H:N,7,0),0),VLOOKUP(C204,APU!H:N,7,0),0)*500</f>
        <v>400000</v>
      </c>
      <c r="T204" s="179"/>
      <c r="U204" s="413">
        <f t="shared" ca="1" si="41"/>
        <v>1577047.9100000001</v>
      </c>
      <c r="V204" s="413">
        <f t="shared" ca="1" si="42"/>
        <v>1577047.9100000001</v>
      </c>
      <c r="W204" s="413">
        <f t="shared" ca="1" si="43"/>
        <v>40457.968750000007</v>
      </c>
      <c r="X204" s="413">
        <f t="shared" ca="1" si="44"/>
        <v>394261.97750000004</v>
      </c>
      <c r="Y204" s="413">
        <f t="shared" ca="1" si="38"/>
        <v>851605.87140000006</v>
      </c>
      <c r="Z204" s="413">
        <f ca="1">(P204+Q204+U204+V204+W204+X204+R204+S204)*$Z$14</f>
        <v>699057.43923749996</v>
      </c>
      <c r="AA204" s="413">
        <f t="shared" ca="1" si="39"/>
        <v>24852577.9518875</v>
      </c>
      <c r="AB204" s="413">
        <f ca="1">V204*$AB$14</f>
        <v>299639.10290000006</v>
      </c>
      <c r="AC204" s="413">
        <f ca="1">AA204*K204</f>
        <v>0</v>
      </c>
      <c r="AD204" s="413">
        <f ca="1">AB204*K204</f>
        <v>0</v>
      </c>
    </row>
    <row r="205" spans="2:30" s="168" customFormat="1" ht="18.75" hidden="1">
      <c r="B205" s="329"/>
      <c r="C205" s="361">
        <v>7.5</v>
      </c>
      <c r="D205" s="485" t="s">
        <v>5024</v>
      </c>
      <c r="E205" s="486" t="s">
        <v>4704</v>
      </c>
      <c r="F205" s="486" t="s">
        <v>4704</v>
      </c>
      <c r="G205" s="486" t="s">
        <v>4704</v>
      </c>
      <c r="H205" s="486" t="s">
        <v>4704</v>
      </c>
      <c r="I205" s="487" t="s">
        <v>4704</v>
      </c>
      <c r="J205" s="331" t="s">
        <v>170</v>
      </c>
      <c r="K205" s="332"/>
      <c r="L205" s="333">
        <f t="shared" ca="1" si="40"/>
        <v>10493463.936312502</v>
      </c>
      <c r="M205" s="334">
        <f t="shared" ca="1" si="70"/>
        <v>0</v>
      </c>
      <c r="N205" s="335"/>
      <c r="O205" s="181"/>
      <c r="P205" s="413">
        <f ca="1">IF(IFERROR(VLOOKUP(C205,APU!H:N,4,0),0),VLOOKUP(C205,APU!H:N,4,0),0)*500</f>
        <v>5493516.0000000009</v>
      </c>
      <c r="Q205" s="413">
        <f ca="1">IF(IFERROR(VLOOKUP(C205,APU!H:N,5,0),0),VLOOKUP(C205,APU!H:N,5,0),0)*500</f>
        <v>1992830</v>
      </c>
      <c r="R205" s="413">
        <f ca="1">IF(IFERROR(VLOOKUP(C205,APU!H:N,6,0),0),VLOOKUP(C205,APU!H:N,6,0),0)*500</f>
        <v>427979.125</v>
      </c>
      <c r="S205" s="413">
        <f ca="1">IF(IFERROR(VLOOKUP(C205,APU!H:N,7,0),0),VLOOKUP(C205,APU!H:N,7,0),0)*500</f>
        <v>400000</v>
      </c>
      <c r="T205" s="179"/>
      <c r="U205" s="413">
        <f t="shared" ca="1" si="41"/>
        <v>665146.01000000013</v>
      </c>
      <c r="V205" s="413">
        <f t="shared" ca="1" si="42"/>
        <v>665146.01000000013</v>
      </c>
      <c r="W205" s="413">
        <f t="shared" ca="1" si="43"/>
        <v>28208.091250000001</v>
      </c>
      <c r="X205" s="413">
        <f t="shared" ca="1" si="44"/>
        <v>166286.50250000003</v>
      </c>
      <c r="Y205" s="413">
        <f t="shared" ca="1" si="38"/>
        <v>359178.84540000005</v>
      </c>
      <c r="Z205" s="413">
        <f ca="1">(P205+Q205+U205+V205+W205+X205+R205+S205)*$Z$14</f>
        <v>295173.35216250003</v>
      </c>
      <c r="AA205" s="413">
        <f t="shared" ca="1" si="39"/>
        <v>10493463.936312502</v>
      </c>
      <c r="AB205" s="413">
        <f ca="1">V205*$AB$14</f>
        <v>126377.74190000002</v>
      </c>
      <c r="AC205" s="413">
        <f ca="1">AA205*K205</f>
        <v>0</v>
      </c>
      <c r="AD205" s="413">
        <f ca="1">AB205*K205</f>
        <v>0</v>
      </c>
    </row>
    <row r="206" spans="2:30" s="168" customFormat="1" ht="18.75" hidden="1">
      <c r="B206" s="329"/>
      <c r="C206" s="361">
        <v>7.6</v>
      </c>
      <c r="D206" s="485" t="s">
        <v>5025</v>
      </c>
      <c r="E206" s="486" t="s">
        <v>4705</v>
      </c>
      <c r="F206" s="486" t="s">
        <v>4705</v>
      </c>
      <c r="G206" s="486" t="s">
        <v>4705</v>
      </c>
      <c r="H206" s="486" t="s">
        <v>4705</v>
      </c>
      <c r="I206" s="487" t="s">
        <v>4705</v>
      </c>
      <c r="J206" s="331" t="s">
        <v>170</v>
      </c>
      <c r="K206" s="332"/>
      <c r="L206" s="333">
        <f t="shared" ca="1" si="40"/>
        <v>17005012.274712499</v>
      </c>
      <c r="M206" s="334">
        <f t="shared" ca="1" si="70"/>
        <v>0</v>
      </c>
      <c r="N206" s="335"/>
      <c r="O206" s="181"/>
      <c r="P206" s="413">
        <f ca="1">IF(IFERROR(VLOOKUP(C206,APU!H:N,4,0),0),VLOOKUP(C206,APU!H:N,4,0),0)*500</f>
        <v>10667160</v>
      </c>
      <c r="Q206" s="413">
        <f ca="1">IF(IFERROR(VLOOKUP(C206,APU!H:N,5,0),0),VLOOKUP(C206,APU!H:N,5,0),0)*500</f>
        <v>1992830</v>
      </c>
      <c r="R206" s="413">
        <f ca="1">IF(IFERROR(VLOOKUP(C206,APU!H:N,6,0),0),VLOOKUP(C206,APU!H:N,6,0),0)*500</f>
        <v>427979.125</v>
      </c>
      <c r="S206" s="413">
        <f ca="1">IF(IFERROR(VLOOKUP(C206,APU!H:N,7,0),0),VLOOKUP(C206,APU!H:N,7,0),0)*500</f>
        <v>400000</v>
      </c>
      <c r="T206" s="179"/>
      <c r="U206" s="413">
        <f t="shared" ca="1" si="41"/>
        <v>1079037.53</v>
      </c>
      <c r="V206" s="413">
        <f t="shared" ca="1" si="42"/>
        <v>1079037.53</v>
      </c>
      <c r="W206" s="413">
        <f t="shared" ca="1" si="43"/>
        <v>28208.091250000001</v>
      </c>
      <c r="X206" s="413">
        <f t="shared" ca="1" si="44"/>
        <v>269759.38250000001</v>
      </c>
      <c r="Y206" s="413">
        <f t="shared" ca="1" si="38"/>
        <v>582680.26619999995</v>
      </c>
      <c r="Z206" s="413">
        <f ca="1">(P206+Q206+U206+V206+W206+X206+R206+S206)*$Z$14</f>
        <v>478320.34976249997</v>
      </c>
      <c r="AA206" s="413">
        <f t="shared" ca="1" si="39"/>
        <v>17005012.274712499</v>
      </c>
      <c r="AB206" s="413">
        <f ca="1">V206*$AB$14</f>
        <v>205017.13070000001</v>
      </c>
      <c r="AC206" s="413">
        <f ca="1">AA206*K206</f>
        <v>0</v>
      </c>
      <c r="AD206" s="413">
        <f ca="1">AB206*K206</f>
        <v>0</v>
      </c>
    </row>
    <row r="207" spans="2:30" s="168" customFormat="1" ht="18.75" hidden="1">
      <c r="B207" s="329"/>
      <c r="C207" s="361">
        <v>7.7</v>
      </c>
      <c r="D207" s="485" t="s">
        <v>5026</v>
      </c>
      <c r="E207" s="486" t="s">
        <v>4705</v>
      </c>
      <c r="F207" s="486" t="s">
        <v>4705</v>
      </c>
      <c r="G207" s="486" t="s">
        <v>4705</v>
      </c>
      <c r="H207" s="486" t="s">
        <v>4705</v>
      </c>
      <c r="I207" s="487" t="s">
        <v>4705</v>
      </c>
      <c r="J207" s="331" t="s">
        <v>170</v>
      </c>
      <c r="K207" s="332"/>
      <c r="L207" s="333">
        <f t="shared" ref="L207" ca="1" si="71">AA207</f>
        <v>29683565.6466875</v>
      </c>
      <c r="M207" s="334">
        <f t="shared" ref="M207" ca="1" si="72">L207*K207</f>
        <v>0</v>
      </c>
      <c r="N207" s="335"/>
      <c r="O207" s="181"/>
      <c r="P207" s="413">
        <f ca="1">IF(IFERROR(VLOOKUP(C207,APU!H:N,4,0),0),VLOOKUP(C207,APU!H:N,4,0),0)*500</f>
        <v>19263720</v>
      </c>
      <c r="Q207" s="413">
        <f ca="1">IF(IFERROR(VLOOKUP(C207,APU!H:N,5,0),0),VLOOKUP(C207,APU!H:N,5,0),0)*500</f>
        <v>3001250.0000000005</v>
      </c>
      <c r="R207" s="413">
        <f ca="1">IF(IFERROR(VLOOKUP(C207,APU!H:N,6,0),0),VLOOKUP(C207,APU!H:N,6,0),0)*500</f>
        <v>644546.875</v>
      </c>
      <c r="S207" s="413">
        <f ca="1">IF(IFERROR(VLOOKUP(C207,APU!H:N,7,0),0),VLOOKUP(C207,APU!H:N,7,0),0)*500</f>
        <v>640000</v>
      </c>
      <c r="T207" s="179"/>
      <c r="U207" s="413">
        <f t="shared" ref="U207" ca="1" si="73">(P207+Q207+R207+S207)*$U$14</f>
        <v>1883961.35</v>
      </c>
      <c r="V207" s="413">
        <f t="shared" ref="V207" ca="1" si="74">(P207+Q207+R207+S207)*$V$14</f>
        <v>1883961.35</v>
      </c>
      <c r="W207" s="413">
        <f t="shared" ref="W207" ca="1" si="75">(Q207+R207+S207)*$W$14</f>
        <v>42857.96875</v>
      </c>
      <c r="X207" s="413">
        <f t="shared" ref="X207" ca="1" si="76">(P207+Q207+R207+S207)*$X$14</f>
        <v>470990.33750000002</v>
      </c>
      <c r="Y207" s="413">
        <f t="shared" ca="1" si="38"/>
        <v>1017339.1290000001</v>
      </c>
      <c r="Z207" s="413">
        <f ca="1">(P207+Q207+U207+V207+W207+X207+R207+S207)*$Z$14</f>
        <v>834938.63643750001</v>
      </c>
      <c r="AA207" s="413">
        <f t="shared" ca="1" si="39"/>
        <v>29683565.6466875</v>
      </c>
      <c r="AB207" s="413">
        <f ca="1">V207*$AB$14</f>
        <v>357952.65650000004</v>
      </c>
      <c r="AC207" s="413">
        <f ca="1">AA207*K207</f>
        <v>0</v>
      </c>
      <c r="AD207" s="413">
        <f ca="1">AB207*K207</f>
        <v>0</v>
      </c>
    </row>
    <row r="208" spans="2:30" s="168" customFormat="1" ht="18.75" hidden="1" customHeight="1">
      <c r="B208" s="329"/>
      <c r="C208" s="361">
        <v>7.8</v>
      </c>
      <c r="D208" s="485" t="s">
        <v>5027</v>
      </c>
      <c r="E208" s="486" t="s">
        <v>4700</v>
      </c>
      <c r="F208" s="486" t="s">
        <v>4700</v>
      </c>
      <c r="G208" s="486" t="s">
        <v>4700</v>
      </c>
      <c r="H208" s="486" t="s">
        <v>4700</v>
      </c>
      <c r="I208" s="487" t="s">
        <v>4700</v>
      </c>
      <c r="J208" s="331" t="s">
        <v>170</v>
      </c>
      <c r="K208" s="332"/>
      <c r="L208" s="333">
        <f t="shared" ca="1" si="40"/>
        <v>9923774.754036501</v>
      </c>
      <c r="M208" s="334">
        <f t="shared" ca="1" si="70"/>
        <v>0</v>
      </c>
      <c r="N208" s="335"/>
      <c r="O208" s="181"/>
      <c r="P208" s="413">
        <f ca="1">IF(IFERROR(VLOOKUP(C208,APU!H:N,4,0),0),VLOOKUP(C208,APU!H:N,4,0),0)*500</f>
        <v>3317643.8400000003</v>
      </c>
      <c r="Q208" s="413">
        <f ca="1">IF(IFERROR(VLOOKUP(C208,APU!H:N,5,0),0),VLOOKUP(C208,APU!H:N,5,0),0)*500</f>
        <v>4009670</v>
      </c>
      <c r="R208" s="413">
        <f ca="1">IF(IFERROR(VLOOKUP(C208,APU!H:N,6,0),0),VLOOKUP(C208,APU!H:N,6,0),0)*500</f>
        <v>120386.125</v>
      </c>
      <c r="S208" s="413">
        <f ca="1">IF(IFERROR(VLOOKUP(C208,APU!H:N,7,0),0),VLOOKUP(C208,APU!H:N,7,0),0)*500</f>
        <v>400000</v>
      </c>
      <c r="T208" s="179"/>
      <c r="U208" s="413">
        <f t="shared" ca="1" si="41"/>
        <v>627815.99719999998</v>
      </c>
      <c r="V208" s="413">
        <f t="shared" ca="1" si="42"/>
        <v>627815.99719999998</v>
      </c>
      <c r="W208" s="413">
        <f t="shared" ca="1" si="43"/>
        <v>45300.561249999999</v>
      </c>
      <c r="X208" s="413">
        <f t="shared" ca="1" si="44"/>
        <v>156953.9993</v>
      </c>
      <c r="Y208" s="413">
        <f t="shared" ca="1" si="38"/>
        <v>339020.63848800003</v>
      </c>
      <c r="Z208" s="413">
        <f ca="1">(P208+Q208+U208+V208+W208+X208+R208+S208)*$Z$14</f>
        <v>279167.59559849993</v>
      </c>
      <c r="AA208" s="413">
        <f t="shared" ca="1" si="39"/>
        <v>9923774.754036501</v>
      </c>
      <c r="AB208" s="413">
        <f ca="1">V208*$AB$14</f>
        <v>119285.039468</v>
      </c>
      <c r="AC208" s="413">
        <f ca="1">AA208*K208</f>
        <v>0</v>
      </c>
      <c r="AD208" s="413">
        <f ca="1">AB208*K208</f>
        <v>0</v>
      </c>
    </row>
    <row r="209" spans="2:30" s="168" customFormat="1" ht="18.75" hidden="1" customHeight="1">
      <c r="B209" s="329"/>
      <c r="C209" s="361">
        <v>7.9</v>
      </c>
      <c r="D209" s="485" t="s">
        <v>5028</v>
      </c>
      <c r="E209" s="486" t="s">
        <v>4700</v>
      </c>
      <c r="F209" s="486" t="s">
        <v>4700</v>
      </c>
      <c r="G209" s="486" t="s">
        <v>4700</v>
      </c>
      <c r="H209" s="486" t="s">
        <v>4700</v>
      </c>
      <c r="I209" s="487" t="s">
        <v>4700</v>
      </c>
      <c r="J209" s="331" t="s">
        <v>170</v>
      </c>
      <c r="K209" s="332"/>
      <c r="L209" s="333">
        <f t="shared" ref="L209:L211" ca="1" si="77">AA209</f>
        <v>20523624.240009502</v>
      </c>
      <c r="M209" s="334">
        <f t="shared" ref="M209:M211" ca="1" si="78">L209*K209</f>
        <v>0</v>
      </c>
      <c r="N209" s="335"/>
      <c r="O209" s="181"/>
      <c r="P209" s="413">
        <f ca="1">IF(IFERROR(VLOOKUP(C209,APU!H:N,4,0),0),VLOOKUP(C209,APU!H:N,4,0),0)*500</f>
        <v>7600658.5199999986</v>
      </c>
      <c r="Q209" s="413">
        <f ca="1">IF(IFERROR(VLOOKUP(C209,APU!H:N,5,0),0),VLOOKUP(C209,APU!H:N,5,0),0)*500</f>
        <v>7995330.0000000009</v>
      </c>
      <c r="R209" s="413">
        <f ca="1">IF(IFERROR(VLOOKUP(C209,APU!H:N,6,0),0),VLOOKUP(C209,APU!H:N,6,0),0)*500</f>
        <v>240051.37500000003</v>
      </c>
      <c r="S209" s="413">
        <f ca="1">IF(IFERROR(VLOOKUP(C209,APU!H:N,7,0),0),VLOOKUP(C209,APU!H:N,7,0),0)*500</f>
        <v>400000</v>
      </c>
      <c r="T209" s="179"/>
      <c r="U209" s="413">
        <f t="shared" ref="U209:U211" ca="1" si="79">(P209+Q209+R209+S209)*$U$14</f>
        <v>1298883.1916</v>
      </c>
      <c r="V209" s="413">
        <f t="shared" ref="V209:V211" ca="1" si="80">(P209+Q209+R209+S209)*$V$14</f>
        <v>1298883.1916</v>
      </c>
      <c r="W209" s="413">
        <f t="shared" ref="W209:W211" ca="1" si="81">(Q209+R209+S209)*$W$14</f>
        <v>86353.813750000001</v>
      </c>
      <c r="X209" s="413">
        <f t="shared" ref="X209:X211" ca="1" si="82">(P209+Q209+R209+S209)*$X$14</f>
        <v>324720.79790000001</v>
      </c>
      <c r="Y209" s="413">
        <f t="shared" ca="1" si="38"/>
        <v>701396.92346399999</v>
      </c>
      <c r="Z209" s="413">
        <f ca="1">(P209+Q209+U209+V209+W209+X209+R209+S209)*$Z$14</f>
        <v>577346.4266954998</v>
      </c>
      <c r="AA209" s="413">
        <f t="shared" ca="1" si="39"/>
        <v>20523624.240009502</v>
      </c>
      <c r="AB209" s="413">
        <f ca="1">V209*$AB$14</f>
        <v>246787.806404</v>
      </c>
      <c r="AC209" s="413">
        <f ca="1">AA209*K209</f>
        <v>0</v>
      </c>
      <c r="AD209" s="413">
        <f ca="1">AB209*K209</f>
        <v>0</v>
      </c>
    </row>
    <row r="210" spans="2:30" s="168" customFormat="1" ht="18.75" hidden="1" customHeight="1">
      <c r="B210" s="329"/>
      <c r="C210" s="361" t="s">
        <v>4963</v>
      </c>
      <c r="D210" s="530" t="s">
        <v>5029</v>
      </c>
      <c r="E210" s="531"/>
      <c r="F210" s="531"/>
      <c r="G210" s="531"/>
      <c r="H210" s="531"/>
      <c r="I210" s="532"/>
      <c r="J210" s="331" t="s">
        <v>170</v>
      </c>
      <c r="K210" s="332"/>
      <c r="L210" s="333">
        <f t="shared" ca="1" si="77"/>
        <v>24489424.134687502</v>
      </c>
      <c r="M210" s="334">
        <f t="shared" ca="1" si="78"/>
        <v>0</v>
      </c>
      <c r="N210" s="335"/>
      <c r="O210" s="181"/>
      <c r="P210" s="413">
        <f ca="1">IF(IFERROR(VLOOKUP(C210,APU!H:N,4,0),0),VLOOKUP(C210,APU!H:N,4,0),0)*500</f>
        <v>15136800.000000002</v>
      </c>
      <c r="Q210" s="413">
        <f ca="1">IF(IFERROR(VLOOKUP(C210,APU!H:N,5,0),0),VLOOKUP(C210,APU!H:N,5,0),0)*500</f>
        <v>3001250.0000000005</v>
      </c>
      <c r="R210" s="413">
        <f ca="1">IF(IFERROR(VLOOKUP(C210,APU!H:N,6,0),0),VLOOKUP(C210,APU!H:N,6,0),0)*500</f>
        <v>644546.875</v>
      </c>
      <c r="S210" s="413">
        <f ca="1">IF(IFERROR(VLOOKUP(C210,APU!H:N,7,0),0),VLOOKUP(C210,APU!H:N,7,0),0)*500</f>
        <v>640000</v>
      </c>
      <c r="T210" s="179"/>
      <c r="U210" s="413">
        <f t="shared" ca="1" si="79"/>
        <v>1553807.7500000002</v>
      </c>
      <c r="V210" s="413">
        <f t="shared" ca="1" si="80"/>
        <v>1553807.7500000002</v>
      </c>
      <c r="W210" s="413">
        <f t="shared" ca="1" si="81"/>
        <v>42857.96875</v>
      </c>
      <c r="X210" s="413">
        <f t="shared" ca="1" si="82"/>
        <v>388451.93750000006</v>
      </c>
      <c r="Y210" s="413">
        <f t="shared" ref="Y210:Y212" ca="1" si="83">(S210+P210+T210+U210+Q210+R210)*$Y$14</f>
        <v>839056.18500000017</v>
      </c>
      <c r="Z210" s="413">
        <f ca="1">(P210+Q210+U210+V210+W210+X210+R210+S210)*$Z$14</f>
        <v>688845.66843750014</v>
      </c>
      <c r="AA210" s="413">
        <f t="shared" ref="AA210:AA212" ca="1" si="84">R210+S210+U210+V210+W210+X210+Z210+Q210+P210+Y210</f>
        <v>24489424.134687502</v>
      </c>
      <c r="AB210" s="413">
        <f ca="1">V210*$AB$14</f>
        <v>295223.47250000003</v>
      </c>
      <c r="AC210" s="413">
        <f ca="1">AA210*K210</f>
        <v>0</v>
      </c>
      <c r="AD210" s="413">
        <f ca="1">AB210*K210</f>
        <v>0</v>
      </c>
    </row>
    <row r="211" spans="2:30" s="168" customFormat="1" ht="18.75" hidden="1" customHeight="1">
      <c r="B211" s="329"/>
      <c r="C211" s="361">
        <v>7.11</v>
      </c>
      <c r="D211" s="485" t="s">
        <v>5030</v>
      </c>
      <c r="E211" s="486" t="s">
        <v>4705</v>
      </c>
      <c r="F211" s="486" t="s">
        <v>4705</v>
      </c>
      <c r="G211" s="486" t="s">
        <v>4705</v>
      </c>
      <c r="H211" s="486" t="s">
        <v>4705</v>
      </c>
      <c r="I211" s="487" t="s">
        <v>4705</v>
      </c>
      <c r="J211" s="331" t="s">
        <v>170</v>
      </c>
      <c r="K211" s="332"/>
      <c r="L211" s="333">
        <f t="shared" ca="1" si="77"/>
        <v>51376744.902687505</v>
      </c>
      <c r="M211" s="334">
        <f t="shared" ca="1" si="78"/>
        <v>0</v>
      </c>
      <c r="N211" s="335"/>
      <c r="O211" s="181"/>
      <c r="P211" s="413">
        <f ca="1">IF(IFERROR(VLOOKUP(C211,APU!H:N,4,0),0),VLOOKUP(C211,APU!H:N,4,0),0)*500</f>
        <v>36499680</v>
      </c>
      <c r="Q211" s="413">
        <f ca="1">IF(IFERROR(VLOOKUP(C211,APU!H:N,5,0),0),VLOOKUP(C211,APU!H:N,5,0),0)*500</f>
        <v>3001250.0000000005</v>
      </c>
      <c r="R211" s="413">
        <f ca="1">IF(IFERROR(VLOOKUP(C211,APU!H:N,6,0),0),VLOOKUP(C211,APU!H:N,6,0),0)*500</f>
        <v>644546.875</v>
      </c>
      <c r="S211" s="413">
        <f ca="1">IF(IFERROR(VLOOKUP(C211,APU!H:N,7,0),0),VLOOKUP(C211,APU!H:N,7,0),0)*500</f>
        <v>640000</v>
      </c>
      <c r="T211" s="179"/>
      <c r="U211" s="413">
        <f t="shared" ca="1" si="79"/>
        <v>3262838.15</v>
      </c>
      <c r="V211" s="413">
        <f t="shared" ca="1" si="80"/>
        <v>3262838.15</v>
      </c>
      <c r="W211" s="413">
        <f t="shared" ca="1" si="81"/>
        <v>42857.96875</v>
      </c>
      <c r="X211" s="413">
        <f t="shared" ca="1" si="82"/>
        <v>815709.53749999998</v>
      </c>
      <c r="Y211" s="413">
        <f t="shared" ca="1" si="83"/>
        <v>1761932.601</v>
      </c>
      <c r="Z211" s="413">
        <f ca="1">(P211+Q211+U211+V211+W211+X211+R211+S211)*$Z$14</f>
        <v>1445091.6204374998</v>
      </c>
      <c r="AA211" s="413">
        <f t="shared" ca="1" si="84"/>
        <v>51376744.902687505</v>
      </c>
      <c r="AB211" s="413">
        <f ca="1">V211*$AB$14</f>
        <v>619939.24849999999</v>
      </c>
      <c r="AC211" s="413">
        <f ca="1">AA211*K211</f>
        <v>0</v>
      </c>
      <c r="AD211" s="413">
        <f ca="1">AB211*K211</f>
        <v>0</v>
      </c>
    </row>
    <row r="212" spans="2:30" s="168" customFormat="1" ht="18.75" hidden="1">
      <c r="B212" s="329"/>
      <c r="C212" s="361">
        <v>7.12</v>
      </c>
      <c r="D212" s="485" t="s">
        <v>5031</v>
      </c>
      <c r="E212" s="486" t="s">
        <v>4700</v>
      </c>
      <c r="F212" s="486" t="s">
        <v>4700</v>
      </c>
      <c r="G212" s="486" t="s">
        <v>4700</v>
      </c>
      <c r="H212" s="486" t="s">
        <v>4700</v>
      </c>
      <c r="I212" s="487" t="s">
        <v>4700</v>
      </c>
      <c r="J212" s="331" t="s">
        <v>170</v>
      </c>
      <c r="K212" s="332"/>
      <c r="L212" s="333">
        <f t="shared" ca="1" si="40"/>
        <v>31158005.826050002</v>
      </c>
      <c r="M212" s="334">
        <f t="shared" ca="1" si="70"/>
        <v>0</v>
      </c>
      <c r="N212" s="335"/>
      <c r="O212" s="181"/>
      <c r="P212" s="413">
        <f ca="1">IF(IFERROR(VLOOKUP(C212,APU!H:N,4,0),0),VLOOKUP(C212,APU!H:N,4,0),0)*500</f>
        <v>12466440</v>
      </c>
      <c r="Q212" s="413">
        <f ca="1">IF(IFERROR(VLOOKUP(C212,APU!H:N,5,0),0),VLOOKUP(C212,APU!H:N,5,0),0)*500</f>
        <v>9507960.0000000019</v>
      </c>
      <c r="R212" s="413">
        <f ca="1">IF(IFERROR(VLOOKUP(C212,APU!H:N,6,0),0),VLOOKUP(C212,APU!H:N,6,0),0)*500</f>
        <v>2041924.5000000002</v>
      </c>
      <c r="S212" s="413">
        <f ca="1">IF(IFERROR(VLOOKUP(C212,APU!H:N,7,0),0),VLOOKUP(C212,APU!H:N,7,0),0)*500</f>
        <v>640000</v>
      </c>
      <c r="T212" s="179"/>
      <c r="U212" s="413">
        <f t="shared" ca="1" si="41"/>
        <v>1972505.96</v>
      </c>
      <c r="V212" s="413">
        <f t="shared" ca="1" si="42"/>
        <v>1972505.96</v>
      </c>
      <c r="W212" s="413">
        <f t="shared" ca="1" si="43"/>
        <v>121898.84500000002</v>
      </c>
      <c r="X212" s="413">
        <f t="shared" ca="1" si="44"/>
        <v>493126.49</v>
      </c>
      <c r="Y212" s="413">
        <f t="shared" ca="1" si="83"/>
        <v>1065153.2184000001</v>
      </c>
      <c r="Z212" s="413">
        <f ca="1">(P212+Q212+U212+V212+W212+X212+R212+S212)*$Z$14</f>
        <v>876490.8526499999</v>
      </c>
      <c r="AA212" s="413">
        <f t="shared" ca="1" si="84"/>
        <v>31158005.826050002</v>
      </c>
      <c r="AB212" s="413">
        <f ca="1">V212*$AB$14</f>
        <v>374776.1324</v>
      </c>
      <c r="AC212" s="413">
        <f ca="1">AA212*K212</f>
        <v>0</v>
      </c>
      <c r="AD212" s="413">
        <f ca="1">AB212*K212</f>
        <v>0</v>
      </c>
    </row>
    <row r="213" spans="2:30" s="168" customFormat="1" ht="18" customHeight="1">
      <c r="B213" s="329"/>
      <c r="C213" s="494" t="s">
        <v>4851</v>
      </c>
      <c r="D213" s="494"/>
      <c r="E213" s="494"/>
      <c r="F213" s="494"/>
      <c r="G213" s="494"/>
      <c r="H213" s="494"/>
      <c r="I213" s="494"/>
      <c r="J213" s="494"/>
      <c r="K213" s="494"/>
      <c r="L213" s="494"/>
      <c r="M213" s="336">
        <f ca="1">SUM(M17:M212)</f>
        <v>108485670.24067964</v>
      </c>
      <c r="N213" s="337"/>
      <c r="O213" s="175"/>
      <c r="P213" s="410"/>
      <c r="Q213" s="410"/>
      <c r="R213" s="411"/>
      <c r="S213" s="412"/>
      <c r="T213" s="179"/>
      <c r="U213" s="180"/>
      <c r="V213" s="180"/>
      <c r="W213" s="172"/>
    </row>
    <row r="214" spans="2:30" s="168" customFormat="1" ht="18" customHeight="1">
      <c r="B214" s="329"/>
      <c r="C214" s="494" t="s">
        <v>4</v>
      </c>
      <c r="D214" s="494"/>
      <c r="E214" s="494"/>
      <c r="F214" s="494"/>
      <c r="G214" s="494"/>
      <c r="H214" s="494"/>
      <c r="I214" s="494"/>
      <c r="J214" s="494"/>
      <c r="K214" s="494"/>
      <c r="L214" s="494"/>
      <c r="M214" s="336">
        <f ca="1">M215/0.19</f>
        <v>6882936.1262231991</v>
      </c>
      <c r="N214" s="337"/>
      <c r="O214" s="175"/>
      <c r="P214" s="178"/>
      <c r="Q214" s="178"/>
      <c r="R214" s="185"/>
      <c r="S214" s="186"/>
      <c r="T214" s="179"/>
      <c r="U214" s="180"/>
      <c r="V214" s="180"/>
      <c r="W214" s="172"/>
    </row>
    <row r="215" spans="2:30" s="168" customFormat="1" ht="18" customHeight="1">
      <c r="B215" s="329"/>
      <c r="C215" s="494" t="s">
        <v>4210</v>
      </c>
      <c r="D215" s="494"/>
      <c r="E215" s="494"/>
      <c r="F215" s="494"/>
      <c r="G215" s="494"/>
      <c r="H215" s="494"/>
      <c r="I215" s="494"/>
      <c r="J215" s="494"/>
      <c r="K215" s="494"/>
      <c r="L215" s="494"/>
      <c r="M215" s="336">
        <f ca="1">SUM(AD17:AD212)</f>
        <v>1307757.8639824078</v>
      </c>
      <c r="N215" s="337"/>
      <c r="O215" s="175"/>
      <c r="P215" s="178"/>
      <c r="Q215" s="178"/>
      <c r="R215" s="185"/>
      <c r="S215" s="186"/>
      <c r="T215" s="179"/>
      <c r="U215" s="180"/>
      <c r="V215" s="180"/>
      <c r="W215" s="172"/>
    </row>
    <row r="216" spans="2:30" s="168" customFormat="1" ht="19.5" customHeight="1">
      <c r="B216" s="329"/>
      <c r="C216" s="526" t="s">
        <v>4247</v>
      </c>
      <c r="D216" s="526"/>
      <c r="E216" s="526"/>
      <c r="F216" s="526"/>
      <c r="G216" s="526"/>
      <c r="H216" s="526"/>
      <c r="I216" s="526"/>
      <c r="J216" s="526"/>
      <c r="K216" s="526"/>
      <c r="L216" s="526"/>
      <c r="M216" s="336">
        <f ca="1">SUM(M213:M215)</f>
        <v>116676364.23088524</v>
      </c>
      <c r="N216" s="337"/>
      <c r="O216" s="175"/>
      <c r="P216" s="178"/>
      <c r="Q216" s="178"/>
      <c r="R216" s="185"/>
      <c r="S216" s="186"/>
      <c r="T216" s="179"/>
      <c r="U216" s="180"/>
      <c r="V216" s="180"/>
      <c r="W216" s="172"/>
    </row>
    <row r="217" spans="2:30" s="168" customFormat="1" ht="18" customHeight="1">
      <c r="B217" s="329"/>
      <c r="C217" s="352"/>
      <c r="D217" s="352"/>
      <c r="E217" s="352"/>
      <c r="F217" s="352"/>
      <c r="G217" s="352"/>
      <c r="H217" s="352"/>
      <c r="I217" s="352"/>
      <c r="J217" s="338"/>
      <c r="K217" s="338"/>
      <c r="L217" s="338"/>
      <c r="M217" s="338"/>
      <c r="N217" s="339"/>
      <c r="O217" s="175"/>
      <c r="P217" s="178"/>
      <c r="Q217" s="178"/>
      <c r="R217" s="185"/>
      <c r="S217" s="186"/>
      <c r="T217" s="179"/>
      <c r="U217" s="180"/>
      <c r="V217" s="180"/>
      <c r="W217" s="172"/>
    </row>
    <row r="218" spans="2:30" s="168" customFormat="1" ht="18.75" customHeight="1">
      <c r="B218" s="329"/>
      <c r="C218" s="515" t="s">
        <v>4249</v>
      </c>
      <c r="D218" s="515"/>
      <c r="E218" s="515"/>
      <c r="F218" s="515"/>
      <c r="G218" s="515"/>
      <c r="H218" s="515"/>
      <c r="I218" s="515"/>
      <c r="J218" s="515"/>
      <c r="K218" s="515"/>
      <c r="L218" s="515"/>
      <c r="M218" s="515"/>
      <c r="N218" s="340"/>
      <c r="O218" s="175"/>
      <c r="P218" s="178"/>
      <c r="Q218" s="178"/>
      <c r="R218" s="185"/>
      <c r="S218" s="186"/>
      <c r="T218" s="179"/>
      <c r="U218" s="180"/>
      <c r="V218" s="180"/>
      <c r="W218" s="172"/>
    </row>
    <row r="219" spans="2:30" s="168" customFormat="1" ht="18.75">
      <c r="B219" s="329"/>
      <c r="C219" s="504"/>
      <c r="D219" s="504"/>
      <c r="E219" s="504"/>
      <c r="F219" s="504"/>
      <c r="G219" s="504"/>
      <c r="H219" s="504"/>
      <c r="I219" s="504"/>
      <c r="J219" s="504"/>
      <c r="K219" s="504"/>
      <c r="L219" s="504"/>
      <c r="M219" s="504"/>
      <c r="N219" s="341"/>
      <c r="O219" s="175"/>
      <c r="P219" s="178"/>
      <c r="Q219" s="178"/>
      <c r="R219" s="185"/>
      <c r="S219" s="186"/>
      <c r="T219" s="179"/>
      <c r="U219" s="180"/>
      <c r="V219" s="180"/>
      <c r="W219" s="172"/>
    </row>
    <row r="220" spans="2:30" s="168" customFormat="1" ht="18.75">
      <c r="B220" s="169"/>
      <c r="C220" s="342" t="s">
        <v>4219</v>
      </c>
      <c r="D220" s="342"/>
      <c r="E220" s="342"/>
      <c r="F220" s="342"/>
      <c r="G220" s="342"/>
      <c r="H220" s="342"/>
      <c r="I220" s="342"/>
      <c r="J220" s="342"/>
      <c r="K220" s="342"/>
      <c r="L220" s="342"/>
      <c r="M220" s="342"/>
      <c r="N220" s="343"/>
      <c r="O220" s="175"/>
      <c r="P220" s="178"/>
      <c r="Q220" s="178"/>
      <c r="R220" s="185"/>
      <c r="S220" s="186"/>
      <c r="T220" s="179"/>
      <c r="U220" s="180"/>
      <c r="V220" s="180"/>
      <c r="W220" s="172"/>
    </row>
    <row r="221" spans="2:30" s="168" customFormat="1" ht="18.75">
      <c r="B221" s="169"/>
      <c r="C221" s="342"/>
      <c r="D221" s="342"/>
      <c r="E221" s="342"/>
      <c r="F221" s="342"/>
      <c r="G221" s="342"/>
      <c r="H221" s="342"/>
      <c r="I221" s="342"/>
      <c r="J221" s="342"/>
      <c r="K221" s="342"/>
      <c r="L221" s="342"/>
      <c r="M221" s="342"/>
      <c r="N221" s="343"/>
      <c r="O221" s="175"/>
      <c r="P221" s="178"/>
      <c r="Q221" s="178"/>
      <c r="R221" s="185"/>
      <c r="S221" s="186"/>
      <c r="T221" s="179"/>
      <c r="U221" s="180"/>
      <c r="V221" s="180"/>
      <c r="W221" s="172"/>
    </row>
    <row r="222" spans="2:30" s="168" customFormat="1" ht="18.75">
      <c r="B222" s="169"/>
      <c r="C222" s="342"/>
      <c r="D222" s="342"/>
      <c r="E222" s="342"/>
      <c r="F222" s="342"/>
      <c r="G222" s="342"/>
      <c r="H222" s="342"/>
      <c r="I222" s="342"/>
      <c r="J222" s="342"/>
      <c r="K222" s="342"/>
      <c r="L222" s="342"/>
      <c r="M222" s="342"/>
      <c r="N222" s="343"/>
      <c r="O222" s="175"/>
      <c r="P222" s="178"/>
      <c r="Q222" s="178"/>
      <c r="R222" s="185"/>
      <c r="S222" s="186"/>
      <c r="T222" s="179"/>
      <c r="U222" s="180"/>
      <c r="V222" s="180"/>
      <c r="W222" s="172"/>
    </row>
    <row r="223" spans="2:30" s="168" customFormat="1" ht="18.75">
      <c r="B223" s="169"/>
      <c r="C223" s="342"/>
      <c r="D223" s="342"/>
      <c r="E223" s="342"/>
      <c r="F223" s="342"/>
      <c r="G223" s="342"/>
      <c r="H223" s="342"/>
      <c r="I223" s="342"/>
      <c r="J223" s="342"/>
      <c r="K223" s="342"/>
      <c r="L223" s="342"/>
      <c r="M223" s="342"/>
      <c r="N223" s="343"/>
      <c r="O223" s="175"/>
      <c r="P223" s="178"/>
      <c r="Q223" s="178"/>
      <c r="R223" s="185"/>
      <c r="S223" s="186"/>
      <c r="T223" s="179"/>
      <c r="U223" s="180"/>
      <c r="V223" s="180"/>
      <c r="W223" s="172"/>
    </row>
    <row r="224" spans="2:30" s="168" customFormat="1" ht="18.75">
      <c r="B224" s="169"/>
      <c r="C224" s="320"/>
      <c r="D224" s="342"/>
      <c r="E224" s="342"/>
      <c r="F224" s="342"/>
      <c r="G224" s="342"/>
      <c r="H224" s="342"/>
      <c r="I224" s="342"/>
      <c r="J224" s="342"/>
      <c r="K224" s="342"/>
      <c r="L224" s="342"/>
      <c r="M224" s="342"/>
      <c r="N224" s="343"/>
      <c r="O224" s="175"/>
      <c r="P224" s="178"/>
      <c r="Q224" s="178"/>
      <c r="R224" s="185"/>
      <c r="S224" s="186"/>
      <c r="T224" s="179"/>
      <c r="U224" s="180"/>
      <c r="V224" s="180"/>
      <c r="W224" s="172"/>
    </row>
    <row r="225" spans="2:23" s="168" customFormat="1" ht="18.75">
      <c r="B225" s="169"/>
      <c r="C225" s="320" t="s">
        <v>4248</v>
      </c>
      <c r="D225" s="342"/>
      <c r="E225" s="342"/>
      <c r="F225" s="342"/>
      <c r="G225" s="342"/>
      <c r="H225" s="342"/>
      <c r="I225" s="342"/>
      <c r="J225" s="342"/>
      <c r="K225" s="342"/>
      <c r="L225" s="342"/>
      <c r="M225" s="342"/>
      <c r="N225" s="343"/>
      <c r="O225" s="175"/>
      <c r="P225" s="178"/>
      <c r="Q225" s="178"/>
      <c r="R225" s="185"/>
      <c r="S225" s="186"/>
      <c r="T225" s="179"/>
      <c r="U225" s="180"/>
      <c r="V225" s="180"/>
      <c r="W225" s="172"/>
    </row>
    <row r="226" spans="2:23" s="168" customFormat="1" ht="18.75">
      <c r="B226" s="169"/>
      <c r="C226" s="344" t="s">
        <v>4668</v>
      </c>
      <c r="D226" s="344"/>
      <c r="E226" s="344"/>
      <c r="F226" s="344"/>
      <c r="G226" s="344"/>
      <c r="H226" s="344"/>
      <c r="I226" s="344"/>
      <c r="J226" s="344"/>
      <c r="K226" s="344"/>
      <c r="L226" s="344"/>
      <c r="M226" s="344"/>
      <c r="N226" s="345"/>
      <c r="O226" s="175"/>
      <c r="P226" s="178"/>
      <c r="Q226" s="178"/>
      <c r="R226" s="185"/>
      <c r="S226" s="186"/>
      <c r="T226" s="179"/>
      <c r="U226" s="180"/>
      <c r="V226" s="180"/>
      <c r="W226" s="172"/>
    </row>
    <row r="227" spans="2:23" s="168" customFormat="1" ht="18.75">
      <c r="B227" s="169"/>
      <c r="C227" s="344"/>
      <c r="D227" s="344"/>
      <c r="E227" s="344"/>
      <c r="F227" s="344"/>
      <c r="G227" s="344"/>
      <c r="H227" s="344"/>
      <c r="I227" s="344"/>
      <c r="J227" s="344"/>
      <c r="K227" s="344"/>
      <c r="L227" s="344"/>
      <c r="M227" s="344"/>
      <c r="N227" s="345"/>
      <c r="O227" s="175"/>
      <c r="P227" s="178"/>
      <c r="Q227" s="178"/>
      <c r="R227" s="185"/>
      <c r="S227" s="186"/>
      <c r="T227" s="179"/>
      <c r="U227" s="180"/>
      <c r="V227" s="180"/>
      <c r="W227" s="172"/>
    </row>
    <row r="228" spans="2:23" s="168" customFormat="1" ht="18.75">
      <c r="B228" s="143"/>
      <c r="C228" s="344"/>
      <c r="D228" s="344"/>
      <c r="E228" s="344"/>
      <c r="F228" s="344"/>
      <c r="G228" s="344"/>
      <c r="H228" s="344"/>
      <c r="I228" s="344"/>
      <c r="J228" s="344"/>
      <c r="K228" s="344"/>
      <c r="L228" s="344"/>
      <c r="M228" s="344"/>
      <c r="N228" s="346"/>
      <c r="O228" s="187"/>
      <c r="P228" s="187"/>
      <c r="Q228" s="178"/>
      <c r="R228" s="185"/>
      <c r="S228" s="186"/>
      <c r="T228" s="179"/>
      <c r="U228" s="180"/>
      <c r="V228" s="180"/>
      <c r="W228" s="172"/>
    </row>
    <row r="229" spans="2:23" s="168" customFormat="1" ht="18.75">
      <c r="B229" s="143"/>
      <c r="C229" s="344"/>
      <c r="D229" s="344"/>
      <c r="E229" s="344"/>
      <c r="F229" s="344"/>
      <c r="G229" s="344"/>
      <c r="H229" s="344"/>
      <c r="I229" s="344"/>
      <c r="J229" s="344"/>
      <c r="K229" s="344"/>
      <c r="L229" s="344"/>
      <c r="M229" s="344"/>
      <c r="N229" s="346"/>
      <c r="O229" s="187"/>
      <c r="P229" s="187"/>
      <c r="Q229" s="178"/>
      <c r="R229" s="185"/>
      <c r="S229" s="186"/>
      <c r="T229" s="179"/>
      <c r="U229" s="180"/>
      <c r="V229" s="180"/>
      <c r="W229" s="172"/>
    </row>
    <row r="230" spans="2:23" s="168" customFormat="1" ht="18.75">
      <c r="B230" s="143"/>
      <c r="C230" s="344"/>
      <c r="D230" s="344"/>
      <c r="E230" s="344"/>
      <c r="F230" s="344"/>
      <c r="G230" s="344"/>
      <c r="H230" s="344"/>
      <c r="I230" s="344"/>
      <c r="J230" s="344"/>
      <c r="K230" s="344"/>
      <c r="L230" s="344"/>
      <c r="M230" s="344"/>
      <c r="N230" s="346"/>
      <c r="O230" s="175"/>
      <c r="P230" s="178"/>
      <c r="Q230" s="178"/>
      <c r="R230" s="185"/>
      <c r="S230" s="186"/>
      <c r="T230" s="179"/>
      <c r="U230" s="180"/>
      <c r="V230" s="180"/>
      <c r="W230" s="172"/>
    </row>
    <row r="231" spans="2:23" ht="16.5" customHeight="1">
      <c r="B231" s="143"/>
      <c r="C231" s="344"/>
      <c r="D231" s="344"/>
      <c r="E231" s="344"/>
      <c r="F231" s="344"/>
      <c r="G231" s="344"/>
      <c r="H231" s="344"/>
      <c r="I231" s="344"/>
      <c r="J231" s="344"/>
      <c r="K231" s="344"/>
      <c r="L231" s="344"/>
      <c r="M231" s="344"/>
      <c r="N231" s="346"/>
      <c r="P231" s="189"/>
      <c r="Q231" s="189"/>
      <c r="R231" s="190"/>
      <c r="S231" s="191"/>
      <c r="T231" s="192"/>
      <c r="U231" s="193"/>
      <c r="V231" s="194"/>
      <c r="W231" s="195"/>
    </row>
    <row r="232" spans="2:23" ht="15.75">
      <c r="B232" s="375"/>
      <c r="C232" s="373"/>
      <c r="D232" s="373"/>
      <c r="E232" s="373"/>
      <c r="F232" s="373"/>
      <c r="G232" s="373"/>
      <c r="H232" s="373"/>
      <c r="I232" s="373"/>
      <c r="J232" s="373"/>
      <c r="K232" s="373"/>
      <c r="L232" s="373"/>
      <c r="M232" s="374"/>
      <c r="N232" s="376"/>
      <c r="P232" s="189"/>
      <c r="Q232" s="189"/>
      <c r="R232" s="196"/>
      <c r="S232" s="191"/>
      <c r="T232" s="192"/>
      <c r="U232" s="193"/>
      <c r="V232" s="521"/>
      <c r="W232" s="195"/>
    </row>
    <row r="233" spans="2:23" ht="15.75" customHeight="1">
      <c r="B233" s="347"/>
      <c r="C233" s="348"/>
      <c r="D233" s="348"/>
      <c r="E233" s="348"/>
      <c r="F233" s="348"/>
      <c r="G233" s="348"/>
      <c r="H233" s="348"/>
      <c r="I233" s="348"/>
      <c r="J233" s="348"/>
      <c r="K233" s="348"/>
      <c r="L233" s="348"/>
      <c r="M233" s="349"/>
      <c r="N233" s="350"/>
      <c r="P233" s="189"/>
      <c r="Q233" s="189"/>
      <c r="R233" s="196"/>
      <c r="S233" s="191"/>
      <c r="T233" s="192"/>
      <c r="U233" s="193"/>
      <c r="V233" s="521"/>
      <c r="W233" s="195"/>
    </row>
    <row r="234" spans="2:23" ht="15.75" customHeight="1">
      <c r="B234" s="379"/>
      <c r="C234" s="377"/>
      <c r="D234" s="377"/>
      <c r="E234" s="377"/>
      <c r="F234" s="377"/>
      <c r="G234" s="377"/>
      <c r="H234" s="377"/>
      <c r="I234" s="377"/>
      <c r="J234" s="377"/>
      <c r="K234" s="377"/>
      <c r="L234" s="377"/>
      <c r="M234" s="377"/>
      <c r="N234" s="378"/>
      <c r="P234" s="189"/>
      <c r="Q234" s="189"/>
      <c r="R234" s="196"/>
      <c r="S234" s="191"/>
      <c r="T234" s="192"/>
      <c r="U234" s="193"/>
      <c r="V234" s="194"/>
      <c r="W234" s="195"/>
    </row>
    <row r="235" spans="2:23" ht="15.75" customHeight="1">
      <c r="C235" s="188"/>
      <c r="D235" s="188"/>
      <c r="E235" s="188"/>
      <c r="F235" s="188"/>
      <c r="G235" s="188"/>
      <c r="H235" s="188"/>
      <c r="I235" s="188"/>
      <c r="J235" s="188"/>
      <c r="K235" s="188"/>
      <c r="L235" s="188"/>
      <c r="M235" s="188"/>
      <c r="N235" s="188"/>
      <c r="P235" s="189"/>
      <c r="Q235" s="189"/>
      <c r="R235" s="196"/>
      <c r="S235" s="191"/>
      <c r="T235" s="192"/>
      <c r="U235" s="193"/>
      <c r="V235" s="194"/>
      <c r="W235" s="195"/>
    </row>
    <row r="236" spans="2:23" ht="15.75" customHeight="1">
      <c r="C236" s="188"/>
      <c r="D236" s="188"/>
      <c r="E236" s="188"/>
      <c r="F236" s="188"/>
      <c r="G236" s="188"/>
      <c r="H236" s="188"/>
      <c r="I236" s="188"/>
      <c r="J236" s="188"/>
      <c r="K236" s="188"/>
      <c r="L236" s="188"/>
      <c r="M236" s="188"/>
      <c r="N236" s="188"/>
      <c r="P236" s="189"/>
      <c r="Q236" s="189"/>
      <c r="R236" s="196"/>
      <c r="S236" s="191"/>
      <c r="T236" s="192"/>
      <c r="U236" s="193"/>
      <c r="V236" s="521"/>
      <c r="W236" s="195"/>
    </row>
    <row r="237" spans="2:23" ht="15.75" customHeight="1">
      <c r="C237" s="188"/>
      <c r="D237" s="188"/>
      <c r="E237" s="188"/>
      <c r="F237" s="188"/>
      <c r="G237" s="188"/>
      <c r="H237" s="188"/>
      <c r="I237" s="188"/>
      <c r="J237" s="188"/>
      <c r="K237" s="188"/>
      <c r="L237" s="188"/>
      <c r="M237" s="188"/>
      <c r="N237" s="188"/>
      <c r="P237" s="189"/>
      <c r="Q237" s="189"/>
      <c r="R237" s="196"/>
      <c r="S237" s="191"/>
      <c r="T237" s="192"/>
      <c r="U237" s="193"/>
      <c r="V237" s="521"/>
      <c r="W237" s="195"/>
    </row>
    <row r="238" spans="2:23" ht="15.75" customHeight="1">
      <c r="P238" s="189"/>
      <c r="Q238" s="189"/>
      <c r="R238" s="196"/>
      <c r="S238" s="191"/>
      <c r="T238" s="192"/>
      <c r="U238" s="193"/>
      <c r="V238" s="521"/>
      <c r="W238" s="195"/>
    </row>
    <row r="239" spans="2:23">
      <c r="M239" s="197"/>
      <c r="N239" s="197"/>
      <c r="P239" s="189"/>
      <c r="Q239" s="189"/>
      <c r="R239" s="196"/>
      <c r="S239" s="191"/>
      <c r="T239" s="192"/>
      <c r="U239" s="193"/>
      <c r="V239" s="521"/>
      <c r="W239" s="195"/>
    </row>
    <row r="240" spans="2:23">
      <c r="M240" s="197"/>
      <c r="N240" s="197"/>
      <c r="P240" s="189"/>
      <c r="Q240" s="189"/>
      <c r="R240" s="196"/>
      <c r="S240" s="191"/>
      <c r="T240" s="192"/>
      <c r="U240" s="193"/>
      <c r="V240" s="521"/>
      <c r="W240" s="195"/>
    </row>
    <row r="241" spans="16:22">
      <c r="P241" s="189"/>
      <c r="Q241" s="189"/>
      <c r="R241" s="196"/>
      <c r="S241" s="191"/>
      <c r="T241" s="192"/>
      <c r="U241" s="193"/>
      <c r="V241" s="521"/>
    </row>
    <row r="242" spans="16:22" ht="15.75" customHeight="1">
      <c r="Q242" s="139"/>
      <c r="R242" s="195"/>
      <c r="S242" s="195"/>
      <c r="U242" s="195"/>
    </row>
    <row r="243" spans="16:22">
      <c r="Q243" s="139"/>
      <c r="R243" s="195"/>
      <c r="S243" s="195"/>
      <c r="U243" s="198"/>
    </row>
    <row r="244" spans="16:22">
      <c r="Q244" s="139"/>
      <c r="S244" s="195"/>
      <c r="U244" s="199"/>
    </row>
    <row r="245" spans="16:22">
      <c r="Q245" s="139"/>
      <c r="S245" s="195"/>
    </row>
    <row r="246" spans="16:22">
      <c r="Q246" s="139"/>
      <c r="S246" s="195"/>
    </row>
    <row r="247" spans="16:22">
      <c r="Q247" s="139"/>
      <c r="S247" s="195"/>
    </row>
  </sheetData>
  <mergeCells count="222">
    <mergeCell ref="D209:I209"/>
    <mergeCell ref="D208:I208"/>
    <mergeCell ref="D207:I207"/>
    <mergeCell ref="D210:I210"/>
    <mergeCell ref="D211:I211"/>
    <mergeCell ref="D202:I202"/>
    <mergeCell ref="D201:I201"/>
    <mergeCell ref="D151:I151"/>
    <mergeCell ref="D152:I152"/>
    <mergeCell ref="D206:I206"/>
    <mergeCell ref="D186:I186"/>
    <mergeCell ref="D185:I185"/>
    <mergeCell ref="D203:I203"/>
    <mergeCell ref="D199:I199"/>
    <mergeCell ref="D198:I198"/>
    <mergeCell ref="D195:I195"/>
    <mergeCell ref="D166:I166"/>
    <mergeCell ref="D167:I167"/>
    <mergeCell ref="D168:I168"/>
    <mergeCell ref="D169:I169"/>
    <mergeCell ref="D170:I170"/>
    <mergeCell ref="D174:I174"/>
    <mergeCell ref="D173:I173"/>
    <mergeCell ref="D172:I172"/>
    <mergeCell ref="D83:I83"/>
    <mergeCell ref="D84:I84"/>
    <mergeCell ref="D183:I183"/>
    <mergeCell ref="D73:I73"/>
    <mergeCell ref="D125:I125"/>
    <mergeCell ref="D153:I153"/>
    <mergeCell ref="D154:I154"/>
    <mergeCell ref="D155:I155"/>
    <mergeCell ref="D161:I161"/>
    <mergeCell ref="D126:I126"/>
    <mergeCell ref="D141:I141"/>
    <mergeCell ref="D135:I135"/>
    <mergeCell ref="D136:I136"/>
    <mergeCell ref="D140:I140"/>
    <mergeCell ref="D139:I139"/>
    <mergeCell ref="D134:I134"/>
    <mergeCell ref="D180:I180"/>
    <mergeCell ref="D148:I148"/>
    <mergeCell ref="D132:I132"/>
    <mergeCell ref="D142:I142"/>
    <mergeCell ref="D128:I128"/>
    <mergeCell ref="D129:I129"/>
    <mergeCell ref="D130:I130"/>
    <mergeCell ref="D150:I150"/>
    <mergeCell ref="D149:I149"/>
    <mergeCell ref="D121:I121"/>
    <mergeCell ref="D122:I122"/>
    <mergeCell ref="D112:I112"/>
    <mergeCell ref="D147:I147"/>
    <mergeCell ref="D146:I146"/>
    <mergeCell ref="D144:I144"/>
    <mergeCell ref="D143:I143"/>
    <mergeCell ref="D145:I145"/>
    <mergeCell ref="D119:I119"/>
    <mergeCell ref="D118:I118"/>
    <mergeCell ref="D117:I117"/>
    <mergeCell ref="D127:I127"/>
    <mergeCell ref="D124:I124"/>
    <mergeCell ref="D123:I123"/>
    <mergeCell ref="D131:I131"/>
    <mergeCell ref="D85:I85"/>
    <mergeCell ref="D86:I86"/>
    <mergeCell ref="D87:I87"/>
    <mergeCell ref="D88:I88"/>
    <mergeCell ref="D108:I108"/>
    <mergeCell ref="D107:I107"/>
    <mergeCell ref="D109:I109"/>
    <mergeCell ref="D116:I116"/>
    <mergeCell ref="D111:I111"/>
    <mergeCell ref="D110:I110"/>
    <mergeCell ref="D115:I115"/>
    <mergeCell ref="D114:I114"/>
    <mergeCell ref="D113:I113"/>
    <mergeCell ref="D90:I90"/>
    <mergeCell ref="D89:I89"/>
    <mergeCell ref="D91:I91"/>
    <mergeCell ref="D93:I93"/>
    <mergeCell ref="D92:I92"/>
    <mergeCell ref="D95:I95"/>
    <mergeCell ref="D94:I94"/>
    <mergeCell ref="D96:I96"/>
    <mergeCell ref="D97:I97"/>
    <mergeCell ref="D98:I98"/>
    <mergeCell ref="D99:I99"/>
    <mergeCell ref="V240:V241"/>
    <mergeCell ref="V232:V233"/>
    <mergeCell ref="P11:Q11"/>
    <mergeCell ref="V236:V239"/>
    <mergeCell ref="C14:M14"/>
    <mergeCell ref="C215:L215"/>
    <mergeCell ref="C216:L216"/>
    <mergeCell ref="D15:I15"/>
    <mergeCell ref="D19:I19"/>
    <mergeCell ref="D179:I179"/>
    <mergeCell ref="C12:D12"/>
    <mergeCell ref="D16:I16"/>
    <mergeCell ref="D17:I17"/>
    <mergeCell ref="D18:I18"/>
    <mergeCell ref="D23:I23"/>
    <mergeCell ref="D101:I101"/>
    <mergeCell ref="D27:I27"/>
    <mergeCell ref="D26:I26"/>
    <mergeCell ref="D25:I25"/>
    <mergeCell ref="D29:I29"/>
    <mergeCell ref="D28:I28"/>
    <mergeCell ref="D105:I105"/>
    <mergeCell ref="D104:I104"/>
    <mergeCell ref="D103:I103"/>
    <mergeCell ref="E8:M8"/>
    <mergeCell ref="E9:M9"/>
    <mergeCell ref="E10:M10"/>
    <mergeCell ref="E11:M11"/>
    <mergeCell ref="E12:M12"/>
    <mergeCell ref="G2:K5"/>
    <mergeCell ref="C11:D11"/>
    <mergeCell ref="C218:M218"/>
    <mergeCell ref="C219:M219"/>
    <mergeCell ref="C213:L213"/>
    <mergeCell ref="C6:M6"/>
    <mergeCell ref="C8:D8"/>
    <mergeCell ref="D133:I133"/>
    <mergeCell ref="D138:I138"/>
    <mergeCell ref="D100:I100"/>
    <mergeCell ref="D24:I24"/>
    <mergeCell ref="D102:I102"/>
    <mergeCell ref="D137:I137"/>
    <mergeCell ref="D22:I22"/>
    <mergeCell ref="D106:I106"/>
    <mergeCell ref="D30:I30"/>
    <mergeCell ref="D49:I49"/>
    <mergeCell ref="D191:I191"/>
    <mergeCell ref="D204:I204"/>
    <mergeCell ref="D21:I21"/>
    <mergeCell ref="D20:I20"/>
    <mergeCell ref="C9:D9"/>
    <mergeCell ref="C10:D10"/>
    <mergeCell ref="D31:I31"/>
    <mergeCell ref="D48:I48"/>
    <mergeCell ref="D45:I45"/>
    <mergeCell ref="D46:I46"/>
    <mergeCell ref="D47:I47"/>
    <mergeCell ref="D32:I32"/>
    <mergeCell ref="D33:I33"/>
    <mergeCell ref="D34:I34"/>
    <mergeCell ref="D35:I35"/>
    <mergeCell ref="D36:I36"/>
    <mergeCell ref="D44:I44"/>
    <mergeCell ref="D37:I37"/>
    <mergeCell ref="D38:I38"/>
    <mergeCell ref="D39:I39"/>
    <mergeCell ref="D40:I40"/>
    <mergeCell ref="D41:I41"/>
    <mergeCell ref="D42:I42"/>
    <mergeCell ref="D43:I43"/>
    <mergeCell ref="D63:I63"/>
    <mergeCell ref="D64:I64"/>
    <mergeCell ref="D65:I65"/>
    <mergeCell ref="D68:I68"/>
    <mergeCell ref="D74:I74"/>
    <mergeCell ref="D75:I75"/>
    <mergeCell ref="D76:I76"/>
    <mergeCell ref="D58:I58"/>
    <mergeCell ref="D50:I50"/>
    <mergeCell ref="D57:I57"/>
    <mergeCell ref="D55:I55"/>
    <mergeCell ref="D56:I56"/>
    <mergeCell ref="D51:I51"/>
    <mergeCell ref="D52:I52"/>
    <mergeCell ref="D53:I53"/>
    <mergeCell ref="D54:I54"/>
    <mergeCell ref="D181:I181"/>
    <mergeCell ref="D212:I212"/>
    <mergeCell ref="D197:I197"/>
    <mergeCell ref="D196:I196"/>
    <mergeCell ref="D193:I193"/>
    <mergeCell ref="D205:I205"/>
    <mergeCell ref="D200:I200"/>
    <mergeCell ref="D59:I59"/>
    <mergeCell ref="D62:I62"/>
    <mergeCell ref="D61:I61"/>
    <mergeCell ref="D60:I60"/>
    <mergeCell ref="D120:I120"/>
    <mergeCell ref="D79:I79"/>
    <mergeCell ref="D78:I78"/>
    <mergeCell ref="D69:I69"/>
    <mergeCell ref="D70:I70"/>
    <mergeCell ref="D77:I77"/>
    <mergeCell ref="D82:I82"/>
    <mergeCell ref="D67:I67"/>
    <mergeCell ref="D71:I71"/>
    <mergeCell ref="D72:I72"/>
    <mergeCell ref="D81:I81"/>
    <mergeCell ref="D80:I80"/>
    <mergeCell ref="D66:I66"/>
    <mergeCell ref="D177:I177"/>
    <mergeCell ref="D178:I178"/>
    <mergeCell ref="D171:I171"/>
    <mergeCell ref="D175:I175"/>
    <mergeCell ref="D176:I176"/>
    <mergeCell ref="D189:I189"/>
    <mergeCell ref="D190:I190"/>
    <mergeCell ref="M2:M5"/>
    <mergeCell ref="C214:L214"/>
    <mergeCell ref="D188:I188"/>
    <mergeCell ref="D187:I187"/>
    <mergeCell ref="D194:I194"/>
    <mergeCell ref="D156:I156"/>
    <mergeCell ref="D160:I160"/>
    <mergeCell ref="D159:I159"/>
    <mergeCell ref="D158:I158"/>
    <mergeCell ref="D157:I157"/>
    <mergeCell ref="D164:I164"/>
    <mergeCell ref="D163:I163"/>
    <mergeCell ref="D162:I162"/>
    <mergeCell ref="D165:I165"/>
    <mergeCell ref="D192:I192"/>
    <mergeCell ref="D184:I184"/>
    <mergeCell ref="D182:I182"/>
  </mergeCells>
  <pageMargins left="0.7" right="0.7" top="0.75" bottom="0.75" header="0.3" footer="0.3"/>
  <pageSetup scale="24" orientation="portrait" horizontalDpi="4294967295" verticalDpi="4294967295"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971A3-C97A-4757-933C-1CDEBCB88E39}">
          <x14:formula1>
            <xm:f>Listas!$A:$A</xm:f>
          </x14:formula1>
          <xm:sqref>E8:M8</xm:sqref>
        </x14:dataValidation>
        <x14:dataValidation type="list" allowBlank="1" showInputMessage="1" showErrorMessage="1" xr:uid="{410E0F89-040C-4B2C-A4D5-FE4C10A44DAF}">
          <x14:formula1>
            <xm:f>Directorio!$C$3:$C$6</xm:f>
          </x14:formula1>
          <xm:sqref>E9:M9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3B579-E697-4AF7-AEE1-2C985B1E8037}">
  <dimension ref="A1:S21"/>
  <sheetViews>
    <sheetView showGridLines="0" workbookViewId="0">
      <selection activeCell="A6" sqref="A6"/>
    </sheetView>
  </sheetViews>
  <sheetFormatPr baseColWidth="10" defaultRowHeight="14.25"/>
  <cols>
    <col min="1" max="1" width="36.28515625" style="416" customWidth="1"/>
    <col min="2" max="2" width="17.28515625" style="416" customWidth="1"/>
    <col min="3" max="3" width="12.7109375" style="416" customWidth="1"/>
    <col min="4" max="4" width="13.85546875" style="416" bestFit="1" customWidth="1"/>
    <col min="5" max="5" width="16.42578125" style="416" customWidth="1"/>
    <col min="6" max="6" width="11.5703125" style="416" bestFit="1" customWidth="1"/>
    <col min="7" max="7" width="13.5703125" style="416" customWidth="1"/>
    <col min="8" max="8" width="12" style="416" bestFit="1" customWidth="1"/>
    <col min="9" max="9" width="13.140625" style="416" customWidth="1"/>
    <col min="10" max="16384" width="11.42578125" style="416"/>
  </cols>
  <sheetData>
    <row r="1" spans="1:19" ht="18" customHeight="1">
      <c r="A1" s="475" t="s">
        <v>4915</v>
      </c>
      <c r="B1" s="475"/>
      <c r="C1" s="475"/>
      <c r="D1" s="475"/>
      <c r="E1" s="475"/>
      <c r="F1" s="475"/>
    </row>
    <row r="2" spans="1:19" ht="18" customHeight="1">
      <c r="A2" s="475"/>
      <c r="B2" s="475"/>
      <c r="C2" s="475"/>
      <c r="D2" s="475"/>
      <c r="E2" s="475"/>
      <c r="F2" s="475"/>
    </row>
    <row r="3" spans="1:19" ht="17.25" customHeight="1">
      <c r="A3" s="535"/>
      <c r="B3" s="535"/>
      <c r="C3" s="535"/>
      <c r="D3" s="535"/>
      <c r="E3" s="535"/>
      <c r="F3" s="535"/>
    </row>
    <row r="4" spans="1:19" ht="18.75">
      <c r="A4" s="453" t="str">
        <f>COSTOS!E8</f>
        <v>NUEVA GRANADA</v>
      </c>
      <c r="B4" s="454" t="s">
        <v>4973</v>
      </c>
      <c r="C4" s="454">
        <v>2015</v>
      </c>
      <c r="D4" s="454">
        <v>2016</v>
      </c>
      <c r="E4" s="454">
        <v>2017</v>
      </c>
      <c r="F4" s="454">
        <v>2018</v>
      </c>
      <c r="G4" s="454">
        <v>2019</v>
      </c>
      <c r="H4" s="454">
        <v>2020</v>
      </c>
      <c r="I4" s="454">
        <v>2021</v>
      </c>
      <c r="K4" s="449"/>
      <c r="L4" s="449"/>
      <c r="M4" s="449"/>
      <c r="N4" s="449"/>
      <c r="O4" s="449"/>
      <c r="P4" s="449"/>
      <c r="Q4" s="449"/>
      <c r="R4" s="449"/>
      <c r="S4" s="449"/>
    </row>
    <row r="5" spans="1:19" ht="27.75" customHeight="1">
      <c r="A5" s="455" t="s">
        <v>4910</v>
      </c>
      <c r="B5" s="455"/>
      <c r="C5" s="456">
        <v>3.6600000000000001E-2</v>
      </c>
      <c r="D5" s="457">
        <v>6.7699999999999996E-2</v>
      </c>
      <c r="E5" s="457">
        <v>5.7500000000000002E-2</v>
      </c>
      <c r="F5" s="457">
        <v>4.0899999999999999E-2</v>
      </c>
      <c r="G5" s="457">
        <v>3.1800000000000002E-2</v>
      </c>
      <c r="H5" s="457">
        <v>3.7999999999999999E-2</v>
      </c>
      <c r="I5" s="457">
        <v>1.61E-2</v>
      </c>
      <c r="K5" s="449"/>
      <c r="L5" s="449"/>
      <c r="M5" s="449"/>
      <c r="N5" s="450"/>
      <c r="O5" s="450"/>
      <c r="P5" s="451"/>
      <c r="Q5" s="450"/>
      <c r="R5" s="419"/>
      <c r="S5" s="449"/>
    </row>
    <row r="6" spans="1:19" ht="16.5" customHeight="1">
      <c r="A6" s="458"/>
      <c r="B6" s="467"/>
      <c r="C6" s="459">
        <f>+B6*(1+C5)</f>
        <v>0</v>
      </c>
      <c r="D6" s="459">
        <f>+C6*(1+D5)</f>
        <v>0</v>
      </c>
      <c r="E6" s="459">
        <f t="shared" ref="E6:I6" si="0">+D6*(1+E5)</f>
        <v>0</v>
      </c>
      <c r="F6" s="459">
        <f t="shared" si="0"/>
        <v>0</v>
      </c>
      <c r="G6" s="459">
        <f t="shared" si="0"/>
        <v>0</v>
      </c>
      <c r="H6" s="459">
        <f t="shared" si="0"/>
        <v>0</v>
      </c>
      <c r="I6" s="459">
        <f t="shared" si="0"/>
        <v>0</v>
      </c>
      <c r="K6" s="452"/>
      <c r="L6" s="452"/>
      <c r="M6" s="452"/>
      <c r="N6" s="452"/>
      <c r="O6" s="452"/>
      <c r="P6" s="452"/>
      <c r="Q6" s="452"/>
      <c r="R6" s="452"/>
      <c r="S6" s="452"/>
    </row>
    <row r="7" spans="1:19">
      <c r="A7" s="458"/>
      <c r="B7" s="458"/>
      <c r="C7" s="459"/>
      <c r="D7" s="459">
        <f t="shared" ref="D7:I7" si="1">+C7*(1+D5)</f>
        <v>0</v>
      </c>
      <c r="E7" s="459">
        <f t="shared" si="1"/>
        <v>0</v>
      </c>
      <c r="F7" s="459">
        <f t="shared" si="1"/>
        <v>0</v>
      </c>
      <c r="G7" s="459">
        <f t="shared" si="1"/>
        <v>0</v>
      </c>
      <c r="H7" s="459">
        <f t="shared" si="1"/>
        <v>0</v>
      </c>
      <c r="I7" s="459">
        <f t="shared" si="1"/>
        <v>0</v>
      </c>
    </row>
    <row r="8" spans="1:19" ht="15.75" customHeight="1">
      <c r="A8" s="460"/>
      <c r="B8" s="461"/>
      <c r="C8" s="462"/>
      <c r="D8" s="462"/>
      <c r="E8" s="463"/>
      <c r="F8" s="463"/>
      <c r="G8" s="463"/>
      <c r="H8" s="463"/>
      <c r="I8" s="463"/>
    </row>
    <row r="9" spans="1:19" ht="15.75" customHeight="1">
      <c r="A9" s="455" t="s">
        <v>4972</v>
      </c>
      <c r="B9" s="455"/>
      <c r="C9" s="456">
        <v>3.6600000000000001E-2</v>
      </c>
      <c r="D9" s="457">
        <v>6.7699999999999996E-2</v>
      </c>
      <c r="E9" s="457">
        <v>5.7500000000000002E-2</v>
      </c>
      <c r="F9" s="457">
        <v>4.0899999999999999E-2</v>
      </c>
      <c r="G9" s="457">
        <v>3.1800000000000002E-2</v>
      </c>
      <c r="H9" s="457">
        <v>3.7999999999999999E-2</v>
      </c>
      <c r="I9" s="457">
        <v>1.61E-2</v>
      </c>
    </row>
    <row r="10" spans="1:19" ht="15.75" customHeight="1">
      <c r="A10" s="458"/>
      <c r="B10" s="467"/>
      <c r="C10" s="459">
        <f>+B10*(1+C9)</f>
        <v>0</v>
      </c>
      <c r="D10" s="459">
        <f>+C10*(1+D9)</f>
        <v>0</v>
      </c>
      <c r="E10" s="459">
        <f t="shared" ref="E10" si="2">+D10*(1+E9)</f>
        <v>0</v>
      </c>
      <c r="F10" s="459">
        <f t="shared" ref="F10" si="3">+E10*(1+F9)</f>
        <v>0</v>
      </c>
      <c r="G10" s="459">
        <f t="shared" ref="G10" si="4">+F10*(1+G9)</f>
        <v>0</v>
      </c>
      <c r="H10" s="459">
        <f t="shared" ref="H10" si="5">+G10*(1+H9)</f>
        <v>0</v>
      </c>
      <c r="I10" s="459">
        <f t="shared" ref="I10" si="6">+H10*(1+I9)</f>
        <v>0</v>
      </c>
    </row>
    <row r="11" spans="1:19" ht="15.75" customHeight="1">
      <c r="A11" s="458"/>
      <c r="B11" s="458"/>
      <c r="C11" s="459"/>
      <c r="D11" s="459">
        <f t="shared" ref="D11" si="7">+C11*(1+D9)</f>
        <v>0</v>
      </c>
      <c r="E11" s="459">
        <f t="shared" ref="E11" si="8">+D11*(1+E9)</f>
        <v>0</v>
      </c>
      <c r="F11" s="459">
        <f t="shared" ref="F11" si="9">+E11*(1+F9)</f>
        <v>0</v>
      </c>
      <c r="G11" s="459">
        <f t="shared" ref="G11" si="10">+F11*(1+G9)</f>
        <v>0</v>
      </c>
      <c r="H11" s="459">
        <f t="shared" ref="H11" si="11">+G11*(1+H9)</f>
        <v>0</v>
      </c>
      <c r="I11" s="459">
        <f t="shared" ref="I11" si="12">+H11*(1+I9)</f>
        <v>0</v>
      </c>
    </row>
    <row r="12" spans="1:19">
      <c r="A12" s="458"/>
      <c r="B12" s="458"/>
      <c r="C12" s="459"/>
      <c r="D12" s="459">
        <f t="shared" ref="D12" si="13">+C12*(1+D9)</f>
        <v>0</v>
      </c>
      <c r="E12" s="459">
        <f t="shared" ref="E12" si="14">+D12*(1+E9)</f>
        <v>0</v>
      </c>
      <c r="F12" s="459">
        <f t="shared" ref="F12" si="15">+E12*(1+F9)</f>
        <v>0</v>
      </c>
      <c r="G12" s="459">
        <f t="shared" ref="G12" si="16">+F12*(1+G9)</f>
        <v>0</v>
      </c>
      <c r="H12" s="459">
        <f t="shared" ref="H12" si="17">+G12*(1+H9)</f>
        <v>0</v>
      </c>
      <c r="I12" s="459">
        <f t="shared" ref="I12" si="18">+H12*(1+I9)</f>
        <v>0</v>
      </c>
    </row>
    <row r="13" spans="1:19" ht="15.75" customHeight="1">
      <c r="A13" s="455" t="s">
        <v>4970</v>
      </c>
      <c r="B13" s="455"/>
      <c r="C13" s="456">
        <v>3.6600000000000001E-2</v>
      </c>
      <c r="D13" s="457">
        <v>6.7699999999999996E-2</v>
      </c>
      <c r="E13" s="457">
        <v>5.7500000000000002E-2</v>
      </c>
      <c r="F13" s="457">
        <v>4.0899999999999999E-2</v>
      </c>
      <c r="G13" s="457">
        <v>3.1800000000000002E-2</v>
      </c>
      <c r="H13" s="457">
        <v>3.7999999999999999E-2</v>
      </c>
      <c r="I13" s="457">
        <v>1.61E-2</v>
      </c>
    </row>
    <row r="14" spans="1:19" ht="15.75" customHeight="1">
      <c r="A14" s="458"/>
      <c r="B14" s="467"/>
      <c r="C14" s="459">
        <f>+B14*(1+C13)</f>
        <v>0</v>
      </c>
      <c r="D14" s="459">
        <f>+C14*(1+D13)</f>
        <v>0</v>
      </c>
      <c r="E14" s="459">
        <f t="shared" ref="E14" si="19">+D14*(1+E13)</f>
        <v>0</v>
      </c>
      <c r="F14" s="459">
        <f t="shared" ref="F14" si="20">+E14*(1+F13)</f>
        <v>0</v>
      </c>
      <c r="G14" s="459">
        <f t="shared" ref="G14" si="21">+F14*(1+G13)</f>
        <v>0</v>
      </c>
      <c r="H14" s="459">
        <f t="shared" ref="H14" si="22">+G14*(1+H13)</f>
        <v>0</v>
      </c>
      <c r="I14" s="459">
        <f t="shared" ref="I14" si="23">+H14*(1+I13)</f>
        <v>0</v>
      </c>
    </row>
    <row r="15" spans="1:19" ht="15.75" customHeight="1">
      <c r="A15" s="458"/>
      <c r="B15" s="458"/>
      <c r="C15" s="459"/>
      <c r="D15" s="459">
        <f t="shared" ref="D15" si="24">+C15*(1+D13)</f>
        <v>0</v>
      </c>
      <c r="E15" s="459">
        <f t="shared" ref="E15" si="25">+D15*(1+E13)</f>
        <v>0</v>
      </c>
      <c r="F15" s="459">
        <f t="shared" ref="F15" si="26">+E15*(1+F13)</f>
        <v>0</v>
      </c>
      <c r="G15" s="459">
        <f t="shared" ref="G15" si="27">+F15*(1+G13)</f>
        <v>0</v>
      </c>
      <c r="H15" s="459">
        <f t="shared" ref="H15" si="28">+G15*(1+H13)</f>
        <v>0</v>
      </c>
      <c r="I15" s="459">
        <f t="shared" ref="I15" si="29">+H15*(1+I13)</f>
        <v>0</v>
      </c>
    </row>
    <row r="16" spans="1:19" ht="15.75" customHeight="1">
      <c r="A16" s="533"/>
      <c r="B16" s="533"/>
      <c r="C16" s="533"/>
      <c r="D16" s="533"/>
      <c r="E16" s="533"/>
      <c r="F16" s="464"/>
      <c r="G16" s="458"/>
      <c r="H16" s="458"/>
      <c r="I16" s="458"/>
    </row>
    <row r="17" spans="1:11" ht="15.75" customHeight="1">
      <c r="A17" s="534"/>
      <c r="B17" s="534"/>
      <c r="C17" s="534"/>
      <c r="D17" s="534"/>
      <c r="E17" s="534"/>
      <c r="F17" s="465"/>
      <c r="G17" s="466"/>
      <c r="H17" s="466"/>
      <c r="I17" s="466"/>
    </row>
    <row r="18" spans="1:11" ht="18.75">
      <c r="D18" s="423">
        <f>VLOOKUP($A$4,Listas!$A:$F,2,0)</f>
        <v>0</v>
      </c>
      <c r="E18" s="423">
        <f>VLOOKUP($A$4,Listas!$A:$F,3,0)</f>
        <v>0</v>
      </c>
      <c r="F18" s="423">
        <f>VLOOKUP($A$4,Listas!$A:$F,4,0)</f>
        <v>0</v>
      </c>
      <c r="G18" s="423">
        <f>VLOOKUP($A$4,Listas!$A:$F,5,0)</f>
        <v>0</v>
      </c>
      <c r="H18" s="423">
        <f>VLOOKUP($A$4,Listas!$A:$F,6,0)</f>
        <v>0</v>
      </c>
      <c r="I18" s="424"/>
      <c r="J18" s="425">
        <v>0.19</v>
      </c>
    </row>
    <row r="19" spans="1:11" ht="38.25">
      <c r="A19" s="448" t="s">
        <v>4968</v>
      </c>
      <c r="B19" s="448" t="s">
        <v>4969</v>
      </c>
      <c r="C19" s="448" t="s">
        <v>4970</v>
      </c>
      <c r="D19" s="448" t="s">
        <v>4846</v>
      </c>
      <c r="E19" s="448" t="s">
        <v>4847</v>
      </c>
      <c r="F19" s="448" t="s">
        <v>4848</v>
      </c>
      <c r="G19" s="448" t="s">
        <v>4849</v>
      </c>
      <c r="H19" s="448" t="s">
        <v>4850</v>
      </c>
      <c r="I19" s="448" t="s">
        <v>4971</v>
      </c>
      <c r="J19" s="448" t="s">
        <v>4210</v>
      </c>
      <c r="K19" s="448"/>
    </row>
    <row r="20" spans="1:11">
      <c r="A20" s="443"/>
      <c r="B20" s="443"/>
      <c r="C20" s="443"/>
      <c r="D20" s="444"/>
      <c r="E20" s="444"/>
      <c r="F20" s="445"/>
      <c r="G20" s="444"/>
      <c r="H20" s="446"/>
      <c r="I20" s="443"/>
      <c r="J20" s="443"/>
      <c r="K20" s="443"/>
    </row>
    <row r="21" spans="1:11">
      <c r="A21" s="447">
        <f>I6</f>
        <v>0</v>
      </c>
      <c r="B21" s="447">
        <f>I10</f>
        <v>0</v>
      </c>
      <c r="C21" s="447">
        <f>I14</f>
        <v>0</v>
      </c>
      <c r="D21" s="447">
        <f>+PRODUCT($D$18,SUM(A21,B21,C21))</f>
        <v>0</v>
      </c>
      <c r="E21" s="447">
        <f>+PRODUCT($E$18,SUM(A21,B21,C21))</f>
        <v>0</v>
      </c>
      <c r="F21" s="447">
        <f>+PRODUCT($F$18,SUM(A21,B21,C21))</f>
        <v>0</v>
      </c>
      <c r="G21" s="447">
        <f>+PRODUCT($G$18,SUM(A21,B21,C21))</f>
        <v>0</v>
      </c>
      <c r="H21" s="447">
        <f>(A21+B21+C21+D21+E21+F21+G21)*$H$18</f>
        <v>0</v>
      </c>
      <c r="I21" s="447">
        <f>+SUM(A21:H21)</f>
        <v>0</v>
      </c>
      <c r="J21" s="447">
        <f>E21*J18</f>
        <v>0</v>
      </c>
      <c r="K21" s="447"/>
    </row>
  </sheetData>
  <mergeCells count="3">
    <mergeCell ref="A16:E16"/>
    <mergeCell ref="A17:E17"/>
    <mergeCell ref="A1:F3"/>
  </mergeCell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O9869"/>
  <sheetViews>
    <sheetView view="pageBreakPreview" topLeftCell="A8929" zoomScaleNormal="100" zoomScaleSheetLayoutView="100" workbookViewId="0">
      <selection activeCell="H8926" sqref="H8926"/>
    </sheetView>
  </sheetViews>
  <sheetFormatPr baseColWidth="10" defaultRowHeight="15"/>
  <cols>
    <col min="1" max="1" width="30" customWidth="1"/>
    <col min="2" max="2" width="15.42578125" customWidth="1"/>
    <col min="3" max="4" width="12.28515625" customWidth="1"/>
    <col min="5" max="5" width="13" customWidth="1"/>
    <col min="7" max="7" width="14" bestFit="1" customWidth="1"/>
    <col min="10" max="10" width="17.28515625" customWidth="1"/>
    <col min="11" max="11" width="13" bestFit="1" customWidth="1"/>
    <col min="12" max="12" width="13.42578125" customWidth="1"/>
    <col min="13" max="15" width="12" bestFit="1" customWidth="1"/>
  </cols>
  <sheetData>
    <row r="1" spans="1:14" ht="16.5">
      <c r="A1" s="90"/>
      <c r="B1" s="90"/>
      <c r="C1" s="90"/>
      <c r="D1" s="90"/>
      <c r="E1" s="90"/>
      <c r="F1" s="90"/>
      <c r="G1" s="90"/>
      <c r="H1" s="90"/>
    </row>
    <row r="2" spans="1:14" ht="16.5">
      <c r="A2" s="210"/>
      <c r="B2" s="210"/>
      <c r="C2" s="210"/>
      <c r="D2" s="210"/>
      <c r="E2" s="210"/>
      <c r="F2" s="210"/>
      <c r="G2" s="210"/>
      <c r="H2" s="210"/>
    </row>
    <row r="3" spans="1:14" ht="16.5">
      <c r="A3" s="90"/>
      <c r="B3" s="90"/>
      <c r="C3" s="90"/>
      <c r="D3" s="90"/>
      <c r="E3" s="90"/>
      <c r="F3" s="90"/>
      <c r="G3" s="90"/>
      <c r="H3" s="381"/>
    </row>
    <row r="4" spans="1:14">
      <c r="A4" s="579" t="s">
        <v>4225</v>
      </c>
      <c r="B4" s="580"/>
      <c r="C4" s="580"/>
      <c r="D4" s="580"/>
      <c r="E4" s="580"/>
      <c r="F4" s="580"/>
      <c r="G4" s="580"/>
      <c r="H4" s="581"/>
    </row>
    <row r="5" spans="1:14" ht="16.5">
      <c r="A5" s="91"/>
      <c r="B5" s="92"/>
      <c r="C5" s="92"/>
      <c r="D5" s="92"/>
      <c r="E5" s="92"/>
      <c r="F5" s="93"/>
      <c r="G5" s="94"/>
      <c r="H5" s="380">
        <f>ROUND((25/60)/8,4)</f>
        <v>5.21E-2</v>
      </c>
      <c r="I5" s="115"/>
    </row>
    <row r="6" spans="1:14">
      <c r="A6" s="582" t="s">
        <v>4220</v>
      </c>
      <c r="B6" s="584" t="str">
        <f>COSTOS!$C$14</f>
        <v>MODERNIZACION A TECNOLOGIA LED</v>
      </c>
      <c r="C6" s="584"/>
      <c r="D6" s="584"/>
      <c r="E6" s="584"/>
      <c r="F6" s="584"/>
      <c r="G6" s="584"/>
      <c r="H6" s="585" t="s">
        <v>4221</v>
      </c>
    </row>
    <row r="7" spans="1:14">
      <c r="A7" s="583"/>
      <c r="B7" s="584"/>
      <c r="C7" s="584"/>
      <c r="D7" s="584"/>
      <c r="E7" s="584"/>
      <c r="F7" s="584"/>
      <c r="G7" s="584"/>
      <c r="H7" s="585"/>
    </row>
    <row r="8" spans="1:14">
      <c r="A8" s="583"/>
      <c r="B8" s="584"/>
      <c r="C8" s="584"/>
      <c r="D8" s="584"/>
      <c r="E8" s="584"/>
      <c r="F8" s="584"/>
      <c r="G8" s="584"/>
      <c r="H8" s="585"/>
    </row>
    <row r="9" spans="1:14" ht="15" customHeight="1">
      <c r="A9" s="583"/>
      <c r="B9" s="584"/>
      <c r="C9" s="584"/>
      <c r="D9" s="584"/>
      <c r="E9" s="584"/>
      <c r="F9" s="584"/>
      <c r="G9" s="584"/>
      <c r="H9" s="216">
        <f ca="1">TODAY()</f>
        <v>44889</v>
      </c>
      <c r="K9" t="s">
        <v>4391</v>
      </c>
      <c r="L9" t="s">
        <v>4392</v>
      </c>
      <c r="M9" t="s">
        <v>4393</v>
      </c>
      <c r="N9" t="s">
        <v>4394</v>
      </c>
    </row>
    <row r="10" spans="1:14" ht="60.75" customHeight="1">
      <c r="A10" s="228" t="s">
        <v>4222</v>
      </c>
      <c r="B10" s="565" t="str">
        <f>COSTOS!$D$16</f>
        <v>Luminarias</v>
      </c>
      <c r="C10" s="565"/>
      <c r="D10" s="565"/>
      <c r="E10" s="565"/>
      <c r="F10" s="565"/>
      <c r="G10" s="70" t="s">
        <v>4223</v>
      </c>
      <c r="H10" s="387">
        <v>1.1000000000000001</v>
      </c>
      <c r="K10" s="62">
        <f>H35</f>
        <v>1404727.6459999999</v>
      </c>
      <c r="L10" s="62">
        <f>H45</f>
        <v>18742.662399999997</v>
      </c>
      <c r="M10" s="62">
        <f>H18</f>
        <v>3363.18525</v>
      </c>
      <c r="N10" s="62">
        <f>H39</f>
        <v>4800</v>
      </c>
    </row>
    <row r="11" spans="1:14" ht="43.15" customHeight="1">
      <c r="A11" s="229" t="s">
        <v>4224</v>
      </c>
      <c r="B11" s="566" t="str">
        <f>VLOOKUP(H10,COSTOS!C:M,2,0)</f>
        <v>Luminaria LED 35w</v>
      </c>
      <c r="C11" s="567"/>
      <c r="D11" s="567"/>
      <c r="E11" s="568"/>
      <c r="F11" s="71" t="s">
        <v>0</v>
      </c>
      <c r="G11" s="356" t="str">
        <f>VLOOKUP(H10,COSTOS!C:M,8,0)</f>
        <v>Und</v>
      </c>
      <c r="H11" s="276"/>
      <c r="I11" s="306"/>
      <c r="J11" s="308"/>
      <c r="K11" s="308"/>
      <c r="L11" s="308"/>
    </row>
    <row r="12" spans="1:14">
      <c r="A12" s="230"/>
      <c r="B12" s="112"/>
      <c r="C12" s="112"/>
      <c r="D12" s="112"/>
      <c r="E12" s="113"/>
      <c r="F12" s="114" t="s">
        <v>1</v>
      </c>
      <c r="G12" s="356">
        <f>VLOOKUP(H10,COSTOS!C:M,9,0)</f>
        <v>0</v>
      </c>
      <c r="H12" s="357"/>
      <c r="I12" s="307"/>
    </row>
    <row r="13" spans="1:14" ht="16.5">
      <c r="A13" s="231" t="s">
        <v>4226</v>
      </c>
      <c r="B13" s="75"/>
      <c r="C13" s="75"/>
      <c r="D13" s="76"/>
      <c r="E13" s="209"/>
      <c r="F13" s="210"/>
      <c r="G13" s="211" t="s">
        <v>4227</v>
      </c>
      <c r="H13" s="217">
        <f>H18+H35+H39+H45</f>
        <v>1431633.4936500001</v>
      </c>
    </row>
    <row r="14" spans="1:14" ht="39">
      <c r="A14" s="569" t="s">
        <v>4224</v>
      </c>
      <c r="B14" s="569"/>
      <c r="C14" s="569"/>
      <c r="D14" s="77" t="s">
        <v>0</v>
      </c>
      <c r="E14" s="207" t="s">
        <v>4228</v>
      </c>
      <c r="F14" s="208" t="s">
        <v>4215</v>
      </c>
      <c r="G14" s="74" t="s">
        <v>2</v>
      </c>
      <c r="H14" s="218" t="s">
        <v>4229</v>
      </c>
      <c r="K14" s="309"/>
    </row>
    <row r="15" spans="1:14">
      <c r="A15" s="536" t="s">
        <v>3946</v>
      </c>
      <c r="B15" s="570" t="str">
        <f>VLOOKUP(A15,'Equip, Herr y Transp'!$B$2:$D$739,2,0)</f>
        <v>EQU</v>
      </c>
      <c r="C15" s="570"/>
      <c r="D15" s="95" t="str">
        <f>VLOOKUP(A15,'Equip, Herr y Transp'!$B$2:$D$218,2,0)</f>
        <v>EQU</v>
      </c>
      <c r="E15" s="95">
        <f>VLOOKUP(A15,'Equip, Herr y Transp'!$B$2:$D$218,3,0)</f>
        <v>14130</v>
      </c>
      <c r="F15" s="96">
        <f>H5</f>
        <v>5.21E-2</v>
      </c>
      <c r="G15" s="122">
        <f>F15*E15</f>
        <v>736.173</v>
      </c>
      <c r="H15" s="118"/>
    </row>
    <row r="16" spans="1:14">
      <c r="A16" s="536" t="s">
        <v>3904</v>
      </c>
      <c r="B16" s="570" t="str">
        <f>VLOOKUP(A16,'Equip, Herr y Transp'!$B$2:$D$739,2,0)</f>
        <v>EQU</v>
      </c>
      <c r="C16" s="570"/>
      <c r="D16" s="95" t="str">
        <f>VLOOKUP(A16,'Equip, Herr y Transp'!$B$2:$D$218,2,0)</f>
        <v>EQU</v>
      </c>
      <c r="E16" s="95">
        <f>VLOOKUP(A16,'Equip, Herr y Transp'!$B$2:$D$218,3,0)</f>
        <v>26672.5</v>
      </c>
      <c r="F16" s="96">
        <f>H5</f>
        <v>5.21E-2</v>
      </c>
      <c r="G16" s="122">
        <f>F16*E16</f>
        <v>1389.63725</v>
      </c>
      <c r="H16" s="117"/>
    </row>
    <row r="17" spans="1:15">
      <c r="A17" s="536" t="s">
        <v>3937</v>
      </c>
      <c r="B17" s="570" t="str">
        <f>VLOOKUP(A17,'Equip, Herr y Transp'!$B$2:$D$739,2,0)</f>
        <v>EQU</v>
      </c>
      <c r="C17" s="570"/>
      <c r="D17" s="95" t="str">
        <f>VLOOKUP(A17,'Equip, Herr y Transp'!$B$2:$D$218,2,0)</f>
        <v>EQU</v>
      </c>
      <c r="E17" s="95">
        <f>VLOOKUP(A17,'Equip, Herr y Transp'!$B$2:$D$218,3,0)</f>
        <v>23750</v>
      </c>
      <c r="F17" s="96">
        <f>H5</f>
        <v>5.21E-2</v>
      </c>
      <c r="G17" s="122">
        <f>F17*E17</f>
        <v>1237.375</v>
      </c>
      <c r="H17" s="117"/>
    </row>
    <row r="18" spans="1:15" ht="16.5">
      <c r="A18" s="540" t="s">
        <v>4100</v>
      </c>
      <c r="B18" s="541"/>
      <c r="C18" s="541"/>
      <c r="D18" s="541"/>
      <c r="E18" s="541"/>
      <c r="F18" s="541"/>
      <c r="G18" s="541"/>
      <c r="H18" s="97">
        <f>SUM(G15:G17)</f>
        <v>3363.18525</v>
      </c>
    </row>
    <row r="19" spans="1:15" ht="16.5">
      <c r="A19" s="571" t="s">
        <v>4230</v>
      </c>
      <c r="B19" s="572"/>
      <c r="C19" s="572"/>
      <c r="D19" s="572"/>
      <c r="E19" s="572"/>
      <c r="F19" s="572"/>
      <c r="G19" s="572"/>
      <c r="H19" s="573"/>
      <c r="K19" s="56"/>
      <c r="L19" s="56"/>
      <c r="M19" s="56"/>
      <c r="N19" s="56"/>
      <c r="O19" s="56"/>
    </row>
    <row r="20" spans="1:15" ht="30" customHeight="1">
      <c r="A20" s="574" t="s">
        <v>7</v>
      </c>
      <c r="B20" s="575"/>
      <c r="C20" s="109" t="s">
        <v>0</v>
      </c>
      <c r="D20" s="110" t="s">
        <v>4098</v>
      </c>
      <c r="E20" s="111" t="s">
        <v>1</v>
      </c>
      <c r="F20" s="576" t="s">
        <v>4218</v>
      </c>
      <c r="G20" s="576"/>
      <c r="H20" s="215"/>
      <c r="K20" s="56"/>
      <c r="L20" s="56"/>
      <c r="M20" s="56"/>
      <c r="N20" s="56"/>
      <c r="O20" s="56"/>
    </row>
    <row r="21" spans="1:15">
      <c r="A21" s="577" t="s">
        <v>4609</v>
      </c>
      <c r="B21" s="578"/>
      <c r="C21" s="98" t="str">
        <f>VLOOKUP(A21,'Materiales '!$C$2:$F$1302,3,0)</f>
        <v>Und</v>
      </c>
      <c r="D21" s="99">
        <f>VLOOKUP(A21,'Materiales '!$C$2:$F$1302,4,0)</f>
        <v>1218679</v>
      </c>
      <c r="E21" s="100">
        <v>1</v>
      </c>
      <c r="F21" s="538">
        <f>E21*D21</f>
        <v>1218679</v>
      </c>
      <c r="G21" s="539"/>
      <c r="H21" s="121"/>
      <c r="I21">
        <f>E21*G12</f>
        <v>0</v>
      </c>
      <c r="J21" s="67"/>
      <c r="K21" s="56"/>
      <c r="L21" s="56"/>
      <c r="M21" s="56"/>
      <c r="N21" s="56"/>
      <c r="O21" s="56"/>
    </row>
    <row r="22" spans="1:15">
      <c r="A22" s="577" t="s">
        <v>4214</v>
      </c>
      <c r="B22" s="578"/>
      <c r="C22" s="98" t="str">
        <f>VLOOKUP(A22,'Materiales '!$C$2:$F$1302,3,0)</f>
        <v>Und</v>
      </c>
      <c r="D22" s="99">
        <f>VLOOKUP(A22,'Materiales '!$C$2:$F$1302,4,0)</f>
        <v>22848</v>
      </c>
      <c r="E22" s="100">
        <v>1</v>
      </c>
      <c r="F22" s="538">
        <f t="shared" ref="F22:F33" si="0">E22*D22</f>
        <v>22848</v>
      </c>
      <c r="G22" s="539"/>
      <c r="H22" s="121"/>
      <c r="I22">
        <f>E22*G12</f>
        <v>0</v>
      </c>
      <c r="J22" s="67"/>
      <c r="K22" s="56"/>
      <c r="L22" s="56"/>
      <c r="M22" s="56"/>
      <c r="N22" s="56"/>
      <c r="O22" s="56"/>
    </row>
    <row r="23" spans="1:15">
      <c r="A23" s="536" t="s">
        <v>4477</v>
      </c>
      <c r="B23" s="537" t="str">
        <f>VLOOKUP(A23,'Materiales '!$C$2:$F$1302,3,0)</f>
        <v>Und</v>
      </c>
      <c r="C23" s="98" t="str">
        <f>VLOOKUP(A23,'Materiales '!$C$2:$F$1302,3,0)</f>
        <v>Und</v>
      </c>
      <c r="D23" s="99">
        <f>VLOOKUP(A23,'Materiales '!$C$2:$F$1302,4,0)</f>
        <v>16850.399999999998</v>
      </c>
      <c r="E23" s="100">
        <v>2</v>
      </c>
      <c r="F23" s="538">
        <f t="shared" ref="F23:F28" si="1">E23*D23</f>
        <v>33700.799999999996</v>
      </c>
      <c r="G23" s="539"/>
      <c r="H23" s="121"/>
      <c r="I23">
        <f>E23*G12</f>
        <v>0</v>
      </c>
      <c r="J23" s="68"/>
      <c r="K23" s="56"/>
      <c r="L23" s="56"/>
      <c r="M23" s="56"/>
      <c r="N23" s="56"/>
      <c r="O23" s="56"/>
    </row>
    <row r="24" spans="1:15">
      <c r="A24" s="536" t="s">
        <v>4489</v>
      </c>
      <c r="B24" s="537" t="str">
        <f>VLOOKUP(A24,'Materiales '!$C$2:$F$1302,3,0)</f>
        <v>Und</v>
      </c>
      <c r="C24" s="98" t="str">
        <f>VLOOKUP(A24,'Materiales '!$C$2:$F$1302,3,0)</f>
        <v>Und</v>
      </c>
      <c r="D24" s="99">
        <f>VLOOKUP(A24,'Materiales '!$C$2:$F$1302,4,0)</f>
        <v>8039.6399999999994</v>
      </c>
      <c r="E24" s="100">
        <v>3</v>
      </c>
      <c r="F24" s="538">
        <f t="shared" ref="F24:F25" si="2">E24*D24</f>
        <v>24118.92</v>
      </c>
      <c r="G24" s="539"/>
      <c r="H24" s="121"/>
      <c r="I24">
        <f>E24*G12</f>
        <v>0</v>
      </c>
      <c r="J24" s="68"/>
      <c r="K24" s="56"/>
      <c r="L24" s="56"/>
      <c r="M24" s="56"/>
      <c r="N24" s="56"/>
      <c r="O24" s="56"/>
    </row>
    <row r="25" spans="1:15">
      <c r="A25" s="536" t="s">
        <v>4554</v>
      </c>
      <c r="B25" s="537" t="str">
        <f>VLOOKUP(A25,'Materiales '!$C$2:$F$1302,3,0)</f>
        <v>Und</v>
      </c>
      <c r="C25" s="98" t="str">
        <f>VLOOKUP(A25,'Materiales '!$C$2:$F$1302,3,0)</f>
        <v>Und</v>
      </c>
      <c r="D25" s="99">
        <f>VLOOKUP(A25,'Materiales '!$C$2:$F$1302,4,0)</f>
        <v>2535.5329999999999</v>
      </c>
      <c r="E25" s="100">
        <v>2</v>
      </c>
      <c r="F25" s="538">
        <f t="shared" si="2"/>
        <v>5071.0659999999998</v>
      </c>
      <c r="G25" s="539"/>
      <c r="H25" s="121"/>
      <c r="I25">
        <f>E25*G12</f>
        <v>0</v>
      </c>
      <c r="J25" s="68"/>
      <c r="K25" s="56"/>
      <c r="L25" s="56"/>
      <c r="M25" s="56"/>
      <c r="N25" s="56"/>
      <c r="O25" s="56"/>
    </row>
    <row r="26" spans="1:15">
      <c r="A26" s="536" t="s">
        <v>4450</v>
      </c>
      <c r="B26" s="537" t="str">
        <f>VLOOKUP(A26,'Materiales '!$C$2:$F$1302,3,0)</f>
        <v>Ml</v>
      </c>
      <c r="C26" s="98" t="str">
        <f>VLOOKUP(A26,'Materiales '!$C$2:$F$1302,3,0)</f>
        <v>Ml</v>
      </c>
      <c r="D26" s="99">
        <f>VLOOKUP(A26,'Materiales '!$C$2:$F$1302,4,0)</f>
        <v>6791.5679999999993</v>
      </c>
      <c r="E26" s="100">
        <v>1</v>
      </c>
      <c r="F26" s="538">
        <f t="shared" si="1"/>
        <v>6791.5679999999993</v>
      </c>
      <c r="G26" s="539"/>
      <c r="H26" s="121"/>
      <c r="I26">
        <f>E26*G12</f>
        <v>0</v>
      </c>
      <c r="J26" s="68"/>
      <c r="K26" s="56"/>
      <c r="L26" s="56"/>
      <c r="M26" s="56"/>
      <c r="N26" s="56"/>
      <c r="O26" s="56"/>
    </row>
    <row r="27" spans="1:15">
      <c r="A27" s="536" t="s">
        <v>4493</v>
      </c>
      <c r="B27" s="537" t="str">
        <f>VLOOKUP(A27,'Materiales '!$C$2:$F$1302,3,0)</f>
        <v>Und</v>
      </c>
      <c r="C27" s="98" t="str">
        <f>VLOOKUP(A27,'Materiales '!$C$2:$F$1302,3,0)</f>
        <v>Und</v>
      </c>
      <c r="D27" s="99">
        <f>VLOOKUP(A27,'Materiales '!$C$2:$F$1302,4,0)</f>
        <v>232.76399999999998</v>
      </c>
      <c r="E27" s="100">
        <v>3</v>
      </c>
      <c r="F27" s="538">
        <f t="shared" si="1"/>
        <v>698.29199999999992</v>
      </c>
      <c r="G27" s="539"/>
      <c r="H27" s="121"/>
      <c r="I27">
        <f>E27*G12</f>
        <v>0</v>
      </c>
      <c r="J27" s="68"/>
      <c r="K27" s="56"/>
      <c r="L27" s="56"/>
      <c r="M27" s="56"/>
      <c r="N27" s="56"/>
      <c r="O27" s="56"/>
    </row>
    <row r="28" spans="1:15" ht="21.75" customHeight="1">
      <c r="A28" s="536" t="s">
        <v>4436</v>
      </c>
      <c r="B28" s="537" t="str">
        <f>VLOOKUP(A28,'Materiales '!$C$2:$F$1302,3,0)</f>
        <v>Und</v>
      </c>
      <c r="C28" s="98" t="str">
        <f>VLOOKUP(A28,'Materiales '!$C$2:$F$1302,3,0)</f>
        <v>Und</v>
      </c>
      <c r="D28" s="99">
        <f>VLOOKUP(A28,'Materiales '!$C$2:$F$1302,4,0)</f>
        <v>92820</v>
      </c>
      <c r="E28" s="100">
        <v>1</v>
      </c>
      <c r="F28" s="538">
        <f t="shared" si="1"/>
        <v>92820</v>
      </c>
      <c r="G28" s="539"/>
      <c r="H28" s="121"/>
      <c r="I28">
        <f>E28*G12</f>
        <v>0</v>
      </c>
      <c r="J28" s="68"/>
      <c r="K28" s="56"/>
      <c r="L28" s="56"/>
      <c r="M28" s="56"/>
      <c r="N28" s="56"/>
      <c r="O28" s="56"/>
    </row>
    <row r="29" spans="1:15">
      <c r="A29" s="536" t="s">
        <v>8</v>
      </c>
      <c r="B29" s="537" t="str">
        <f>VLOOKUP(A29,'Materiales '!$C$2:$F$1302,3,0)</f>
        <v>-</v>
      </c>
      <c r="C29" s="98" t="str">
        <f>VLOOKUP(A29,'Materiales '!$C$2:$F$1302,3,0)</f>
        <v>-</v>
      </c>
      <c r="D29" s="99">
        <f>VLOOKUP(A29,'Materiales '!$C$2:$F$1302,4,0)</f>
        <v>0</v>
      </c>
      <c r="E29" s="100"/>
      <c r="F29" s="538">
        <f>E29*D29</f>
        <v>0</v>
      </c>
      <c r="G29" s="539"/>
      <c r="H29" s="120"/>
      <c r="I29">
        <f>E29*G12</f>
        <v>0</v>
      </c>
      <c r="J29" s="68"/>
      <c r="K29" s="56"/>
      <c r="L29" s="56"/>
      <c r="M29" s="56"/>
      <c r="N29" s="56"/>
      <c r="O29" s="56"/>
    </row>
    <row r="30" spans="1:15">
      <c r="A30" s="536" t="s">
        <v>8</v>
      </c>
      <c r="B30" s="537" t="str">
        <f>VLOOKUP(A30,'Materiales '!$C$2:$F$1302,3,0)</f>
        <v>-</v>
      </c>
      <c r="C30" s="98" t="str">
        <f>VLOOKUP(A30,'Materiales '!$C$2:$F$1302,3,0)</f>
        <v>-</v>
      </c>
      <c r="D30" s="99">
        <f>VLOOKUP(A30,'Materiales '!$C$2:$F$1302,4,0)</f>
        <v>0</v>
      </c>
      <c r="E30" s="100"/>
      <c r="F30" s="538">
        <f t="shared" si="0"/>
        <v>0</v>
      </c>
      <c r="G30" s="539"/>
      <c r="H30" s="121"/>
      <c r="I30">
        <f>E30*G12</f>
        <v>0</v>
      </c>
      <c r="J30" s="68"/>
      <c r="K30" s="56"/>
      <c r="L30" s="56"/>
      <c r="M30" s="56"/>
      <c r="N30" s="56"/>
      <c r="O30" s="56"/>
    </row>
    <row r="31" spans="1:15">
      <c r="A31" s="536" t="s">
        <v>8</v>
      </c>
      <c r="B31" s="537" t="str">
        <f>VLOOKUP(A31,'Materiales '!$C$2:$F$1302,3,0)</f>
        <v>-</v>
      </c>
      <c r="C31" s="98" t="str">
        <f>VLOOKUP(A31,'Materiales '!$C$2:$F$1302,3,0)</f>
        <v>-</v>
      </c>
      <c r="D31" s="99">
        <f>VLOOKUP(A31,'Materiales '!$C$2:$F$1302,4,0)</f>
        <v>0</v>
      </c>
      <c r="E31" s="100"/>
      <c r="F31" s="538">
        <f t="shared" si="0"/>
        <v>0</v>
      </c>
      <c r="G31" s="539"/>
      <c r="H31" s="121"/>
      <c r="I31">
        <f>E31*G12</f>
        <v>0</v>
      </c>
      <c r="J31" s="68"/>
      <c r="K31" s="56"/>
      <c r="L31" s="56"/>
      <c r="M31" s="56"/>
      <c r="N31" s="56"/>
      <c r="O31" s="56"/>
    </row>
    <row r="32" spans="1:15">
      <c r="A32" s="536" t="s">
        <v>8</v>
      </c>
      <c r="B32" s="537" t="str">
        <f>VLOOKUP(A32,'Materiales '!$C$2:$F$1302,3,0)</f>
        <v>-</v>
      </c>
      <c r="C32" s="98" t="str">
        <f>VLOOKUP(A32,'Materiales '!$C$2:$F$1302,3,0)</f>
        <v>-</v>
      </c>
      <c r="D32" s="99">
        <f>VLOOKUP(A32,'Materiales '!$C$2:$F$1302,4,0)</f>
        <v>0</v>
      </c>
      <c r="E32" s="100"/>
      <c r="F32" s="538">
        <f t="shared" si="0"/>
        <v>0</v>
      </c>
      <c r="G32" s="539"/>
      <c r="H32" s="121"/>
      <c r="I32">
        <f>E32*G12</f>
        <v>0</v>
      </c>
      <c r="J32" s="68"/>
      <c r="K32" s="56"/>
      <c r="L32" s="56"/>
      <c r="M32" s="56"/>
      <c r="N32" s="56"/>
      <c r="O32" s="56"/>
    </row>
    <row r="33" spans="1:15">
      <c r="A33" s="536" t="s">
        <v>8</v>
      </c>
      <c r="B33" s="537" t="str">
        <f>VLOOKUP(A33,'Materiales '!$C$2:$F$1302,3,0)</f>
        <v>-</v>
      </c>
      <c r="C33" s="98" t="str">
        <f>VLOOKUP(A33,'Materiales '!$C$2:$F$1302,3,0)</f>
        <v>-</v>
      </c>
      <c r="D33" s="99">
        <f>VLOOKUP(A33,'Materiales '!$C$2:$F$1302,4,0)</f>
        <v>0</v>
      </c>
      <c r="E33" s="100"/>
      <c r="F33" s="538">
        <f t="shared" si="0"/>
        <v>0</v>
      </c>
      <c r="G33" s="539"/>
      <c r="H33" s="121"/>
      <c r="I33">
        <f>E33*G12</f>
        <v>0</v>
      </c>
      <c r="J33" s="68"/>
      <c r="K33" s="56"/>
      <c r="L33" s="56"/>
      <c r="M33" s="56"/>
      <c r="N33" s="56"/>
      <c r="O33" s="56"/>
    </row>
    <row r="34" spans="1:15">
      <c r="A34" s="536" t="s">
        <v>8</v>
      </c>
      <c r="B34" s="537" t="str">
        <f>VLOOKUP(A34,'Materiales '!$C$2:$F$1302,3,0)</f>
        <v>-</v>
      </c>
      <c r="C34" s="98" t="str">
        <f>VLOOKUP(A34,'Materiales '!$C$2:$F$1302,3,0)</f>
        <v>-</v>
      </c>
      <c r="D34" s="99">
        <f>VLOOKUP(A34,'Materiales '!$C$2:$F$1302,4,0)</f>
        <v>0</v>
      </c>
      <c r="E34" s="100"/>
      <c r="F34" s="538">
        <f>E34*D34</f>
        <v>0</v>
      </c>
      <c r="G34" s="539"/>
      <c r="H34" s="120"/>
      <c r="I34">
        <f>E34*G12</f>
        <v>0</v>
      </c>
      <c r="J34" s="68"/>
      <c r="K34" s="56"/>
      <c r="L34" s="56"/>
      <c r="M34" s="56"/>
      <c r="N34" s="56"/>
      <c r="O34" s="56"/>
    </row>
    <row r="35" spans="1:15" ht="16.5">
      <c r="A35" s="540" t="s">
        <v>4099</v>
      </c>
      <c r="B35" s="541"/>
      <c r="C35" s="541"/>
      <c r="D35" s="541"/>
      <c r="E35" s="541"/>
      <c r="F35" s="541"/>
      <c r="G35" s="542"/>
      <c r="H35" s="116">
        <f>SUM(F21:F34)</f>
        <v>1404727.6459999999</v>
      </c>
      <c r="J35" s="68"/>
      <c r="K35" s="56"/>
      <c r="L35" s="56"/>
      <c r="M35" s="56"/>
      <c r="N35" s="56"/>
      <c r="O35" s="56"/>
    </row>
    <row r="36" spans="1:15" ht="16.5">
      <c r="A36" s="543" t="s">
        <v>4231</v>
      </c>
      <c r="B36" s="544"/>
      <c r="C36" s="544"/>
      <c r="D36" s="544"/>
      <c r="E36" s="545"/>
      <c r="F36" s="544"/>
      <c r="G36" s="544"/>
      <c r="H36" s="546"/>
      <c r="J36" s="68"/>
      <c r="K36" s="56"/>
      <c r="L36" s="56"/>
      <c r="M36" s="56"/>
      <c r="N36" s="56"/>
      <c r="O36" s="56"/>
    </row>
    <row r="37" spans="1:15">
      <c r="A37" s="547" t="s">
        <v>7</v>
      </c>
      <c r="B37" s="548"/>
      <c r="C37" s="108" t="s">
        <v>4232</v>
      </c>
      <c r="D37" s="107" t="s">
        <v>4233</v>
      </c>
      <c r="E37" s="206" t="s">
        <v>4234</v>
      </c>
      <c r="F37" s="549" t="s">
        <v>4218</v>
      </c>
      <c r="G37" s="549"/>
      <c r="H37" s="119"/>
      <c r="K37" s="56"/>
      <c r="L37" s="56"/>
      <c r="M37" s="56"/>
      <c r="N37" s="56"/>
      <c r="O37" s="56"/>
    </row>
    <row r="38" spans="1:15">
      <c r="A38" s="550" t="s">
        <v>3928</v>
      </c>
      <c r="B38" s="551"/>
      <c r="C38" s="232">
        <v>1</v>
      </c>
      <c r="D38" s="102">
        <v>0.03</v>
      </c>
      <c r="E38" s="103">
        <f>VLOOKUP(A38,'Equip, Herr y Transp'!$B$2:$D$218,3,0)</f>
        <v>160000</v>
      </c>
      <c r="F38" s="552">
        <f>E38*D38*C38</f>
        <v>4800</v>
      </c>
      <c r="G38" s="553"/>
      <c r="H38" s="117"/>
      <c r="M38" s="56"/>
    </row>
    <row r="39" spans="1:15" ht="16.5">
      <c r="A39" s="554" t="s">
        <v>4216</v>
      </c>
      <c r="B39" s="555"/>
      <c r="C39" s="555"/>
      <c r="D39" s="555"/>
      <c r="E39" s="555"/>
      <c r="F39" s="555"/>
      <c r="G39" s="555"/>
      <c r="H39" s="105">
        <f>F38</f>
        <v>4800</v>
      </c>
    </row>
    <row r="40" spans="1:15" ht="16.5">
      <c r="A40" s="543" t="s">
        <v>4235</v>
      </c>
      <c r="B40" s="544"/>
      <c r="C40" s="544"/>
      <c r="D40" s="544"/>
      <c r="E40" s="544"/>
      <c r="F40" s="544"/>
      <c r="G40" s="544"/>
      <c r="H40" s="546"/>
    </row>
    <row r="41" spans="1:15">
      <c r="A41" s="547" t="s">
        <v>7</v>
      </c>
      <c r="B41" s="548"/>
      <c r="C41" s="106" t="s">
        <v>1</v>
      </c>
      <c r="D41" s="107" t="s">
        <v>4236</v>
      </c>
      <c r="E41" s="108" t="s">
        <v>4215</v>
      </c>
      <c r="F41" s="547" t="s">
        <v>5</v>
      </c>
      <c r="G41" s="556"/>
      <c r="H41" s="119"/>
    </row>
    <row r="42" spans="1:15">
      <c r="A42" s="550" t="s">
        <v>4196</v>
      </c>
      <c r="B42" s="551"/>
      <c r="C42" s="101">
        <v>1</v>
      </c>
      <c r="D42" s="104">
        <f>VLOOKUP(A42,'Mano Obra'!$B$2:$T$117,19,0)</f>
        <v>166624</v>
      </c>
      <c r="E42" s="246">
        <f>H5</f>
        <v>5.21E-2</v>
      </c>
      <c r="F42" s="538">
        <f>E42*D42*C42</f>
        <v>8681.1103999999996</v>
      </c>
      <c r="G42" s="557"/>
      <c r="H42" s="121"/>
      <c r="I42" s="69"/>
      <c r="J42" s="136">
        <f>((('Mano Obra'!$M$4/30)*F42)/D42)*G12</f>
        <v>0</v>
      </c>
    </row>
    <row r="43" spans="1:15">
      <c r="A43" s="558" t="s">
        <v>4197</v>
      </c>
      <c r="B43" s="559">
        <f>VLOOKUP(A43,'Mano Obra'!$B$3:$D$290,2,0)</f>
        <v>2090000.0000000002</v>
      </c>
      <c r="C43" s="101">
        <v>1</v>
      </c>
      <c r="D43" s="104">
        <f>VLOOKUP(A43,'Mano Obra'!$B$2:$T$117,19,0)</f>
        <v>120456</v>
      </c>
      <c r="E43" s="246">
        <f>H5</f>
        <v>5.21E-2</v>
      </c>
      <c r="F43" s="538">
        <f t="shared" ref="F43:F44" si="3">E43*D43*C43</f>
        <v>6275.7575999999999</v>
      </c>
      <c r="G43" s="557"/>
      <c r="H43" s="121"/>
      <c r="J43" s="136">
        <f>((('Mano Obra'!$M$5/30)*F43)/D43)*G12</f>
        <v>0</v>
      </c>
    </row>
    <row r="44" spans="1:15">
      <c r="A44" s="558" t="s">
        <v>4186</v>
      </c>
      <c r="B44" s="559">
        <f>VLOOKUP(A44,'Mano Obra'!$B$3:$D$290,2,0)</f>
        <v>1100000</v>
      </c>
      <c r="C44" s="101">
        <v>1</v>
      </c>
      <c r="D44" s="104">
        <f>VLOOKUP(A44,'Mano Obra'!$B$2:$T$117,19,0)</f>
        <v>72664</v>
      </c>
      <c r="E44" s="246">
        <f>H5</f>
        <v>5.21E-2</v>
      </c>
      <c r="F44" s="538">
        <f t="shared" si="3"/>
        <v>3785.7944000000002</v>
      </c>
      <c r="G44" s="557"/>
      <c r="H44" s="120"/>
      <c r="J44" s="136">
        <f>((('Mano Obra'!$M$6/30)*F44)/D44)*G12</f>
        <v>0</v>
      </c>
    </row>
    <row r="45" spans="1:15" ht="16.5">
      <c r="A45" s="560" t="s">
        <v>4101</v>
      </c>
      <c r="B45" s="560"/>
      <c r="C45" s="560"/>
      <c r="D45" s="560"/>
      <c r="E45" s="560"/>
      <c r="F45" s="560"/>
      <c r="G45" s="560"/>
      <c r="H45" s="105">
        <f>SUM(F42:F44)</f>
        <v>18742.662399999997</v>
      </c>
      <c r="J45" s="136"/>
    </row>
    <row r="46" spans="1:15">
      <c r="A46" s="227" t="s">
        <v>4237</v>
      </c>
      <c r="B46" s="205"/>
      <c r="C46" s="205"/>
      <c r="D46" s="202"/>
      <c r="E46" s="203"/>
      <c r="F46" s="204"/>
      <c r="G46" s="203"/>
      <c r="H46" s="212"/>
    </row>
    <row r="47" spans="1:15">
      <c r="A47" s="561" t="s">
        <v>4224</v>
      </c>
      <c r="B47" s="562"/>
      <c r="C47" s="562"/>
      <c r="D47" s="562"/>
      <c r="E47" s="200"/>
      <c r="F47" s="201" t="s">
        <v>4238</v>
      </c>
      <c r="G47" s="200" t="s">
        <v>4239</v>
      </c>
      <c r="H47" s="213"/>
    </row>
    <row r="48" spans="1:15">
      <c r="A48" s="223" t="s">
        <v>4097</v>
      </c>
      <c r="B48" s="72"/>
      <c r="C48" s="72"/>
      <c r="D48" s="73"/>
      <c r="E48" s="78"/>
      <c r="F48" s="79">
        <v>0</v>
      </c>
      <c r="G48" s="80">
        <f>F48*H13</f>
        <v>0</v>
      </c>
      <c r="H48" s="212"/>
    </row>
    <row r="49" spans="1:14">
      <c r="A49" s="224" t="s">
        <v>4240</v>
      </c>
      <c r="B49" s="81"/>
      <c r="C49" s="81"/>
      <c r="D49" s="82"/>
      <c r="E49" s="78"/>
      <c r="F49" s="79">
        <v>0</v>
      </c>
      <c r="G49" s="80">
        <f>F49*H13</f>
        <v>0</v>
      </c>
      <c r="H49" s="212"/>
    </row>
    <row r="50" spans="1:14">
      <c r="A50" s="224" t="s">
        <v>4</v>
      </c>
      <c r="B50" s="81"/>
      <c r="C50" s="81"/>
      <c r="D50" s="82"/>
      <c r="E50" s="78"/>
      <c r="F50" s="79">
        <v>0</v>
      </c>
      <c r="G50" s="80">
        <f>F50*H13</f>
        <v>0</v>
      </c>
      <c r="H50" s="212"/>
    </row>
    <row r="51" spans="1:14">
      <c r="A51" s="225"/>
      <c r="B51" s="83"/>
      <c r="C51" s="75"/>
      <c r="D51" s="84"/>
      <c r="E51" s="85"/>
      <c r="F51" s="86"/>
      <c r="G51" s="87"/>
      <c r="H51" s="214"/>
    </row>
    <row r="52" spans="1:14">
      <c r="A52" s="226"/>
      <c r="B52" s="83"/>
      <c r="C52" s="83"/>
      <c r="D52" s="84"/>
      <c r="E52" s="88"/>
      <c r="F52" s="563" t="s">
        <v>4241</v>
      </c>
      <c r="G52" s="564"/>
      <c r="H52" s="233">
        <f>H13+G48+G49+G50</f>
        <v>1431633.4936500001</v>
      </c>
    </row>
    <row r="53" spans="1:14" ht="16.5">
      <c r="A53" s="220"/>
      <c r="B53" s="221"/>
      <c r="C53" s="221"/>
      <c r="D53" s="222"/>
      <c r="E53" s="219"/>
      <c r="F53" s="219"/>
      <c r="G53" s="89"/>
      <c r="H53" s="219"/>
    </row>
    <row r="55" spans="1:14" ht="16.5">
      <c r="A55" s="90"/>
      <c r="B55" s="90"/>
      <c r="C55" s="90"/>
      <c r="D55" s="90"/>
      <c r="E55" s="90"/>
      <c r="F55" s="90"/>
      <c r="G55" s="90"/>
      <c r="H55" s="381"/>
    </row>
    <row r="56" spans="1:14">
      <c r="A56" s="579" t="s">
        <v>4225</v>
      </c>
      <c r="B56" s="580"/>
      <c r="C56" s="580"/>
      <c r="D56" s="580"/>
      <c r="E56" s="580"/>
      <c r="F56" s="580"/>
      <c r="G56" s="580"/>
      <c r="H56" s="581"/>
    </row>
    <row r="57" spans="1:14" ht="16.5">
      <c r="A57" s="91"/>
      <c r="B57" s="92"/>
      <c r="C57" s="92"/>
      <c r="D57" s="92"/>
      <c r="E57" s="92"/>
      <c r="F57" s="93"/>
      <c r="G57" s="94"/>
      <c r="H57" s="380">
        <f>ROUND((25/60)/8,4)</f>
        <v>5.21E-2</v>
      </c>
      <c r="I57" s="115"/>
    </row>
    <row r="58" spans="1:14">
      <c r="A58" s="582" t="s">
        <v>4220</v>
      </c>
      <c r="B58" s="584" t="str">
        <f>COSTOS!$C$14</f>
        <v>MODERNIZACION A TECNOLOGIA LED</v>
      </c>
      <c r="C58" s="584"/>
      <c r="D58" s="584"/>
      <c r="E58" s="584"/>
      <c r="F58" s="584"/>
      <c r="G58" s="584"/>
      <c r="H58" s="585" t="s">
        <v>4221</v>
      </c>
    </row>
    <row r="59" spans="1:14">
      <c r="A59" s="583"/>
      <c r="B59" s="584"/>
      <c r="C59" s="584"/>
      <c r="D59" s="584"/>
      <c r="E59" s="584"/>
      <c r="F59" s="584"/>
      <c r="G59" s="584"/>
      <c r="H59" s="585"/>
    </row>
    <row r="60" spans="1:14">
      <c r="A60" s="583"/>
      <c r="B60" s="584"/>
      <c r="C60" s="584"/>
      <c r="D60" s="584"/>
      <c r="E60" s="584"/>
      <c r="F60" s="584"/>
      <c r="G60" s="584"/>
      <c r="H60" s="585"/>
    </row>
    <row r="61" spans="1:14" ht="15" customHeight="1">
      <c r="A61" s="583"/>
      <c r="B61" s="584"/>
      <c r="C61" s="584"/>
      <c r="D61" s="584"/>
      <c r="E61" s="584"/>
      <c r="F61" s="584"/>
      <c r="G61" s="584"/>
      <c r="H61" s="216">
        <f ca="1">TODAY()</f>
        <v>44889</v>
      </c>
      <c r="K61" t="s">
        <v>4391</v>
      </c>
      <c r="L61" t="s">
        <v>4392</v>
      </c>
      <c r="M61" t="s">
        <v>4393</v>
      </c>
      <c r="N61" t="s">
        <v>4394</v>
      </c>
    </row>
    <row r="62" spans="1:14" ht="60.75" customHeight="1">
      <c r="A62" s="228" t="s">
        <v>4222</v>
      </c>
      <c r="B62" s="565" t="str">
        <f>COSTOS!$D$16</f>
        <v>Luminarias</v>
      </c>
      <c r="C62" s="565"/>
      <c r="D62" s="565"/>
      <c r="E62" s="565"/>
      <c r="F62" s="565"/>
      <c r="G62" s="70" t="s">
        <v>4223</v>
      </c>
      <c r="H62" s="387">
        <v>1.2</v>
      </c>
      <c r="K62" s="62">
        <f>H87</f>
        <v>1436798.1459999999</v>
      </c>
      <c r="L62" s="62">
        <f>H97</f>
        <v>18742.662399999997</v>
      </c>
      <c r="M62" s="62">
        <f>H70</f>
        <v>3363.18525</v>
      </c>
      <c r="N62" s="62">
        <f>H91</f>
        <v>4800</v>
      </c>
    </row>
    <row r="63" spans="1:14" ht="43.15" customHeight="1">
      <c r="A63" s="229" t="s">
        <v>4224</v>
      </c>
      <c r="B63" s="566" t="str">
        <f>VLOOKUP(H62,COSTOS!C:M,2,0)</f>
        <v>Luminaria LED 52w</v>
      </c>
      <c r="C63" s="567"/>
      <c r="D63" s="567"/>
      <c r="E63" s="568"/>
      <c r="F63" s="71" t="s">
        <v>0</v>
      </c>
      <c r="G63" s="356" t="str">
        <f>VLOOKUP(H62,COSTOS!C:M,8,0)</f>
        <v>Und</v>
      </c>
      <c r="H63" s="276"/>
      <c r="I63" s="306"/>
      <c r="J63" s="308"/>
      <c r="K63" s="308"/>
      <c r="L63" s="308"/>
    </row>
    <row r="64" spans="1:14">
      <c r="A64" s="230"/>
      <c r="B64" s="112"/>
      <c r="C64" s="112"/>
      <c r="D64" s="112"/>
      <c r="E64" s="113"/>
      <c r="F64" s="114" t="s">
        <v>1</v>
      </c>
      <c r="G64" s="356">
        <f>VLOOKUP(H62,COSTOS!C:M,9,0)</f>
        <v>0</v>
      </c>
      <c r="H64" s="357"/>
      <c r="I64" s="307"/>
    </row>
    <row r="65" spans="1:15" ht="16.5">
      <c r="A65" s="231" t="s">
        <v>4226</v>
      </c>
      <c r="B65" s="75"/>
      <c r="C65" s="75"/>
      <c r="D65" s="76"/>
      <c r="E65" s="209"/>
      <c r="F65" s="210"/>
      <c r="G65" s="211" t="s">
        <v>4227</v>
      </c>
      <c r="H65" s="217">
        <f>H70+H87+H91+H97</f>
        <v>1463703.9936500001</v>
      </c>
    </row>
    <row r="66" spans="1:15" ht="39">
      <c r="A66" s="569" t="s">
        <v>4224</v>
      </c>
      <c r="B66" s="569"/>
      <c r="C66" s="569"/>
      <c r="D66" s="77" t="s">
        <v>0</v>
      </c>
      <c r="E66" s="207" t="s">
        <v>4228</v>
      </c>
      <c r="F66" s="208" t="s">
        <v>4215</v>
      </c>
      <c r="G66" s="74" t="s">
        <v>2</v>
      </c>
      <c r="H66" s="218" t="s">
        <v>4229</v>
      </c>
      <c r="K66" s="309"/>
    </row>
    <row r="67" spans="1:15">
      <c r="A67" s="536" t="s">
        <v>3946</v>
      </c>
      <c r="B67" s="570" t="str">
        <f>VLOOKUP(A67,'Equip, Herr y Transp'!$B$2:$D$739,2,0)</f>
        <v>EQU</v>
      </c>
      <c r="C67" s="570"/>
      <c r="D67" s="95" t="str">
        <f>VLOOKUP(A67,'Equip, Herr y Transp'!$B$2:$D$218,2,0)</f>
        <v>EQU</v>
      </c>
      <c r="E67" s="95">
        <f>VLOOKUP(A67,'Equip, Herr y Transp'!$B$2:$D$218,3,0)</f>
        <v>14130</v>
      </c>
      <c r="F67" s="96">
        <f>H57</f>
        <v>5.21E-2</v>
      </c>
      <c r="G67" s="122">
        <f>F67*E67</f>
        <v>736.173</v>
      </c>
      <c r="H67" s="118"/>
    </row>
    <row r="68" spans="1:15">
      <c r="A68" s="536" t="s">
        <v>3904</v>
      </c>
      <c r="B68" s="570" t="str">
        <f>VLOOKUP(A68,'Equip, Herr y Transp'!$B$2:$D$739,2,0)</f>
        <v>EQU</v>
      </c>
      <c r="C68" s="570"/>
      <c r="D68" s="95" t="str">
        <f>VLOOKUP(A68,'Equip, Herr y Transp'!$B$2:$D$218,2,0)</f>
        <v>EQU</v>
      </c>
      <c r="E68" s="95">
        <f>VLOOKUP(A68,'Equip, Herr y Transp'!$B$2:$D$218,3,0)</f>
        <v>26672.5</v>
      </c>
      <c r="F68" s="96">
        <f>H57</f>
        <v>5.21E-2</v>
      </c>
      <c r="G68" s="122">
        <f>F68*E68</f>
        <v>1389.63725</v>
      </c>
      <c r="H68" s="117"/>
    </row>
    <row r="69" spans="1:15">
      <c r="A69" s="536" t="s">
        <v>3937</v>
      </c>
      <c r="B69" s="570" t="str">
        <f>VLOOKUP(A69,'Equip, Herr y Transp'!$B$2:$D$739,2,0)</f>
        <v>EQU</v>
      </c>
      <c r="C69" s="570"/>
      <c r="D69" s="95" t="str">
        <f>VLOOKUP(A69,'Equip, Herr y Transp'!$B$2:$D$218,2,0)</f>
        <v>EQU</v>
      </c>
      <c r="E69" s="95">
        <f>VLOOKUP(A69,'Equip, Herr y Transp'!$B$2:$D$218,3,0)</f>
        <v>23750</v>
      </c>
      <c r="F69" s="96">
        <f>H57</f>
        <v>5.21E-2</v>
      </c>
      <c r="G69" s="122">
        <f>F69*E69</f>
        <v>1237.375</v>
      </c>
      <c r="H69" s="117"/>
    </row>
    <row r="70" spans="1:15" ht="16.5">
      <c r="A70" s="540" t="s">
        <v>4100</v>
      </c>
      <c r="B70" s="541"/>
      <c r="C70" s="541"/>
      <c r="D70" s="541"/>
      <c r="E70" s="541"/>
      <c r="F70" s="541"/>
      <c r="G70" s="541"/>
      <c r="H70" s="97">
        <f>SUM(G67:G69)</f>
        <v>3363.18525</v>
      </c>
    </row>
    <row r="71" spans="1:15" ht="16.5">
      <c r="A71" s="571" t="s">
        <v>4230</v>
      </c>
      <c r="B71" s="572"/>
      <c r="C71" s="572"/>
      <c r="D71" s="572"/>
      <c r="E71" s="572"/>
      <c r="F71" s="572"/>
      <c r="G71" s="572"/>
      <c r="H71" s="573"/>
      <c r="K71" s="56"/>
      <c r="L71" s="56"/>
      <c r="M71" s="56"/>
      <c r="N71" s="56"/>
      <c r="O71" s="56"/>
    </row>
    <row r="72" spans="1:15" ht="30" customHeight="1">
      <c r="A72" s="574" t="s">
        <v>7</v>
      </c>
      <c r="B72" s="575"/>
      <c r="C72" s="109" t="s">
        <v>0</v>
      </c>
      <c r="D72" s="110" t="s">
        <v>4098</v>
      </c>
      <c r="E72" s="111" t="s">
        <v>1</v>
      </c>
      <c r="F72" s="576" t="s">
        <v>4218</v>
      </c>
      <c r="G72" s="576"/>
      <c r="H72" s="215"/>
      <c r="K72" s="56"/>
      <c r="L72" s="56"/>
      <c r="M72" s="56"/>
      <c r="N72" s="56"/>
      <c r="O72" s="56"/>
    </row>
    <row r="73" spans="1:15">
      <c r="A73" s="577" t="s">
        <v>4610</v>
      </c>
      <c r="B73" s="578"/>
      <c r="C73" s="98" t="str">
        <f>VLOOKUP(A73,'Materiales '!$C$2:$F$1302,3,0)</f>
        <v>Und</v>
      </c>
      <c r="D73" s="99">
        <f>VLOOKUP(A73,'Materiales '!$C$2:$F$1302,4,0)</f>
        <v>1250749.5</v>
      </c>
      <c r="E73" s="100">
        <v>1</v>
      </c>
      <c r="F73" s="538">
        <f>E73*D73</f>
        <v>1250749.5</v>
      </c>
      <c r="G73" s="539"/>
      <c r="H73" s="121"/>
      <c r="I73">
        <f>E73*G64</f>
        <v>0</v>
      </c>
      <c r="J73" s="67"/>
      <c r="K73" s="56"/>
      <c r="L73" s="56"/>
      <c r="M73" s="56"/>
      <c r="N73" s="56"/>
      <c r="O73" s="56"/>
    </row>
    <row r="74" spans="1:15">
      <c r="A74" s="577" t="s">
        <v>4214</v>
      </c>
      <c r="B74" s="578"/>
      <c r="C74" s="98" t="str">
        <f>VLOOKUP(A74,'Materiales '!$C$2:$F$1302,3,0)</f>
        <v>Und</v>
      </c>
      <c r="D74" s="99">
        <f>VLOOKUP(A74,'Materiales '!$C$2:$F$1302,4,0)</f>
        <v>22848</v>
      </c>
      <c r="E74" s="100">
        <v>1</v>
      </c>
      <c r="F74" s="538">
        <f t="shared" ref="F74:F80" si="4">E74*D74</f>
        <v>22848</v>
      </c>
      <c r="G74" s="539"/>
      <c r="H74" s="121"/>
      <c r="I74">
        <f>E74*G64</f>
        <v>0</v>
      </c>
      <c r="J74" s="67"/>
      <c r="K74" s="56"/>
      <c r="L74" s="56"/>
      <c r="M74" s="56"/>
      <c r="N74" s="56"/>
      <c r="O74" s="56"/>
    </row>
    <row r="75" spans="1:15">
      <c r="A75" s="536" t="s">
        <v>4477</v>
      </c>
      <c r="B75" s="537" t="str">
        <f>VLOOKUP(A75,'Materiales '!$C$2:$F$1302,3,0)</f>
        <v>Und</v>
      </c>
      <c r="C75" s="98" t="str">
        <f>VLOOKUP(A75,'Materiales '!$C$2:$F$1302,3,0)</f>
        <v>Und</v>
      </c>
      <c r="D75" s="99">
        <f>VLOOKUP(A75,'Materiales '!$C$2:$F$1302,4,0)</f>
        <v>16850.399999999998</v>
      </c>
      <c r="E75" s="100">
        <v>2</v>
      </c>
      <c r="F75" s="538">
        <f t="shared" si="4"/>
        <v>33700.799999999996</v>
      </c>
      <c r="G75" s="539"/>
      <c r="H75" s="121"/>
      <c r="I75">
        <f>E75*G64</f>
        <v>0</v>
      </c>
      <c r="J75" s="68"/>
      <c r="K75" s="56"/>
      <c r="L75" s="56"/>
      <c r="M75" s="56"/>
      <c r="N75" s="56"/>
      <c r="O75" s="56"/>
    </row>
    <row r="76" spans="1:15">
      <c r="A76" s="536" t="s">
        <v>4489</v>
      </c>
      <c r="B76" s="537" t="str">
        <f>VLOOKUP(A76,'Materiales '!$C$2:$F$1302,3,0)</f>
        <v>Und</v>
      </c>
      <c r="C76" s="98" t="str">
        <f>VLOOKUP(A76,'Materiales '!$C$2:$F$1302,3,0)</f>
        <v>Und</v>
      </c>
      <c r="D76" s="99">
        <f>VLOOKUP(A76,'Materiales '!$C$2:$F$1302,4,0)</f>
        <v>8039.6399999999994</v>
      </c>
      <c r="E76" s="100">
        <v>3</v>
      </c>
      <c r="F76" s="538">
        <f t="shared" si="4"/>
        <v>24118.92</v>
      </c>
      <c r="G76" s="539"/>
      <c r="H76" s="121"/>
      <c r="I76">
        <f>E76*G64</f>
        <v>0</v>
      </c>
      <c r="J76" s="68"/>
      <c r="K76" s="56"/>
      <c r="L76" s="56"/>
      <c r="M76" s="56"/>
      <c r="N76" s="56"/>
      <c r="O76" s="56"/>
    </row>
    <row r="77" spans="1:15">
      <c r="A77" s="536" t="s">
        <v>4554</v>
      </c>
      <c r="B77" s="537" t="str">
        <f>VLOOKUP(A77,'Materiales '!$C$2:$F$1302,3,0)</f>
        <v>Und</v>
      </c>
      <c r="C77" s="98" t="str">
        <f>VLOOKUP(A77,'Materiales '!$C$2:$F$1302,3,0)</f>
        <v>Und</v>
      </c>
      <c r="D77" s="99">
        <f>VLOOKUP(A77,'Materiales '!$C$2:$F$1302,4,0)</f>
        <v>2535.5329999999999</v>
      </c>
      <c r="E77" s="100">
        <v>2</v>
      </c>
      <c r="F77" s="538">
        <f t="shared" si="4"/>
        <v>5071.0659999999998</v>
      </c>
      <c r="G77" s="539"/>
      <c r="H77" s="121"/>
      <c r="I77">
        <f>E77*G64</f>
        <v>0</v>
      </c>
      <c r="J77" s="68"/>
      <c r="K77" s="56"/>
      <c r="L77" s="56"/>
      <c r="M77" s="56"/>
      <c r="N77" s="56"/>
      <c r="O77" s="56"/>
    </row>
    <row r="78" spans="1:15">
      <c r="A78" s="536" t="s">
        <v>4450</v>
      </c>
      <c r="B78" s="537" t="str">
        <f>VLOOKUP(A78,'Materiales '!$C$2:$F$1302,3,0)</f>
        <v>Ml</v>
      </c>
      <c r="C78" s="98" t="str">
        <f>VLOOKUP(A78,'Materiales '!$C$2:$F$1302,3,0)</f>
        <v>Ml</v>
      </c>
      <c r="D78" s="99">
        <f>VLOOKUP(A78,'Materiales '!$C$2:$F$1302,4,0)</f>
        <v>6791.5679999999993</v>
      </c>
      <c r="E78" s="100">
        <v>1</v>
      </c>
      <c r="F78" s="538">
        <f t="shared" si="4"/>
        <v>6791.5679999999993</v>
      </c>
      <c r="G78" s="539"/>
      <c r="H78" s="121"/>
      <c r="I78">
        <f>E78*G64</f>
        <v>0</v>
      </c>
      <c r="J78" s="68"/>
      <c r="K78" s="56"/>
      <c r="L78" s="56"/>
      <c r="M78" s="56"/>
      <c r="N78" s="56"/>
      <c r="O78" s="56"/>
    </row>
    <row r="79" spans="1:15">
      <c r="A79" s="536" t="s">
        <v>4493</v>
      </c>
      <c r="B79" s="537" t="str">
        <f>VLOOKUP(A79,'Materiales '!$C$2:$F$1302,3,0)</f>
        <v>Und</v>
      </c>
      <c r="C79" s="98" t="str">
        <f>VLOOKUP(A79,'Materiales '!$C$2:$F$1302,3,0)</f>
        <v>Und</v>
      </c>
      <c r="D79" s="99">
        <f>VLOOKUP(A79,'Materiales '!$C$2:$F$1302,4,0)</f>
        <v>232.76399999999998</v>
      </c>
      <c r="E79" s="100">
        <v>3</v>
      </c>
      <c r="F79" s="538">
        <f t="shared" si="4"/>
        <v>698.29199999999992</v>
      </c>
      <c r="G79" s="539"/>
      <c r="H79" s="121"/>
      <c r="I79">
        <f>E79*G64</f>
        <v>0</v>
      </c>
      <c r="J79" s="68"/>
      <c r="K79" s="56"/>
      <c r="L79" s="56"/>
      <c r="M79" s="56"/>
      <c r="N79" s="56"/>
      <c r="O79" s="56"/>
    </row>
    <row r="80" spans="1:15" ht="21.75" customHeight="1">
      <c r="A80" s="536" t="s">
        <v>4436</v>
      </c>
      <c r="B80" s="537" t="str">
        <f>VLOOKUP(A80,'Materiales '!$C$2:$F$1302,3,0)</f>
        <v>Und</v>
      </c>
      <c r="C80" s="98" t="str">
        <f>VLOOKUP(A80,'Materiales '!$C$2:$F$1302,3,0)</f>
        <v>Und</v>
      </c>
      <c r="D80" s="99">
        <f>VLOOKUP(A80,'Materiales '!$C$2:$F$1302,4,0)</f>
        <v>92820</v>
      </c>
      <c r="E80" s="100">
        <v>1</v>
      </c>
      <c r="F80" s="538">
        <f t="shared" si="4"/>
        <v>92820</v>
      </c>
      <c r="G80" s="539"/>
      <c r="H80" s="121"/>
      <c r="I80">
        <f>E80*G64</f>
        <v>0</v>
      </c>
      <c r="J80" s="68"/>
      <c r="K80" s="56"/>
      <c r="L80" s="56"/>
      <c r="M80" s="56"/>
      <c r="N80" s="56"/>
      <c r="O80" s="56"/>
    </row>
    <row r="81" spans="1:15">
      <c r="A81" s="536" t="s">
        <v>8</v>
      </c>
      <c r="B81" s="537" t="str">
        <f>VLOOKUP(A81,'Materiales '!$C$2:$F$1302,3,0)</f>
        <v>-</v>
      </c>
      <c r="C81" s="98" t="str">
        <f>VLOOKUP(A81,'Materiales '!$C$2:$F$1302,3,0)</f>
        <v>-</v>
      </c>
      <c r="D81" s="99">
        <f>VLOOKUP(A81,'Materiales '!$C$2:$F$1302,4,0)</f>
        <v>0</v>
      </c>
      <c r="E81" s="100"/>
      <c r="F81" s="538">
        <f>E81*D81</f>
        <v>0</v>
      </c>
      <c r="G81" s="539"/>
      <c r="H81" s="120"/>
      <c r="I81">
        <f>E81*G64</f>
        <v>0</v>
      </c>
      <c r="J81" s="68"/>
      <c r="K81" s="56"/>
      <c r="L81" s="56"/>
      <c r="M81" s="56"/>
      <c r="N81" s="56"/>
      <c r="O81" s="56"/>
    </row>
    <row r="82" spans="1:15">
      <c r="A82" s="536" t="s">
        <v>8</v>
      </c>
      <c r="B82" s="537" t="str">
        <f>VLOOKUP(A82,'Materiales '!$C$2:$F$1302,3,0)</f>
        <v>-</v>
      </c>
      <c r="C82" s="98" t="str">
        <f>VLOOKUP(A82,'Materiales '!$C$2:$F$1302,3,0)</f>
        <v>-</v>
      </c>
      <c r="D82" s="99">
        <f>VLOOKUP(A82,'Materiales '!$C$2:$F$1302,4,0)</f>
        <v>0</v>
      </c>
      <c r="E82" s="100"/>
      <c r="F82" s="538">
        <f t="shared" ref="F82:F85" si="5">E82*D82</f>
        <v>0</v>
      </c>
      <c r="G82" s="539"/>
      <c r="H82" s="121"/>
      <c r="I82">
        <f>E82*G64</f>
        <v>0</v>
      </c>
      <c r="J82" s="68"/>
      <c r="K82" s="56"/>
      <c r="L82" s="56"/>
      <c r="M82" s="56"/>
      <c r="N82" s="56"/>
      <c r="O82" s="56"/>
    </row>
    <row r="83" spans="1:15">
      <c r="A83" s="536" t="s">
        <v>8</v>
      </c>
      <c r="B83" s="537" t="str">
        <f>VLOOKUP(A83,'Materiales '!$C$2:$F$1302,3,0)</f>
        <v>-</v>
      </c>
      <c r="C83" s="98" t="str">
        <f>VLOOKUP(A83,'Materiales '!$C$2:$F$1302,3,0)</f>
        <v>-</v>
      </c>
      <c r="D83" s="99">
        <f>VLOOKUP(A83,'Materiales '!$C$2:$F$1302,4,0)</f>
        <v>0</v>
      </c>
      <c r="E83" s="100"/>
      <c r="F83" s="538">
        <f t="shared" si="5"/>
        <v>0</v>
      </c>
      <c r="G83" s="539"/>
      <c r="H83" s="121"/>
      <c r="I83">
        <f>E83*G64</f>
        <v>0</v>
      </c>
      <c r="J83" s="68"/>
      <c r="K83" s="56"/>
      <c r="L83" s="56"/>
      <c r="M83" s="56"/>
      <c r="N83" s="56"/>
      <c r="O83" s="56"/>
    </row>
    <row r="84" spans="1:15">
      <c r="A84" s="536" t="s">
        <v>8</v>
      </c>
      <c r="B84" s="537" t="str">
        <f>VLOOKUP(A84,'Materiales '!$C$2:$F$1302,3,0)</f>
        <v>-</v>
      </c>
      <c r="C84" s="98" t="str">
        <f>VLOOKUP(A84,'Materiales '!$C$2:$F$1302,3,0)</f>
        <v>-</v>
      </c>
      <c r="D84" s="99">
        <f>VLOOKUP(A84,'Materiales '!$C$2:$F$1302,4,0)</f>
        <v>0</v>
      </c>
      <c r="E84" s="100"/>
      <c r="F84" s="538">
        <f t="shared" si="5"/>
        <v>0</v>
      </c>
      <c r="G84" s="539"/>
      <c r="H84" s="121"/>
      <c r="I84">
        <f>E84*G64</f>
        <v>0</v>
      </c>
      <c r="J84" s="68"/>
      <c r="K84" s="56"/>
      <c r="L84" s="56"/>
      <c r="M84" s="56"/>
      <c r="N84" s="56"/>
      <c r="O84" s="56"/>
    </row>
    <row r="85" spans="1:15">
      <c r="A85" s="536" t="s">
        <v>8</v>
      </c>
      <c r="B85" s="537" t="str">
        <f>VLOOKUP(A85,'Materiales '!$C$2:$F$1302,3,0)</f>
        <v>-</v>
      </c>
      <c r="C85" s="98" t="str">
        <f>VLOOKUP(A85,'Materiales '!$C$2:$F$1302,3,0)</f>
        <v>-</v>
      </c>
      <c r="D85" s="99">
        <f>VLOOKUP(A85,'Materiales '!$C$2:$F$1302,4,0)</f>
        <v>0</v>
      </c>
      <c r="E85" s="100"/>
      <c r="F85" s="538">
        <f t="shared" si="5"/>
        <v>0</v>
      </c>
      <c r="G85" s="539"/>
      <c r="H85" s="121"/>
      <c r="I85">
        <f>E85*G64</f>
        <v>0</v>
      </c>
      <c r="J85" s="68"/>
      <c r="K85" s="56"/>
      <c r="L85" s="56"/>
      <c r="M85" s="56"/>
      <c r="N85" s="56"/>
      <c r="O85" s="56"/>
    </row>
    <row r="86" spans="1:15">
      <c r="A86" s="536" t="s">
        <v>8</v>
      </c>
      <c r="B86" s="537" t="str">
        <f>VLOOKUP(A86,'Materiales '!$C$2:$F$1302,3,0)</f>
        <v>-</v>
      </c>
      <c r="C86" s="98" t="str">
        <f>VLOOKUP(A86,'Materiales '!$C$2:$F$1302,3,0)</f>
        <v>-</v>
      </c>
      <c r="D86" s="99">
        <f>VLOOKUP(A86,'Materiales '!$C$2:$F$1302,4,0)</f>
        <v>0</v>
      </c>
      <c r="E86" s="100"/>
      <c r="F86" s="538">
        <f>E86*D86</f>
        <v>0</v>
      </c>
      <c r="G86" s="539"/>
      <c r="H86" s="120"/>
      <c r="I86">
        <f>E86*G64</f>
        <v>0</v>
      </c>
      <c r="J86" s="68"/>
      <c r="K86" s="56"/>
      <c r="L86" s="56"/>
      <c r="M86" s="56"/>
      <c r="N86" s="56"/>
      <c r="O86" s="56"/>
    </row>
    <row r="87" spans="1:15" ht="16.5">
      <c r="A87" s="540" t="s">
        <v>4099</v>
      </c>
      <c r="B87" s="541"/>
      <c r="C87" s="541"/>
      <c r="D87" s="541"/>
      <c r="E87" s="541"/>
      <c r="F87" s="541"/>
      <c r="G87" s="542"/>
      <c r="H87" s="116">
        <f>SUM(F73:F86)</f>
        <v>1436798.1459999999</v>
      </c>
      <c r="J87" s="68"/>
      <c r="K87" s="56"/>
      <c r="L87" s="56"/>
      <c r="M87" s="56"/>
      <c r="N87" s="56"/>
      <c r="O87" s="56"/>
    </row>
    <row r="88" spans="1:15" ht="16.5">
      <c r="A88" s="543" t="s">
        <v>4231</v>
      </c>
      <c r="B88" s="544"/>
      <c r="C88" s="544"/>
      <c r="D88" s="544"/>
      <c r="E88" s="545"/>
      <c r="F88" s="544"/>
      <c r="G88" s="544"/>
      <c r="H88" s="546"/>
      <c r="J88" s="68"/>
      <c r="K88" s="56"/>
      <c r="L88" s="56"/>
      <c r="M88" s="56"/>
      <c r="N88" s="56"/>
      <c r="O88" s="56"/>
    </row>
    <row r="89" spans="1:15">
      <c r="A89" s="547" t="s">
        <v>7</v>
      </c>
      <c r="B89" s="548"/>
      <c r="C89" s="108" t="s">
        <v>4232</v>
      </c>
      <c r="D89" s="107" t="s">
        <v>4233</v>
      </c>
      <c r="E89" s="206" t="s">
        <v>4234</v>
      </c>
      <c r="F89" s="549" t="s">
        <v>4218</v>
      </c>
      <c r="G89" s="549"/>
      <c r="H89" s="119"/>
      <c r="K89" s="56"/>
      <c r="L89" s="56"/>
      <c r="M89" s="56"/>
      <c r="N89" s="56"/>
      <c r="O89" s="56"/>
    </row>
    <row r="90" spans="1:15">
      <c r="A90" s="550" t="s">
        <v>3928</v>
      </c>
      <c r="B90" s="551"/>
      <c r="C90" s="232">
        <v>1</v>
      </c>
      <c r="D90" s="102">
        <v>0.03</v>
      </c>
      <c r="E90" s="103">
        <f>VLOOKUP(A90,'Equip, Herr y Transp'!$B$2:$D$218,3,0)</f>
        <v>160000</v>
      </c>
      <c r="F90" s="552">
        <f>E90*D90*C90</f>
        <v>4800</v>
      </c>
      <c r="G90" s="553"/>
      <c r="H90" s="117"/>
      <c r="M90" s="56"/>
    </row>
    <row r="91" spans="1:15" ht="16.5">
      <c r="A91" s="554" t="s">
        <v>4216</v>
      </c>
      <c r="B91" s="555"/>
      <c r="C91" s="555"/>
      <c r="D91" s="555"/>
      <c r="E91" s="555"/>
      <c r="F91" s="555"/>
      <c r="G91" s="555"/>
      <c r="H91" s="105">
        <f>F90</f>
        <v>4800</v>
      </c>
    </row>
    <row r="92" spans="1:15" ht="16.5">
      <c r="A92" s="543" t="s">
        <v>4235</v>
      </c>
      <c r="B92" s="544"/>
      <c r="C92" s="544"/>
      <c r="D92" s="544"/>
      <c r="E92" s="544"/>
      <c r="F92" s="544"/>
      <c r="G92" s="544"/>
      <c r="H92" s="546"/>
    </row>
    <row r="93" spans="1:15">
      <c r="A93" s="547" t="s">
        <v>7</v>
      </c>
      <c r="B93" s="548"/>
      <c r="C93" s="106" t="s">
        <v>1</v>
      </c>
      <c r="D93" s="107" t="s">
        <v>4236</v>
      </c>
      <c r="E93" s="108" t="s">
        <v>4215</v>
      </c>
      <c r="F93" s="547" t="s">
        <v>5</v>
      </c>
      <c r="G93" s="556"/>
      <c r="H93" s="119"/>
    </row>
    <row r="94" spans="1:15">
      <c r="A94" s="550" t="s">
        <v>4196</v>
      </c>
      <c r="B94" s="551"/>
      <c r="C94" s="101">
        <v>1</v>
      </c>
      <c r="D94" s="104">
        <f>VLOOKUP(A94,'Mano Obra'!$B$2:$T$117,19,0)</f>
        <v>166624</v>
      </c>
      <c r="E94" s="246">
        <f>H57</f>
        <v>5.21E-2</v>
      </c>
      <c r="F94" s="538">
        <f>E94*D94*C94</f>
        <v>8681.1103999999996</v>
      </c>
      <c r="G94" s="557"/>
      <c r="H94" s="121"/>
      <c r="I94" s="69"/>
      <c r="J94" s="136">
        <f>((('Mano Obra'!$M$4/30)*F94)/D94)*G64</f>
        <v>0</v>
      </c>
    </row>
    <row r="95" spans="1:15">
      <c r="A95" s="558" t="s">
        <v>4197</v>
      </c>
      <c r="B95" s="559">
        <f>VLOOKUP(A95,'Mano Obra'!$B$3:$D$290,2,0)</f>
        <v>2090000.0000000002</v>
      </c>
      <c r="C95" s="101">
        <v>1</v>
      </c>
      <c r="D95" s="104">
        <f>VLOOKUP(A95,'Mano Obra'!$B$2:$T$117,19,0)</f>
        <v>120456</v>
      </c>
      <c r="E95" s="246">
        <f>H57</f>
        <v>5.21E-2</v>
      </c>
      <c r="F95" s="538">
        <f t="shared" ref="F95:F96" si="6">E95*D95*C95</f>
        <v>6275.7575999999999</v>
      </c>
      <c r="G95" s="557"/>
      <c r="H95" s="121"/>
      <c r="J95" s="136">
        <f>((('Mano Obra'!$M$5/30)*F95)/D95)*G64</f>
        <v>0</v>
      </c>
    </row>
    <row r="96" spans="1:15">
      <c r="A96" s="558" t="s">
        <v>4186</v>
      </c>
      <c r="B96" s="559">
        <f>VLOOKUP(A96,'Mano Obra'!$B$3:$D$290,2,0)</f>
        <v>1100000</v>
      </c>
      <c r="C96" s="101">
        <v>1</v>
      </c>
      <c r="D96" s="104">
        <f>VLOOKUP(A96,'Mano Obra'!$B$2:$T$117,19,0)</f>
        <v>72664</v>
      </c>
      <c r="E96" s="246">
        <f>H57</f>
        <v>5.21E-2</v>
      </c>
      <c r="F96" s="538">
        <f t="shared" si="6"/>
        <v>3785.7944000000002</v>
      </c>
      <c r="G96" s="557"/>
      <c r="H96" s="120"/>
      <c r="J96" s="136">
        <f>((('Mano Obra'!$M$6/30)*F96)/D96)*G64</f>
        <v>0</v>
      </c>
    </row>
    <row r="97" spans="1:14" ht="16.5">
      <c r="A97" s="560" t="s">
        <v>4101</v>
      </c>
      <c r="B97" s="560"/>
      <c r="C97" s="560"/>
      <c r="D97" s="560"/>
      <c r="E97" s="560"/>
      <c r="F97" s="560"/>
      <c r="G97" s="560"/>
      <c r="H97" s="105">
        <f>SUM(F94:F96)</f>
        <v>18742.662399999997</v>
      </c>
      <c r="J97" s="136"/>
    </row>
    <row r="98" spans="1:14">
      <c r="A98" s="227" t="s">
        <v>4237</v>
      </c>
      <c r="B98" s="205"/>
      <c r="C98" s="205"/>
      <c r="D98" s="202"/>
      <c r="E98" s="203"/>
      <c r="F98" s="204"/>
      <c r="G98" s="203"/>
      <c r="H98" s="212"/>
    </row>
    <row r="99" spans="1:14">
      <c r="A99" s="561" t="s">
        <v>4224</v>
      </c>
      <c r="B99" s="562"/>
      <c r="C99" s="562"/>
      <c r="D99" s="562"/>
      <c r="E99" s="200"/>
      <c r="F99" s="201" t="s">
        <v>4238</v>
      </c>
      <c r="G99" s="200" t="s">
        <v>4239</v>
      </c>
      <c r="H99" s="213"/>
    </row>
    <row r="100" spans="1:14">
      <c r="A100" s="223" t="s">
        <v>4097</v>
      </c>
      <c r="B100" s="72"/>
      <c r="C100" s="72"/>
      <c r="D100" s="73"/>
      <c r="E100" s="78"/>
      <c r="F100" s="79">
        <v>0</v>
      </c>
      <c r="G100" s="80">
        <f>F100*H65</f>
        <v>0</v>
      </c>
      <c r="H100" s="212"/>
    </row>
    <row r="101" spans="1:14">
      <c r="A101" s="224" t="s">
        <v>4240</v>
      </c>
      <c r="B101" s="81"/>
      <c r="C101" s="81"/>
      <c r="D101" s="82"/>
      <c r="E101" s="78"/>
      <c r="F101" s="79">
        <v>0</v>
      </c>
      <c r="G101" s="80">
        <f>F101*H65</f>
        <v>0</v>
      </c>
      <c r="H101" s="212"/>
    </row>
    <row r="102" spans="1:14">
      <c r="A102" s="224" t="s">
        <v>4</v>
      </c>
      <c r="B102" s="81"/>
      <c r="C102" s="81"/>
      <c r="D102" s="82"/>
      <c r="E102" s="78"/>
      <c r="F102" s="79">
        <v>0</v>
      </c>
      <c r="G102" s="80">
        <f>F102*H65</f>
        <v>0</v>
      </c>
      <c r="H102" s="212"/>
    </row>
    <row r="103" spans="1:14">
      <c r="A103" s="225"/>
      <c r="B103" s="83"/>
      <c r="C103" s="75"/>
      <c r="D103" s="84"/>
      <c r="E103" s="85"/>
      <c r="F103" s="86"/>
      <c r="G103" s="87"/>
      <c r="H103" s="214"/>
    </row>
    <row r="104" spans="1:14">
      <c r="A104" s="226"/>
      <c r="B104" s="83"/>
      <c r="C104" s="83"/>
      <c r="D104" s="84"/>
      <c r="E104" s="88"/>
      <c r="F104" s="563" t="s">
        <v>4241</v>
      </c>
      <c r="G104" s="564"/>
      <c r="H104" s="233">
        <f>H65+G100+G101+G102</f>
        <v>1463703.9936500001</v>
      </c>
    </row>
    <row r="106" spans="1:14" ht="16.5">
      <c r="A106" s="90"/>
      <c r="B106" s="90"/>
      <c r="C106" s="90"/>
      <c r="D106" s="90"/>
      <c r="E106" s="90"/>
      <c r="F106" s="90"/>
      <c r="G106" s="90"/>
      <c r="H106" s="381"/>
    </row>
    <row r="107" spans="1:14">
      <c r="A107" s="579" t="s">
        <v>4225</v>
      </c>
      <c r="B107" s="580"/>
      <c r="C107" s="580"/>
      <c r="D107" s="580"/>
      <c r="E107" s="580"/>
      <c r="F107" s="580"/>
      <c r="G107" s="580"/>
      <c r="H107" s="581"/>
    </row>
    <row r="108" spans="1:14" ht="16.5">
      <c r="A108" s="91"/>
      <c r="B108" s="92"/>
      <c r="C108" s="92"/>
      <c r="D108" s="92"/>
      <c r="E108" s="92"/>
      <c r="F108" s="93"/>
      <c r="G108" s="94"/>
      <c r="H108" s="380">
        <f>ROUND((25/60)/8,4)</f>
        <v>5.21E-2</v>
      </c>
      <c r="I108" s="115"/>
    </row>
    <row r="109" spans="1:14">
      <c r="A109" s="582" t="s">
        <v>4220</v>
      </c>
      <c r="B109" s="584" t="str">
        <f>COSTOS!$C$14</f>
        <v>MODERNIZACION A TECNOLOGIA LED</v>
      </c>
      <c r="C109" s="584"/>
      <c r="D109" s="584"/>
      <c r="E109" s="584"/>
      <c r="F109" s="584"/>
      <c r="G109" s="584"/>
      <c r="H109" s="585" t="s">
        <v>4221</v>
      </c>
    </row>
    <row r="110" spans="1:14">
      <c r="A110" s="583"/>
      <c r="B110" s="584"/>
      <c r="C110" s="584"/>
      <c r="D110" s="584"/>
      <c r="E110" s="584"/>
      <c r="F110" s="584"/>
      <c r="G110" s="584"/>
      <c r="H110" s="585"/>
    </row>
    <row r="111" spans="1:14">
      <c r="A111" s="583"/>
      <c r="B111" s="584"/>
      <c r="C111" s="584"/>
      <c r="D111" s="584"/>
      <c r="E111" s="584"/>
      <c r="F111" s="584"/>
      <c r="G111" s="584"/>
      <c r="H111" s="585"/>
    </row>
    <row r="112" spans="1:14" ht="15" customHeight="1">
      <c r="A112" s="583"/>
      <c r="B112" s="584"/>
      <c r="C112" s="584"/>
      <c r="D112" s="584"/>
      <c r="E112" s="584"/>
      <c r="F112" s="584"/>
      <c r="G112" s="584"/>
      <c r="H112" s="216">
        <f ca="1">TODAY()</f>
        <v>44889</v>
      </c>
      <c r="K112" t="s">
        <v>4391</v>
      </c>
      <c r="L112" t="s">
        <v>4392</v>
      </c>
      <c r="M112" t="s">
        <v>4393</v>
      </c>
      <c r="N112" t="s">
        <v>4394</v>
      </c>
    </row>
    <row r="113" spans="1:15" ht="60.75" customHeight="1">
      <c r="A113" s="228" t="s">
        <v>4222</v>
      </c>
      <c r="B113" s="565" t="str">
        <f>COSTOS!$D$16</f>
        <v>Luminarias</v>
      </c>
      <c r="C113" s="565"/>
      <c r="D113" s="565"/>
      <c r="E113" s="565"/>
      <c r="F113" s="565"/>
      <c r="G113" s="70" t="s">
        <v>4223</v>
      </c>
      <c r="H113" s="387">
        <v>1.3</v>
      </c>
      <c r="K113" s="62">
        <f>H138</f>
        <v>11186170.646</v>
      </c>
      <c r="L113" s="62">
        <f>H148</f>
        <v>18742.662399999997</v>
      </c>
      <c r="M113" s="62">
        <f>H121</f>
        <v>3363.18525</v>
      </c>
      <c r="N113" s="62">
        <f>H142</f>
        <v>4800</v>
      </c>
    </row>
    <row r="114" spans="1:15" ht="43.15" customHeight="1">
      <c r="A114" s="229" t="s">
        <v>4224</v>
      </c>
      <c r="B114" s="566" t="str">
        <f>VLOOKUP(H113,COSTOS!C:M,2,0)</f>
        <v>Luminaria LED 75w</v>
      </c>
      <c r="C114" s="567"/>
      <c r="D114" s="567"/>
      <c r="E114" s="568"/>
      <c r="F114" s="71" t="s">
        <v>0</v>
      </c>
      <c r="G114" s="356" t="str">
        <f>VLOOKUP(H113,COSTOS!C:M,8,0)</f>
        <v>Und</v>
      </c>
      <c r="H114" s="276"/>
      <c r="I114" s="306"/>
      <c r="J114" s="308"/>
      <c r="K114" s="308"/>
      <c r="L114" s="308"/>
    </row>
    <row r="115" spans="1:15">
      <c r="A115" s="230"/>
      <c r="B115" s="112"/>
      <c r="C115" s="112"/>
      <c r="D115" s="112"/>
      <c r="E115" s="113"/>
      <c r="F115" s="114" t="s">
        <v>1</v>
      </c>
      <c r="G115" s="356">
        <f>VLOOKUP(H113,COSTOS!C:M,9,0)</f>
        <v>0</v>
      </c>
      <c r="H115" s="357"/>
      <c r="I115" s="307"/>
    </row>
    <row r="116" spans="1:15" ht="16.5">
      <c r="A116" s="231" t="s">
        <v>4226</v>
      </c>
      <c r="B116" s="75"/>
      <c r="C116" s="75"/>
      <c r="D116" s="76"/>
      <c r="E116" s="209"/>
      <c r="F116" s="210"/>
      <c r="G116" s="211" t="s">
        <v>4227</v>
      </c>
      <c r="H116" s="217">
        <f>H121+H138+H142+H148</f>
        <v>11213076.493649999</v>
      </c>
    </row>
    <row r="117" spans="1:15" ht="39">
      <c r="A117" s="569" t="s">
        <v>4224</v>
      </c>
      <c r="B117" s="569"/>
      <c r="C117" s="569"/>
      <c r="D117" s="77" t="s">
        <v>0</v>
      </c>
      <c r="E117" s="207" t="s">
        <v>4228</v>
      </c>
      <c r="F117" s="208" t="s">
        <v>4215</v>
      </c>
      <c r="G117" s="74" t="s">
        <v>2</v>
      </c>
      <c r="H117" s="218" t="s">
        <v>4229</v>
      </c>
      <c r="K117" s="309"/>
    </row>
    <row r="118" spans="1:15">
      <c r="A118" s="536" t="s">
        <v>3946</v>
      </c>
      <c r="B118" s="570" t="str">
        <f>VLOOKUP(A118,'Equip, Herr y Transp'!$B$2:$D$739,2,0)</f>
        <v>EQU</v>
      </c>
      <c r="C118" s="570"/>
      <c r="D118" s="95" t="str">
        <f>VLOOKUP(A118,'Equip, Herr y Transp'!$B$2:$D$218,2,0)</f>
        <v>EQU</v>
      </c>
      <c r="E118" s="95">
        <f>VLOOKUP(A118,'Equip, Herr y Transp'!$B$2:$D$218,3,0)</f>
        <v>14130</v>
      </c>
      <c r="F118" s="96">
        <f>H108</f>
        <v>5.21E-2</v>
      </c>
      <c r="G118" s="122">
        <f>F118*E118</f>
        <v>736.173</v>
      </c>
      <c r="H118" s="118"/>
    </row>
    <row r="119" spans="1:15">
      <c r="A119" s="536" t="s">
        <v>3904</v>
      </c>
      <c r="B119" s="570" t="str">
        <f>VLOOKUP(A119,'Equip, Herr y Transp'!$B$2:$D$739,2,0)</f>
        <v>EQU</v>
      </c>
      <c r="C119" s="570"/>
      <c r="D119" s="95" t="str">
        <f>VLOOKUP(A119,'Equip, Herr y Transp'!$B$2:$D$218,2,0)</f>
        <v>EQU</v>
      </c>
      <c r="E119" s="95">
        <f>VLOOKUP(A119,'Equip, Herr y Transp'!$B$2:$D$218,3,0)</f>
        <v>26672.5</v>
      </c>
      <c r="F119" s="96">
        <f>H108</f>
        <v>5.21E-2</v>
      </c>
      <c r="G119" s="122">
        <f>F119*E119</f>
        <v>1389.63725</v>
      </c>
      <c r="H119" s="117"/>
    </row>
    <row r="120" spans="1:15">
      <c r="A120" s="536" t="s">
        <v>3937</v>
      </c>
      <c r="B120" s="570" t="str">
        <f>VLOOKUP(A120,'Equip, Herr y Transp'!$B$2:$D$739,2,0)</f>
        <v>EQU</v>
      </c>
      <c r="C120" s="570"/>
      <c r="D120" s="95" t="str">
        <f>VLOOKUP(A120,'Equip, Herr y Transp'!$B$2:$D$218,2,0)</f>
        <v>EQU</v>
      </c>
      <c r="E120" s="95">
        <f>VLOOKUP(A120,'Equip, Herr y Transp'!$B$2:$D$218,3,0)</f>
        <v>23750</v>
      </c>
      <c r="F120" s="96">
        <f>H108</f>
        <v>5.21E-2</v>
      </c>
      <c r="G120" s="122">
        <f>F120*E120</f>
        <v>1237.375</v>
      </c>
      <c r="H120" s="117"/>
    </row>
    <row r="121" spans="1:15" ht="16.5">
      <c r="A121" s="540" t="s">
        <v>4100</v>
      </c>
      <c r="B121" s="541"/>
      <c r="C121" s="541"/>
      <c r="D121" s="541"/>
      <c r="E121" s="541"/>
      <c r="F121" s="541"/>
      <c r="G121" s="541"/>
      <c r="H121" s="97">
        <f>SUM(G118:G120)</f>
        <v>3363.18525</v>
      </c>
    </row>
    <row r="122" spans="1:15" ht="16.5">
      <c r="A122" s="571" t="s">
        <v>4230</v>
      </c>
      <c r="B122" s="572"/>
      <c r="C122" s="572"/>
      <c r="D122" s="572"/>
      <c r="E122" s="572"/>
      <c r="F122" s="572"/>
      <c r="G122" s="572"/>
      <c r="H122" s="573"/>
      <c r="K122" s="56"/>
      <c r="L122" s="56"/>
      <c r="M122" s="56"/>
      <c r="N122" s="56"/>
      <c r="O122" s="56"/>
    </row>
    <row r="123" spans="1:15" ht="30" customHeight="1">
      <c r="A123" s="574" t="s">
        <v>7</v>
      </c>
      <c r="B123" s="575"/>
      <c r="C123" s="109" t="s">
        <v>0</v>
      </c>
      <c r="D123" s="110" t="s">
        <v>4098</v>
      </c>
      <c r="E123" s="111" t="s">
        <v>1</v>
      </c>
      <c r="F123" s="576" t="s">
        <v>4218</v>
      </c>
      <c r="G123" s="576"/>
      <c r="H123" s="215"/>
      <c r="K123" s="56"/>
      <c r="L123" s="56"/>
      <c r="M123" s="56"/>
      <c r="N123" s="56"/>
      <c r="O123" s="56"/>
    </row>
    <row r="124" spans="1:15">
      <c r="A124" s="577" t="s">
        <v>4611</v>
      </c>
      <c r="B124" s="578"/>
      <c r="C124" s="98" t="str">
        <f>VLOOKUP(A124,'Materiales '!$C$2:$F$1302,3,0)</f>
        <v>Und</v>
      </c>
      <c r="D124" s="99">
        <f>VLOOKUP(A124,'Materiales '!$C$2:$F$1302,4,0)</f>
        <v>10969420</v>
      </c>
      <c r="E124" s="100">
        <v>1</v>
      </c>
      <c r="F124" s="538">
        <f>E124*D124</f>
        <v>10969420</v>
      </c>
      <c r="G124" s="539"/>
      <c r="H124" s="121"/>
      <c r="I124">
        <f>E124*G115</f>
        <v>0</v>
      </c>
      <c r="J124" s="67"/>
      <c r="K124" s="56"/>
      <c r="L124" s="56"/>
      <c r="M124" s="56"/>
      <c r="N124" s="56"/>
      <c r="O124" s="56"/>
    </row>
    <row r="125" spans="1:15">
      <c r="A125" s="577" t="s">
        <v>4214</v>
      </c>
      <c r="B125" s="578"/>
      <c r="C125" s="98" t="str">
        <f>VLOOKUP(A125,'Materiales '!$C$2:$F$1302,3,0)</f>
        <v>Und</v>
      </c>
      <c r="D125" s="99">
        <f>VLOOKUP(A125,'Materiales '!$C$2:$F$1302,4,0)</f>
        <v>22848</v>
      </c>
      <c r="E125" s="100">
        <v>1</v>
      </c>
      <c r="F125" s="538">
        <f t="shared" ref="F125:F131" si="7">E125*D125</f>
        <v>22848</v>
      </c>
      <c r="G125" s="539"/>
      <c r="H125" s="121"/>
      <c r="I125">
        <f>E125*G115</f>
        <v>0</v>
      </c>
      <c r="J125" s="67"/>
      <c r="K125" s="56"/>
      <c r="L125" s="56"/>
      <c r="M125" s="56"/>
      <c r="N125" s="56"/>
      <c r="O125" s="56"/>
    </row>
    <row r="126" spans="1:15">
      <c r="A126" s="536" t="s">
        <v>4478</v>
      </c>
      <c r="B126" s="537" t="str">
        <f>VLOOKUP(A126,'Materiales '!$C$2:$F$1302,3,0)</f>
        <v>Und</v>
      </c>
      <c r="C126" s="98" t="str">
        <f>VLOOKUP(A126,'Materiales '!$C$2:$F$1302,3,0)</f>
        <v>Und</v>
      </c>
      <c r="D126" s="99">
        <f>VLOOKUP(A126,'Materiales '!$C$2:$F$1302,4,0)</f>
        <v>17207.399999999998</v>
      </c>
      <c r="E126" s="100">
        <v>2</v>
      </c>
      <c r="F126" s="538">
        <f t="shared" si="7"/>
        <v>34414.799999999996</v>
      </c>
      <c r="G126" s="539"/>
      <c r="H126" s="121"/>
      <c r="I126">
        <f>E126*G115</f>
        <v>0</v>
      </c>
      <c r="J126" s="68"/>
      <c r="K126" s="56"/>
      <c r="L126" s="56"/>
      <c r="M126" s="56"/>
      <c r="N126" s="56"/>
      <c r="O126" s="56"/>
    </row>
    <row r="127" spans="1:15">
      <c r="A127" s="536" t="s">
        <v>4489</v>
      </c>
      <c r="B127" s="537" t="str">
        <f>VLOOKUP(A127,'Materiales '!$C$2:$F$1302,3,0)</f>
        <v>Und</v>
      </c>
      <c r="C127" s="98" t="str">
        <f>VLOOKUP(A127,'Materiales '!$C$2:$F$1302,3,0)</f>
        <v>Und</v>
      </c>
      <c r="D127" s="99">
        <f>VLOOKUP(A127,'Materiales '!$C$2:$F$1302,4,0)</f>
        <v>8039.6399999999994</v>
      </c>
      <c r="E127" s="100">
        <v>3</v>
      </c>
      <c r="F127" s="538">
        <f t="shared" si="7"/>
        <v>24118.92</v>
      </c>
      <c r="G127" s="539"/>
      <c r="H127" s="121"/>
      <c r="I127">
        <f>E127*G115</f>
        <v>0</v>
      </c>
      <c r="J127" s="68"/>
      <c r="K127" s="56"/>
      <c r="L127" s="56"/>
      <c r="M127" s="56"/>
      <c r="N127" s="56"/>
      <c r="O127" s="56"/>
    </row>
    <row r="128" spans="1:15">
      <c r="A128" s="536" t="s">
        <v>4554</v>
      </c>
      <c r="B128" s="537" t="str">
        <f>VLOOKUP(A128,'Materiales '!$C$2:$F$1302,3,0)</f>
        <v>Und</v>
      </c>
      <c r="C128" s="98" t="str">
        <f>VLOOKUP(A128,'Materiales '!$C$2:$F$1302,3,0)</f>
        <v>Und</v>
      </c>
      <c r="D128" s="99">
        <f>VLOOKUP(A128,'Materiales '!$C$2:$F$1302,4,0)</f>
        <v>2535.5329999999999</v>
      </c>
      <c r="E128" s="100">
        <v>2</v>
      </c>
      <c r="F128" s="538">
        <f t="shared" si="7"/>
        <v>5071.0659999999998</v>
      </c>
      <c r="G128" s="539"/>
      <c r="H128" s="121"/>
      <c r="I128">
        <f>E128*G115</f>
        <v>0</v>
      </c>
      <c r="J128" s="68"/>
      <c r="K128" s="56"/>
      <c r="L128" s="56"/>
      <c r="M128" s="56"/>
      <c r="N128" s="56"/>
      <c r="O128" s="56"/>
    </row>
    <row r="129" spans="1:15">
      <c r="A129" s="536" t="s">
        <v>4450</v>
      </c>
      <c r="B129" s="537" t="str">
        <f>VLOOKUP(A129,'Materiales '!$C$2:$F$1302,3,0)</f>
        <v>Ml</v>
      </c>
      <c r="C129" s="98" t="str">
        <f>VLOOKUP(A129,'Materiales '!$C$2:$F$1302,3,0)</f>
        <v>Ml</v>
      </c>
      <c r="D129" s="99">
        <f>VLOOKUP(A129,'Materiales '!$C$2:$F$1302,4,0)</f>
        <v>6791.5679999999993</v>
      </c>
      <c r="E129" s="100">
        <v>1</v>
      </c>
      <c r="F129" s="538">
        <f t="shared" si="7"/>
        <v>6791.5679999999993</v>
      </c>
      <c r="G129" s="539"/>
      <c r="H129" s="121"/>
      <c r="I129">
        <f>E129*G115</f>
        <v>0</v>
      </c>
      <c r="J129" s="68"/>
      <c r="K129" s="56"/>
      <c r="L129" s="56"/>
      <c r="M129" s="56"/>
      <c r="N129" s="56"/>
      <c r="O129" s="56"/>
    </row>
    <row r="130" spans="1:15">
      <c r="A130" s="536" t="s">
        <v>4493</v>
      </c>
      <c r="B130" s="537" t="str">
        <f>VLOOKUP(A130,'Materiales '!$C$2:$F$1302,3,0)</f>
        <v>Und</v>
      </c>
      <c r="C130" s="98" t="str">
        <f>VLOOKUP(A130,'Materiales '!$C$2:$F$1302,3,0)</f>
        <v>Und</v>
      </c>
      <c r="D130" s="99">
        <f>VLOOKUP(A130,'Materiales '!$C$2:$F$1302,4,0)</f>
        <v>232.76399999999998</v>
      </c>
      <c r="E130" s="100">
        <v>3</v>
      </c>
      <c r="F130" s="538">
        <f t="shared" si="7"/>
        <v>698.29199999999992</v>
      </c>
      <c r="G130" s="539"/>
      <c r="H130" s="121"/>
      <c r="I130">
        <f>E130*G115</f>
        <v>0</v>
      </c>
      <c r="J130" s="68"/>
      <c r="K130" s="56"/>
      <c r="L130" s="56"/>
      <c r="M130" s="56"/>
      <c r="N130" s="56"/>
      <c r="O130" s="56"/>
    </row>
    <row r="131" spans="1:15" ht="21.75" customHeight="1">
      <c r="A131" s="536" t="s">
        <v>4435</v>
      </c>
      <c r="B131" s="537" t="str">
        <f>VLOOKUP(A131,'Materiales '!$C$2:$F$1302,3,0)</f>
        <v>Und</v>
      </c>
      <c r="C131" s="98" t="str">
        <f>VLOOKUP(A131,'Materiales '!$C$2:$F$1302,3,0)</f>
        <v>Und</v>
      </c>
      <c r="D131" s="99">
        <f>VLOOKUP(A131,'Materiales '!$C$2:$F$1302,4,0)</f>
        <v>122808</v>
      </c>
      <c r="E131" s="100">
        <v>1</v>
      </c>
      <c r="F131" s="538">
        <f t="shared" si="7"/>
        <v>122808</v>
      </c>
      <c r="G131" s="539"/>
      <c r="H131" s="121"/>
      <c r="I131">
        <f>E131*G115</f>
        <v>0</v>
      </c>
      <c r="J131" s="68"/>
      <c r="K131" s="56"/>
      <c r="L131" s="56"/>
      <c r="M131" s="56"/>
      <c r="N131" s="56"/>
      <c r="O131" s="56"/>
    </row>
    <row r="132" spans="1:15">
      <c r="A132" s="536" t="s">
        <v>8</v>
      </c>
      <c r="B132" s="537" t="str">
        <f>VLOOKUP(A132,'Materiales '!$C$2:$F$1302,3,0)</f>
        <v>-</v>
      </c>
      <c r="C132" s="98" t="str">
        <f>VLOOKUP(A132,'Materiales '!$C$2:$F$1302,3,0)</f>
        <v>-</v>
      </c>
      <c r="D132" s="99">
        <f>VLOOKUP(A132,'Materiales '!$C$2:$F$1302,4,0)</f>
        <v>0</v>
      </c>
      <c r="E132" s="100"/>
      <c r="F132" s="538">
        <f>E132*D132</f>
        <v>0</v>
      </c>
      <c r="G132" s="539"/>
      <c r="H132" s="120"/>
      <c r="I132">
        <f>E132*G115</f>
        <v>0</v>
      </c>
      <c r="J132" s="68"/>
      <c r="K132" s="56"/>
      <c r="L132" s="56"/>
      <c r="M132" s="56"/>
      <c r="N132" s="56"/>
      <c r="O132" s="56"/>
    </row>
    <row r="133" spans="1:15">
      <c r="A133" s="536" t="s">
        <v>8</v>
      </c>
      <c r="B133" s="537" t="str">
        <f>VLOOKUP(A133,'Materiales '!$C$2:$F$1302,3,0)</f>
        <v>-</v>
      </c>
      <c r="C133" s="98" t="str">
        <f>VLOOKUP(A133,'Materiales '!$C$2:$F$1302,3,0)</f>
        <v>-</v>
      </c>
      <c r="D133" s="99">
        <f>VLOOKUP(A133,'Materiales '!$C$2:$F$1302,4,0)</f>
        <v>0</v>
      </c>
      <c r="E133" s="100"/>
      <c r="F133" s="538">
        <f t="shared" ref="F133:F136" si="8">E133*D133</f>
        <v>0</v>
      </c>
      <c r="G133" s="539"/>
      <c r="H133" s="121"/>
      <c r="I133">
        <f>E133*G115</f>
        <v>0</v>
      </c>
      <c r="J133" s="68"/>
      <c r="K133" s="56"/>
      <c r="L133" s="56"/>
      <c r="M133" s="56"/>
      <c r="N133" s="56"/>
      <c r="O133" s="56"/>
    </row>
    <row r="134" spans="1:15">
      <c r="A134" s="536" t="s">
        <v>8</v>
      </c>
      <c r="B134" s="537" t="str">
        <f>VLOOKUP(A134,'Materiales '!$C$2:$F$1302,3,0)</f>
        <v>-</v>
      </c>
      <c r="C134" s="98" t="str">
        <f>VLOOKUP(A134,'Materiales '!$C$2:$F$1302,3,0)</f>
        <v>-</v>
      </c>
      <c r="D134" s="99">
        <f>VLOOKUP(A134,'Materiales '!$C$2:$F$1302,4,0)</f>
        <v>0</v>
      </c>
      <c r="E134" s="100"/>
      <c r="F134" s="538">
        <f t="shared" si="8"/>
        <v>0</v>
      </c>
      <c r="G134" s="539"/>
      <c r="H134" s="121"/>
      <c r="I134">
        <f>E134*G115</f>
        <v>0</v>
      </c>
      <c r="J134" s="68"/>
      <c r="K134" s="56"/>
      <c r="L134" s="56"/>
      <c r="M134" s="56"/>
      <c r="N134" s="56"/>
      <c r="O134" s="56"/>
    </row>
    <row r="135" spans="1:15">
      <c r="A135" s="536" t="s">
        <v>8</v>
      </c>
      <c r="B135" s="537" t="str">
        <f>VLOOKUP(A135,'Materiales '!$C$2:$F$1302,3,0)</f>
        <v>-</v>
      </c>
      <c r="C135" s="98" t="str">
        <f>VLOOKUP(A135,'Materiales '!$C$2:$F$1302,3,0)</f>
        <v>-</v>
      </c>
      <c r="D135" s="99">
        <f>VLOOKUP(A135,'Materiales '!$C$2:$F$1302,4,0)</f>
        <v>0</v>
      </c>
      <c r="E135" s="100"/>
      <c r="F135" s="538">
        <f t="shared" si="8"/>
        <v>0</v>
      </c>
      <c r="G135" s="539"/>
      <c r="H135" s="121"/>
      <c r="I135">
        <f>E135*G115</f>
        <v>0</v>
      </c>
      <c r="J135" s="68"/>
      <c r="K135" s="56"/>
      <c r="L135" s="56"/>
      <c r="M135" s="56"/>
      <c r="N135" s="56"/>
      <c r="O135" s="56"/>
    </row>
    <row r="136" spans="1:15">
      <c r="A136" s="536" t="s">
        <v>8</v>
      </c>
      <c r="B136" s="537" t="str">
        <f>VLOOKUP(A136,'Materiales '!$C$2:$F$1302,3,0)</f>
        <v>-</v>
      </c>
      <c r="C136" s="98" t="str">
        <f>VLOOKUP(A136,'Materiales '!$C$2:$F$1302,3,0)</f>
        <v>-</v>
      </c>
      <c r="D136" s="99">
        <f>VLOOKUP(A136,'Materiales '!$C$2:$F$1302,4,0)</f>
        <v>0</v>
      </c>
      <c r="E136" s="100"/>
      <c r="F136" s="538">
        <f t="shared" si="8"/>
        <v>0</v>
      </c>
      <c r="G136" s="539"/>
      <c r="H136" s="121"/>
      <c r="I136">
        <f>E136*G115</f>
        <v>0</v>
      </c>
      <c r="J136" s="68"/>
      <c r="K136" s="56"/>
      <c r="L136" s="56"/>
      <c r="M136" s="56"/>
      <c r="N136" s="56"/>
      <c r="O136" s="56"/>
    </row>
    <row r="137" spans="1:15">
      <c r="A137" s="536" t="s">
        <v>8</v>
      </c>
      <c r="B137" s="537" t="str">
        <f>VLOOKUP(A137,'Materiales '!$C$2:$F$1302,3,0)</f>
        <v>-</v>
      </c>
      <c r="C137" s="98" t="str">
        <f>VLOOKUP(A137,'Materiales '!$C$2:$F$1302,3,0)</f>
        <v>-</v>
      </c>
      <c r="D137" s="99">
        <f>VLOOKUP(A137,'Materiales '!$C$2:$F$1302,4,0)</f>
        <v>0</v>
      </c>
      <c r="E137" s="100"/>
      <c r="F137" s="538">
        <f>E137*D137</f>
        <v>0</v>
      </c>
      <c r="G137" s="539"/>
      <c r="H137" s="120"/>
      <c r="I137">
        <f>E137*G115</f>
        <v>0</v>
      </c>
      <c r="J137" s="68"/>
      <c r="K137" s="56"/>
      <c r="L137" s="56"/>
      <c r="M137" s="56"/>
      <c r="N137" s="56"/>
      <c r="O137" s="56"/>
    </row>
    <row r="138" spans="1:15" ht="16.5">
      <c r="A138" s="540" t="s">
        <v>4099</v>
      </c>
      <c r="B138" s="541"/>
      <c r="C138" s="541"/>
      <c r="D138" s="541"/>
      <c r="E138" s="541"/>
      <c r="F138" s="541"/>
      <c r="G138" s="542"/>
      <c r="H138" s="116">
        <f>SUM(F124:F137)</f>
        <v>11186170.646</v>
      </c>
      <c r="J138" s="68"/>
      <c r="K138" s="56"/>
      <c r="L138" s="56"/>
      <c r="M138" s="56"/>
      <c r="N138" s="56"/>
      <c r="O138" s="56"/>
    </row>
    <row r="139" spans="1:15" ht="16.5">
      <c r="A139" s="543" t="s">
        <v>4231</v>
      </c>
      <c r="B139" s="544"/>
      <c r="C139" s="544"/>
      <c r="D139" s="544"/>
      <c r="E139" s="545"/>
      <c r="F139" s="544"/>
      <c r="G139" s="544"/>
      <c r="H139" s="546"/>
      <c r="J139" s="68"/>
      <c r="K139" s="56"/>
      <c r="L139" s="56"/>
      <c r="M139" s="56"/>
      <c r="N139" s="56"/>
      <c r="O139" s="56"/>
    </row>
    <row r="140" spans="1:15">
      <c r="A140" s="547" t="s">
        <v>7</v>
      </c>
      <c r="B140" s="548"/>
      <c r="C140" s="108" t="s">
        <v>4232</v>
      </c>
      <c r="D140" s="107" t="s">
        <v>4233</v>
      </c>
      <c r="E140" s="206" t="s">
        <v>4234</v>
      </c>
      <c r="F140" s="549" t="s">
        <v>4218</v>
      </c>
      <c r="G140" s="549"/>
      <c r="H140" s="119"/>
      <c r="K140" s="56"/>
      <c r="L140" s="56"/>
      <c r="M140" s="56"/>
      <c r="N140" s="56"/>
      <c r="O140" s="56"/>
    </row>
    <row r="141" spans="1:15">
      <c r="A141" s="550" t="s">
        <v>3928</v>
      </c>
      <c r="B141" s="551"/>
      <c r="C141" s="232">
        <v>1</v>
      </c>
      <c r="D141" s="102">
        <v>0.03</v>
      </c>
      <c r="E141" s="103">
        <f>VLOOKUP(A141,'Equip, Herr y Transp'!$B$2:$D$218,3,0)</f>
        <v>160000</v>
      </c>
      <c r="F141" s="552">
        <f>E141*D141*C141</f>
        <v>4800</v>
      </c>
      <c r="G141" s="553"/>
      <c r="H141" s="117"/>
      <c r="M141" s="56"/>
    </row>
    <row r="142" spans="1:15" ht="16.5">
      <c r="A142" s="554" t="s">
        <v>4216</v>
      </c>
      <c r="B142" s="555"/>
      <c r="C142" s="555"/>
      <c r="D142" s="555"/>
      <c r="E142" s="555"/>
      <c r="F142" s="555"/>
      <c r="G142" s="555"/>
      <c r="H142" s="105">
        <f>F141</f>
        <v>4800</v>
      </c>
    </row>
    <row r="143" spans="1:15" ht="16.5">
      <c r="A143" s="543" t="s">
        <v>4235</v>
      </c>
      <c r="B143" s="544"/>
      <c r="C143" s="544"/>
      <c r="D143" s="544"/>
      <c r="E143" s="544"/>
      <c r="F143" s="544"/>
      <c r="G143" s="544"/>
      <c r="H143" s="546"/>
    </row>
    <row r="144" spans="1:15">
      <c r="A144" s="547" t="s">
        <v>7</v>
      </c>
      <c r="B144" s="548"/>
      <c r="C144" s="106" t="s">
        <v>1</v>
      </c>
      <c r="D144" s="107" t="s">
        <v>4236</v>
      </c>
      <c r="E144" s="108" t="s">
        <v>4215</v>
      </c>
      <c r="F144" s="547" t="s">
        <v>5</v>
      </c>
      <c r="G144" s="556"/>
      <c r="H144" s="119"/>
    </row>
    <row r="145" spans="1:10">
      <c r="A145" s="550" t="s">
        <v>4196</v>
      </c>
      <c r="B145" s="551"/>
      <c r="C145" s="101">
        <v>1</v>
      </c>
      <c r="D145" s="104">
        <f>VLOOKUP(A145,'Mano Obra'!$B$2:$T$117,19,0)</f>
        <v>166624</v>
      </c>
      <c r="E145" s="246">
        <f>H108</f>
        <v>5.21E-2</v>
      </c>
      <c r="F145" s="538">
        <f>E145*D145*C145</f>
        <v>8681.1103999999996</v>
      </c>
      <c r="G145" s="557"/>
      <c r="H145" s="121"/>
      <c r="I145" s="69"/>
      <c r="J145" s="136">
        <f>((('Mano Obra'!$M$4/30)*F145)/D145)*G115</f>
        <v>0</v>
      </c>
    </row>
    <row r="146" spans="1:10">
      <c r="A146" s="558" t="s">
        <v>4197</v>
      </c>
      <c r="B146" s="559">
        <f>VLOOKUP(A146,'Mano Obra'!$B$3:$D$290,2,0)</f>
        <v>2090000.0000000002</v>
      </c>
      <c r="C146" s="101">
        <v>1</v>
      </c>
      <c r="D146" s="104">
        <f>VLOOKUP(A146,'Mano Obra'!$B$2:$T$117,19,0)</f>
        <v>120456</v>
      </c>
      <c r="E146" s="246">
        <f>H108</f>
        <v>5.21E-2</v>
      </c>
      <c r="F146" s="538">
        <f t="shared" ref="F146:F147" si="9">E146*D146*C146</f>
        <v>6275.7575999999999</v>
      </c>
      <c r="G146" s="557"/>
      <c r="H146" s="121"/>
      <c r="J146" s="136">
        <f>((('Mano Obra'!$M$5/30)*F146)/D146)*G115</f>
        <v>0</v>
      </c>
    </row>
    <row r="147" spans="1:10">
      <c r="A147" s="558" t="s">
        <v>4186</v>
      </c>
      <c r="B147" s="559">
        <f>VLOOKUP(A147,'Mano Obra'!$B$3:$D$290,2,0)</f>
        <v>1100000</v>
      </c>
      <c r="C147" s="101">
        <v>1</v>
      </c>
      <c r="D147" s="104">
        <f>VLOOKUP(A147,'Mano Obra'!$B$2:$T$117,19,0)</f>
        <v>72664</v>
      </c>
      <c r="E147" s="246">
        <f>H108</f>
        <v>5.21E-2</v>
      </c>
      <c r="F147" s="538">
        <f t="shared" si="9"/>
        <v>3785.7944000000002</v>
      </c>
      <c r="G147" s="557"/>
      <c r="H147" s="120"/>
      <c r="J147" s="136">
        <f>((('Mano Obra'!$M$6/30)*F147)/D147)*G115</f>
        <v>0</v>
      </c>
    </row>
    <row r="148" spans="1:10" ht="16.5">
      <c r="A148" s="560" t="s">
        <v>4101</v>
      </c>
      <c r="B148" s="560"/>
      <c r="C148" s="560"/>
      <c r="D148" s="560"/>
      <c r="E148" s="560"/>
      <c r="F148" s="560"/>
      <c r="G148" s="560"/>
      <c r="H148" s="105">
        <f>SUM(F145:F147)</f>
        <v>18742.662399999997</v>
      </c>
      <c r="J148" s="136"/>
    </row>
    <row r="149" spans="1:10">
      <c r="A149" s="227" t="s">
        <v>4237</v>
      </c>
      <c r="B149" s="205"/>
      <c r="C149" s="205"/>
      <c r="D149" s="202"/>
      <c r="E149" s="203"/>
      <c r="F149" s="204"/>
      <c r="G149" s="203"/>
      <c r="H149" s="212"/>
    </row>
    <row r="150" spans="1:10">
      <c r="A150" s="561" t="s">
        <v>4224</v>
      </c>
      <c r="B150" s="562"/>
      <c r="C150" s="562"/>
      <c r="D150" s="562"/>
      <c r="E150" s="200"/>
      <c r="F150" s="201" t="s">
        <v>4238</v>
      </c>
      <c r="G150" s="200" t="s">
        <v>4239</v>
      </c>
      <c r="H150" s="213"/>
    </row>
    <row r="151" spans="1:10">
      <c r="A151" s="223" t="s">
        <v>4097</v>
      </c>
      <c r="B151" s="72"/>
      <c r="C151" s="72"/>
      <c r="D151" s="73"/>
      <c r="E151" s="78"/>
      <c r="F151" s="79">
        <v>0</v>
      </c>
      <c r="G151" s="80">
        <f>F151*H116</f>
        <v>0</v>
      </c>
      <c r="H151" s="212"/>
    </row>
    <row r="152" spans="1:10">
      <c r="A152" s="224" t="s">
        <v>4240</v>
      </c>
      <c r="B152" s="81"/>
      <c r="C152" s="81"/>
      <c r="D152" s="82"/>
      <c r="E152" s="78"/>
      <c r="F152" s="79">
        <v>0</v>
      </c>
      <c r="G152" s="80">
        <f>F152*H116</f>
        <v>0</v>
      </c>
      <c r="H152" s="212"/>
    </row>
    <row r="153" spans="1:10">
      <c r="A153" s="224" t="s">
        <v>4</v>
      </c>
      <c r="B153" s="81"/>
      <c r="C153" s="81"/>
      <c r="D153" s="82"/>
      <c r="E153" s="78"/>
      <c r="F153" s="79">
        <v>0</v>
      </c>
      <c r="G153" s="80">
        <f>F153*H116</f>
        <v>0</v>
      </c>
      <c r="H153" s="212"/>
    </row>
    <row r="154" spans="1:10">
      <c r="A154" s="225"/>
      <c r="B154" s="83"/>
      <c r="C154" s="75"/>
      <c r="D154" s="84"/>
      <c r="E154" s="85"/>
      <c r="F154" s="86"/>
      <c r="G154" s="87"/>
      <c r="H154" s="214"/>
    </row>
    <row r="155" spans="1:10">
      <c r="A155" s="226"/>
      <c r="B155" s="83"/>
      <c r="C155" s="83"/>
      <c r="D155" s="84"/>
      <c r="E155" s="88"/>
      <c r="F155" s="563" t="s">
        <v>4241</v>
      </c>
      <c r="G155" s="564"/>
      <c r="H155" s="233">
        <f>H116+G151+G152+G153</f>
        <v>11213076.493649999</v>
      </c>
    </row>
    <row r="157" spans="1:10" ht="16.5">
      <c r="A157" s="90"/>
      <c r="B157" s="90"/>
      <c r="C157" s="90"/>
      <c r="D157" s="90"/>
      <c r="E157" s="90"/>
      <c r="F157" s="90"/>
      <c r="G157" s="90"/>
      <c r="H157" s="381"/>
    </row>
    <row r="158" spans="1:10">
      <c r="A158" s="579" t="s">
        <v>4225</v>
      </c>
      <c r="B158" s="580"/>
      <c r="C158" s="580"/>
      <c r="D158" s="580"/>
      <c r="E158" s="580"/>
      <c r="F158" s="580"/>
      <c r="G158" s="580"/>
      <c r="H158" s="581"/>
    </row>
    <row r="159" spans="1:10" ht="16.5">
      <c r="A159" s="91"/>
      <c r="B159" s="92"/>
      <c r="C159" s="92"/>
      <c r="D159" s="92"/>
      <c r="E159" s="92"/>
      <c r="F159" s="93"/>
      <c r="G159" s="94"/>
      <c r="H159" s="380">
        <f>ROUND((25/60)/8,4)</f>
        <v>5.21E-2</v>
      </c>
      <c r="I159" s="115"/>
    </row>
    <row r="160" spans="1:10">
      <c r="A160" s="582" t="s">
        <v>4220</v>
      </c>
      <c r="B160" s="584" t="str">
        <f>COSTOS!$C$14</f>
        <v>MODERNIZACION A TECNOLOGIA LED</v>
      </c>
      <c r="C160" s="584"/>
      <c r="D160" s="584"/>
      <c r="E160" s="584"/>
      <c r="F160" s="584"/>
      <c r="G160" s="584"/>
      <c r="H160" s="585" t="s">
        <v>4221</v>
      </c>
    </row>
    <row r="161" spans="1:15">
      <c r="A161" s="583"/>
      <c r="B161" s="584"/>
      <c r="C161" s="584"/>
      <c r="D161" s="584"/>
      <c r="E161" s="584"/>
      <c r="F161" s="584"/>
      <c r="G161" s="584"/>
      <c r="H161" s="585"/>
    </row>
    <row r="162" spans="1:15">
      <c r="A162" s="583"/>
      <c r="B162" s="584"/>
      <c r="C162" s="584"/>
      <c r="D162" s="584"/>
      <c r="E162" s="584"/>
      <c r="F162" s="584"/>
      <c r="G162" s="584"/>
      <c r="H162" s="585"/>
    </row>
    <row r="163" spans="1:15" ht="15" customHeight="1">
      <c r="A163" s="583"/>
      <c r="B163" s="584"/>
      <c r="C163" s="584"/>
      <c r="D163" s="584"/>
      <c r="E163" s="584"/>
      <c r="F163" s="584"/>
      <c r="G163" s="584"/>
      <c r="H163" s="216">
        <f ca="1">TODAY()</f>
        <v>44889</v>
      </c>
      <c r="K163" t="s">
        <v>4391</v>
      </c>
      <c r="L163" t="s">
        <v>4392</v>
      </c>
      <c r="M163" t="s">
        <v>4393</v>
      </c>
      <c r="N163" t="s">
        <v>4394</v>
      </c>
    </row>
    <row r="164" spans="1:15" ht="60.75" customHeight="1">
      <c r="A164" s="228" t="s">
        <v>4222</v>
      </c>
      <c r="B164" s="565" t="str">
        <f>COSTOS!$D$16</f>
        <v>Luminarias</v>
      </c>
      <c r="C164" s="565"/>
      <c r="D164" s="565"/>
      <c r="E164" s="565"/>
      <c r="F164" s="565"/>
      <c r="G164" s="70" t="s">
        <v>4223</v>
      </c>
      <c r="H164" s="387">
        <v>1.4</v>
      </c>
      <c r="K164" s="62">
        <f>H189</f>
        <v>2021695.0460000001</v>
      </c>
      <c r="L164" s="62">
        <f>H199</f>
        <v>18742.662399999997</v>
      </c>
      <c r="M164" s="62">
        <f>H172</f>
        <v>3363.18525</v>
      </c>
      <c r="N164" s="62">
        <f>H193</f>
        <v>4800</v>
      </c>
    </row>
    <row r="165" spans="1:15" ht="43.15" customHeight="1">
      <c r="A165" s="229" t="s">
        <v>4224</v>
      </c>
      <c r="B165" s="566" t="str">
        <f>VLOOKUP(H164,COSTOS!C:M,2,0)</f>
        <v>Luminaria Led 110w</v>
      </c>
      <c r="C165" s="567"/>
      <c r="D165" s="567"/>
      <c r="E165" s="568"/>
      <c r="F165" s="71" t="s">
        <v>0</v>
      </c>
      <c r="G165" s="356" t="str">
        <f>VLOOKUP(H164,COSTOS!C:M,8,0)</f>
        <v>Und</v>
      </c>
      <c r="H165" s="276"/>
      <c r="I165" s="306"/>
      <c r="J165" s="308"/>
      <c r="K165" s="308"/>
      <c r="L165" s="308"/>
    </row>
    <row r="166" spans="1:15">
      <c r="A166" s="230"/>
      <c r="B166" s="112"/>
      <c r="C166" s="112"/>
      <c r="D166" s="112"/>
      <c r="E166" s="113"/>
      <c r="F166" s="114" t="s">
        <v>1</v>
      </c>
      <c r="G166" s="356">
        <f>VLOOKUP(H164,COSTOS!C:M,9,0)</f>
        <v>0</v>
      </c>
      <c r="H166" s="357"/>
      <c r="I166" s="307"/>
    </row>
    <row r="167" spans="1:15" ht="16.5">
      <c r="A167" s="231" t="s">
        <v>4226</v>
      </c>
      <c r="B167" s="75"/>
      <c r="C167" s="75"/>
      <c r="D167" s="76"/>
      <c r="E167" s="209"/>
      <c r="F167" s="210"/>
      <c r="G167" s="211" t="s">
        <v>4227</v>
      </c>
      <c r="H167" s="217">
        <f>H172+H189+H193+H199</f>
        <v>2048600.8936500002</v>
      </c>
    </row>
    <row r="168" spans="1:15" ht="39">
      <c r="A168" s="569" t="s">
        <v>4224</v>
      </c>
      <c r="B168" s="569"/>
      <c r="C168" s="569"/>
      <c r="D168" s="77" t="s">
        <v>0</v>
      </c>
      <c r="E168" s="207" t="s">
        <v>4228</v>
      </c>
      <c r="F168" s="208" t="s">
        <v>4215</v>
      </c>
      <c r="G168" s="74" t="s">
        <v>2</v>
      </c>
      <c r="H168" s="218" t="s">
        <v>4229</v>
      </c>
      <c r="K168" s="309"/>
    </row>
    <row r="169" spans="1:15">
      <c r="A169" s="536" t="s">
        <v>3946</v>
      </c>
      <c r="B169" s="570" t="str">
        <f>VLOOKUP(A169,'Equip, Herr y Transp'!$B$2:$D$739,2,0)</f>
        <v>EQU</v>
      </c>
      <c r="C169" s="570"/>
      <c r="D169" s="95" t="str">
        <f>VLOOKUP(A169,'Equip, Herr y Transp'!$B$2:$D$218,2,0)</f>
        <v>EQU</v>
      </c>
      <c r="E169" s="95">
        <f>VLOOKUP(A169,'Equip, Herr y Transp'!$B$2:$D$218,3,0)</f>
        <v>14130</v>
      </c>
      <c r="F169" s="96">
        <f>H159</f>
        <v>5.21E-2</v>
      </c>
      <c r="G169" s="122">
        <f>F169*E169</f>
        <v>736.173</v>
      </c>
      <c r="H169" s="118"/>
    </row>
    <row r="170" spans="1:15">
      <c r="A170" s="536" t="s">
        <v>3904</v>
      </c>
      <c r="B170" s="570" t="str">
        <f>VLOOKUP(A170,'Equip, Herr y Transp'!$B$2:$D$739,2,0)</f>
        <v>EQU</v>
      </c>
      <c r="C170" s="570"/>
      <c r="D170" s="95" t="str">
        <f>VLOOKUP(A170,'Equip, Herr y Transp'!$B$2:$D$218,2,0)</f>
        <v>EQU</v>
      </c>
      <c r="E170" s="95">
        <f>VLOOKUP(A170,'Equip, Herr y Transp'!$B$2:$D$218,3,0)</f>
        <v>26672.5</v>
      </c>
      <c r="F170" s="96">
        <f>H159</f>
        <v>5.21E-2</v>
      </c>
      <c r="G170" s="122">
        <f>F170*E170</f>
        <v>1389.63725</v>
      </c>
      <c r="H170" s="117"/>
    </row>
    <row r="171" spans="1:15">
      <c r="A171" s="536" t="s">
        <v>3937</v>
      </c>
      <c r="B171" s="570" t="str">
        <f>VLOOKUP(A171,'Equip, Herr y Transp'!$B$2:$D$739,2,0)</f>
        <v>EQU</v>
      </c>
      <c r="C171" s="570"/>
      <c r="D171" s="95" t="str">
        <f>VLOOKUP(A171,'Equip, Herr y Transp'!$B$2:$D$218,2,0)</f>
        <v>EQU</v>
      </c>
      <c r="E171" s="95">
        <f>VLOOKUP(A171,'Equip, Herr y Transp'!$B$2:$D$218,3,0)</f>
        <v>23750</v>
      </c>
      <c r="F171" s="96">
        <f>H159</f>
        <v>5.21E-2</v>
      </c>
      <c r="G171" s="122">
        <f>F171*E171</f>
        <v>1237.375</v>
      </c>
      <c r="H171" s="117"/>
    </row>
    <row r="172" spans="1:15" ht="16.5">
      <c r="A172" s="540" t="s">
        <v>4100</v>
      </c>
      <c r="B172" s="541"/>
      <c r="C172" s="541"/>
      <c r="D172" s="541"/>
      <c r="E172" s="541"/>
      <c r="F172" s="541"/>
      <c r="G172" s="541"/>
      <c r="H172" s="97">
        <f>SUM(G169:G171)</f>
        <v>3363.18525</v>
      </c>
    </row>
    <row r="173" spans="1:15" ht="16.5">
      <c r="A173" s="571" t="s">
        <v>4230</v>
      </c>
      <c r="B173" s="572"/>
      <c r="C173" s="572"/>
      <c r="D173" s="572"/>
      <c r="E173" s="572"/>
      <c r="F173" s="572"/>
      <c r="G173" s="572"/>
      <c r="H173" s="573"/>
      <c r="K173" s="56"/>
      <c r="L173" s="56"/>
      <c r="M173" s="56"/>
      <c r="N173" s="56"/>
      <c r="O173" s="56"/>
    </row>
    <row r="174" spans="1:15" ht="30" customHeight="1">
      <c r="A174" s="574" t="s">
        <v>7</v>
      </c>
      <c r="B174" s="575"/>
      <c r="C174" s="109" t="s">
        <v>0</v>
      </c>
      <c r="D174" s="110" t="s">
        <v>4098</v>
      </c>
      <c r="E174" s="111" t="s">
        <v>1</v>
      </c>
      <c r="F174" s="576" t="s">
        <v>4218</v>
      </c>
      <c r="G174" s="576"/>
      <c r="H174" s="215"/>
      <c r="K174" s="56"/>
      <c r="L174" s="56"/>
      <c r="M174" s="56"/>
      <c r="N174" s="56"/>
      <c r="O174" s="56"/>
    </row>
    <row r="175" spans="1:15">
      <c r="A175" s="577" t="s">
        <v>4608</v>
      </c>
      <c r="B175" s="578"/>
      <c r="C175" s="98" t="str">
        <f>VLOOKUP(A175,'Materiales '!$C$2:$F$1302,3,0)</f>
        <v>Und</v>
      </c>
      <c r="D175" s="99">
        <f>VLOOKUP(A175,'Materiales '!$C$2:$F$1302,4,0)</f>
        <v>1795948.0000000002</v>
      </c>
      <c r="E175" s="100">
        <v>1</v>
      </c>
      <c r="F175" s="538">
        <f>E175*D175</f>
        <v>1795948.0000000002</v>
      </c>
      <c r="G175" s="539"/>
      <c r="H175" s="121"/>
      <c r="I175">
        <f>E175*G166</f>
        <v>0</v>
      </c>
      <c r="J175" s="67"/>
      <c r="K175" s="56"/>
      <c r="L175" s="56"/>
      <c r="M175" s="56"/>
      <c r="N175" s="56"/>
      <c r="O175" s="56"/>
    </row>
    <row r="176" spans="1:15">
      <c r="A176" s="577" t="s">
        <v>4214</v>
      </c>
      <c r="B176" s="578"/>
      <c r="C176" s="98" t="str">
        <f>VLOOKUP(A176,'Materiales '!$C$2:$F$1302,3,0)</f>
        <v>Und</v>
      </c>
      <c r="D176" s="99">
        <f>VLOOKUP(A176,'Materiales '!$C$2:$F$1302,4,0)</f>
        <v>22848</v>
      </c>
      <c r="E176" s="100">
        <v>1</v>
      </c>
      <c r="F176" s="538">
        <f t="shared" ref="F176:F182" si="10">E176*D176</f>
        <v>22848</v>
      </c>
      <c r="G176" s="539"/>
      <c r="H176" s="121"/>
      <c r="I176">
        <f>E176*G166</f>
        <v>0</v>
      </c>
      <c r="J176" s="67"/>
      <c r="K176" s="56"/>
      <c r="L176" s="56"/>
      <c r="M176" s="56"/>
      <c r="N176" s="56"/>
      <c r="O176" s="56"/>
    </row>
    <row r="177" spans="1:15">
      <c r="A177" s="536" t="s">
        <v>4484</v>
      </c>
      <c r="B177" s="537" t="str">
        <f>VLOOKUP(A177,'Materiales '!$C$2:$F$1302,3,0)</f>
        <v>Und</v>
      </c>
      <c r="C177" s="98" t="str">
        <f>VLOOKUP(A177,'Materiales '!$C$2:$F$1302,3,0)</f>
        <v>Und</v>
      </c>
      <c r="D177" s="99">
        <f>VLOOKUP(A177,'Materiales '!$C$2:$F$1302,4,0)</f>
        <v>21705.599999999999</v>
      </c>
      <c r="E177" s="100">
        <v>2</v>
      </c>
      <c r="F177" s="538">
        <f t="shared" si="10"/>
        <v>43411.199999999997</v>
      </c>
      <c r="G177" s="539"/>
      <c r="H177" s="121"/>
      <c r="I177">
        <f>E177*G166</f>
        <v>0</v>
      </c>
      <c r="J177" s="68"/>
      <c r="K177" s="56"/>
      <c r="L177" s="56"/>
      <c r="M177" s="56"/>
      <c r="N177" s="56"/>
      <c r="O177" s="56"/>
    </row>
    <row r="178" spans="1:15">
      <c r="A178" s="536" t="s">
        <v>4489</v>
      </c>
      <c r="B178" s="537" t="str">
        <f>VLOOKUP(A178,'Materiales '!$C$2:$F$1302,3,0)</f>
        <v>Und</v>
      </c>
      <c r="C178" s="98" t="str">
        <f>VLOOKUP(A178,'Materiales '!$C$2:$F$1302,3,0)</f>
        <v>Und</v>
      </c>
      <c r="D178" s="99">
        <f>VLOOKUP(A178,'Materiales '!$C$2:$F$1302,4,0)</f>
        <v>8039.6399999999994</v>
      </c>
      <c r="E178" s="100">
        <v>3</v>
      </c>
      <c r="F178" s="538">
        <f t="shared" si="10"/>
        <v>24118.92</v>
      </c>
      <c r="G178" s="539"/>
      <c r="H178" s="121"/>
      <c r="I178">
        <f>E178*G166</f>
        <v>0</v>
      </c>
      <c r="J178" s="68"/>
      <c r="K178" s="56"/>
      <c r="L178" s="56"/>
      <c r="M178" s="56"/>
      <c r="N178" s="56"/>
      <c r="O178" s="56"/>
    </row>
    <row r="179" spans="1:15">
      <c r="A179" s="536" t="s">
        <v>4554</v>
      </c>
      <c r="B179" s="537" t="str">
        <f>VLOOKUP(A179,'Materiales '!$C$2:$F$1302,3,0)</f>
        <v>Und</v>
      </c>
      <c r="C179" s="98" t="str">
        <f>VLOOKUP(A179,'Materiales '!$C$2:$F$1302,3,0)</f>
        <v>Und</v>
      </c>
      <c r="D179" s="99">
        <f>VLOOKUP(A179,'Materiales '!$C$2:$F$1302,4,0)</f>
        <v>2535.5329999999999</v>
      </c>
      <c r="E179" s="100">
        <v>2</v>
      </c>
      <c r="F179" s="538">
        <f t="shared" si="10"/>
        <v>5071.0659999999998</v>
      </c>
      <c r="G179" s="539"/>
      <c r="H179" s="121"/>
      <c r="I179">
        <f>E179*G166</f>
        <v>0</v>
      </c>
      <c r="J179" s="68"/>
      <c r="K179" s="56"/>
      <c r="L179" s="56"/>
      <c r="M179" s="56"/>
      <c r="N179" s="56"/>
      <c r="O179" s="56"/>
    </row>
    <row r="180" spans="1:15">
      <c r="A180" s="536" t="s">
        <v>4450</v>
      </c>
      <c r="B180" s="537" t="str">
        <f>VLOOKUP(A180,'Materiales '!$C$2:$F$1302,3,0)</f>
        <v>Ml</v>
      </c>
      <c r="C180" s="98" t="str">
        <f>VLOOKUP(A180,'Materiales '!$C$2:$F$1302,3,0)</f>
        <v>Ml</v>
      </c>
      <c r="D180" s="99">
        <f>VLOOKUP(A180,'Materiales '!$C$2:$F$1302,4,0)</f>
        <v>6791.5679999999993</v>
      </c>
      <c r="E180" s="100">
        <v>1</v>
      </c>
      <c r="F180" s="538">
        <f t="shared" si="10"/>
        <v>6791.5679999999993</v>
      </c>
      <c r="G180" s="539"/>
      <c r="H180" s="121"/>
      <c r="I180">
        <f>E180*G166</f>
        <v>0</v>
      </c>
      <c r="J180" s="68"/>
      <c r="K180" s="56"/>
      <c r="L180" s="56"/>
      <c r="M180" s="56"/>
      <c r="N180" s="56"/>
      <c r="O180" s="56"/>
    </row>
    <row r="181" spans="1:15">
      <c r="A181" s="536" t="s">
        <v>4493</v>
      </c>
      <c r="B181" s="537" t="str">
        <f>VLOOKUP(A181,'Materiales '!$C$2:$F$1302,3,0)</f>
        <v>Und</v>
      </c>
      <c r="C181" s="98" t="str">
        <f>VLOOKUP(A181,'Materiales '!$C$2:$F$1302,3,0)</f>
        <v>Und</v>
      </c>
      <c r="D181" s="99">
        <f>VLOOKUP(A181,'Materiales '!$C$2:$F$1302,4,0)</f>
        <v>232.76399999999998</v>
      </c>
      <c r="E181" s="100">
        <v>3</v>
      </c>
      <c r="F181" s="538">
        <f t="shared" si="10"/>
        <v>698.29199999999992</v>
      </c>
      <c r="G181" s="539"/>
      <c r="H181" s="121"/>
      <c r="I181">
        <f>E181*G166</f>
        <v>0</v>
      </c>
      <c r="J181" s="68"/>
      <c r="K181" s="56"/>
      <c r="L181" s="56"/>
      <c r="M181" s="56"/>
      <c r="N181" s="56"/>
      <c r="O181" s="56"/>
    </row>
    <row r="182" spans="1:15" ht="21.75" customHeight="1">
      <c r="A182" s="536" t="s">
        <v>4435</v>
      </c>
      <c r="B182" s="537" t="str">
        <f>VLOOKUP(A182,'Materiales '!$C$2:$F$1302,3,0)</f>
        <v>Und</v>
      </c>
      <c r="C182" s="98" t="str">
        <f>VLOOKUP(A182,'Materiales '!$C$2:$F$1302,3,0)</f>
        <v>Und</v>
      </c>
      <c r="D182" s="99">
        <f>VLOOKUP(A182,'Materiales '!$C$2:$F$1302,4,0)</f>
        <v>122808</v>
      </c>
      <c r="E182" s="100">
        <v>1</v>
      </c>
      <c r="F182" s="538">
        <f t="shared" si="10"/>
        <v>122808</v>
      </c>
      <c r="G182" s="539"/>
      <c r="H182" s="121"/>
      <c r="I182">
        <f>E182*G166</f>
        <v>0</v>
      </c>
      <c r="J182" s="68"/>
      <c r="K182" s="56"/>
      <c r="L182" s="56"/>
      <c r="M182" s="56"/>
      <c r="N182" s="56"/>
      <c r="O182" s="56"/>
    </row>
    <row r="183" spans="1:15">
      <c r="A183" s="536" t="s">
        <v>8</v>
      </c>
      <c r="B183" s="537" t="str">
        <f>VLOOKUP(A183,'Materiales '!$C$2:$F$1302,3,0)</f>
        <v>-</v>
      </c>
      <c r="C183" s="98" t="str">
        <f>VLOOKUP(A183,'Materiales '!$C$2:$F$1302,3,0)</f>
        <v>-</v>
      </c>
      <c r="D183" s="99">
        <f>VLOOKUP(A183,'Materiales '!$C$2:$F$1302,4,0)</f>
        <v>0</v>
      </c>
      <c r="E183" s="100"/>
      <c r="F183" s="538">
        <f>E183*D183</f>
        <v>0</v>
      </c>
      <c r="G183" s="539"/>
      <c r="H183" s="120"/>
      <c r="I183">
        <f>E183*G166</f>
        <v>0</v>
      </c>
      <c r="J183" s="68"/>
      <c r="K183" s="56"/>
      <c r="L183" s="56"/>
      <c r="M183" s="56"/>
      <c r="N183" s="56"/>
      <c r="O183" s="56"/>
    </row>
    <row r="184" spans="1:15">
      <c r="A184" s="536" t="s">
        <v>8</v>
      </c>
      <c r="B184" s="537" t="str">
        <f>VLOOKUP(A184,'Materiales '!$C$2:$F$1302,3,0)</f>
        <v>-</v>
      </c>
      <c r="C184" s="98" t="str">
        <f>VLOOKUP(A184,'Materiales '!$C$2:$F$1302,3,0)</f>
        <v>-</v>
      </c>
      <c r="D184" s="99">
        <f>VLOOKUP(A184,'Materiales '!$C$2:$F$1302,4,0)</f>
        <v>0</v>
      </c>
      <c r="E184" s="100"/>
      <c r="F184" s="538">
        <f t="shared" ref="F184:F187" si="11">E184*D184</f>
        <v>0</v>
      </c>
      <c r="G184" s="539"/>
      <c r="H184" s="121"/>
      <c r="I184">
        <f>E184*G166</f>
        <v>0</v>
      </c>
      <c r="J184" s="68"/>
      <c r="K184" s="56"/>
      <c r="L184" s="56"/>
      <c r="M184" s="56"/>
      <c r="N184" s="56"/>
      <c r="O184" s="56"/>
    </row>
    <row r="185" spans="1:15">
      <c r="A185" s="536" t="s">
        <v>8</v>
      </c>
      <c r="B185" s="537" t="str">
        <f>VLOOKUP(A185,'Materiales '!$C$2:$F$1302,3,0)</f>
        <v>-</v>
      </c>
      <c r="C185" s="98" t="str">
        <f>VLOOKUP(A185,'Materiales '!$C$2:$F$1302,3,0)</f>
        <v>-</v>
      </c>
      <c r="D185" s="99">
        <f>VLOOKUP(A185,'Materiales '!$C$2:$F$1302,4,0)</f>
        <v>0</v>
      </c>
      <c r="E185" s="100"/>
      <c r="F185" s="538">
        <f t="shared" si="11"/>
        <v>0</v>
      </c>
      <c r="G185" s="539"/>
      <c r="H185" s="121"/>
      <c r="I185">
        <f>E185*G166</f>
        <v>0</v>
      </c>
      <c r="J185" s="68"/>
      <c r="K185" s="56"/>
      <c r="L185" s="56"/>
      <c r="M185" s="56"/>
      <c r="N185" s="56"/>
      <c r="O185" s="56"/>
    </row>
    <row r="186" spans="1:15">
      <c r="A186" s="536" t="s">
        <v>8</v>
      </c>
      <c r="B186" s="537" t="str">
        <f>VLOOKUP(A186,'Materiales '!$C$2:$F$1302,3,0)</f>
        <v>-</v>
      </c>
      <c r="C186" s="98" t="str">
        <f>VLOOKUP(A186,'Materiales '!$C$2:$F$1302,3,0)</f>
        <v>-</v>
      </c>
      <c r="D186" s="99">
        <f>VLOOKUP(A186,'Materiales '!$C$2:$F$1302,4,0)</f>
        <v>0</v>
      </c>
      <c r="E186" s="100"/>
      <c r="F186" s="538">
        <f t="shared" si="11"/>
        <v>0</v>
      </c>
      <c r="G186" s="539"/>
      <c r="H186" s="121"/>
      <c r="I186">
        <f>E186*G166</f>
        <v>0</v>
      </c>
      <c r="J186" s="68"/>
      <c r="K186" s="56"/>
      <c r="L186" s="56"/>
      <c r="M186" s="56"/>
      <c r="N186" s="56"/>
      <c r="O186" s="56"/>
    </row>
    <row r="187" spans="1:15">
      <c r="A187" s="536" t="s">
        <v>8</v>
      </c>
      <c r="B187" s="537" t="str">
        <f>VLOOKUP(A187,'Materiales '!$C$2:$F$1302,3,0)</f>
        <v>-</v>
      </c>
      <c r="C187" s="98" t="str">
        <f>VLOOKUP(A187,'Materiales '!$C$2:$F$1302,3,0)</f>
        <v>-</v>
      </c>
      <c r="D187" s="99">
        <f>VLOOKUP(A187,'Materiales '!$C$2:$F$1302,4,0)</f>
        <v>0</v>
      </c>
      <c r="E187" s="100"/>
      <c r="F187" s="538">
        <f t="shared" si="11"/>
        <v>0</v>
      </c>
      <c r="G187" s="539"/>
      <c r="H187" s="121"/>
      <c r="I187">
        <f>E187*G166</f>
        <v>0</v>
      </c>
      <c r="J187" s="68"/>
      <c r="K187" s="56"/>
      <c r="L187" s="56"/>
      <c r="M187" s="56"/>
      <c r="N187" s="56"/>
      <c r="O187" s="56"/>
    </row>
    <row r="188" spans="1:15">
      <c r="A188" s="536" t="s">
        <v>8</v>
      </c>
      <c r="B188" s="537" t="str">
        <f>VLOOKUP(A188,'Materiales '!$C$2:$F$1302,3,0)</f>
        <v>-</v>
      </c>
      <c r="C188" s="98" t="str">
        <f>VLOOKUP(A188,'Materiales '!$C$2:$F$1302,3,0)</f>
        <v>-</v>
      </c>
      <c r="D188" s="99">
        <f>VLOOKUP(A188,'Materiales '!$C$2:$F$1302,4,0)</f>
        <v>0</v>
      </c>
      <c r="E188" s="100"/>
      <c r="F188" s="538">
        <f>E188*D188</f>
        <v>0</v>
      </c>
      <c r="G188" s="539"/>
      <c r="H188" s="120"/>
      <c r="I188">
        <f>E188*G166</f>
        <v>0</v>
      </c>
      <c r="J188" s="68"/>
      <c r="K188" s="56"/>
      <c r="L188" s="56"/>
      <c r="M188" s="56"/>
      <c r="N188" s="56"/>
      <c r="O188" s="56"/>
    </row>
    <row r="189" spans="1:15" ht="16.5">
      <c r="A189" s="540" t="s">
        <v>4099</v>
      </c>
      <c r="B189" s="541"/>
      <c r="C189" s="541"/>
      <c r="D189" s="541"/>
      <c r="E189" s="541"/>
      <c r="F189" s="541"/>
      <c r="G189" s="542"/>
      <c r="H189" s="116">
        <f>SUM(F175:F188)</f>
        <v>2021695.0460000001</v>
      </c>
      <c r="J189" s="68"/>
      <c r="K189" s="56"/>
      <c r="L189" s="56"/>
      <c r="M189" s="56"/>
      <c r="N189" s="56"/>
      <c r="O189" s="56"/>
    </row>
    <row r="190" spans="1:15" ht="16.5">
      <c r="A190" s="543" t="s">
        <v>4231</v>
      </c>
      <c r="B190" s="544"/>
      <c r="C190" s="544"/>
      <c r="D190" s="544"/>
      <c r="E190" s="545"/>
      <c r="F190" s="544"/>
      <c r="G190" s="544"/>
      <c r="H190" s="546"/>
      <c r="J190" s="68"/>
      <c r="K190" s="56"/>
      <c r="L190" s="56"/>
      <c r="M190" s="56"/>
      <c r="N190" s="56"/>
      <c r="O190" s="56"/>
    </row>
    <row r="191" spans="1:15">
      <c r="A191" s="547" t="s">
        <v>7</v>
      </c>
      <c r="B191" s="548"/>
      <c r="C191" s="108" t="s">
        <v>4232</v>
      </c>
      <c r="D191" s="107" t="s">
        <v>4233</v>
      </c>
      <c r="E191" s="206" t="s">
        <v>4234</v>
      </c>
      <c r="F191" s="549" t="s">
        <v>4218</v>
      </c>
      <c r="G191" s="549"/>
      <c r="H191" s="119"/>
      <c r="K191" s="56"/>
      <c r="L191" s="56"/>
      <c r="M191" s="56"/>
      <c r="N191" s="56"/>
      <c r="O191" s="56"/>
    </row>
    <row r="192" spans="1:15">
      <c r="A192" s="550" t="s">
        <v>3928</v>
      </c>
      <c r="B192" s="551"/>
      <c r="C192" s="232">
        <v>1</v>
      </c>
      <c r="D192" s="102">
        <v>0.03</v>
      </c>
      <c r="E192" s="103">
        <f>VLOOKUP(A192,'Equip, Herr y Transp'!$B$2:$D$218,3,0)</f>
        <v>160000</v>
      </c>
      <c r="F192" s="552">
        <f>E192*D192*C192</f>
        <v>4800</v>
      </c>
      <c r="G192" s="553"/>
      <c r="H192" s="117"/>
      <c r="M192" s="56"/>
    </row>
    <row r="193" spans="1:10" ht="16.5">
      <c r="A193" s="554" t="s">
        <v>4216</v>
      </c>
      <c r="B193" s="555"/>
      <c r="C193" s="555"/>
      <c r="D193" s="555"/>
      <c r="E193" s="555"/>
      <c r="F193" s="555"/>
      <c r="G193" s="555"/>
      <c r="H193" s="105">
        <f>F192</f>
        <v>4800</v>
      </c>
    </row>
    <row r="194" spans="1:10" ht="16.5">
      <c r="A194" s="543" t="s">
        <v>4235</v>
      </c>
      <c r="B194" s="544"/>
      <c r="C194" s="544"/>
      <c r="D194" s="544"/>
      <c r="E194" s="544"/>
      <c r="F194" s="544"/>
      <c r="G194" s="544"/>
      <c r="H194" s="546"/>
    </row>
    <row r="195" spans="1:10">
      <c r="A195" s="547" t="s">
        <v>7</v>
      </c>
      <c r="B195" s="548"/>
      <c r="C195" s="106" t="s">
        <v>1</v>
      </c>
      <c r="D195" s="107" t="s">
        <v>4236</v>
      </c>
      <c r="E195" s="108" t="s">
        <v>4215</v>
      </c>
      <c r="F195" s="547" t="s">
        <v>5</v>
      </c>
      <c r="G195" s="556"/>
      <c r="H195" s="119"/>
    </row>
    <row r="196" spans="1:10">
      <c r="A196" s="550" t="s">
        <v>4196</v>
      </c>
      <c r="B196" s="551"/>
      <c r="C196" s="101">
        <v>1</v>
      </c>
      <c r="D196" s="104">
        <f>VLOOKUP(A196,'Mano Obra'!$B$2:$T$117,19,0)</f>
        <v>166624</v>
      </c>
      <c r="E196" s="246">
        <f>H159</f>
        <v>5.21E-2</v>
      </c>
      <c r="F196" s="538">
        <f>E196*D196*C196</f>
        <v>8681.1103999999996</v>
      </c>
      <c r="G196" s="557"/>
      <c r="H196" s="121"/>
      <c r="I196" s="69"/>
      <c r="J196" s="136">
        <f>((('Mano Obra'!$M$4/30)*F196)/D196)*G166</f>
        <v>0</v>
      </c>
    </row>
    <row r="197" spans="1:10">
      <c r="A197" s="558" t="s">
        <v>4197</v>
      </c>
      <c r="B197" s="559">
        <f>VLOOKUP(A197,'Mano Obra'!$B$3:$D$290,2,0)</f>
        <v>2090000.0000000002</v>
      </c>
      <c r="C197" s="101">
        <v>1</v>
      </c>
      <c r="D197" s="104">
        <f>VLOOKUP(A197,'Mano Obra'!$B$2:$T$117,19,0)</f>
        <v>120456</v>
      </c>
      <c r="E197" s="246">
        <f>H159</f>
        <v>5.21E-2</v>
      </c>
      <c r="F197" s="538">
        <f t="shared" ref="F197:F198" si="12">E197*D197*C197</f>
        <v>6275.7575999999999</v>
      </c>
      <c r="G197" s="557"/>
      <c r="H197" s="121"/>
      <c r="J197" s="136">
        <f>((('Mano Obra'!$M$5/30)*F197)/D197)*G166</f>
        <v>0</v>
      </c>
    </row>
    <row r="198" spans="1:10">
      <c r="A198" s="558" t="s">
        <v>4186</v>
      </c>
      <c r="B198" s="559">
        <f>VLOOKUP(A198,'Mano Obra'!$B$3:$D$290,2,0)</f>
        <v>1100000</v>
      </c>
      <c r="C198" s="101">
        <v>1</v>
      </c>
      <c r="D198" s="104">
        <f>VLOOKUP(A198,'Mano Obra'!$B$2:$T$117,19,0)</f>
        <v>72664</v>
      </c>
      <c r="E198" s="246">
        <f>H159</f>
        <v>5.21E-2</v>
      </c>
      <c r="F198" s="538">
        <f t="shared" si="12"/>
        <v>3785.7944000000002</v>
      </c>
      <c r="G198" s="557"/>
      <c r="H198" s="120"/>
      <c r="J198" s="136">
        <f>((('Mano Obra'!$M$6/30)*F198)/D198)*G166</f>
        <v>0</v>
      </c>
    </row>
    <row r="199" spans="1:10" ht="16.5">
      <c r="A199" s="560" t="s">
        <v>4101</v>
      </c>
      <c r="B199" s="560"/>
      <c r="C199" s="560"/>
      <c r="D199" s="560"/>
      <c r="E199" s="560"/>
      <c r="F199" s="560"/>
      <c r="G199" s="560"/>
      <c r="H199" s="105">
        <f>SUM(F196:F198)</f>
        <v>18742.662399999997</v>
      </c>
      <c r="J199" s="136"/>
    </row>
    <row r="200" spans="1:10">
      <c r="A200" s="227" t="s">
        <v>4237</v>
      </c>
      <c r="B200" s="205"/>
      <c r="C200" s="205"/>
      <c r="D200" s="202"/>
      <c r="E200" s="203"/>
      <c r="F200" s="204"/>
      <c r="G200" s="203"/>
      <c r="H200" s="212"/>
    </row>
    <row r="201" spans="1:10">
      <c r="A201" s="561" t="s">
        <v>4224</v>
      </c>
      <c r="B201" s="562"/>
      <c r="C201" s="562"/>
      <c r="D201" s="562"/>
      <c r="E201" s="200"/>
      <c r="F201" s="201" t="s">
        <v>4238</v>
      </c>
      <c r="G201" s="200" t="s">
        <v>4239</v>
      </c>
      <c r="H201" s="213"/>
    </row>
    <row r="202" spans="1:10">
      <c r="A202" s="223" t="s">
        <v>4097</v>
      </c>
      <c r="B202" s="72"/>
      <c r="C202" s="72"/>
      <c r="D202" s="73"/>
      <c r="E202" s="78"/>
      <c r="F202" s="79">
        <v>0</v>
      </c>
      <c r="G202" s="80">
        <f>F202*H167</f>
        <v>0</v>
      </c>
      <c r="H202" s="212"/>
    </row>
    <row r="203" spans="1:10">
      <c r="A203" s="224" t="s">
        <v>4240</v>
      </c>
      <c r="B203" s="81"/>
      <c r="C203" s="81"/>
      <c r="D203" s="82"/>
      <c r="E203" s="78"/>
      <c r="F203" s="79">
        <v>0</v>
      </c>
      <c r="G203" s="80">
        <f>F203*H167</f>
        <v>0</v>
      </c>
      <c r="H203" s="212"/>
    </row>
    <row r="204" spans="1:10">
      <c r="A204" s="224" t="s">
        <v>4</v>
      </c>
      <c r="B204" s="81"/>
      <c r="C204" s="81"/>
      <c r="D204" s="82"/>
      <c r="E204" s="78"/>
      <c r="F204" s="79">
        <v>0</v>
      </c>
      <c r="G204" s="80">
        <f>F204*H167</f>
        <v>0</v>
      </c>
      <c r="H204" s="212"/>
    </row>
    <row r="205" spans="1:10">
      <c r="A205" s="225"/>
      <c r="B205" s="83"/>
      <c r="C205" s="75"/>
      <c r="D205" s="84"/>
      <c r="E205" s="85"/>
      <c r="F205" s="86"/>
      <c r="G205" s="87"/>
      <c r="H205" s="214"/>
    </row>
    <row r="206" spans="1:10">
      <c r="A206" s="226"/>
      <c r="B206" s="83"/>
      <c r="C206" s="83"/>
      <c r="D206" s="84"/>
      <c r="E206" s="88"/>
      <c r="F206" s="563" t="s">
        <v>4241</v>
      </c>
      <c r="G206" s="564"/>
      <c r="H206" s="233">
        <f>H167+G202+G203+G204</f>
        <v>2048600.8936500002</v>
      </c>
    </row>
    <row r="208" spans="1:10" ht="16.5">
      <c r="A208" s="90"/>
      <c r="B208" s="90"/>
      <c r="C208" s="90"/>
      <c r="D208" s="90"/>
      <c r="E208" s="90"/>
      <c r="F208" s="90"/>
      <c r="G208" s="90"/>
      <c r="H208" s="381"/>
    </row>
    <row r="209" spans="1:15">
      <c r="A209" s="579" t="s">
        <v>4225</v>
      </c>
      <c r="B209" s="580"/>
      <c r="C209" s="580"/>
      <c r="D209" s="580"/>
      <c r="E209" s="580"/>
      <c r="F209" s="580"/>
      <c r="G209" s="580"/>
      <c r="H209" s="581"/>
    </row>
    <row r="210" spans="1:15" ht="16.5">
      <c r="A210" s="91"/>
      <c r="B210" s="92"/>
      <c r="C210" s="92"/>
      <c r="D210" s="92"/>
      <c r="E210" s="92"/>
      <c r="F210" s="93"/>
      <c r="G210" s="94"/>
      <c r="H210" s="380">
        <f>ROUND((25/60)/8,4)</f>
        <v>5.21E-2</v>
      </c>
      <c r="I210" s="115"/>
    </row>
    <row r="211" spans="1:15">
      <c r="A211" s="582" t="s">
        <v>4220</v>
      </c>
      <c r="B211" s="584" t="str">
        <f>COSTOS!$C$14</f>
        <v>MODERNIZACION A TECNOLOGIA LED</v>
      </c>
      <c r="C211" s="584"/>
      <c r="D211" s="584"/>
      <c r="E211" s="584"/>
      <c r="F211" s="584"/>
      <c r="G211" s="584"/>
      <c r="H211" s="585" t="s">
        <v>4221</v>
      </c>
    </row>
    <row r="212" spans="1:15">
      <c r="A212" s="583"/>
      <c r="B212" s="584"/>
      <c r="C212" s="584"/>
      <c r="D212" s="584"/>
      <c r="E212" s="584"/>
      <c r="F212" s="584"/>
      <c r="G212" s="584"/>
      <c r="H212" s="585"/>
    </row>
    <row r="213" spans="1:15">
      <c r="A213" s="583"/>
      <c r="B213" s="584"/>
      <c r="C213" s="584"/>
      <c r="D213" s="584"/>
      <c r="E213" s="584"/>
      <c r="F213" s="584"/>
      <c r="G213" s="584"/>
      <c r="H213" s="585"/>
    </row>
    <row r="214" spans="1:15" ht="15" customHeight="1">
      <c r="A214" s="583"/>
      <c r="B214" s="584"/>
      <c r="C214" s="584"/>
      <c r="D214" s="584"/>
      <c r="E214" s="584"/>
      <c r="F214" s="584"/>
      <c r="G214" s="584"/>
      <c r="H214" s="216">
        <f ca="1">TODAY()</f>
        <v>44889</v>
      </c>
      <c r="K214" t="s">
        <v>4391</v>
      </c>
      <c r="L214" t="s">
        <v>4392</v>
      </c>
      <c r="M214" t="s">
        <v>4393</v>
      </c>
      <c r="N214" t="s">
        <v>4394</v>
      </c>
    </row>
    <row r="215" spans="1:15" ht="60.75" customHeight="1">
      <c r="A215" s="228" t="s">
        <v>4222</v>
      </c>
      <c r="B215" s="565" t="str">
        <f>COSTOS!$D$16</f>
        <v>Luminarias</v>
      </c>
      <c r="C215" s="565"/>
      <c r="D215" s="565"/>
      <c r="E215" s="565"/>
      <c r="F215" s="565"/>
      <c r="G215" s="70" t="s">
        <v>4223</v>
      </c>
      <c r="H215" s="387">
        <v>1.4</v>
      </c>
      <c r="K215" s="62">
        <f>H240</f>
        <v>2021695.0460000001</v>
      </c>
      <c r="L215" s="62">
        <f>H250</f>
        <v>18742.662399999997</v>
      </c>
      <c r="M215" s="62">
        <f>H223</f>
        <v>3363.18525</v>
      </c>
      <c r="N215" s="62">
        <f>H244</f>
        <v>4800</v>
      </c>
    </row>
    <row r="216" spans="1:15" ht="43.15" customHeight="1">
      <c r="A216" s="229" t="s">
        <v>4224</v>
      </c>
      <c r="B216" s="566" t="str">
        <f>VLOOKUP(H215,COSTOS!C:M,2,0)</f>
        <v>Luminaria Led 110w</v>
      </c>
      <c r="C216" s="567"/>
      <c r="D216" s="567"/>
      <c r="E216" s="568"/>
      <c r="F216" s="71" t="s">
        <v>0</v>
      </c>
      <c r="G216" s="356" t="str">
        <f>VLOOKUP(H215,COSTOS!C:M,8,0)</f>
        <v>Und</v>
      </c>
      <c r="H216" s="276"/>
      <c r="I216" s="306"/>
      <c r="J216" s="308"/>
      <c r="K216" s="308"/>
      <c r="L216" s="308"/>
    </row>
    <row r="217" spans="1:15">
      <c r="A217" s="230"/>
      <c r="B217" s="112"/>
      <c r="C217" s="112"/>
      <c r="D217" s="112"/>
      <c r="E217" s="113"/>
      <c r="F217" s="114" t="s">
        <v>1</v>
      </c>
      <c r="G217" s="356">
        <f>VLOOKUP(H215,COSTOS!C:M,9,0)</f>
        <v>0</v>
      </c>
      <c r="H217" s="357"/>
      <c r="I217" s="307"/>
    </row>
    <row r="218" spans="1:15" ht="16.5">
      <c r="A218" s="231" t="s">
        <v>4226</v>
      </c>
      <c r="B218" s="75"/>
      <c r="C218" s="75"/>
      <c r="D218" s="76"/>
      <c r="E218" s="209"/>
      <c r="F218" s="210"/>
      <c r="G218" s="211" t="s">
        <v>4227</v>
      </c>
      <c r="H218" s="217">
        <f>H223+H240+H244+H250</f>
        <v>2048600.8936500002</v>
      </c>
    </row>
    <row r="219" spans="1:15" ht="39">
      <c r="A219" s="569" t="s">
        <v>4224</v>
      </c>
      <c r="B219" s="569"/>
      <c r="C219" s="569"/>
      <c r="D219" s="77" t="s">
        <v>0</v>
      </c>
      <c r="E219" s="207" t="s">
        <v>4228</v>
      </c>
      <c r="F219" s="208" t="s">
        <v>4215</v>
      </c>
      <c r="G219" s="74" t="s">
        <v>2</v>
      </c>
      <c r="H219" s="218" t="s">
        <v>4229</v>
      </c>
      <c r="K219" s="309"/>
    </row>
    <row r="220" spans="1:15">
      <c r="A220" s="536" t="s">
        <v>3946</v>
      </c>
      <c r="B220" s="570" t="str">
        <f>VLOOKUP(A220,'Equip, Herr y Transp'!$B$2:$D$739,2,0)</f>
        <v>EQU</v>
      </c>
      <c r="C220" s="570"/>
      <c r="D220" s="95" t="str">
        <f>VLOOKUP(A220,'Equip, Herr y Transp'!$B$2:$D$218,2,0)</f>
        <v>EQU</v>
      </c>
      <c r="E220" s="95">
        <f>VLOOKUP(A220,'Equip, Herr y Transp'!$B$2:$D$218,3,0)</f>
        <v>14130</v>
      </c>
      <c r="F220" s="96">
        <f>H210</f>
        <v>5.21E-2</v>
      </c>
      <c r="G220" s="122">
        <f>F220*E220</f>
        <v>736.173</v>
      </c>
      <c r="H220" s="118"/>
    </row>
    <row r="221" spans="1:15">
      <c r="A221" s="536" t="s">
        <v>3904</v>
      </c>
      <c r="B221" s="570" t="str">
        <f>VLOOKUP(A221,'Equip, Herr y Transp'!$B$2:$D$739,2,0)</f>
        <v>EQU</v>
      </c>
      <c r="C221" s="570"/>
      <c r="D221" s="95" t="str">
        <f>VLOOKUP(A221,'Equip, Herr y Transp'!$B$2:$D$218,2,0)</f>
        <v>EQU</v>
      </c>
      <c r="E221" s="95">
        <f>VLOOKUP(A221,'Equip, Herr y Transp'!$B$2:$D$218,3,0)</f>
        <v>26672.5</v>
      </c>
      <c r="F221" s="96">
        <f>H210</f>
        <v>5.21E-2</v>
      </c>
      <c r="G221" s="122">
        <f>F221*E221</f>
        <v>1389.63725</v>
      </c>
      <c r="H221" s="117"/>
    </row>
    <row r="222" spans="1:15">
      <c r="A222" s="536" t="s">
        <v>3937</v>
      </c>
      <c r="B222" s="570" t="str">
        <f>VLOOKUP(A222,'Equip, Herr y Transp'!$B$2:$D$739,2,0)</f>
        <v>EQU</v>
      </c>
      <c r="C222" s="570"/>
      <c r="D222" s="95" t="str">
        <f>VLOOKUP(A222,'Equip, Herr y Transp'!$B$2:$D$218,2,0)</f>
        <v>EQU</v>
      </c>
      <c r="E222" s="95">
        <f>VLOOKUP(A222,'Equip, Herr y Transp'!$B$2:$D$218,3,0)</f>
        <v>23750</v>
      </c>
      <c r="F222" s="96">
        <f>H210</f>
        <v>5.21E-2</v>
      </c>
      <c r="G222" s="122">
        <f>F222*E222</f>
        <v>1237.375</v>
      </c>
      <c r="H222" s="117"/>
    </row>
    <row r="223" spans="1:15" ht="16.5">
      <c r="A223" s="540" t="s">
        <v>4100</v>
      </c>
      <c r="B223" s="541"/>
      <c r="C223" s="541"/>
      <c r="D223" s="541"/>
      <c r="E223" s="541"/>
      <c r="F223" s="541"/>
      <c r="G223" s="541"/>
      <c r="H223" s="97">
        <f>SUM(G220:G222)</f>
        <v>3363.18525</v>
      </c>
    </row>
    <row r="224" spans="1:15" ht="16.5">
      <c r="A224" s="571" t="s">
        <v>4230</v>
      </c>
      <c r="B224" s="572"/>
      <c r="C224" s="572"/>
      <c r="D224" s="572"/>
      <c r="E224" s="572"/>
      <c r="F224" s="572"/>
      <c r="G224" s="572"/>
      <c r="H224" s="573"/>
      <c r="K224" s="56"/>
      <c r="L224" s="56"/>
      <c r="M224" s="56"/>
      <c r="N224" s="56"/>
      <c r="O224" s="56"/>
    </row>
    <row r="225" spans="1:15" ht="30" customHeight="1">
      <c r="A225" s="574" t="s">
        <v>7</v>
      </c>
      <c r="B225" s="575"/>
      <c r="C225" s="109" t="s">
        <v>0</v>
      </c>
      <c r="D225" s="110" t="s">
        <v>4098</v>
      </c>
      <c r="E225" s="111" t="s">
        <v>1</v>
      </c>
      <c r="F225" s="576" t="s">
        <v>4218</v>
      </c>
      <c r="G225" s="576"/>
      <c r="H225" s="215"/>
      <c r="K225" s="56"/>
      <c r="L225" s="56"/>
      <c r="M225" s="56"/>
      <c r="N225" s="56"/>
      <c r="O225" s="56"/>
    </row>
    <row r="226" spans="1:15">
      <c r="A226" s="577" t="s">
        <v>4608</v>
      </c>
      <c r="B226" s="578"/>
      <c r="C226" s="98" t="str">
        <f>VLOOKUP(A226,'Materiales '!$C$2:$F$1302,3,0)</f>
        <v>Und</v>
      </c>
      <c r="D226" s="99">
        <f>VLOOKUP(A226,'Materiales '!$C$2:$F$1302,4,0)</f>
        <v>1795948.0000000002</v>
      </c>
      <c r="E226" s="100">
        <v>1</v>
      </c>
      <c r="F226" s="538">
        <f>E226*D226</f>
        <v>1795948.0000000002</v>
      </c>
      <c r="G226" s="539"/>
      <c r="H226" s="121"/>
      <c r="I226">
        <f>E226*G217</f>
        <v>0</v>
      </c>
      <c r="J226" s="67"/>
      <c r="K226" s="56"/>
      <c r="L226" s="56"/>
      <c r="M226" s="56"/>
      <c r="N226" s="56"/>
      <c r="O226" s="56"/>
    </row>
    <row r="227" spans="1:15">
      <c r="A227" s="577" t="s">
        <v>4214</v>
      </c>
      <c r="B227" s="578"/>
      <c r="C227" s="98" t="str">
        <f>VLOOKUP(A227,'Materiales '!$C$2:$F$1302,3,0)</f>
        <v>Und</v>
      </c>
      <c r="D227" s="99">
        <f>VLOOKUP(A227,'Materiales '!$C$2:$F$1302,4,0)</f>
        <v>22848</v>
      </c>
      <c r="E227" s="100">
        <v>1</v>
      </c>
      <c r="F227" s="538">
        <f t="shared" ref="F227:F233" si="13">E227*D227</f>
        <v>22848</v>
      </c>
      <c r="G227" s="539"/>
      <c r="H227" s="121"/>
      <c r="I227">
        <f>E227*G217</f>
        <v>0</v>
      </c>
      <c r="J227" s="67"/>
      <c r="K227" s="56"/>
      <c r="L227" s="56"/>
      <c r="M227" s="56"/>
      <c r="N227" s="56"/>
      <c r="O227" s="56"/>
    </row>
    <row r="228" spans="1:15">
      <c r="A228" s="536" t="s">
        <v>4484</v>
      </c>
      <c r="B228" s="537" t="str">
        <f>VLOOKUP(A228,'Materiales '!$C$2:$F$1302,3,0)</f>
        <v>Und</v>
      </c>
      <c r="C228" s="98" t="str">
        <f>VLOOKUP(A228,'Materiales '!$C$2:$F$1302,3,0)</f>
        <v>Und</v>
      </c>
      <c r="D228" s="99">
        <f>VLOOKUP(A228,'Materiales '!$C$2:$F$1302,4,0)</f>
        <v>21705.599999999999</v>
      </c>
      <c r="E228" s="100">
        <v>2</v>
      </c>
      <c r="F228" s="538">
        <f t="shared" si="13"/>
        <v>43411.199999999997</v>
      </c>
      <c r="G228" s="539"/>
      <c r="H228" s="121"/>
      <c r="I228">
        <f>E228*G217</f>
        <v>0</v>
      </c>
      <c r="J228" s="68"/>
      <c r="K228" s="56"/>
      <c r="L228" s="56"/>
      <c r="M228" s="56"/>
      <c r="N228" s="56"/>
      <c r="O228" s="56"/>
    </row>
    <row r="229" spans="1:15">
      <c r="A229" s="536" t="s">
        <v>4489</v>
      </c>
      <c r="B229" s="537" t="str">
        <f>VLOOKUP(A229,'Materiales '!$C$2:$F$1302,3,0)</f>
        <v>Und</v>
      </c>
      <c r="C229" s="98" t="str">
        <f>VLOOKUP(A229,'Materiales '!$C$2:$F$1302,3,0)</f>
        <v>Und</v>
      </c>
      <c r="D229" s="99">
        <f>VLOOKUP(A229,'Materiales '!$C$2:$F$1302,4,0)</f>
        <v>8039.6399999999994</v>
      </c>
      <c r="E229" s="100">
        <v>3</v>
      </c>
      <c r="F229" s="538">
        <f t="shared" si="13"/>
        <v>24118.92</v>
      </c>
      <c r="G229" s="539"/>
      <c r="H229" s="121"/>
      <c r="I229">
        <f>E229*G217</f>
        <v>0</v>
      </c>
      <c r="J229" s="68"/>
      <c r="K229" s="56"/>
      <c r="L229" s="56"/>
      <c r="M229" s="56"/>
      <c r="N229" s="56"/>
      <c r="O229" s="56"/>
    </row>
    <row r="230" spans="1:15">
      <c r="A230" s="536" t="s">
        <v>4554</v>
      </c>
      <c r="B230" s="537" t="str">
        <f>VLOOKUP(A230,'Materiales '!$C$2:$F$1302,3,0)</f>
        <v>Und</v>
      </c>
      <c r="C230" s="98" t="str">
        <f>VLOOKUP(A230,'Materiales '!$C$2:$F$1302,3,0)</f>
        <v>Und</v>
      </c>
      <c r="D230" s="99">
        <f>VLOOKUP(A230,'Materiales '!$C$2:$F$1302,4,0)</f>
        <v>2535.5329999999999</v>
      </c>
      <c r="E230" s="100">
        <v>2</v>
      </c>
      <c r="F230" s="538">
        <f t="shared" si="13"/>
        <v>5071.0659999999998</v>
      </c>
      <c r="G230" s="539"/>
      <c r="H230" s="121"/>
      <c r="I230">
        <f>E230*G217</f>
        <v>0</v>
      </c>
      <c r="J230" s="68"/>
      <c r="K230" s="56"/>
      <c r="L230" s="56"/>
      <c r="M230" s="56"/>
      <c r="N230" s="56"/>
      <c r="O230" s="56"/>
    </row>
    <row r="231" spans="1:15">
      <c r="A231" s="536" t="s">
        <v>4450</v>
      </c>
      <c r="B231" s="537" t="str">
        <f>VLOOKUP(A231,'Materiales '!$C$2:$F$1302,3,0)</f>
        <v>Ml</v>
      </c>
      <c r="C231" s="98" t="str">
        <f>VLOOKUP(A231,'Materiales '!$C$2:$F$1302,3,0)</f>
        <v>Ml</v>
      </c>
      <c r="D231" s="99">
        <f>VLOOKUP(A231,'Materiales '!$C$2:$F$1302,4,0)</f>
        <v>6791.5679999999993</v>
      </c>
      <c r="E231" s="100">
        <v>1</v>
      </c>
      <c r="F231" s="538">
        <f t="shared" si="13"/>
        <v>6791.5679999999993</v>
      </c>
      <c r="G231" s="539"/>
      <c r="H231" s="121"/>
      <c r="I231">
        <f>E231*G217</f>
        <v>0</v>
      </c>
      <c r="J231" s="68"/>
      <c r="K231" s="56"/>
      <c r="L231" s="56"/>
      <c r="M231" s="56"/>
      <c r="N231" s="56"/>
      <c r="O231" s="56"/>
    </row>
    <row r="232" spans="1:15">
      <c r="A232" s="536" t="s">
        <v>4493</v>
      </c>
      <c r="B232" s="537" t="str">
        <f>VLOOKUP(A232,'Materiales '!$C$2:$F$1302,3,0)</f>
        <v>Und</v>
      </c>
      <c r="C232" s="98" t="str">
        <f>VLOOKUP(A232,'Materiales '!$C$2:$F$1302,3,0)</f>
        <v>Und</v>
      </c>
      <c r="D232" s="99">
        <f>VLOOKUP(A232,'Materiales '!$C$2:$F$1302,4,0)</f>
        <v>232.76399999999998</v>
      </c>
      <c r="E232" s="100">
        <v>3</v>
      </c>
      <c r="F232" s="538">
        <f t="shared" si="13"/>
        <v>698.29199999999992</v>
      </c>
      <c r="G232" s="539"/>
      <c r="H232" s="121"/>
      <c r="I232">
        <f>E232*G217</f>
        <v>0</v>
      </c>
      <c r="J232" s="68"/>
      <c r="K232" s="56"/>
      <c r="L232" s="56"/>
      <c r="M232" s="56"/>
      <c r="N232" s="56"/>
      <c r="O232" s="56"/>
    </row>
    <row r="233" spans="1:15" ht="21.75" customHeight="1">
      <c r="A233" s="536" t="s">
        <v>4435</v>
      </c>
      <c r="B233" s="537" t="str">
        <f>VLOOKUP(A233,'Materiales '!$C$2:$F$1302,3,0)</f>
        <v>Und</v>
      </c>
      <c r="C233" s="98" t="str">
        <f>VLOOKUP(A233,'Materiales '!$C$2:$F$1302,3,0)</f>
        <v>Und</v>
      </c>
      <c r="D233" s="99">
        <f>VLOOKUP(A233,'Materiales '!$C$2:$F$1302,4,0)</f>
        <v>122808</v>
      </c>
      <c r="E233" s="100">
        <v>1</v>
      </c>
      <c r="F233" s="538">
        <f t="shared" si="13"/>
        <v>122808</v>
      </c>
      <c r="G233" s="539"/>
      <c r="H233" s="121"/>
      <c r="I233">
        <f>E233*G217</f>
        <v>0</v>
      </c>
      <c r="J233" s="68"/>
      <c r="K233" s="56"/>
      <c r="L233" s="56"/>
      <c r="M233" s="56"/>
      <c r="N233" s="56"/>
      <c r="O233" s="56"/>
    </row>
    <row r="234" spans="1:15">
      <c r="A234" s="536" t="s">
        <v>8</v>
      </c>
      <c r="B234" s="537" t="str">
        <f>VLOOKUP(A234,'Materiales '!$C$2:$F$1302,3,0)</f>
        <v>-</v>
      </c>
      <c r="C234" s="98" t="str">
        <f>VLOOKUP(A234,'Materiales '!$C$2:$F$1302,3,0)</f>
        <v>-</v>
      </c>
      <c r="D234" s="99">
        <f>VLOOKUP(A234,'Materiales '!$C$2:$F$1302,4,0)</f>
        <v>0</v>
      </c>
      <c r="E234" s="100"/>
      <c r="F234" s="538">
        <f>E234*D234</f>
        <v>0</v>
      </c>
      <c r="G234" s="539"/>
      <c r="H234" s="120"/>
      <c r="I234">
        <f>E234*G217</f>
        <v>0</v>
      </c>
      <c r="J234" s="68"/>
      <c r="K234" s="56"/>
      <c r="L234" s="56"/>
      <c r="M234" s="56"/>
      <c r="N234" s="56"/>
      <c r="O234" s="56"/>
    </row>
    <row r="235" spans="1:15">
      <c r="A235" s="536" t="s">
        <v>8</v>
      </c>
      <c r="B235" s="537" t="str">
        <f>VLOOKUP(A235,'Materiales '!$C$2:$F$1302,3,0)</f>
        <v>-</v>
      </c>
      <c r="C235" s="98" t="str">
        <f>VLOOKUP(A235,'Materiales '!$C$2:$F$1302,3,0)</f>
        <v>-</v>
      </c>
      <c r="D235" s="99">
        <f>VLOOKUP(A235,'Materiales '!$C$2:$F$1302,4,0)</f>
        <v>0</v>
      </c>
      <c r="E235" s="100"/>
      <c r="F235" s="538">
        <f t="shared" ref="F235:F238" si="14">E235*D235</f>
        <v>0</v>
      </c>
      <c r="G235" s="539"/>
      <c r="H235" s="121"/>
      <c r="I235">
        <f>E235*G217</f>
        <v>0</v>
      </c>
      <c r="J235" s="68"/>
      <c r="K235" s="56"/>
      <c r="L235" s="56"/>
      <c r="M235" s="56"/>
      <c r="N235" s="56"/>
      <c r="O235" s="56"/>
    </row>
    <row r="236" spans="1:15">
      <c r="A236" s="536" t="s">
        <v>8</v>
      </c>
      <c r="B236" s="537" t="str">
        <f>VLOOKUP(A236,'Materiales '!$C$2:$F$1302,3,0)</f>
        <v>-</v>
      </c>
      <c r="C236" s="98" t="str">
        <f>VLOOKUP(A236,'Materiales '!$C$2:$F$1302,3,0)</f>
        <v>-</v>
      </c>
      <c r="D236" s="99">
        <f>VLOOKUP(A236,'Materiales '!$C$2:$F$1302,4,0)</f>
        <v>0</v>
      </c>
      <c r="E236" s="100"/>
      <c r="F236" s="538">
        <f t="shared" si="14"/>
        <v>0</v>
      </c>
      <c r="G236" s="539"/>
      <c r="H236" s="121"/>
      <c r="I236">
        <f>E236*G217</f>
        <v>0</v>
      </c>
      <c r="J236" s="68"/>
      <c r="K236" s="56"/>
      <c r="L236" s="56"/>
      <c r="M236" s="56"/>
      <c r="N236" s="56"/>
      <c r="O236" s="56"/>
    </row>
    <row r="237" spans="1:15">
      <c r="A237" s="536" t="s">
        <v>8</v>
      </c>
      <c r="B237" s="537" t="str">
        <f>VLOOKUP(A237,'Materiales '!$C$2:$F$1302,3,0)</f>
        <v>-</v>
      </c>
      <c r="C237" s="98" t="str">
        <f>VLOOKUP(A237,'Materiales '!$C$2:$F$1302,3,0)</f>
        <v>-</v>
      </c>
      <c r="D237" s="99">
        <f>VLOOKUP(A237,'Materiales '!$C$2:$F$1302,4,0)</f>
        <v>0</v>
      </c>
      <c r="E237" s="100"/>
      <c r="F237" s="538">
        <f t="shared" si="14"/>
        <v>0</v>
      </c>
      <c r="G237" s="539"/>
      <c r="H237" s="121"/>
      <c r="I237">
        <f>E237*G217</f>
        <v>0</v>
      </c>
      <c r="J237" s="68"/>
      <c r="K237" s="56"/>
      <c r="L237" s="56"/>
      <c r="M237" s="56"/>
      <c r="N237" s="56"/>
      <c r="O237" s="56"/>
    </row>
    <row r="238" spans="1:15">
      <c r="A238" s="536" t="s">
        <v>8</v>
      </c>
      <c r="B238" s="537" t="str">
        <f>VLOOKUP(A238,'Materiales '!$C$2:$F$1302,3,0)</f>
        <v>-</v>
      </c>
      <c r="C238" s="98" t="str">
        <f>VLOOKUP(A238,'Materiales '!$C$2:$F$1302,3,0)</f>
        <v>-</v>
      </c>
      <c r="D238" s="99">
        <f>VLOOKUP(A238,'Materiales '!$C$2:$F$1302,4,0)</f>
        <v>0</v>
      </c>
      <c r="E238" s="100"/>
      <c r="F238" s="538">
        <f t="shared" si="14"/>
        <v>0</v>
      </c>
      <c r="G238" s="539"/>
      <c r="H238" s="121"/>
      <c r="I238">
        <f>E238*G217</f>
        <v>0</v>
      </c>
      <c r="J238" s="68"/>
      <c r="K238" s="56"/>
      <c r="L238" s="56"/>
      <c r="M238" s="56"/>
      <c r="N238" s="56"/>
      <c r="O238" s="56"/>
    </row>
    <row r="239" spans="1:15">
      <c r="A239" s="536" t="s">
        <v>8</v>
      </c>
      <c r="B239" s="537" t="str">
        <f>VLOOKUP(A239,'Materiales '!$C$2:$F$1302,3,0)</f>
        <v>-</v>
      </c>
      <c r="C239" s="98" t="str">
        <f>VLOOKUP(A239,'Materiales '!$C$2:$F$1302,3,0)</f>
        <v>-</v>
      </c>
      <c r="D239" s="99">
        <f>VLOOKUP(A239,'Materiales '!$C$2:$F$1302,4,0)</f>
        <v>0</v>
      </c>
      <c r="E239" s="100"/>
      <c r="F239" s="538">
        <f>E239*D239</f>
        <v>0</v>
      </c>
      <c r="G239" s="539"/>
      <c r="H239" s="120"/>
      <c r="I239">
        <f>E239*G217</f>
        <v>0</v>
      </c>
      <c r="J239" s="68"/>
      <c r="K239" s="56"/>
      <c r="L239" s="56"/>
      <c r="M239" s="56"/>
      <c r="N239" s="56"/>
      <c r="O239" s="56"/>
    </row>
    <row r="240" spans="1:15" ht="16.5">
      <c r="A240" s="540" t="s">
        <v>4099</v>
      </c>
      <c r="B240" s="541"/>
      <c r="C240" s="541"/>
      <c r="D240" s="541"/>
      <c r="E240" s="541"/>
      <c r="F240" s="541"/>
      <c r="G240" s="542"/>
      <c r="H240" s="116">
        <f>SUM(F226:F239)</f>
        <v>2021695.0460000001</v>
      </c>
      <c r="J240" s="68"/>
      <c r="K240" s="56"/>
      <c r="L240" s="56"/>
      <c r="M240" s="56"/>
      <c r="N240" s="56"/>
      <c r="O240" s="56"/>
    </row>
    <row r="241" spans="1:15" ht="16.5">
      <c r="A241" s="543" t="s">
        <v>4231</v>
      </c>
      <c r="B241" s="544"/>
      <c r="C241" s="544"/>
      <c r="D241" s="544"/>
      <c r="E241" s="545"/>
      <c r="F241" s="544"/>
      <c r="G241" s="544"/>
      <c r="H241" s="546"/>
      <c r="J241" s="68"/>
      <c r="K241" s="56"/>
      <c r="L241" s="56"/>
      <c r="M241" s="56"/>
      <c r="N241" s="56"/>
      <c r="O241" s="56"/>
    </row>
    <row r="242" spans="1:15">
      <c r="A242" s="547" t="s">
        <v>7</v>
      </c>
      <c r="B242" s="548"/>
      <c r="C242" s="108" t="s">
        <v>4232</v>
      </c>
      <c r="D242" s="107" t="s">
        <v>4233</v>
      </c>
      <c r="E242" s="206" t="s">
        <v>4234</v>
      </c>
      <c r="F242" s="549" t="s">
        <v>4218</v>
      </c>
      <c r="G242" s="549"/>
      <c r="H242" s="119"/>
      <c r="K242" s="56"/>
      <c r="L242" s="56"/>
      <c r="M242" s="56"/>
      <c r="N242" s="56"/>
      <c r="O242" s="56"/>
    </row>
    <row r="243" spans="1:15">
      <c r="A243" s="550" t="s">
        <v>3928</v>
      </c>
      <c r="B243" s="551"/>
      <c r="C243" s="232">
        <v>1</v>
      </c>
      <c r="D243" s="102">
        <v>0.03</v>
      </c>
      <c r="E243" s="103">
        <f>VLOOKUP(A243,'Equip, Herr y Transp'!$B$2:$D$218,3,0)</f>
        <v>160000</v>
      </c>
      <c r="F243" s="552">
        <f>E243*D243*C243</f>
        <v>4800</v>
      </c>
      <c r="G243" s="553"/>
      <c r="H243" s="117"/>
      <c r="M243" s="56"/>
    </row>
    <row r="244" spans="1:15" ht="16.5">
      <c r="A244" s="554" t="s">
        <v>4216</v>
      </c>
      <c r="B244" s="555"/>
      <c r="C244" s="555"/>
      <c r="D244" s="555"/>
      <c r="E244" s="555"/>
      <c r="F244" s="555"/>
      <c r="G244" s="555"/>
      <c r="H244" s="105">
        <f>F243</f>
        <v>4800</v>
      </c>
    </row>
    <row r="245" spans="1:15" ht="16.5">
      <c r="A245" s="543" t="s">
        <v>4235</v>
      </c>
      <c r="B245" s="544"/>
      <c r="C245" s="544"/>
      <c r="D245" s="544"/>
      <c r="E245" s="544"/>
      <c r="F245" s="544"/>
      <c r="G245" s="544"/>
      <c r="H245" s="546"/>
    </row>
    <row r="246" spans="1:15">
      <c r="A246" s="547" t="s">
        <v>7</v>
      </c>
      <c r="B246" s="548"/>
      <c r="C246" s="106" t="s">
        <v>1</v>
      </c>
      <c r="D246" s="107" t="s">
        <v>4236</v>
      </c>
      <c r="E246" s="108" t="s">
        <v>4215</v>
      </c>
      <c r="F246" s="547" t="s">
        <v>5</v>
      </c>
      <c r="G246" s="556"/>
      <c r="H246" s="119"/>
    </row>
    <row r="247" spans="1:15">
      <c r="A247" s="550" t="s">
        <v>4196</v>
      </c>
      <c r="B247" s="551"/>
      <c r="C247" s="101">
        <v>1</v>
      </c>
      <c r="D247" s="104">
        <f>VLOOKUP(A247,'Mano Obra'!$B$2:$T$117,19,0)</f>
        <v>166624</v>
      </c>
      <c r="E247" s="246">
        <f>H210</f>
        <v>5.21E-2</v>
      </c>
      <c r="F247" s="538">
        <f>E247*D247*C247</f>
        <v>8681.1103999999996</v>
      </c>
      <c r="G247" s="557"/>
      <c r="H247" s="121"/>
      <c r="I247" s="69"/>
      <c r="J247" s="136">
        <f>((('Mano Obra'!$M$4/30)*F247)/D247)*G217</f>
        <v>0</v>
      </c>
    </row>
    <row r="248" spans="1:15">
      <c r="A248" s="558" t="s">
        <v>4197</v>
      </c>
      <c r="B248" s="559">
        <f>VLOOKUP(A248,'Mano Obra'!$B$3:$D$290,2,0)</f>
        <v>2090000.0000000002</v>
      </c>
      <c r="C248" s="101">
        <v>1</v>
      </c>
      <c r="D248" s="104">
        <f>VLOOKUP(A248,'Mano Obra'!$B$2:$T$117,19,0)</f>
        <v>120456</v>
      </c>
      <c r="E248" s="246">
        <f>H210</f>
        <v>5.21E-2</v>
      </c>
      <c r="F248" s="538">
        <f t="shared" ref="F248:F249" si="15">E248*D248*C248</f>
        <v>6275.7575999999999</v>
      </c>
      <c r="G248" s="557"/>
      <c r="H248" s="121"/>
      <c r="J248" s="136">
        <f>((('Mano Obra'!$M$5/30)*F248)/D248)*G217</f>
        <v>0</v>
      </c>
    </row>
    <row r="249" spans="1:15">
      <c r="A249" s="558" t="s">
        <v>4186</v>
      </c>
      <c r="B249" s="559">
        <f>VLOOKUP(A249,'Mano Obra'!$B$3:$D$290,2,0)</f>
        <v>1100000</v>
      </c>
      <c r="C249" s="101">
        <v>1</v>
      </c>
      <c r="D249" s="104">
        <f>VLOOKUP(A249,'Mano Obra'!$B$2:$T$117,19,0)</f>
        <v>72664</v>
      </c>
      <c r="E249" s="246">
        <f>H210</f>
        <v>5.21E-2</v>
      </c>
      <c r="F249" s="538">
        <f t="shared" si="15"/>
        <v>3785.7944000000002</v>
      </c>
      <c r="G249" s="557"/>
      <c r="H249" s="120"/>
      <c r="J249" s="136">
        <f>((('Mano Obra'!$M$6/30)*F249)/D249)*G217</f>
        <v>0</v>
      </c>
    </row>
    <row r="250" spans="1:15" ht="16.5">
      <c r="A250" s="560" t="s">
        <v>4101</v>
      </c>
      <c r="B250" s="560"/>
      <c r="C250" s="560"/>
      <c r="D250" s="560"/>
      <c r="E250" s="560"/>
      <c r="F250" s="560"/>
      <c r="G250" s="560"/>
      <c r="H250" s="105">
        <f>SUM(F247:F249)</f>
        <v>18742.662399999997</v>
      </c>
      <c r="J250" s="136"/>
    </row>
    <row r="251" spans="1:15">
      <c r="A251" s="227" t="s">
        <v>4237</v>
      </c>
      <c r="B251" s="205"/>
      <c r="C251" s="205"/>
      <c r="D251" s="202"/>
      <c r="E251" s="203"/>
      <c r="F251" s="204"/>
      <c r="G251" s="203"/>
      <c r="H251" s="212"/>
    </row>
    <row r="252" spans="1:15">
      <c r="A252" s="561" t="s">
        <v>4224</v>
      </c>
      <c r="B252" s="562"/>
      <c r="C252" s="562"/>
      <c r="D252" s="562"/>
      <c r="E252" s="200"/>
      <c r="F252" s="201" t="s">
        <v>4238</v>
      </c>
      <c r="G252" s="200" t="s">
        <v>4239</v>
      </c>
      <c r="H252" s="213"/>
    </row>
    <row r="253" spans="1:15">
      <c r="A253" s="223" t="s">
        <v>4097</v>
      </c>
      <c r="B253" s="72"/>
      <c r="C253" s="72"/>
      <c r="D253" s="73"/>
      <c r="E253" s="78"/>
      <c r="F253" s="79">
        <v>0</v>
      </c>
      <c r="G253" s="80">
        <f>F253*H218</f>
        <v>0</v>
      </c>
      <c r="H253" s="212"/>
    </row>
    <row r="254" spans="1:15">
      <c r="A254" s="224" t="s">
        <v>4240</v>
      </c>
      <c r="B254" s="81"/>
      <c r="C254" s="81"/>
      <c r="D254" s="82"/>
      <c r="E254" s="78"/>
      <c r="F254" s="79">
        <v>0</v>
      </c>
      <c r="G254" s="80">
        <f>F254*H218</f>
        <v>0</v>
      </c>
      <c r="H254" s="212"/>
    </row>
    <row r="255" spans="1:15">
      <c r="A255" s="224" t="s">
        <v>4</v>
      </c>
      <c r="B255" s="81"/>
      <c r="C255" s="81"/>
      <c r="D255" s="82"/>
      <c r="E255" s="78"/>
      <c r="F255" s="79">
        <v>0</v>
      </c>
      <c r="G255" s="80">
        <f>F255*H218</f>
        <v>0</v>
      </c>
      <c r="H255" s="212"/>
    </row>
    <row r="256" spans="1:15">
      <c r="A256" s="225"/>
      <c r="B256" s="83"/>
      <c r="C256" s="75"/>
      <c r="D256" s="84"/>
      <c r="E256" s="85"/>
      <c r="F256" s="86"/>
      <c r="G256" s="87"/>
      <c r="H256" s="214"/>
    </row>
    <row r="257" spans="1:14">
      <c r="A257" s="226"/>
      <c r="B257" s="83"/>
      <c r="C257" s="83"/>
      <c r="D257" s="84"/>
      <c r="E257" s="88"/>
      <c r="F257" s="563" t="s">
        <v>4241</v>
      </c>
      <c r="G257" s="564"/>
      <c r="H257" s="233">
        <f>H218+G253+G254+G255</f>
        <v>2048600.8936500002</v>
      </c>
    </row>
    <row r="259" spans="1:14" ht="16.5">
      <c r="A259" s="90"/>
      <c r="B259" s="90"/>
      <c r="C259" s="90"/>
      <c r="D259" s="90"/>
      <c r="E259" s="90"/>
      <c r="F259" s="90"/>
      <c r="G259" s="90"/>
      <c r="H259" s="381"/>
    </row>
    <row r="260" spans="1:14">
      <c r="A260" s="579" t="s">
        <v>4225</v>
      </c>
      <c r="B260" s="580"/>
      <c r="C260" s="580"/>
      <c r="D260" s="580"/>
      <c r="E260" s="580"/>
      <c r="F260" s="580"/>
      <c r="G260" s="580"/>
      <c r="H260" s="581"/>
    </row>
    <row r="261" spans="1:14" ht="16.5">
      <c r="A261" s="91"/>
      <c r="B261" s="92"/>
      <c r="C261" s="92"/>
      <c r="D261" s="92"/>
      <c r="E261" s="92"/>
      <c r="F261" s="93"/>
      <c r="G261" s="94"/>
      <c r="H261" s="380">
        <f>ROUND((30/60)/8,4)</f>
        <v>6.25E-2</v>
      </c>
      <c r="I261" s="115"/>
    </row>
    <row r="262" spans="1:14">
      <c r="A262" s="582" t="s">
        <v>4220</v>
      </c>
      <c r="B262" s="584" t="str">
        <f>COSTOS!$C$14</f>
        <v>MODERNIZACION A TECNOLOGIA LED</v>
      </c>
      <c r="C262" s="584"/>
      <c r="D262" s="584"/>
      <c r="E262" s="584"/>
      <c r="F262" s="584"/>
      <c r="G262" s="584"/>
      <c r="H262" s="585" t="s">
        <v>4221</v>
      </c>
    </row>
    <row r="263" spans="1:14">
      <c r="A263" s="583"/>
      <c r="B263" s="584"/>
      <c r="C263" s="584"/>
      <c r="D263" s="584"/>
      <c r="E263" s="584"/>
      <c r="F263" s="584"/>
      <c r="G263" s="584"/>
      <c r="H263" s="585"/>
    </row>
    <row r="264" spans="1:14">
      <c r="A264" s="583"/>
      <c r="B264" s="584"/>
      <c r="C264" s="584"/>
      <c r="D264" s="584"/>
      <c r="E264" s="584"/>
      <c r="F264" s="584"/>
      <c r="G264" s="584"/>
      <c r="H264" s="585"/>
    </row>
    <row r="265" spans="1:14" ht="15" customHeight="1">
      <c r="A265" s="583"/>
      <c r="B265" s="584"/>
      <c r="C265" s="584"/>
      <c r="D265" s="584"/>
      <c r="E265" s="584"/>
      <c r="F265" s="584"/>
      <c r="G265" s="584"/>
      <c r="H265" s="216">
        <f ca="1">TODAY()</f>
        <v>44889</v>
      </c>
      <c r="K265" t="s">
        <v>4391</v>
      </c>
      <c r="L265" t="s">
        <v>4392</v>
      </c>
      <c r="M265" t="s">
        <v>4393</v>
      </c>
      <c r="N265" t="s">
        <v>4394</v>
      </c>
    </row>
    <row r="266" spans="1:14" ht="60.75" customHeight="1">
      <c r="A266" s="228" t="s">
        <v>4222</v>
      </c>
      <c r="B266" s="565" t="str">
        <f>COSTOS!$D$16</f>
        <v>Luminarias</v>
      </c>
      <c r="C266" s="565"/>
      <c r="D266" s="565"/>
      <c r="E266" s="565"/>
      <c r="F266" s="565"/>
      <c r="G266" s="70" t="s">
        <v>4223</v>
      </c>
      <c r="H266" s="387">
        <v>1.5</v>
      </c>
      <c r="K266" s="62">
        <f>H291</f>
        <v>2857015.5460000001</v>
      </c>
      <c r="L266" s="62">
        <f>H301</f>
        <v>22484</v>
      </c>
      <c r="M266" s="62">
        <f>H274</f>
        <v>4034.53125</v>
      </c>
      <c r="N266" s="62">
        <f>H295</f>
        <v>4800</v>
      </c>
    </row>
    <row r="267" spans="1:14" ht="43.15" customHeight="1">
      <c r="A267" s="229" t="s">
        <v>4224</v>
      </c>
      <c r="B267" s="566" t="str">
        <f>VLOOKUP(H266,COSTOS!C:M,2,0)</f>
        <v>Reflector LED 110w</v>
      </c>
      <c r="C267" s="567"/>
      <c r="D267" s="567"/>
      <c r="E267" s="568"/>
      <c r="F267" s="71" t="s">
        <v>0</v>
      </c>
      <c r="G267" s="356" t="str">
        <f>VLOOKUP(H266,COSTOS!C:M,8,0)</f>
        <v>Und</v>
      </c>
      <c r="H267" s="276"/>
      <c r="I267" s="306"/>
      <c r="J267" s="308"/>
      <c r="K267" s="308"/>
      <c r="L267" s="308"/>
    </row>
    <row r="268" spans="1:14">
      <c r="A268" s="230"/>
      <c r="B268" s="112"/>
      <c r="C268" s="112"/>
      <c r="D268" s="112"/>
      <c r="E268" s="113"/>
      <c r="F268" s="114" t="s">
        <v>1</v>
      </c>
      <c r="G268" s="356">
        <f>VLOOKUP(H266,COSTOS!C:M,9,0)</f>
        <v>1</v>
      </c>
      <c r="H268" s="357"/>
      <c r="I268" s="307"/>
    </row>
    <row r="269" spans="1:14" ht="16.5">
      <c r="A269" s="231" t="s">
        <v>4226</v>
      </c>
      <c r="B269" s="75"/>
      <c r="C269" s="75"/>
      <c r="D269" s="76"/>
      <c r="E269" s="209"/>
      <c r="F269" s="210"/>
      <c r="G269" s="211" t="s">
        <v>4227</v>
      </c>
      <c r="H269" s="217">
        <f>H274+H291+H295+H301</f>
        <v>2888334.0772500001</v>
      </c>
    </row>
    <row r="270" spans="1:14" ht="39">
      <c r="A270" s="569" t="s">
        <v>4224</v>
      </c>
      <c r="B270" s="569"/>
      <c r="C270" s="569"/>
      <c r="D270" s="77" t="s">
        <v>0</v>
      </c>
      <c r="E270" s="207" t="s">
        <v>4228</v>
      </c>
      <c r="F270" s="208" t="s">
        <v>4215</v>
      </c>
      <c r="G270" s="74" t="s">
        <v>2</v>
      </c>
      <c r="H270" s="218" t="s">
        <v>4229</v>
      </c>
      <c r="K270" s="309"/>
    </row>
    <row r="271" spans="1:14">
      <c r="A271" s="536" t="s">
        <v>3946</v>
      </c>
      <c r="B271" s="570" t="str">
        <f>VLOOKUP(A271,'Equip, Herr y Transp'!$B$2:$D$739,2,0)</f>
        <v>EQU</v>
      </c>
      <c r="C271" s="570"/>
      <c r="D271" s="95" t="str">
        <f>VLOOKUP(A271,'Equip, Herr y Transp'!$B$2:$D$218,2,0)</f>
        <v>EQU</v>
      </c>
      <c r="E271" s="95">
        <f>VLOOKUP(A271,'Equip, Herr y Transp'!$B$2:$D$218,3,0)</f>
        <v>14130</v>
      </c>
      <c r="F271" s="96">
        <f>H261</f>
        <v>6.25E-2</v>
      </c>
      <c r="G271" s="122">
        <f>F271*E271</f>
        <v>883.125</v>
      </c>
      <c r="H271" s="118"/>
    </row>
    <row r="272" spans="1:14">
      <c r="A272" s="536" t="s">
        <v>3904</v>
      </c>
      <c r="B272" s="570" t="str">
        <f>VLOOKUP(A272,'Equip, Herr y Transp'!$B$2:$D$739,2,0)</f>
        <v>EQU</v>
      </c>
      <c r="C272" s="570"/>
      <c r="D272" s="95" t="str">
        <f>VLOOKUP(A272,'Equip, Herr y Transp'!$B$2:$D$218,2,0)</f>
        <v>EQU</v>
      </c>
      <c r="E272" s="95">
        <f>VLOOKUP(A272,'Equip, Herr y Transp'!$B$2:$D$218,3,0)</f>
        <v>26672.5</v>
      </c>
      <c r="F272" s="96">
        <f>H261</f>
        <v>6.25E-2</v>
      </c>
      <c r="G272" s="122">
        <f>F272*E272</f>
        <v>1667.03125</v>
      </c>
      <c r="H272" s="117"/>
    </row>
    <row r="273" spans="1:15">
      <c r="A273" s="536" t="s">
        <v>3937</v>
      </c>
      <c r="B273" s="570" t="str">
        <f>VLOOKUP(A273,'Equip, Herr y Transp'!$B$2:$D$739,2,0)</f>
        <v>EQU</v>
      </c>
      <c r="C273" s="570"/>
      <c r="D273" s="95" t="str">
        <f>VLOOKUP(A273,'Equip, Herr y Transp'!$B$2:$D$218,2,0)</f>
        <v>EQU</v>
      </c>
      <c r="E273" s="95">
        <f>VLOOKUP(A273,'Equip, Herr y Transp'!$B$2:$D$218,3,0)</f>
        <v>23750</v>
      </c>
      <c r="F273" s="96">
        <f>H261</f>
        <v>6.25E-2</v>
      </c>
      <c r="G273" s="122">
        <f>F273*E273</f>
        <v>1484.375</v>
      </c>
      <c r="H273" s="117"/>
    </row>
    <row r="274" spans="1:15" ht="16.5">
      <c r="A274" s="540" t="s">
        <v>4100</v>
      </c>
      <c r="B274" s="541"/>
      <c r="C274" s="541"/>
      <c r="D274" s="541"/>
      <c r="E274" s="541"/>
      <c r="F274" s="541"/>
      <c r="G274" s="541"/>
      <c r="H274" s="97">
        <f>SUM(G271:G273)</f>
        <v>4034.53125</v>
      </c>
    </row>
    <row r="275" spans="1:15" ht="16.5">
      <c r="A275" s="571" t="s">
        <v>4230</v>
      </c>
      <c r="B275" s="572"/>
      <c r="C275" s="572"/>
      <c r="D275" s="572"/>
      <c r="E275" s="572"/>
      <c r="F275" s="572"/>
      <c r="G275" s="572"/>
      <c r="H275" s="573"/>
      <c r="K275" s="56"/>
      <c r="L275" s="56"/>
      <c r="M275" s="56"/>
      <c r="N275" s="56"/>
      <c r="O275" s="56"/>
    </row>
    <row r="276" spans="1:15" ht="30" customHeight="1">
      <c r="A276" s="574" t="s">
        <v>7</v>
      </c>
      <c r="B276" s="575"/>
      <c r="C276" s="109" t="s">
        <v>0</v>
      </c>
      <c r="D276" s="110" t="s">
        <v>4098</v>
      </c>
      <c r="E276" s="111" t="s">
        <v>1</v>
      </c>
      <c r="F276" s="576" t="s">
        <v>4218</v>
      </c>
      <c r="G276" s="576"/>
      <c r="H276" s="215"/>
      <c r="K276" s="56"/>
      <c r="L276" s="56"/>
      <c r="M276" s="56"/>
      <c r="N276" s="56"/>
      <c r="O276" s="56"/>
    </row>
    <row r="277" spans="1:15">
      <c r="A277" s="577" t="s">
        <v>4576</v>
      </c>
      <c r="B277" s="578"/>
      <c r="C277" s="98" t="str">
        <f>VLOOKUP(A277,'Materiales '!$C$2:$F$1302,3,0)</f>
        <v>Und</v>
      </c>
      <c r="D277" s="99">
        <f>VLOOKUP(A277,'Materiales '!$C$2:$F$1302,4,0)</f>
        <v>2693922</v>
      </c>
      <c r="E277" s="100">
        <v>1</v>
      </c>
      <c r="F277" s="538">
        <f>E277*D277</f>
        <v>2693922</v>
      </c>
      <c r="G277" s="539"/>
      <c r="H277" s="121"/>
      <c r="I277">
        <f>E277*G268</f>
        <v>1</v>
      </c>
      <c r="J277" s="67"/>
      <c r="K277" s="56"/>
      <c r="L277" s="56"/>
      <c r="M277" s="56"/>
      <c r="N277" s="56"/>
      <c r="O277" s="56"/>
    </row>
    <row r="278" spans="1:15">
      <c r="A278" s="577" t="s">
        <v>4214</v>
      </c>
      <c r="B278" s="578"/>
      <c r="C278" s="98" t="str">
        <f>VLOOKUP(A278,'Materiales '!$C$2:$F$1302,3,0)</f>
        <v>Und</v>
      </c>
      <c r="D278" s="99">
        <f>VLOOKUP(A278,'Materiales '!$C$2:$F$1302,4,0)</f>
        <v>22848</v>
      </c>
      <c r="E278" s="100">
        <v>1</v>
      </c>
      <c r="F278" s="538">
        <f t="shared" ref="F278:F284" si="16">E278*D278</f>
        <v>22848</v>
      </c>
      <c r="G278" s="539"/>
      <c r="H278" s="121"/>
      <c r="I278">
        <f>E278*G268</f>
        <v>1</v>
      </c>
      <c r="J278" s="67"/>
      <c r="K278" s="56"/>
      <c r="L278" s="56"/>
      <c r="M278" s="56"/>
      <c r="N278" s="56"/>
      <c r="O278" s="56"/>
    </row>
    <row r="279" spans="1:15">
      <c r="A279" s="536" t="s">
        <v>4484</v>
      </c>
      <c r="B279" s="537" t="str">
        <f>VLOOKUP(A279,'Materiales '!$C$2:$F$1302,3,0)</f>
        <v>Und</v>
      </c>
      <c r="C279" s="98" t="str">
        <f>VLOOKUP(A279,'Materiales '!$C$2:$F$1302,3,0)</f>
        <v>Und</v>
      </c>
      <c r="D279" s="99">
        <f>VLOOKUP(A279,'Materiales '!$C$2:$F$1302,4,0)</f>
        <v>21705.599999999999</v>
      </c>
      <c r="E279" s="100">
        <v>2</v>
      </c>
      <c r="F279" s="538">
        <f t="shared" si="16"/>
        <v>43411.199999999997</v>
      </c>
      <c r="G279" s="539"/>
      <c r="H279" s="121"/>
      <c r="I279">
        <f>E279*G268</f>
        <v>2</v>
      </c>
      <c r="J279" s="68"/>
      <c r="K279" s="56"/>
      <c r="L279" s="56"/>
      <c r="M279" s="56"/>
      <c r="N279" s="56"/>
      <c r="O279" s="56"/>
    </row>
    <row r="280" spans="1:15">
      <c r="A280" s="536" t="s">
        <v>4489</v>
      </c>
      <c r="B280" s="537" t="str">
        <f>VLOOKUP(A280,'Materiales '!$C$2:$F$1302,3,0)</f>
        <v>Und</v>
      </c>
      <c r="C280" s="98" t="str">
        <f>VLOOKUP(A280,'Materiales '!$C$2:$F$1302,3,0)</f>
        <v>Und</v>
      </c>
      <c r="D280" s="99">
        <f>VLOOKUP(A280,'Materiales '!$C$2:$F$1302,4,0)</f>
        <v>8039.6399999999994</v>
      </c>
      <c r="E280" s="100">
        <v>3</v>
      </c>
      <c r="F280" s="538">
        <f t="shared" si="16"/>
        <v>24118.92</v>
      </c>
      <c r="G280" s="539"/>
      <c r="H280" s="121"/>
      <c r="I280">
        <f>E280*G268</f>
        <v>3</v>
      </c>
      <c r="J280" s="68"/>
      <c r="K280" s="56"/>
      <c r="L280" s="56"/>
      <c r="M280" s="56"/>
      <c r="N280" s="56"/>
      <c r="O280" s="56"/>
    </row>
    <row r="281" spans="1:15">
      <c r="A281" s="536" t="s">
        <v>4554</v>
      </c>
      <c r="B281" s="537" t="str">
        <f>VLOOKUP(A281,'Materiales '!$C$2:$F$1302,3,0)</f>
        <v>Und</v>
      </c>
      <c r="C281" s="98" t="str">
        <f>VLOOKUP(A281,'Materiales '!$C$2:$F$1302,3,0)</f>
        <v>Und</v>
      </c>
      <c r="D281" s="99">
        <f>VLOOKUP(A281,'Materiales '!$C$2:$F$1302,4,0)</f>
        <v>2535.5329999999999</v>
      </c>
      <c r="E281" s="100">
        <v>2</v>
      </c>
      <c r="F281" s="538">
        <f t="shared" si="16"/>
        <v>5071.0659999999998</v>
      </c>
      <c r="G281" s="539"/>
      <c r="H281" s="121"/>
      <c r="I281">
        <f>E281*G268</f>
        <v>2</v>
      </c>
      <c r="J281" s="68"/>
      <c r="K281" s="56"/>
      <c r="L281" s="56"/>
      <c r="M281" s="56"/>
      <c r="N281" s="56"/>
      <c r="O281" s="56"/>
    </row>
    <row r="282" spans="1:15">
      <c r="A282" s="536" t="s">
        <v>4450</v>
      </c>
      <c r="B282" s="537" t="str">
        <f>VLOOKUP(A282,'Materiales '!$C$2:$F$1302,3,0)</f>
        <v>Ml</v>
      </c>
      <c r="C282" s="98" t="str">
        <f>VLOOKUP(A282,'Materiales '!$C$2:$F$1302,3,0)</f>
        <v>Ml</v>
      </c>
      <c r="D282" s="99">
        <f>VLOOKUP(A282,'Materiales '!$C$2:$F$1302,4,0)</f>
        <v>6791.5679999999993</v>
      </c>
      <c r="E282" s="100">
        <v>1</v>
      </c>
      <c r="F282" s="538">
        <f t="shared" si="16"/>
        <v>6791.5679999999993</v>
      </c>
      <c r="G282" s="539"/>
      <c r="H282" s="121"/>
      <c r="I282">
        <f>E282*G268</f>
        <v>1</v>
      </c>
      <c r="J282" s="68"/>
      <c r="K282" s="56"/>
      <c r="L282" s="56"/>
      <c r="M282" s="56"/>
      <c r="N282" s="56"/>
      <c r="O282" s="56"/>
    </row>
    <row r="283" spans="1:15">
      <c r="A283" s="536" t="s">
        <v>4493</v>
      </c>
      <c r="B283" s="537" t="str">
        <f>VLOOKUP(A283,'Materiales '!$C$2:$F$1302,3,0)</f>
        <v>Und</v>
      </c>
      <c r="C283" s="98" t="str">
        <f>VLOOKUP(A283,'Materiales '!$C$2:$F$1302,3,0)</f>
        <v>Und</v>
      </c>
      <c r="D283" s="99">
        <f>VLOOKUP(A283,'Materiales '!$C$2:$F$1302,4,0)</f>
        <v>232.76399999999998</v>
      </c>
      <c r="E283" s="100">
        <v>3</v>
      </c>
      <c r="F283" s="538">
        <f t="shared" si="16"/>
        <v>698.29199999999992</v>
      </c>
      <c r="G283" s="539"/>
      <c r="H283" s="121"/>
      <c r="I283">
        <f>E283*G268</f>
        <v>3</v>
      </c>
      <c r="J283" s="68"/>
      <c r="K283" s="56"/>
      <c r="L283" s="56"/>
      <c r="M283" s="56"/>
      <c r="N283" s="56"/>
      <c r="O283" s="56"/>
    </row>
    <row r="284" spans="1:15" ht="21.75" customHeight="1">
      <c r="A284" s="536" t="s">
        <v>4498</v>
      </c>
      <c r="B284" s="537" t="str">
        <f>VLOOKUP(A284,'Materiales '!$C$2:$F$1302,3,0)</f>
        <v>Und</v>
      </c>
      <c r="C284" s="98" t="str">
        <f>VLOOKUP(A284,'Materiales '!$C$2:$F$1302,3,0)</f>
        <v>Und</v>
      </c>
      <c r="D284" s="99">
        <f>VLOOKUP(A284,'Materiales '!$C$2:$F$1302,4,0)</f>
        <v>120309</v>
      </c>
      <c r="E284" s="100">
        <v>0.5</v>
      </c>
      <c r="F284" s="538">
        <f t="shared" si="16"/>
        <v>60154.5</v>
      </c>
      <c r="G284" s="539"/>
      <c r="H284" s="121"/>
      <c r="I284">
        <f>E284*G268</f>
        <v>0.5</v>
      </c>
      <c r="J284" s="68"/>
      <c r="K284" s="56"/>
      <c r="L284" s="56"/>
      <c r="M284" s="56"/>
      <c r="N284" s="56"/>
      <c r="O284" s="56"/>
    </row>
    <row r="285" spans="1:15">
      <c r="A285" s="536" t="s">
        <v>8</v>
      </c>
      <c r="B285" s="537" t="str">
        <f>VLOOKUP(A285,'Materiales '!$C$2:$F$1302,3,0)</f>
        <v>-</v>
      </c>
      <c r="C285" s="98" t="str">
        <f>VLOOKUP(A285,'Materiales '!$C$2:$F$1302,3,0)</f>
        <v>-</v>
      </c>
      <c r="D285" s="99">
        <f>VLOOKUP(A285,'Materiales '!$C$2:$F$1302,4,0)</f>
        <v>0</v>
      </c>
      <c r="E285" s="100"/>
      <c r="F285" s="538">
        <f>E285*D285</f>
        <v>0</v>
      </c>
      <c r="G285" s="539"/>
      <c r="H285" s="120"/>
      <c r="I285">
        <f>E285*G268</f>
        <v>0</v>
      </c>
      <c r="J285" s="68"/>
      <c r="K285" s="56"/>
      <c r="L285" s="56"/>
      <c r="M285" s="56"/>
      <c r="N285" s="56"/>
      <c r="O285" s="56"/>
    </row>
    <row r="286" spans="1:15">
      <c r="A286" s="536" t="s">
        <v>8</v>
      </c>
      <c r="B286" s="537" t="str">
        <f>VLOOKUP(A286,'Materiales '!$C$2:$F$1302,3,0)</f>
        <v>-</v>
      </c>
      <c r="C286" s="98" t="str">
        <f>VLOOKUP(A286,'Materiales '!$C$2:$F$1302,3,0)</f>
        <v>-</v>
      </c>
      <c r="D286" s="99">
        <f>VLOOKUP(A286,'Materiales '!$C$2:$F$1302,4,0)</f>
        <v>0</v>
      </c>
      <c r="E286" s="100"/>
      <c r="F286" s="538">
        <f t="shared" ref="F286:F289" si="17">E286*D286</f>
        <v>0</v>
      </c>
      <c r="G286" s="539"/>
      <c r="H286" s="121"/>
      <c r="I286">
        <f>E286*G268</f>
        <v>0</v>
      </c>
      <c r="J286" s="68"/>
      <c r="K286" s="56"/>
      <c r="L286" s="56"/>
      <c r="M286" s="56"/>
      <c r="N286" s="56"/>
      <c r="O286" s="56"/>
    </row>
    <row r="287" spans="1:15">
      <c r="A287" s="536" t="s">
        <v>8</v>
      </c>
      <c r="B287" s="537" t="str">
        <f>VLOOKUP(A287,'Materiales '!$C$2:$F$1302,3,0)</f>
        <v>-</v>
      </c>
      <c r="C287" s="98" t="str">
        <f>VLOOKUP(A287,'Materiales '!$C$2:$F$1302,3,0)</f>
        <v>-</v>
      </c>
      <c r="D287" s="99">
        <f>VLOOKUP(A287,'Materiales '!$C$2:$F$1302,4,0)</f>
        <v>0</v>
      </c>
      <c r="E287" s="100"/>
      <c r="F287" s="538">
        <f t="shared" si="17"/>
        <v>0</v>
      </c>
      <c r="G287" s="539"/>
      <c r="H287" s="121"/>
      <c r="I287">
        <f>E287*G268</f>
        <v>0</v>
      </c>
      <c r="J287" s="68"/>
      <c r="K287" s="56"/>
      <c r="L287" s="56"/>
      <c r="M287" s="56"/>
      <c r="N287" s="56"/>
      <c r="O287" s="56"/>
    </row>
    <row r="288" spans="1:15">
      <c r="A288" s="536" t="s">
        <v>8</v>
      </c>
      <c r="B288" s="537" t="str">
        <f>VLOOKUP(A288,'Materiales '!$C$2:$F$1302,3,0)</f>
        <v>-</v>
      </c>
      <c r="C288" s="98" t="str">
        <f>VLOOKUP(A288,'Materiales '!$C$2:$F$1302,3,0)</f>
        <v>-</v>
      </c>
      <c r="D288" s="99">
        <f>VLOOKUP(A288,'Materiales '!$C$2:$F$1302,4,0)</f>
        <v>0</v>
      </c>
      <c r="E288" s="100"/>
      <c r="F288" s="538">
        <f t="shared" si="17"/>
        <v>0</v>
      </c>
      <c r="G288" s="539"/>
      <c r="H288" s="121"/>
      <c r="I288">
        <f>E288*G268</f>
        <v>0</v>
      </c>
      <c r="J288" s="68"/>
      <c r="K288" s="56"/>
      <c r="L288" s="56"/>
      <c r="M288" s="56"/>
      <c r="N288" s="56"/>
      <c r="O288" s="56"/>
    </row>
    <row r="289" spans="1:15">
      <c r="A289" s="536" t="s">
        <v>8</v>
      </c>
      <c r="B289" s="537" t="str">
        <f>VLOOKUP(A289,'Materiales '!$C$2:$F$1302,3,0)</f>
        <v>-</v>
      </c>
      <c r="C289" s="98" t="str">
        <f>VLOOKUP(A289,'Materiales '!$C$2:$F$1302,3,0)</f>
        <v>-</v>
      </c>
      <c r="D289" s="99">
        <f>VLOOKUP(A289,'Materiales '!$C$2:$F$1302,4,0)</f>
        <v>0</v>
      </c>
      <c r="E289" s="100"/>
      <c r="F289" s="538">
        <f t="shared" si="17"/>
        <v>0</v>
      </c>
      <c r="G289" s="539"/>
      <c r="H289" s="121"/>
      <c r="I289">
        <f>E289*G268</f>
        <v>0</v>
      </c>
      <c r="J289" s="68"/>
      <c r="K289" s="56"/>
      <c r="L289" s="56"/>
      <c r="M289" s="56"/>
      <c r="N289" s="56"/>
      <c r="O289" s="56"/>
    </row>
    <row r="290" spans="1:15">
      <c r="A290" s="536" t="s">
        <v>8</v>
      </c>
      <c r="B290" s="537" t="str">
        <f>VLOOKUP(A290,'Materiales '!$C$2:$F$1302,3,0)</f>
        <v>-</v>
      </c>
      <c r="C290" s="98" t="str">
        <f>VLOOKUP(A290,'Materiales '!$C$2:$F$1302,3,0)</f>
        <v>-</v>
      </c>
      <c r="D290" s="99">
        <f>VLOOKUP(A290,'Materiales '!$C$2:$F$1302,4,0)</f>
        <v>0</v>
      </c>
      <c r="E290" s="100"/>
      <c r="F290" s="538">
        <f>E290*D290</f>
        <v>0</v>
      </c>
      <c r="G290" s="539"/>
      <c r="H290" s="120"/>
      <c r="I290">
        <f>E290*G268</f>
        <v>0</v>
      </c>
      <c r="J290" s="68"/>
      <c r="K290" s="56"/>
      <c r="L290" s="56"/>
      <c r="M290" s="56"/>
      <c r="N290" s="56"/>
      <c r="O290" s="56"/>
    </row>
    <row r="291" spans="1:15" ht="16.5">
      <c r="A291" s="540" t="s">
        <v>4099</v>
      </c>
      <c r="B291" s="541"/>
      <c r="C291" s="541"/>
      <c r="D291" s="541"/>
      <c r="E291" s="541"/>
      <c r="F291" s="541"/>
      <c r="G291" s="542"/>
      <c r="H291" s="116">
        <f>SUM(F277:F290)</f>
        <v>2857015.5460000001</v>
      </c>
      <c r="J291" s="68"/>
      <c r="K291" s="56"/>
      <c r="L291" s="56"/>
      <c r="M291" s="56"/>
      <c r="N291" s="56"/>
      <c r="O291" s="56"/>
    </row>
    <row r="292" spans="1:15" ht="16.5">
      <c r="A292" s="543" t="s">
        <v>4231</v>
      </c>
      <c r="B292" s="544"/>
      <c r="C292" s="544"/>
      <c r="D292" s="544"/>
      <c r="E292" s="545"/>
      <c r="F292" s="544"/>
      <c r="G292" s="544"/>
      <c r="H292" s="546"/>
      <c r="J292" s="68"/>
      <c r="K292" s="56"/>
      <c r="L292" s="56"/>
      <c r="M292" s="56"/>
      <c r="N292" s="56"/>
      <c r="O292" s="56"/>
    </row>
    <row r="293" spans="1:15">
      <c r="A293" s="547" t="s">
        <v>7</v>
      </c>
      <c r="B293" s="548"/>
      <c r="C293" s="108" t="s">
        <v>4232</v>
      </c>
      <c r="D293" s="107" t="s">
        <v>4233</v>
      </c>
      <c r="E293" s="206" t="s">
        <v>4234</v>
      </c>
      <c r="F293" s="549" t="s">
        <v>4218</v>
      </c>
      <c r="G293" s="549"/>
      <c r="H293" s="119"/>
      <c r="K293" s="56"/>
      <c r="L293" s="56"/>
      <c r="M293" s="56"/>
      <c r="N293" s="56"/>
      <c r="O293" s="56"/>
    </row>
    <row r="294" spans="1:15">
      <c r="A294" s="550" t="s">
        <v>3928</v>
      </c>
      <c r="B294" s="551"/>
      <c r="C294" s="232">
        <v>1</v>
      </c>
      <c r="D294" s="102">
        <v>0.03</v>
      </c>
      <c r="E294" s="103">
        <f>VLOOKUP(A294,'Equip, Herr y Transp'!$B$2:$D$218,3,0)</f>
        <v>160000</v>
      </c>
      <c r="F294" s="552">
        <f>E294*D294*C294</f>
        <v>4800</v>
      </c>
      <c r="G294" s="553"/>
      <c r="H294" s="117"/>
      <c r="M294" s="56"/>
    </row>
    <row r="295" spans="1:15" ht="16.5">
      <c r="A295" s="554" t="s">
        <v>4216</v>
      </c>
      <c r="B295" s="555"/>
      <c r="C295" s="555"/>
      <c r="D295" s="555"/>
      <c r="E295" s="555"/>
      <c r="F295" s="555"/>
      <c r="G295" s="555"/>
      <c r="H295" s="105">
        <f>F294</f>
        <v>4800</v>
      </c>
    </row>
    <row r="296" spans="1:15" ht="16.5">
      <c r="A296" s="543" t="s">
        <v>4235</v>
      </c>
      <c r="B296" s="544"/>
      <c r="C296" s="544"/>
      <c r="D296" s="544"/>
      <c r="E296" s="544"/>
      <c r="F296" s="544"/>
      <c r="G296" s="544"/>
      <c r="H296" s="546"/>
    </row>
    <row r="297" spans="1:15">
      <c r="A297" s="547" t="s">
        <v>7</v>
      </c>
      <c r="B297" s="548"/>
      <c r="C297" s="106" t="s">
        <v>1</v>
      </c>
      <c r="D297" s="107" t="s">
        <v>4236</v>
      </c>
      <c r="E297" s="108" t="s">
        <v>4215</v>
      </c>
      <c r="F297" s="547" t="s">
        <v>5</v>
      </c>
      <c r="G297" s="556"/>
      <c r="H297" s="119"/>
    </row>
    <row r="298" spans="1:15">
      <c r="A298" s="550" t="s">
        <v>4196</v>
      </c>
      <c r="B298" s="551"/>
      <c r="C298" s="101">
        <v>1</v>
      </c>
      <c r="D298" s="104">
        <f>VLOOKUP(A298,'Mano Obra'!$B$2:$T$117,19,0)</f>
        <v>166624</v>
      </c>
      <c r="E298" s="246">
        <f>H261</f>
        <v>6.25E-2</v>
      </c>
      <c r="F298" s="538">
        <f>E298*D298*C298</f>
        <v>10414</v>
      </c>
      <c r="G298" s="557"/>
      <c r="H298" s="121"/>
      <c r="I298" s="69"/>
      <c r="J298" s="136">
        <f>((('Mano Obra'!$M$4/30)*F298)/D298)*G268</f>
        <v>676.29972569444442</v>
      </c>
    </row>
    <row r="299" spans="1:15">
      <c r="A299" s="558" t="s">
        <v>4197</v>
      </c>
      <c r="B299" s="559">
        <f>VLOOKUP(A299,'Mano Obra'!$B$3:$D$290,2,0)</f>
        <v>2090000.0000000002</v>
      </c>
      <c r="C299" s="101">
        <v>1</v>
      </c>
      <c r="D299" s="104">
        <f>VLOOKUP(A299,'Mano Obra'!$B$2:$T$117,19,0)</f>
        <v>120456</v>
      </c>
      <c r="E299" s="246">
        <f>H261</f>
        <v>6.25E-2</v>
      </c>
      <c r="F299" s="538">
        <f t="shared" ref="F299:F300" si="18">E299*D299*C299</f>
        <v>7528.5</v>
      </c>
      <c r="G299" s="557"/>
      <c r="H299" s="121"/>
      <c r="J299" s="136">
        <f>((('Mano Obra'!$M$5/30)*F299)/D299)*G268</f>
        <v>676.29972569444442</v>
      </c>
    </row>
    <row r="300" spans="1:15">
      <c r="A300" s="558" t="s">
        <v>4186</v>
      </c>
      <c r="B300" s="559">
        <f>VLOOKUP(A300,'Mano Obra'!$B$3:$D$290,2,0)</f>
        <v>1100000</v>
      </c>
      <c r="C300" s="101">
        <v>1</v>
      </c>
      <c r="D300" s="104">
        <f>VLOOKUP(A300,'Mano Obra'!$B$2:$T$117,19,0)</f>
        <v>72664</v>
      </c>
      <c r="E300" s="246">
        <f>H261</f>
        <v>6.25E-2</v>
      </c>
      <c r="F300" s="538">
        <f t="shared" si="18"/>
        <v>4541.5</v>
      </c>
      <c r="G300" s="557"/>
      <c r="H300" s="120"/>
      <c r="J300" s="136">
        <f>((('Mano Obra'!$M$6/30)*F300)/D300)*G268</f>
        <v>676.29972569444442</v>
      </c>
    </row>
    <row r="301" spans="1:15" ht="16.5">
      <c r="A301" s="560" t="s">
        <v>4101</v>
      </c>
      <c r="B301" s="560"/>
      <c r="C301" s="560"/>
      <c r="D301" s="560"/>
      <c r="E301" s="560"/>
      <c r="F301" s="560"/>
      <c r="G301" s="560"/>
      <c r="H301" s="105">
        <f>SUM(F298:F300)</f>
        <v>22484</v>
      </c>
      <c r="J301" s="136"/>
    </row>
    <row r="302" spans="1:15">
      <c r="A302" s="227" t="s">
        <v>4237</v>
      </c>
      <c r="B302" s="205"/>
      <c r="C302" s="205"/>
      <c r="D302" s="202"/>
      <c r="E302" s="203"/>
      <c r="F302" s="204"/>
      <c r="G302" s="203"/>
      <c r="H302" s="212"/>
    </row>
    <row r="303" spans="1:15">
      <c r="A303" s="561" t="s">
        <v>4224</v>
      </c>
      <c r="B303" s="562"/>
      <c r="C303" s="562"/>
      <c r="D303" s="562"/>
      <c r="E303" s="200"/>
      <c r="F303" s="201" t="s">
        <v>4238</v>
      </c>
      <c r="G303" s="200" t="s">
        <v>4239</v>
      </c>
      <c r="H303" s="213"/>
    </row>
    <row r="304" spans="1:15">
      <c r="A304" s="223" t="s">
        <v>4097</v>
      </c>
      <c r="B304" s="72"/>
      <c r="C304" s="72"/>
      <c r="D304" s="73"/>
      <c r="E304" s="78"/>
      <c r="F304" s="79">
        <v>0</v>
      </c>
      <c r="G304" s="80">
        <f>F304*H269</f>
        <v>0</v>
      </c>
      <c r="H304" s="212"/>
    </row>
    <row r="305" spans="1:14">
      <c r="A305" s="224" t="s">
        <v>4240</v>
      </c>
      <c r="B305" s="81"/>
      <c r="C305" s="81"/>
      <c r="D305" s="82"/>
      <c r="E305" s="78"/>
      <c r="F305" s="79">
        <v>0</v>
      </c>
      <c r="G305" s="80">
        <f>F305*H269</f>
        <v>0</v>
      </c>
      <c r="H305" s="212"/>
    </row>
    <row r="306" spans="1:14">
      <c r="A306" s="224" t="s">
        <v>4</v>
      </c>
      <c r="B306" s="81"/>
      <c r="C306" s="81"/>
      <c r="D306" s="82"/>
      <c r="E306" s="78"/>
      <c r="F306" s="79">
        <v>0</v>
      </c>
      <c r="G306" s="80">
        <f>F306*H269</f>
        <v>0</v>
      </c>
      <c r="H306" s="212"/>
    </row>
    <row r="307" spans="1:14">
      <c r="A307" s="225"/>
      <c r="B307" s="83"/>
      <c r="C307" s="75"/>
      <c r="D307" s="84"/>
      <c r="E307" s="85"/>
      <c r="F307" s="86"/>
      <c r="G307" s="87"/>
      <c r="H307" s="214"/>
    </row>
    <row r="308" spans="1:14">
      <c r="A308" s="226"/>
      <c r="B308" s="83"/>
      <c r="C308" s="83"/>
      <c r="D308" s="84"/>
      <c r="E308" s="88"/>
      <c r="F308" s="563" t="s">
        <v>4241</v>
      </c>
      <c r="G308" s="564"/>
      <c r="H308" s="233">
        <f>H269+G304+G305+G306</f>
        <v>2888334.0772500001</v>
      </c>
    </row>
    <row r="310" spans="1:14" ht="16.5">
      <c r="A310" s="90"/>
      <c r="B310" s="90"/>
      <c r="C310" s="90"/>
      <c r="D310" s="90"/>
      <c r="E310" s="90"/>
      <c r="F310" s="90"/>
      <c r="G310" s="90"/>
      <c r="H310" s="381"/>
    </row>
    <row r="311" spans="1:14">
      <c r="A311" s="579" t="s">
        <v>4225</v>
      </c>
      <c r="B311" s="580"/>
      <c r="C311" s="580"/>
      <c r="D311" s="580"/>
      <c r="E311" s="580"/>
      <c r="F311" s="580"/>
      <c r="G311" s="580"/>
      <c r="H311" s="581"/>
    </row>
    <row r="312" spans="1:14" ht="16.5">
      <c r="A312" s="91"/>
      <c r="B312" s="92"/>
      <c r="C312" s="92"/>
      <c r="D312" s="92"/>
      <c r="E312" s="92"/>
      <c r="F312" s="93"/>
      <c r="G312" s="94"/>
      <c r="H312" s="380">
        <f>ROUND((30/60)/8,4)</f>
        <v>6.25E-2</v>
      </c>
      <c r="I312" s="115"/>
    </row>
    <row r="313" spans="1:14">
      <c r="A313" s="582" t="s">
        <v>4220</v>
      </c>
      <c r="B313" s="584" t="str">
        <f>COSTOS!$C$14</f>
        <v>MODERNIZACION A TECNOLOGIA LED</v>
      </c>
      <c r="C313" s="584"/>
      <c r="D313" s="584"/>
      <c r="E313" s="584"/>
      <c r="F313" s="584"/>
      <c r="G313" s="584"/>
      <c r="H313" s="585" t="s">
        <v>4221</v>
      </c>
    </row>
    <row r="314" spans="1:14">
      <c r="A314" s="583"/>
      <c r="B314" s="584"/>
      <c r="C314" s="584"/>
      <c r="D314" s="584"/>
      <c r="E314" s="584"/>
      <c r="F314" s="584"/>
      <c r="G314" s="584"/>
      <c r="H314" s="585"/>
    </row>
    <row r="315" spans="1:14">
      <c r="A315" s="583"/>
      <c r="B315" s="584"/>
      <c r="C315" s="584"/>
      <c r="D315" s="584"/>
      <c r="E315" s="584"/>
      <c r="F315" s="584"/>
      <c r="G315" s="584"/>
      <c r="H315" s="585"/>
    </row>
    <row r="316" spans="1:14" ht="15" customHeight="1">
      <c r="A316" s="583"/>
      <c r="B316" s="584"/>
      <c r="C316" s="584"/>
      <c r="D316" s="584"/>
      <c r="E316" s="584"/>
      <c r="F316" s="584"/>
      <c r="G316" s="584"/>
      <c r="H316" s="216">
        <f ca="1">TODAY()</f>
        <v>44889</v>
      </c>
      <c r="K316" t="s">
        <v>4391</v>
      </c>
      <c r="L316" t="s">
        <v>4392</v>
      </c>
      <c r="M316" t="s">
        <v>4393</v>
      </c>
      <c r="N316" t="s">
        <v>4394</v>
      </c>
    </row>
    <row r="317" spans="1:14" ht="60.75" customHeight="1">
      <c r="A317" s="228" t="s">
        <v>4222</v>
      </c>
      <c r="B317" s="565" t="str">
        <f>COSTOS!$D$16</f>
        <v>Luminarias</v>
      </c>
      <c r="C317" s="565"/>
      <c r="D317" s="565"/>
      <c r="E317" s="565"/>
      <c r="F317" s="565"/>
      <c r="G317" s="70" t="s">
        <v>4223</v>
      </c>
      <c r="H317" s="387">
        <v>1.6</v>
      </c>
      <c r="K317" s="62">
        <f>H342</f>
        <v>3338073.0460000006</v>
      </c>
      <c r="L317" s="62">
        <f>H352</f>
        <v>22484</v>
      </c>
      <c r="M317" s="62">
        <f>H325</f>
        <v>4034.53125</v>
      </c>
      <c r="N317" s="62">
        <f>H346</f>
        <v>4800</v>
      </c>
    </row>
    <row r="318" spans="1:14" ht="43.15" customHeight="1">
      <c r="A318" s="229" t="s">
        <v>4224</v>
      </c>
      <c r="B318" s="566" t="str">
        <f>VLOOKUP(H317,COSTOS!C:M,2,0)</f>
        <v>Reflector LED 210w</v>
      </c>
      <c r="C318" s="567"/>
      <c r="D318" s="567"/>
      <c r="E318" s="568"/>
      <c r="F318" s="71" t="s">
        <v>0</v>
      </c>
      <c r="G318" s="356" t="str">
        <f>VLOOKUP(H317,COSTOS!C:M,8,0)</f>
        <v>Und</v>
      </c>
      <c r="H318" s="276"/>
      <c r="I318" s="306"/>
      <c r="J318" s="308"/>
      <c r="K318" s="308"/>
      <c r="L318" s="308"/>
    </row>
    <row r="319" spans="1:14">
      <c r="A319" s="230"/>
      <c r="B319" s="112"/>
      <c r="C319" s="112"/>
      <c r="D319" s="112"/>
      <c r="E319" s="113"/>
      <c r="F319" s="114" t="s">
        <v>1</v>
      </c>
      <c r="G319" s="356">
        <f>VLOOKUP(H317,COSTOS!C:M,9,0)</f>
        <v>1</v>
      </c>
      <c r="H319" s="357"/>
      <c r="I319" s="307"/>
    </row>
    <row r="320" spans="1:14" ht="16.5">
      <c r="A320" s="231" t="s">
        <v>4226</v>
      </c>
      <c r="B320" s="75"/>
      <c r="C320" s="75"/>
      <c r="D320" s="76"/>
      <c r="E320" s="209"/>
      <c r="F320" s="210"/>
      <c r="G320" s="211" t="s">
        <v>4227</v>
      </c>
      <c r="H320" s="217">
        <f>H325+H342+H346+H352</f>
        <v>3369391.5772500006</v>
      </c>
    </row>
    <row r="321" spans="1:15" ht="39">
      <c r="A321" s="569" t="s">
        <v>4224</v>
      </c>
      <c r="B321" s="569"/>
      <c r="C321" s="569"/>
      <c r="D321" s="77" t="s">
        <v>0</v>
      </c>
      <c r="E321" s="207" t="s">
        <v>4228</v>
      </c>
      <c r="F321" s="208" t="s">
        <v>4215</v>
      </c>
      <c r="G321" s="74" t="s">
        <v>2</v>
      </c>
      <c r="H321" s="218" t="s">
        <v>4229</v>
      </c>
      <c r="K321" s="309"/>
    </row>
    <row r="322" spans="1:15">
      <c r="A322" s="536" t="s">
        <v>3946</v>
      </c>
      <c r="B322" s="570" t="str">
        <f>VLOOKUP(A322,'Equip, Herr y Transp'!$B$2:$D$739,2,0)</f>
        <v>EQU</v>
      </c>
      <c r="C322" s="570"/>
      <c r="D322" s="95" t="str">
        <f>VLOOKUP(A322,'Equip, Herr y Transp'!$B$2:$D$218,2,0)</f>
        <v>EQU</v>
      </c>
      <c r="E322" s="95">
        <f>VLOOKUP(A322,'Equip, Herr y Transp'!$B$2:$D$218,3,0)</f>
        <v>14130</v>
      </c>
      <c r="F322" s="96">
        <f>H312</f>
        <v>6.25E-2</v>
      </c>
      <c r="G322" s="122">
        <f>F322*E322</f>
        <v>883.125</v>
      </c>
      <c r="H322" s="118"/>
    </row>
    <row r="323" spans="1:15">
      <c r="A323" s="536" t="s">
        <v>3904</v>
      </c>
      <c r="B323" s="570" t="str">
        <f>VLOOKUP(A323,'Equip, Herr y Transp'!$B$2:$D$739,2,0)</f>
        <v>EQU</v>
      </c>
      <c r="C323" s="570"/>
      <c r="D323" s="95" t="str">
        <f>VLOOKUP(A323,'Equip, Herr y Transp'!$B$2:$D$218,2,0)</f>
        <v>EQU</v>
      </c>
      <c r="E323" s="95">
        <f>VLOOKUP(A323,'Equip, Herr y Transp'!$B$2:$D$218,3,0)</f>
        <v>26672.5</v>
      </c>
      <c r="F323" s="96">
        <f>H312</f>
        <v>6.25E-2</v>
      </c>
      <c r="G323" s="122">
        <f>F323*E323</f>
        <v>1667.03125</v>
      </c>
      <c r="H323" s="117"/>
    </row>
    <row r="324" spans="1:15">
      <c r="A324" s="536" t="s">
        <v>3937</v>
      </c>
      <c r="B324" s="570" t="str">
        <f>VLOOKUP(A324,'Equip, Herr y Transp'!$B$2:$D$739,2,0)</f>
        <v>EQU</v>
      </c>
      <c r="C324" s="570"/>
      <c r="D324" s="95" t="str">
        <f>VLOOKUP(A324,'Equip, Herr y Transp'!$B$2:$D$218,2,0)</f>
        <v>EQU</v>
      </c>
      <c r="E324" s="95">
        <f>VLOOKUP(A324,'Equip, Herr y Transp'!$B$2:$D$218,3,0)</f>
        <v>23750</v>
      </c>
      <c r="F324" s="96">
        <f>H312</f>
        <v>6.25E-2</v>
      </c>
      <c r="G324" s="122">
        <f>F324*E324</f>
        <v>1484.375</v>
      </c>
      <c r="H324" s="117"/>
    </row>
    <row r="325" spans="1:15" ht="16.5">
      <c r="A325" s="540" t="s">
        <v>4100</v>
      </c>
      <c r="B325" s="541"/>
      <c r="C325" s="541"/>
      <c r="D325" s="541"/>
      <c r="E325" s="541"/>
      <c r="F325" s="541"/>
      <c r="G325" s="541"/>
      <c r="H325" s="97">
        <f>SUM(G322:G324)</f>
        <v>4034.53125</v>
      </c>
    </row>
    <row r="326" spans="1:15" ht="16.5">
      <c r="A326" s="571" t="s">
        <v>4230</v>
      </c>
      <c r="B326" s="572"/>
      <c r="C326" s="572"/>
      <c r="D326" s="572"/>
      <c r="E326" s="572"/>
      <c r="F326" s="572"/>
      <c r="G326" s="572"/>
      <c r="H326" s="573"/>
      <c r="K326" s="56"/>
      <c r="L326" s="56"/>
      <c r="M326" s="56"/>
      <c r="N326" s="56"/>
      <c r="O326" s="56"/>
    </row>
    <row r="327" spans="1:15" ht="30" customHeight="1">
      <c r="A327" s="574" t="s">
        <v>7</v>
      </c>
      <c r="B327" s="575"/>
      <c r="C327" s="109" t="s">
        <v>0</v>
      </c>
      <c r="D327" s="110" t="s">
        <v>4098</v>
      </c>
      <c r="E327" s="111" t="s">
        <v>1</v>
      </c>
      <c r="F327" s="576" t="s">
        <v>4218</v>
      </c>
      <c r="G327" s="576"/>
      <c r="H327" s="215"/>
      <c r="K327" s="56"/>
      <c r="L327" s="56"/>
      <c r="M327" s="56"/>
      <c r="N327" s="56"/>
      <c r="O327" s="56"/>
    </row>
    <row r="328" spans="1:15">
      <c r="A328" s="577" t="s">
        <v>4577</v>
      </c>
      <c r="B328" s="578"/>
      <c r="C328" s="98" t="str">
        <f>VLOOKUP(A328,'Materiales '!$C$2:$F$1302,3,0)</f>
        <v>Und</v>
      </c>
      <c r="D328" s="99">
        <f>VLOOKUP(A328,'Materiales '!$C$2:$F$1302,4,0)</f>
        <v>3174979.5000000005</v>
      </c>
      <c r="E328" s="100">
        <v>1</v>
      </c>
      <c r="F328" s="538">
        <f>E328*D328</f>
        <v>3174979.5000000005</v>
      </c>
      <c r="G328" s="539"/>
      <c r="H328" s="121"/>
      <c r="I328">
        <f>E328*G319</f>
        <v>1</v>
      </c>
      <c r="J328" s="67"/>
      <c r="K328" s="56"/>
      <c r="L328" s="56"/>
      <c r="M328" s="56"/>
      <c r="N328" s="56"/>
      <c r="O328" s="56"/>
    </row>
    <row r="329" spans="1:15">
      <c r="A329" s="577" t="s">
        <v>4214</v>
      </c>
      <c r="B329" s="578"/>
      <c r="C329" s="98" t="str">
        <f>VLOOKUP(A329,'Materiales '!$C$2:$F$1302,3,0)</f>
        <v>Und</v>
      </c>
      <c r="D329" s="99">
        <f>VLOOKUP(A329,'Materiales '!$C$2:$F$1302,4,0)</f>
        <v>22848</v>
      </c>
      <c r="E329" s="100">
        <v>1</v>
      </c>
      <c r="F329" s="538">
        <f t="shared" ref="F329:F335" si="19">E329*D329</f>
        <v>22848</v>
      </c>
      <c r="G329" s="539"/>
      <c r="H329" s="121"/>
      <c r="I329">
        <f>E329*G319</f>
        <v>1</v>
      </c>
      <c r="J329" s="67"/>
      <c r="K329" s="56"/>
      <c r="L329" s="56"/>
      <c r="M329" s="56"/>
      <c r="N329" s="56"/>
      <c r="O329" s="56"/>
    </row>
    <row r="330" spans="1:15">
      <c r="A330" s="536" t="s">
        <v>4484</v>
      </c>
      <c r="B330" s="537" t="str">
        <f>VLOOKUP(A330,'Materiales '!$C$2:$F$1302,3,0)</f>
        <v>Und</v>
      </c>
      <c r="C330" s="98" t="str">
        <f>VLOOKUP(A330,'Materiales '!$C$2:$F$1302,3,0)</f>
        <v>Und</v>
      </c>
      <c r="D330" s="99">
        <f>VLOOKUP(A330,'Materiales '!$C$2:$F$1302,4,0)</f>
        <v>21705.599999999999</v>
      </c>
      <c r="E330" s="100">
        <v>2</v>
      </c>
      <c r="F330" s="538">
        <f t="shared" si="19"/>
        <v>43411.199999999997</v>
      </c>
      <c r="G330" s="539"/>
      <c r="H330" s="121"/>
      <c r="I330">
        <f>E330*G319</f>
        <v>2</v>
      </c>
      <c r="J330" s="68"/>
      <c r="K330" s="56"/>
      <c r="L330" s="56"/>
      <c r="M330" s="56"/>
      <c r="N330" s="56"/>
      <c r="O330" s="56"/>
    </row>
    <row r="331" spans="1:15">
      <c r="A331" s="536" t="s">
        <v>4489</v>
      </c>
      <c r="B331" s="537" t="str">
        <f>VLOOKUP(A331,'Materiales '!$C$2:$F$1302,3,0)</f>
        <v>Und</v>
      </c>
      <c r="C331" s="98" t="str">
        <f>VLOOKUP(A331,'Materiales '!$C$2:$F$1302,3,0)</f>
        <v>Und</v>
      </c>
      <c r="D331" s="99">
        <f>VLOOKUP(A331,'Materiales '!$C$2:$F$1302,4,0)</f>
        <v>8039.6399999999994</v>
      </c>
      <c r="E331" s="100">
        <v>3</v>
      </c>
      <c r="F331" s="538">
        <f t="shared" si="19"/>
        <v>24118.92</v>
      </c>
      <c r="G331" s="539"/>
      <c r="H331" s="121"/>
      <c r="I331">
        <f>E331*G319</f>
        <v>3</v>
      </c>
      <c r="J331" s="68"/>
      <c r="K331" s="56"/>
      <c r="L331" s="56"/>
      <c r="M331" s="56"/>
      <c r="N331" s="56"/>
      <c r="O331" s="56"/>
    </row>
    <row r="332" spans="1:15">
      <c r="A332" s="536" t="s">
        <v>4554</v>
      </c>
      <c r="B332" s="537" t="str">
        <f>VLOOKUP(A332,'Materiales '!$C$2:$F$1302,3,0)</f>
        <v>Und</v>
      </c>
      <c r="C332" s="98" t="str">
        <f>VLOOKUP(A332,'Materiales '!$C$2:$F$1302,3,0)</f>
        <v>Und</v>
      </c>
      <c r="D332" s="99">
        <f>VLOOKUP(A332,'Materiales '!$C$2:$F$1302,4,0)</f>
        <v>2535.5329999999999</v>
      </c>
      <c r="E332" s="100">
        <v>2</v>
      </c>
      <c r="F332" s="538">
        <f t="shared" si="19"/>
        <v>5071.0659999999998</v>
      </c>
      <c r="G332" s="539"/>
      <c r="H332" s="121"/>
      <c r="I332">
        <f>E332*G319</f>
        <v>2</v>
      </c>
      <c r="J332" s="68"/>
      <c r="K332" s="56"/>
      <c r="L332" s="56"/>
      <c r="M332" s="56"/>
      <c r="N332" s="56"/>
      <c r="O332" s="56"/>
    </row>
    <row r="333" spans="1:15">
      <c r="A333" s="536" t="s">
        <v>4450</v>
      </c>
      <c r="B333" s="537" t="str">
        <f>VLOOKUP(A333,'Materiales '!$C$2:$F$1302,3,0)</f>
        <v>Ml</v>
      </c>
      <c r="C333" s="98" t="str">
        <f>VLOOKUP(A333,'Materiales '!$C$2:$F$1302,3,0)</f>
        <v>Ml</v>
      </c>
      <c r="D333" s="99">
        <f>VLOOKUP(A333,'Materiales '!$C$2:$F$1302,4,0)</f>
        <v>6791.5679999999993</v>
      </c>
      <c r="E333" s="100">
        <v>1</v>
      </c>
      <c r="F333" s="538">
        <f t="shared" si="19"/>
        <v>6791.5679999999993</v>
      </c>
      <c r="G333" s="539"/>
      <c r="H333" s="121"/>
      <c r="I333">
        <f>E333*G319</f>
        <v>1</v>
      </c>
      <c r="J333" s="68"/>
      <c r="K333" s="56"/>
      <c r="L333" s="56"/>
      <c r="M333" s="56"/>
      <c r="N333" s="56"/>
      <c r="O333" s="56"/>
    </row>
    <row r="334" spans="1:15">
      <c r="A334" s="536" t="s">
        <v>4493</v>
      </c>
      <c r="B334" s="537" t="str">
        <f>VLOOKUP(A334,'Materiales '!$C$2:$F$1302,3,0)</f>
        <v>Und</v>
      </c>
      <c r="C334" s="98" t="str">
        <f>VLOOKUP(A334,'Materiales '!$C$2:$F$1302,3,0)</f>
        <v>Und</v>
      </c>
      <c r="D334" s="99">
        <f>VLOOKUP(A334,'Materiales '!$C$2:$F$1302,4,0)</f>
        <v>232.76399999999998</v>
      </c>
      <c r="E334" s="100">
        <v>3</v>
      </c>
      <c r="F334" s="538">
        <f t="shared" si="19"/>
        <v>698.29199999999992</v>
      </c>
      <c r="G334" s="539"/>
      <c r="H334" s="121"/>
      <c r="I334">
        <f>E334*G319</f>
        <v>3</v>
      </c>
      <c r="J334" s="68"/>
      <c r="K334" s="56"/>
      <c r="L334" s="56"/>
      <c r="M334" s="56"/>
      <c r="N334" s="56"/>
      <c r="O334" s="56"/>
    </row>
    <row r="335" spans="1:15" ht="21.75" customHeight="1">
      <c r="A335" s="536" t="s">
        <v>4498</v>
      </c>
      <c r="B335" s="537" t="str">
        <f>VLOOKUP(A335,'Materiales '!$C$2:$F$1302,3,0)</f>
        <v>Und</v>
      </c>
      <c r="C335" s="98" t="str">
        <f>VLOOKUP(A335,'Materiales '!$C$2:$F$1302,3,0)</f>
        <v>Und</v>
      </c>
      <c r="D335" s="99">
        <f>VLOOKUP(A335,'Materiales '!$C$2:$F$1302,4,0)</f>
        <v>120309</v>
      </c>
      <c r="E335" s="100">
        <v>0.5</v>
      </c>
      <c r="F335" s="538">
        <f t="shared" si="19"/>
        <v>60154.5</v>
      </c>
      <c r="G335" s="539"/>
      <c r="H335" s="121"/>
      <c r="I335">
        <f>E335*G319</f>
        <v>0.5</v>
      </c>
      <c r="J335" s="68"/>
      <c r="K335" s="56"/>
      <c r="L335" s="56"/>
      <c r="M335" s="56"/>
      <c r="N335" s="56"/>
      <c r="O335" s="56"/>
    </row>
    <row r="336" spans="1:15">
      <c r="A336" s="536" t="s">
        <v>8</v>
      </c>
      <c r="B336" s="537" t="str">
        <f>VLOOKUP(A336,'Materiales '!$C$2:$F$1302,3,0)</f>
        <v>-</v>
      </c>
      <c r="C336" s="98" t="str">
        <f>VLOOKUP(A336,'Materiales '!$C$2:$F$1302,3,0)</f>
        <v>-</v>
      </c>
      <c r="D336" s="99">
        <f>VLOOKUP(A336,'Materiales '!$C$2:$F$1302,4,0)</f>
        <v>0</v>
      </c>
      <c r="E336" s="100"/>
      <c r="F336" s="538">
        <f>E336*D336</f>
        <v>0</v>
      </c>
      <c r="G336" s="539"/>
      <c r="H336" s="120"/>
      <c r="I336">
        <f>E336*G319</f>
        <v>0</v>
      </c>
      <c r="J336" s="68"/>
      <c r="K336" s="56"/>
      <c r="L336" s="56"/>
      <c r="M336" s="56"/>
      <c r="N336" s="56"/>
      <c r="O336" s="56"/>
    </row>
    <row r="337" spans="1:15">
      <c r="A337" s="536" t="s">
        <v>8</v>
      </c>
      <c r="B337" s="537" t="str">
        <f>VLOOKUP(A337,'Materiales '!$C$2:$F$1302,3,0)</f>
        <v>-</v>
      </c>
      <c r="C337" s="98" t="str">
        <f>VLOOKUP(A337,'Materiales '!$C$2:$F$1302,3,0)</f>
        <v>-</v>
      </c>
      <c r="D337" s="99">
        <f>VLOOKUP(A337,'Materiales '!$C$2:$F$1302,4,0)</f>
        <v>0</v>
      </c>
      <c r="E337" s="100"/>
      <c r="F337" s="538">
        <f t="shared" ref="F337:F340" si="20">E337*D337</f>
        <v>0</v>
      </c>
      <c r="G337" s="539"/>
      <c r="H337" s="121"/>
      <c r="I337">
        <f>E337*G319</f>
        <v>0</v>
      </c>
      <c r="J337" s="68"/>
      <c r="K337" s="56"/>
      <c r="L337" s="56"/>
      <c r="M337" s="56"/>
      <c r="N337" s="56"/>
      <c r="O337" s="56"/>
    </row>
    <row r="338" spans="1:15">
      <c r="A338" s="536" t="s">
        <v>8</v>
      </c>
      <c r="B338" s="537" t="str">
        <f>VLOOKUP(A338,'Materiales '!$C$2:$F$1302,3,0)</f>
        <v>-</v>
      </c>
      <c r="C338" s="98" t="str">
        <f>VLOOKUP(A338,'Materiales '!$C$2:$F$1302,3,0)</f>
        <v>-</v>
      </c>
      <c r="D338" s="99">
        <f>VLOOKUP(A338,'Materiales '!$C$2:$F$1302,4,0)</f>
        <v>0</v>
      </c>
      <c r="E338" s="100"/>
      <c r="F338" s="538">
        <f t="shared" si="20"/>
        <v>0</v>
      </c>
      <c r="G338" s="539"/>
      <c r="H338" s="121"/>
      <c r="I338">
        <f>E338*G319</f>
        <v>0</v>
      </c>
      <c r="J338" s="68"/>
      <c r="K338" s="56"/>
      <c r="L338" s="56"/>
      <c r="M338" s="56"/>
      <c r="N338" s="56"/>
      <c r="O338" s="56"/>
    </row>
    <row r="339" spans="1:15">
      <c r="A339" s="536" t="s">
        <v>8</v>
      </c>
      <c r="B339" s="537" t="str">
        <f>VLOOKUP(A339,'Materiales '!$C$2:$F$1302,3,0)</f>
        <v>-</v>
      </c>
      <c r="C339" s="98" t="str">
        <f>VLOOKUP(A339,'Materiales '!$C$2:$F$1302,3,0)</f>
        <v>-</v>
      </c>
      <c r="D339" s="99">
        <f>VLOOKUP(A339,'Materiales '!$C$2:$F$1302,4,0)</f>
        <v>0</v>
      </c>
      <c r="E339" s="100"/>
      <c r="F339" s="538">
        <f t="shared" si="20"/>
        <v>0</v>
      </c>
      <c r="G339" s="539"/>
      <c r="H339" s="121"/>
      <c r="I339">
        <f>E339*G319</f>
        <v>0</v>
      </c>
      <c r="J339" s="68"/>
      <c r="K339" s="56"/>
      <c r="L339" s="56"/>
      <c r="M339" s="56"/>
      <c r="N339" s="56"/>
      <c r="O339" s="56"/>
    </row>
    <row r="340" spans="1:15">
      <c r="A340" s="536" t="s">
        <v>8</v>
      </c>
      <c r="B340" s="537" t="str">
        <f>VLOOKUP(A340,'Materiales '!$C$2:$F$1302,3,0)</f>
        <v>-</v>
      </c>
      <c r="C340" s="98" t="str">
        <f>VLOOKUP(A340,'Materiales '!$C$2:$F$1302,3,0)</f>
        <v>-</v>
      </c>
      <c r="D340" s="99">
        <f>VLOOKUP(A340,'Materiales '!$C$2:$F$1302,4,0)</f>
        <v>0</v>
      </c>
      <c r="E340" s="100"/>
      <c r="F340" s="538">
        <f t="shared" si="20"/>
        <v>0</v>
      </c>
      <c r="G340" s="539"/>
      <c r="H340" s="121"/>
      <c r="I340">
        <f>E340*G319</f>
        <v>0</v>
      </c>
      <c r="J340" s="68"/>
      <c r="K340" s="56"/>
      <c r="L340" s="56"/>
      <c r="M340" s="56"/>
      <c r="N340" s="56"/>
      <c r="O340" s="56"/>
    </row>
    <row r="341" spans="1:15">
      <c r="A341" s="536" t="s">
        <v>8</v>
      </c>
      <c r="B341" s="537" t="str">
        <f>VLOOKUP(A341,'Materiales '!$C$2:$F$1302,3,0)</f>
        <v>-</v>
      </c>
      <c r="C341" s="98" t="str">
        <f>VLOOKUP(A341,'Materiales '!$C$2:$F$1302,3,0)</f>
        <v>-</v>
      </c>
      <c r="D341" s="99">
        <f>VLOOKUP(A341,'Materiales '!$C$2:$F$1302,4,0)</f>
        <v>0</v>
      </c>
      <c r="E341" s="100"/>
      <c r="F341" s="538">
        <f>E341*D341</f>
        <v>0</v>
      </c>
      <c r="G341" s="539"/>
      <c r="H341" s="120"/>
      <c r="I341">
        <f>E341*G319</f>
        <v>0</v>
      </c>
      <c r="J341" s="68"/>
      <c r="K341" s="56"/>
      <c r="L341" s="56"/>
      <c r="M341" s="56"/>
      <c r="N341" s="56"/>
      <c r="O341" s="56"/>
    </row>
    <row r="342" spans="1:15" ht="16.5">
      <c r="A342" s="540" t="s">
        <v>4099</v>
      </c>
      <c r="B342" s="541"/>
      <c r="C342" s="541"/>
      <c r="D342" s="541"/>
      <c r="E342" s="541"/>
      <c r="F342" s="541"/>
      <c r="G342" s="542"/>
      <c r="H342" s="116">
        <f>SUM(F328:F341)</f>
        <v>3338073.0460000006</v>
      </c>
      <c r="J342" s="68"/>
      <c r="K342" s="56"/>
      <c r="L342" s="56"/>
      <c r="M342" s="56"/>
      <c r="N342" s="56"/>
      <c r="O342" s="56"/>
    </row>
    <row r="343" spans="1:15" ht="16.5">
      <c r="A343" s="543" t="s">
        <v>4231</v>
      </c>
      <c r="B343" s="544"/>
      <c r="C343" s="544"/>
      <c r="D343" s="544"/>
      <c r="E343" s="545"/>
      <c r="F343" s="544"/>
      <c r="G343" s="544"/>
      <c r="H343" s="546"/>
      <c r="J343" s="68"/>
      <c r="K343" s="56"/>
      <c r="L343" s="56"/>
      <c r="M343" s="56"/>
      <c r="N343" s="56"/>
      <c r="O343" s="56"/>
    </row>
    <row r="344" spans="1:15">
      <c r="A344" s="547" t="s">
        <v>7</v>
      </c>
      <c r="B344" s="548"/>
      <c r="C344" s="108" t="s">
        <v>4232</v>
      </c>
      <c r="D344" s="107" t="s">
        <v>4233</v>
      </c>
      <c r="E344" s="206" t="s">
        <v>4234</v>
      </c>
      <c r="F344" s="549" t="s">
        <v>4218</v>
      </c>
      <c r="G344" s="549"/>
      <c r="H344" s="119"/>
      <c r="K344" s="56"/>
      <c r="L344" s="56"/>
      <c r="M344" s="56"/>
      <c r="N344" s="56"/>
      <c r="O344" s="56"/>
    </row>
    <row r="345" spans="1:15">
      <c r="A345" s="550" t="s">
        <v>3928</v>
      </c>
      <c r="B345" s="551"/>
      <c r="C345" s="232">
        <v>1</v>
      </c>
      <c r="D345" s="102">
        <v>0.03</v>
      </c>
      <c r="E345" s="103">
        <f>VLOOKUP(A345,'Equip, Herr y Transp'!$B$2:$D$218,3,0)</f>
        <v>160000</v>
      </c>
      <c r="F345" s="552">
        <f>E345*D345*C345</f>
        <v>4800</v>
      </c>
      <c r="G345" s="553"/>
      <c r="H345" s="117"/>
      <c r="M345" s="56"/>
    </row>
    <row r="346" spans="1:15" ht="16.5">
      <c r="A346" s="554" t="s">
        <v>4216</v>
      </c>
      <c r="B346" s="555"/>
      <c r="C346" s="555"/>
      <c r="D346" s="555"/>
      <c r="E346" s="555"/>
      <c r="F346" s="555"/>
      <c r="G346" s="555"/>
      <c r="H346" s="105">
        <f>F345</f>
        <v>4800</v>
      </c>
    </row>
    <row r="347" spans="1:15" ht="16.5">
      <c r="A347" s="543" t="s">
        <v>4235</v>
      </c>
      <c r="B347" s="544"/>
      <c r="C347" s="544"/>
      <c r="D347" s="544"/>
      <c r="E347" s="544"/>
      <c r="F347" s="544"/>
      <c r="G347" s="544"/>
      <c r="H347" s="546"/>
    </row>
    <row r="348" spans="1:15">
      <c r="A348" s="547" t="s">
        <v>7</v>
      </c>
      <c r="B348" s="548"/>
      <c r="C348" s="106" t="s">
        <v>1</v>
      </c>
      <c r="D348" s="107" t="s">
        <v>4236</v>
      </c>
      <c r="E348" s="108" t="s">
        <v>4215</v>
      </c>
      <c r="F348" s="547" t="s">
        <v>5</v>
      </c>
      <c r="G348" s="556"/>
      <c r="H348" s="119"/>
    </row>
    <row r="349" spans="1:15">
      <c r="A349" s="550" t="s">
        <v>4196</v>
      </c>
      <c r="B349" s="551"/>
      <c r="C349" s="101">
        <v>1</v>
      </c>
      <c r="D349" s="104">
        <f>VLOOKUP(A349,'Mano Obra'!$B$2:$T$117,19,0)</f>
        <v>166624</v>
      </c>
      <c r="E349" s="246">
        <f>H312</f>
        <v>6.25E-2</v>
      </c>
      <c r="F349" s="538">
        <f>E349*D349*C349</f>
        <v>10414</v>
      </c>
      <c r="G349" s="557"/>
      <c r="H349" s="121"/>
      <c r="I349" s="69"/>
      <c r="J349" s="136">
        <f>((('Mano Obra'!$M$4/30)*F349)/D349)*G319</f>
        <v>676.29972569444442</v>
      </c>
    </row>
    <row r="350" spans="1:15">
      <c r="A350" s="558" t="s">
        <v>4197</v>
      </c>
      <c r="B350" s="559">
        <f>VLOOKUP(A350,'Mano Obra'!$B$3:$D$290,2,0)</f>
        <v>2090000.0000000002</v>
      </c>
      <c r="C350" s="101">
        <v>1</v>
      </c>
      <c r="D350" s="104">
        <f>VLOOKUP(A350,'Mano Obra'!$B$2:$T$117,19,0)</f>
        <v>120456</v>
      </c>
      <c r="E350" s="246">
        <f>H312</f>
        <v>6.25E-2</v>
      </c>
      <c r="F350" s="538">
        <f t="shared" ref="F350:F351" si="21">E350*D350*C350</f>
        <v>7528.5</v>
      </c>
      <c r="G350" s="557"/>
      <c r="H350" s="121"/>
      <c r="J350" s="136">
        <f>((('Mano Obra'!$M$5/30)*F350)/D350)*G319</f>
        <v>676.29972569444442</v>
      </c>
    </row>
    <row r="351" spans="1:15">
      <c r="A351" s="558" t="s">
        <v>4186</v>
      </c>
      <c r="B351" s="559">
        <f>VLOOKUP(A351,'Mano Obra'!$B$3:$D$290,2,0)</f>
        <v>1100000</v>
      </c>
      <c r="C351" s="101">
        <v>1</v>
      </c>
      <c r="D351" s="104">
        <f>VLOOKUP(A351,'Mano Obra'!$B$2:$T$117,19,0)</f>
        <v>72664</v>
      </c>
      <c r="E351" s="246">
        <f>H312</f>
        <v>6.25E-2</v>
      </c>
      <c r="F351" s="538">
        <f t="shared" si="21"/>
        <v>4541.5</v>
      </c>
      <c r="G351" s="557"/>
      <c r="H351" s="120"/>
      <c r="J351" s="136">
        <f>((('Mano Obra'!$M$6/30)*F351)/D351)*G319</f>
        <v>676.29972569444442</v>
      </c>
    </row>
    <row r="352" spans="1:15" ht="16.5">
      <c r="A352" s="560" t="s">
        <v>4101</v>
      </c>
      <c r="B352" s="560"/>
      <c r="C352" s="560"/>
      <c r="D352" s="560"/>
      <c r="E352" s="560"/>
      <c r="F352" s="560"/>
      <c r="G352" s="560"/>
      <c r="H352" s="105">
        <f>SUM(F349:F351)</f>
        <v>22484</v>
      </c>
      <c r="J352" s="136"/>
    </row>
    <row r="353" spans="1:14">
      <c r="A353" s="227" t="s">
        <v>4237</v>
      </c>
      <c r="B353" s="205"/>
      <c r="C353" s="205"/>
      <c r="D353" s="202"/>
      <c r="E353" s="203"/>
      <c r="F353" s="204"/>
      <c r="G353" s="203"/>
      <c r="H353" s="212"/>
    </row>
    <row r="354" spans="1:14">
      <c r="A354" s="561" t="s">
        <v>4224</v>
      </c>
      <c r="B354" s="562"/>
      <c r="C354" s="562"/>
      <c r="D354" s="562"/>
      <c r="E354" s="200"/>
      <c r="F354" s="201" t="s">
        <v>4238</v>
      </c>
      <c r="G354" s="200" t="s">
        <v>4239</v>
      </c>
      <c r="H354" s="213"/>
    </row>
    <row r="355" spans="1:14">
      <c r="A355" s="223" t="s">
        <v>4097</v>
      </c>
      <c r="B355" s="72"/>
      <c r="C355" s="72"/>
      <c r="D355" s="73"/>
      <c r="E355" s="78"/>
      <c r="F355" s="79">
        <v>0</v>
      </c>
      <c r="G355" s="80">
        <f>F355*H320</f>
        <v>0</v>
      </c>
      <c r="H355" s="212"/>
    </row>
    <row r="356" spans="1:14">
      <c r="A356" s="224" t="s">
        <v>4240</v>
      </c>
      <c r="B356" s="81"/>
      <c r="C356" s="81"/>
      <c r="D356" s="82"/>
      <c r="E356" s="78"/>
      <c r="F356" s="79">
        <v>0</v>
      </c>
      <c r="G356" s="80">
        <f>F356*H320</f>
        <v>0</v>
      </c>
      <c r="H356" s="212"/>
    </row>
    <row r="357" spans="1:14">
      <c r="A357" s="224" t="s">
        <v>4</v>
      </c>
      <c r="B357" s="81"/>
      <c r="C357" s="81"/>
      <c r="D357" s="82"/>
      <c r="E357" s="78"/>
      <c r="F357" s="79">
        <v>0</v>
      </c>
      <c r="G357" s="80">
        <f>F357*H320</f>
        <v>0</v>
      </c>
      <c r="H357" s="212"/>
    </row>
    <row r="358" spans="1:14">
      <c r="A358" s="225"/>
      <c r="B358" s="83"/>
      <c r="C358" s="75"/>
      <c r="D358" s="84"/>
      <c r="E358" s="85"/>
      <c r="F358" s="86"/>
      <c r="G358" s="87"/>
      <c r="H358" s="214"/>
    </row>
    <row r="359" spans="1:14">
      <c r="A359" s="226"/>
      <c r="B359" s="83"/>
      <c r="C359" s="83"/>
      <c r="D359" s="84"/>
      <c r="E359" s="88"/>
      <c r="F359" s="563" t="s">
        <v>4241</v>
      </c>
      <c r="G359" s="564"/>
      <c r="H359" s="233">
        <f>H320+G355+G356+G357</f>
        <v>3369391.5772500006</v>
      </c>
    </row>
    <row r="361" spans="1:14" ht="16.5">
      <c r="A361" s="90"/>
      <c r="B361" s="90"/>
      <c r="C361" s="90"/>
      <c r="D361" s="90"/>
      <c r="E361" s="90"/>
      <c r="F361" s="90"/>
      <c r="G361" s="90"/>
      <c r="H361" s="381"/>
    </row>
    <row r="362" spans="1:14">
      <c r="A362" s="579" t="s">
        <v>4225</v>
      </c>
      <c r="B362" s="580"/>
      <c r="C362" s="580"/>
      <c r="D362" s="580"/>
      <c r="E362" s="580"/>
      <c r="F362" s="580"/>
      <c r="G362" s="580"/>
      <c r="H362" s="581"/>
    </row>
    <row r="363" spans="1:14" ht="16.5">
      <c r="A363" s="91"/>
      <c r="B363" s="92"/>
      <c r="C363" s="92"/>
      <c r="D363" s="92"/>
      <c r="E363" s="92"/>
      <c r="F363" s="93"/>
      <c r="G363" s="94"/>
      <c r="H363" s="380">
        <f>ROUND((30/60)/8,4)</f>
        <v>6.25E-2</v>
      </c>
      <c r="I363" s="115"/>
    </row>
    <row r="364" spans="1:14">
      <c r="A364" s="582" t="s">
        <v>4220</v>
      </c>
      <c r="B364" s="584" t="str">
        <f>COSTOS!$C$14</f>
        <v>MODERNIZACION A TECNOLOGIA LED</v>
      </c>
      <c r="C364" s="584"/>
      <c r="D364" s="584"/>
      <c r="E364" s="584"/>
      <c r="F364" s="584"/>
      <c r="G364" s="584"/>
      <c r="H364" s="585" t="s">
        <v>4221</v>
      </c>
    </row>
    <row r="365" spans="1:14">
      <c r="A365" s="583"/>
      <c r="B365" s="584"/>
      <c r="C365" s="584"/>
      <c r="D365" s="584"/>
      <c r="E365" s="584"/>
      <c r="F365" s="584"/>
      <c r="G365" s="584"/>
      <c r="H365" s="585"/>
    </row>
    <row r="366" spans="1:14">
      <c r="A366" s="583"/>
      <c r="B366" s="584"/>
      <c r="C366" s="584"/>
      <c r="D366" s="584"/>
      <c r="E366" s="584"/>
      <c r="F366" s="584"/>
      <c r="G366" s="584"/>
      <c r="H366" s="585"/>
    </row>
    <row r="367" spans="1:14" ht="15" customHeight="1">
      <c r="A367" s="583"/>
      <c r="B367" s="584"/>
      <c r="C367" s="584"/>
      <c r="D367" s="584"/>
      <c r="E367" s="584"/>
      <c r="F367" s="584"/>
      <c r="G367" s="584"/>
      <c r="H367" s="216">
        <f ca="1">TODAY()</f>
        <v>44889</v>
      </c>
      <c r="K367" t="s">
        <v>4391</v>
      </c>
      <c r="L367" t="s">
        <v>4392</v>
      </c>
      <c r="M367" t="s">
        <v>4393</v>
      </c>
      <c r="N367" t="s">
        <v>4394</v>
      </c>
    </row>
    <row r="368" spans="1:14" ht="60.75" customHeight="1">
      <c r="A368" s="228" t="s">
        <v>4222</v>
      </c>
      <c r="B368" s="565" t="str">
        <f>COSTOS!$D$16</f>
        <v>Luminarias</v>
      </c>
      <c r="C368" s="565"/>
      <c r="D368" s="565"/>
      <c r="E368" s="565"/>
      <c r="F368" s="565"/>
      <c r="G368" s="70" t="s">
        <v>4223</v>
      </c>
      <c r="H368" s="387">
        <v>1.7</v>
      </c>
      <c r="K368" s="62">
        <f>H393</f>
        <v>5454726.0460000001</v>
      </c>
      <c r="L368" s="62">
        <f>H403</f>
        <v>22484</v>
      </c>
      <c r="M368" s="62">
        <f>H376</f>
        <v>4034.53125</v>
      </c>
      <c r="N368" s="62">
        <f>H397</f>
        <v>4800</v>
      </c>
    </row>
    <row r="369" spans="1:15" ht="43.15" customHeight="1">
      <c r="A369" s="229" t="s">
        <v>4224</v>
      </c>
      <c r="B369" s="566" t="str">
        <f>VLOOKUP(H368,COSTOS!C:M,2,0)</f>
        <v>Reflector LED 400w</v>
      </c>
      <c r="C369" s="567"/>
      <c r="D369" s="567"/>
      <c r="E369" s="568"/>
      <c r="F369" s="71" t="s">
        <v>0</v>
      </c>
      <c r="G369" s="356" t="str">
        <f>VLOOKUP(H368,COSTOS!C:M,8,0)</f>
        <v>Und</v>
      </c>
      <c r="H369" s="276"/>
      <c r="I369" s="306"/>
      <c r="J369" s="308"/>
      <c r="K369" s="308"/>
      <c r="L369" s="308"/>
    </row>
    <row r="370" spans="1:15">
      <c r="A370" s="230"/>
      <c r="B370" s="112"/>
      <c r="C370" s="112"/>
      <c r="D370" s="112"/>
      <c r="E370" s="113"/>
      <c r="F370" s="114" t="s">
        <v>1</v>
      </c>
      <c r="G370" s="356">
        <f>VLOOKUP(H368,COSTOS!C:M,9,0)</f>
        <v>1</v>
      </c>
      <c r="H370" s="357"/>
      <c r="I370" s="307"/>
    </row>
    <row r="371" spans="1:15" ht="16.5">
      <c r="A371" s="231" t="s">
        <v>4226</v>
      </c>
      <c r="B371" s="75"/>
      <c r="C371" s="75"/>
      <c r="D371" s="76"/>
      <c r="E371" s="209"/>
      <c r="F371" s="210"/>
      <c r="G371" s="211" t="s">
        <v>4227</v>
      </c>
      <c r="H371" s="217">
        <f>H376+H393+H397+H403</f>
        <v>5486044.5772500001</v>
      </c>
    </row>
    <row r="372" spans="1:15" ht="39">
      <c r="A372" s="569" t="s">
        <v>4224</v>
      </c>
      <c r="B372" s="569"/>
      <c r="C372" s="569"/>
      <c r="D372" s="77" t="s">
        <v>0</v>
      </c>
      <c r="E372" s="207" t="s">
        <v>4228</v>
      </c>
      <c r="F372" s="208" t="s">
        <v>4215</v>
      </c>
      <c r="G372" s="74" t="s">
        <v>2</v>
      </c>
      <c r="H372" s="218" t="s">
        <v>4229</v>
      </c>
      <c r="K372" s="309"/>
    </row>
    <row r="373" spans="1:15">
      <c r="A373" s="536" t="s">
        <v>3946</v>
      </c>
      <c r="B373" s="570" t="str">
        <f>VLOOKUP(A373,'Equip, Herr y Transp'!$B$2:$D$739,2,0)</f>
        <v>EQU</v>
      </c>
      <c r="C373" s="570"/>
      <c r="D373" s="95" t="str">
        <f>VLOOKUP(A373,'Equip, Herr y Transp'!$B$2:$D$218,2,0)</f>
        <v>EQU</v>
      </c>
      <c r="E373" s="95">
        <f>VLOOKUP(A373,'Equip, Herr y Transp'!$B$2:$D$218,3,0)</f>
        <v>14130</v>
      </c>
      <c r="F373" s="96">
        <f>H363</f>
        <v>6.25E-2</v>
      </c>
      <c r="G373" s="122">
        <f>F373*E373</f>
        <v>883.125</v>
      </c>
      <c r="H373" s="118"/>
    </row>
    <row r="374" spans="1:15">
      <c r="A374" s="536" t="s">
        <v>3904</v>
      </c>
      <c r="B374" s="570" t="str">
        <f>VLOOKUP(A374,'Equip, Herr y Transp'!$B$2:$D$739,2,0)</f>
        <v>EQU</v>
      </c>
      <c r="C374" s="570"/>
      <c r="D374" s="95" t="str">
        <f>VLOOKUP(A374,'Equip, Herr y Transp'!$B$2:$D$218,2,0)</f>
        <v>EQU</v>
      </c>
      <c r="E374" s="95">
        <f>VLOOKUP(A374,'Equip, Herr y Transp'!$B$2:$D$218,3,0)</f>
        <v>26672.5</v>
      </c>
      <c r="F374" s="96">
        <f>H363</f>
        <v>6.25E-2</v>
      </c>
      <c r="G374" s="122">
        <f>F374*E374</f>
        <v>1667.03125</v>
      </c>
      <c r="H374" s="117"/>
    </row>
    <row r="375" spans="1:15">
      <c r="A375" s="536" t="s">
        <v>3937</v>
      </c>
      <c r="B375" s="570" t="str">
        <f>VLOOKUP(A375,'Equip, Herr y Transp'!$B$2:$D$739,2,0)</f>
        <v>EQU</v>
      </c>
      <c r="C375" s="570"/>
      <c r="D375" s="95" t="str">
        <f>VLOOKUP(A375,'Equip, Herr y Transp'!$B$2:$D$218,2,0)</f>
        <v>EQU</v>
      </c>
      <c r="E375" s="95">
        <f>VLOOKUP(A375,'Equip, Herr y Transp'!$B$2:$D$218,3,0)</f>
        <v>23750</v>
      </c>
      <c r="F375" s="96">
        <f>H363</f>
        <v>6.25E-2</v>
      </c>
      <c r="G375" s="122">
        <f>F375*E375</f>
        <v>1484.375</v>
      </c>
      <c r="H375" s="117"/>
    </row>
    <row r="376" spans="1:15" ht="16.5">
      <c r="A376" s="540" t="s">
        <v>4100</v>
      </c>
      <c r="B376" s="541"/>
      <c r="C376" s="541"/>
      <c r="D376" s="541"/>
      <c r="E376" s="541"/>
      <c r="F376" s="541"/>
      <c r="G376" s="541"/>
      <c r="H376" s="97">
        <f>SUM(G373:G375)</f>
        <v>4034.53125</v>
      </c>
    </row>
    <row r="377" spans="1:15" ht="16.5">
      <c r="A377" s="571" t="s">
        <v>4230</v>
      </c>
      <c r="B377" s="572"/>
      <c r="C377" s="572"/>
      <c r="D377" s="572"/>
      <c r="E377" s="572"/>
      <c r="F377" s="572"/>
      <c r="G377" s="572"/>
      <c r="H377" s="573"/>
      <c r="K377" s="56"/>
      <c r="L377" s="56"/>
      <c r="M377" s="56"/>
      <c r="N377" s="56"/>
      <c r="O377" s="56"/>
    </row>
    <row r="378" spans="1:15" ht="30" customHeight="1">
      <c r="A378" s="574" t="s">
        <v>7</v>
      </c>
      <c r="B378" s="575"/>
      <c r="C378" s="109" t="s">
        <v>0</v>
      </c>
      <c r="D378" s="110" t="s">
        <v>4098</v>
      </c>
      <c r="E378" s="111" t="s">
        <v>1</v>
      </c>
      <c r="F378" s="576" t="s">
        <v>4218</v>
      </c>
      <c r="G378" s="576"/>
      <c r="H378" s="215"/>
      <c r="K378" s="56"/>
      <c r="L378" s="56"/>
      <c r="M378" s="56"/>
      <c r="N378" s="56"/>
      <c r="O378" s="56"/>
    </row>
    <row r="379" spans="1:15">
      <c r="A379" s="577" t="s">
        <v>4580</v>
      </c>
      <c r="B379" s="578"/>
      <c r="C379" s="98" t="str">
        <f>VLOOKUP(A379,'Materiales '!$C$2:$F$1302,3,0)</f>
        <v>Und</v>
      </c>
      <c r="D379" s="99">
        <f>VLOOKUP(A379,'Materiales '!$C$2:$F$1302,4,0)</f>
        <v>5291632.5</v>
      </c>
      <c r="E379" s="100">
        <v>1</v>
      </c>
      <c r="F379" s="538">
        <f>E379*D379</f>
        <v>5291632.5</v>
      </c>
      <c r="G379" s="539"/>
      <c r="H379" s="121"/>
      <c r="I379">
        <f>E379*G370</f>
        <v>1</v>
      </c>
      <c r="J379" s="67"/>
      <c r="K379" s="56"/>
      <c r="L379" s="56"/>
      <c r="M379" s="56"/>
      <c r="N379" s="56"/>
      <c r="O379" s="56"/>
    </row>
    <row r="380" spans="1:15">
      <c r="A380" s="577" t="s">
        <v>4214</v>
      </c>
      <c r="B380" s="578"/>
      <c r="C380" s="98" t="str">
        <f>VLOOKUP(A380,'Materiales '!$C$2:$F$1302,3,0)</f>
        <v>Und</v>
      </c>
      <c r="D380" s="99">
        <f>VLOOKUP(A380,'Materiales '!$C$2:$F$1302,4,0)</f>
        <v>22848</v>
      </c>
      <c r="E380" s="100">
        <v>1</v>
      </c>
      <c r="F380" s="538">
        <f t="shared" ref="F380:F386" si="22">E380*D380</f>
        <v>22848</v>
      </c>
      <c r="G380" s="539"/>
      <c r="H380" s="121"/>
      <c r="I380">
        <f>E380*G370</f>
        <v>1</v>
      </c>
      <c r="J380" s="67"/>
      <c r="K380" s="56"/>
      <c r="L380" s="56"/>
      <c r="M380" s="56"/>
      <c r="N380" s="56"/>
      <c r="O380" s="56"/>
    </row>
    <row r="381" spans="1:15">
      <c r="A381" s="536" t="s">
        <v>4484</v>
      </c>
      <c r="B381" s="537" t="str">
        <f>VLOOKUP(A381,'Materiales '!$C$2:$F$1302,3,0)</f>
        <v>Und</v>
      </c>
      <c r="C381" s="98" t="str">
        <f>VLOOKUP(A381,'Materiales '!$C$2:$F$1302,3,0)</f>
        <v>Und</v>
      </c>
      <c r="D381" s="99">
        <f>VLOOKUP(A381,'Materiales '!$C$2:$F$1302,4,0)</f>
        <v>21705.599999999999</v>
      </c>
      <c r="E381" s="100">
        <v>2</v>
      </c>
      <c r="F381" s="538">
        <f t="shared" si="22"/>
        <v>43411.199999999997</v>
      </c>
      <c r="G381" s="539"/>
      <c r="H381" s="121"/>
      <c r="I381">
        <f>E381*G370</f>
        <v>2</v>
      </c>
      <c r="J381" s="68"/>
      <c r="K381" s="56"/>
      <c r="L381" s="56"/>
      <c r="M381" s="56"/>
      <c r="N381" s="56"/>
      <c r="O381" s="56"/>
    </row>
    <row r="382" spans="1:15">
      <c r="A382" s="536" t="s">
        <v>4489</v>
      </c>
      <c r="B382" s="537" t="str">
        <f>VLOOKUP(A382,'Materiales '!$C$2:$F$1302,3,0)</f>
        <v>Und</v>
      </c>
      <c r="C382" s="98" t="str">
        <f>VLOOKUP(A382,'Materiales '!$C$2:$F$1302,3,0)</f>
        <v>Und</v>
      </c>
      <c r="D382" s="99">
        <f>VLOOKUP(A382,'Materiales '!$C$2:$F$1302,4,0)</f>
        <v>8039.6399999999994</v>
      </c>
      <c r="E382" s="100">
        <v>3</v>
      </c>
      <c r="F382" s="538">
        <f t="shared" si="22"/>
        <v>24118.92</v>
      </c>
      <c r="G382" s="539"/>
      <c r="H382" s="121"/>
      <c r="I382">
        <f>E382*G370</f>
        <v>3</v>
      </c>
      <c r="J382" s="68"/>
      <c r="K382" s="56"/>
      <c r="L382" s="56"/>
      <c r="M382" s="56"/>
      <c r="N382" s="56"/>
      <c r="O382" s="56"/>
    </row>
    <row r="383" spans="1:15">
      <c r="A383" s="536" t="s">
        <v>4554</v>
      </c>
      <c r="B383" s="537" t="str">
        <f>VLOOKUP(A383,'Materiales '!$C$2:$F$1302,3,0)</f>
        <v>Und</v>
      </c>
      <c r="C383" s="98" t="str">
        <f>VLOOKUP(A383,'Materiales '!$C$2:$F$1302,3,0)</f>
        <v>Und</v>
      </c>
      <c r="D383" s="99">
        <f>VLOOKUP(A383,'Materiales '!$C$2:$F$1302,4,0)</f>
        <v>2535.5329999999999</v>
      </c>
      <c r="E383" s="100">
        <v>2</v>
      </c>
      <c r="F383" s="538">
        <f t="shared" si="22"/>
        <v>5071.0659999999998</v>
      </c>
      <c r="G383" s="539"/>
      <c r="H383" s="121"/>
      <c r="I383">
        <f>E383*G370</f>
        <v>2</v>
      </c>
      <c r="J383" s="68"/>
      <c r="K383" s="56"/>
      <c r="L383" s="56"/>
      <c r="M383" s="56"/>
      <c r="N383" s="56"/>
      <c r="O383" s="56"/>
    </row>
    <row r="384" spans="1:15">
      <c r="A384" s="536" t="s">
        <v>4450</v>
      </c>
      <c r="B384" s="537" t="str">
        <f>VLOOKUP(A384,'Materiales '!$C$2:$F$1302,3,0)</f>
        <v>Ml</v>
      </c>
      <c r="C384" s="98" t="str">
        <f>VLOOKUP(A384,'Materiales '!$C$2:$F$1302,3,0)</f>
        <v>Ml</v>
      </c>
      <c r="D384" s="99">
        <f>VLOOKUP(A384,'Materiales '!$C$2:$F$1302,4,0)</f>
        <v>6791.5679999999993</v>
      </c>
      <c r="E384" s="100">
        <v>1</v>
      </c>
      <c r="F384" s="538">
        <f t="shared" si="22"/>
        <v>6791.5679999999993</v>
      </c>
      <c r="G384" s="539"/>
      <c r="H384" s="121"/>
      <c r="I384">
        <f>E384*G370</f>
        <v>1</v>
      </c>
      <c r="J384" s="68"/>
      <c r="K384" s="56"/>
      <c r="L384" s="56"/>
      <c r="M384" s="56"/>
      <c r="N384" s="56"/>
      <c r="O384" s="56"/>
    </row>
    <row r="385" spans="1:15">
      <c r="A385" s="536" t="s">
        <v>4493</v>
      </c>
      <c r="B385" s="537" t="str">
        <f>VLOOKUP(A385,'Materiales '!$C$2:$F$1302,3,0)</f>
        <v>Und</v>
      </c>
      <c r="C385" s="98" t="str">
        <f>VLOOKUP(A385,'Materiales '!$C$2:$F$1302,3,0)</f>
        <v>Und</v>
      </c>
      <c r="D385" s="99">
        <f>VLOOKUP(A385,'Materiales '!$C$2:$F$1302,4,0)</f>
        <v>232.76399999999998</v>
      </c>
      <c r="E385" s="100">
        <v>3</v>
      </c>
      <c r="F385" s="538">
        <f t="shared" si="22"/>
        <v>698.29199999999992</v>
      </c>
      <c r="G385" s="539"/>
      <c r="H385" s="121"/>
      <c r="I385">
        <f>E385*G370</f>
        <v>3</v>
      </c>
      <c r="J385" s="68"/>
      <c r="K385" s="56"/>
      <c r="L385" s="56"/>
      <c r="M385" s="56"/>
      <c r="N385" s="56"/>
      <c r="O385" s="56"/>
    </row>
    <row r="386" spans="1:15" ht="21.75" customHeight="1">
      <c r="A386" s="536" t="s">
        <v>4498</v>
      </c>
      <c r="B386" s="537" t="str">
        <f>VLOOKUP(A386,'Materiales '!$C$2:$F$1302,3,0)</f>
        <v>Und</v>
      </c>
      <c r="C386" s="98" t="str">
        <f>VLOOKUP(A386,'Materiales '!$C$2:$F$1302,3,0)</f>
        <v>Und</v>
      </c>
      <c r="D386" s="99">
        <f>VLOOKUP(A386,'Materiales '!$C$2:$F$1302,4,0)</f>
        <v>120309</v>
      </c>
      <c r="E386" s="100">
        <v>0.5</v>
      </c>
      <c r="F386" s="538">
        <f t="shared" si="22"/>
        <v>60154.5</v>
      </c>
      <c r="G386" s="539"/>
      <c r="H386" s="121"/>
      <c r="I386">
        <f>E386*G370</f>
        <v>0.5</v>
      </c>
      <c r="J386" s="68"/>
      <c r="K386" s="56"/>
      <c r="L386" s="56"/>
      <c r="M386" s="56"/>
      <c r="N386" s="56"/>
      <c r="O386" s="56"/>
    </row>
    <row r="387" spans="1:15">
      <c r="A387" s="536" t="s">
        <v>8</v>
      </c>
      <c r="B387" s="537" t="str">
        <f>VLOOKUP(A387,'Materiales '!$C$2:$F$1302,3,0)</f>
        <v>-</v>
      </c>
      <c r="C387" s="98" t="str">
        <f>VLOOKUP(A387,'Materiales '!$C$2:$F$1302,3,0)</f>
        <v>-</v>
      </c>
      <c r="D387" s="99">
        <f>VLOOKUP(A387,'Materiales '!$C$2:$F$1302,4,0)</f>
        <v>0</v>
      </c>
      <c r="E387" s="100"/>
      <c r="F387" s="538">
        <f>E387*D387</f>
        <v>0</v>
      </c>
      <c r="G387" s="539"/>
      <c r="H387" s="120"/>
      <c r="I387">
        <f>E387*G370</f>
        <v>0</v>
      </c>
      <c r="J387" s="68"/>
      <c r="K387" s="56"/>
      <c r="L387" s="56"/>
      <c r="M387" s="56"/>
      <c r="N387" s="56"/>
      <c r="O387" s="56"/>
    </row>
    <row r="388" spans="1:15">
      <c r="A388" s="536" t="s">
        <v>8</v>
      </c>
      <c r="B388" s="537" t="str">
        <f>VLOOKUP(A388,'Materiales '!$C$2:$F$1302,3,0)</f>
        <v>-</v>
      </c>
      <c r="C388" s="98" t="str">
        <f>VLOOKUP(A388,'Materiales '!$C$2:$F$1302,3,0)</f>
        <v>-</v>
      </c>
      <c r="D388" s="99">
        <f>VLOOKUP(A388,'Materiales '!$C$2:$F$1302,4,0)</f>
        <v>0</v>
      </c>
      <c r="E388" s="100"/>
      <c r="F388" s="538">
        <f t="shared" ref="F388:F391" si="23">E388*D388</f>
        <v>0</v>
      </c>
      <c r="G388" s="539"/>
      <c r="H388" s="121"/>
      <c r="I388">
        <f>E388*G370</f>
        <v>0</v>
      </c>
      <c r="J388" s="68"/>
      <c r="K388" s="56"/>
      <c r="L388" s="56"/>
      <c r="M388" s="56"/>
      <c r="N388" s="56"/>
      <c r="O388" s="56"/>
    </row>
    <row r="389" spans="1:15">
      <c r="A389" s="536" t="s">
        <v>8</v>
      </c>
      <c r="B389" s="537" t="str">
        <f>VLOOKUP(A389,'Materiales '!$C$2:$F$1302,3,0)</f>
        <v>-</v>
      </c>
      <c r="C389" s="98" t="str">
        <f>VLOOKUP(A389,'Materiales '!$C$2:$F$1302,3,0)</f>
        <v>-</v>
      </c>
      <c r="D389" s="99">
        <f>VLOOKUP(A389,'Materiales '!$C$2:$F$1302,4,0)</f>
        <v>0</v>
      </c>
      <c r="E389" s="100"/>
      <c r="F389" s="538">
        <f t="shared" si="23"/>
        <v>0</v>
      </c>
      <c r="G389" s="539"/>
      <c r="H389" s="121"/>
      <c r="I389">
        <f>E389*G370</f>
        <v>0</v>
      </c>
      <c r="J389" s="68"/>
      <c r="K389" s="56"/>
      <c r="L389" s="56"/>
      <c r="M389" s="56"/>
      <c r="N389" s="56"/>
      <c r="O389" s="56"/>
    </row>
    <row r="390" spans="1:15">
      <c r="A390" s="536" t="s">
        <v>8</v>
      </c>
      <c r="B390" s="537" t="str">
        <f>VLOOKUP(A390,'Materiales '!$C$2:$F$1302,3,0)</f>
        <v>-</v>
      </c>
      <c r="C390" s="98" t="str">
        <f>VLOOKUP(A390,'Materiales '!$C$2:$F$1302,3,0)</f>
        <v>-</v>
      </c>
      <c r="D390" s="99">
        <f>VLOOKUP(A390,'Materiales '!$C$2:$F$1302,4,0)</f>
        <v>0</v>
      </c>
      <c r="E390" s="100"/>
      <c r="F390" s="538">
        <f t="shared" si="23"/>
        <v>0</v>
      </c>
      <c r="G390" s="539"/>
      <c r="H390" s="121"/>
      <c r="I390">
        <f>E390*G370</f>
        <v>0</v>
      </c>
      <c r="J390" s="68"/>
      <c r="K390" s="56"/>
      <c r="L390" s="56"/>
      <c r="M390" s="56"/>
      <c r="N390" s="56"/>
      <c r="O390" s="56"/>
    </row>
    <row r="391" spans="1:15">
      <c r="A391" s="536" t="s">
        <v>8</v>
      </c>
      <c r="B391" s="537" t="str">
        <f>VLOOKUP(A391,'Materiales '!$C$2:$F$1302,3,0)</f>
        <v>-</v>
      </c>
      <c r="C391" s="98" t="str">
        <f>VLOOKUP(A391,'Materiales '!$C$2:$F$1302,3,0)</f>
        <v>-</v>
      </c>
      <c r="D391" s="99">
        <f>VLOOKUP(A391,'Materiales '!$C$2:$F$1302,4,0)</f>
        <v>0</v>
      </c>
      <c r="E391" s="100"/>
      <c r="F391" s="538">
        <f t="shared" si="23"/>
        <v>0</v>
      </c>
      <c r="G391" s="539"/>
      <c r="H391" s="121"/>
      <c r="I391">
        <f>E391*G370</f>
        <v>0</v>
      </c>
      <c r="J391" s="68"/>
      <c r="K391" s="56"/>
      <c r="L391" s="56"/>
      <c r="M391" s="56"/>
      <c r="N391" s="56"/>
      <c r="O391" s="56"/>
    </row>
    <row r="392" spans="1:15">
      <c r="A392" s="536" t="s">
        <v>8</v>
      </c>
      <c r="B392" s="537" t="str">
        <f>VLOOKUP(A392,'Materiales '!$C$2:$F$1302,3,0)</f>
        <v>-</v>
      </c>
      <c r="C392" s="98" t="str">
        <f>VLOOKUP(A392,'Materiales '!$C$2:$F$1302,3,0)</f>
        <v>-</v>
      </c>
      <c r="D392" s="99">
        <f>VLOOKUP(A392,'Materiales '!$C$2:$F$1302,4,0)</f>
        <v>0</v>
      </c>
      <c r="E392" s="100"/>
      <c r="F392" s="538">
        <f>E392*D392</f>
        <v>0</v>
      </c>
      <c r="G392" s="539"/>
      <c r="H392" s="120"/>
      <c r="I392">
        <f>E392*G370</f>
        <v>0</v>
      </c>
      <c r="J392" s="68"/>
      <c r="K392" s="56"/>
      <c r="L392" s="56"/>
      <c r="M392" s="56"/>
      <c r="N392" s="56"/>
      <c r="O392" s="56"/>
    </row>
    <row r="393" spans="1:15" ht="16.5">
      <c r="A393" s="540" t="s">
        <v>4099</v>
      </c>
      <c r="B393" s="541"/>
      <c r="C393" s="541"/>
      <c r="D393" s="541"/>
      <c r="E393" s="541"/>
      <c r="F393" s="541"/>
      <c r="G393" s="542"/>
      <c r="H393" s="116">
        <f>SUM(F379:F392)</f>
        <v>5454726.0460000001</v>
      </c>
      <c r="J393" s="68"/>
      <c r="K393" s="56"/>
      <c r="L393" s="56"/>
      <c r="M393" s="56"/>
      <c r="N393" s="56"/>
      <c r="O393" s="56"/>
    </row>
    <row r="394" spans="1:15" ht="16.5">
      <c r="A394" s="543" t="s">
        <v>4231</v>
      </c>
      <c r="B394" s="544"/>
      <c r="C394" s="544"/>
      <c r="D394" s="544"/>
      <c r="E394" s="545"/>
      <c r="F394" s="544"/>
      <c r="G394" s="544"/>
      <c r="H394" s="546"/>
      <c r="J394" s="68"/>
      <c r="K394" s="56"/>
      <c r="L394" s="56"/>
      <c r="M394" s="56"/>
      <c r="N394" s="56"/>
      <c r="O394" s="56"/>
    </row>
    <row r="395" spans="1:15">
      <c r="A395" s="547" t="s">
        <v>7</v>
      </c>
      <c r="B395" s="548"/>
      <c r="C395" s="108" t="s">
        <v>4232</v>
      </c>
      <c r="D395" s="107" t="s">
        <v>4233</v>
      </c>
      <c r="E395" s="206" t="s">
        <v>4234</v>
      </c>
      <c r="F395" s="549" t="s">
        <v>4218</v>
      </c>
      <c r="G395" s="549"/>
      <c r="H395" s="119"/>
      <c r="K395" s="56"/>
      <c r="L395" s="56"/>
      <c r="M395" s="56"/>
      <c r="N395" s="56"/>
      <c r="O395" s="56"/>
    </row>
    <row r="396" spans="1:15">
      <c r="A396" s="550" t="s">
        <v>3928</v>
      </c>
      <c r="B396" s="551"/>
      <c r="C396" s="232">
        <v>1</v>
      </c>
      <c r="D396" s="102">
        <v>0.03</v>
      </c>
      <c r="E396" s="103">
        <f>VLOOKUP(A396,'Equip, Herr y Transp'!$B$2:$D$218,3,0)</f>
        <v>160000</v>
      </c>
      <c r="F396" s="552">
        <f>E396*D396*C396</f>
        <v>4800</v>
      </c>
      <c r="G396" s="553"/>
      <c r="H396" s="117"/>
      <c r="M396" s="56"/>
    </row>
    <row r="397" spans="1:15" ht="16.5">
      <c r="A397" s="554" t="s">
        <v>4216</v>
      </c>
      <c r="B397" s="555"/>
      <c r="C397" s="555"/>
      <c r="D397" s="555"/>
      <c r="E397" s="555"/>
      <c r="F397" s="555"/>
      <c r="G397" s="555"/>
      <c r="H397" s="105">
        <f>F396</f>
        <v>4800</v>
      </c>
    </row>
    <row r="398" spans="1:15" ht="16.5">
      <c r="A398" s="543" t="s">
        <v>4235</v>
      </c>
      <c r="B398" s="544"/>
      <c r="C398" s="544"/>
      <c r="D398" s="544"/>
      <c r="E398" s="544"/>
      <c r="F398" s="544"/>
      <c r="G398" s="544"/>
      <c r="H398" s="546"/>
    </row>
    <row r="399" spans="1:15">
      <c r="A399" s="547" t="s">
        <v>7</v>
      </c>
      <c r="B399" s="548"/>
      <c r="C399" s="106" t="s">
        <v>1</v>
      </c>
      <c r="D399" s="107" t="s">
        <v>4236</v>
      </c>
      <c r="E399" s="108" t="s">
        <v>4215</v>
      </c>
      <c r="F399" s="547" t="s">
        <v>5</v>
      </c>
      <c r="G399" s="556"/>
      <c r="H399" s="119"/>
    </row>
    <row r="400" spans="1:15">
      <c r="A400" s="550" t="s">
        <v>4196</v>
      </c>
      <c r="B400" s="551"/>
      <c r="C400" s="101">
        <v>1</v>
      </c>
      <c r="D400" s="104">
        <f>VLOOKUP(A400,'Mano Obra'!$B$2:$T$117,19,0)</f>
        <v>166624</v>
      </c>
      <c r="E400" s="246">
        <f>H363</f>
        <v>6.25E-2</v>
      </c>
      <c r="F400" s="538">
        <f>E400*D400*C400</f>
        <v>10414</v>
      </c>
      <c r="G400" s="557"/>
      <c r="H400" s="121"/>
      <c r="I400" s="69"/>
      <c r="J400" s="136">
        <f>((('Mano Obra'!$M$4/30)*F400)/D400)*G370</f>
        <v>676.29972569444442</v>
      </c>
    </row>
    <row r="401" spans="1:10">
      <c r="A401" s="558" t="s">
        <v>4197</v>
      </c>
      <c r="B401" s="559">
        <f>VLOOKUP(A401,'Mano Obra'!$B$3:$D$290,2,0)</f>
        <v>2090000.0000000002</v>
      </c>
      <c r="C401" s="101">
        <v>1</v>
      </c>
      <c r="D401" s="104">
        <f>VLOOKUP(A401,'Mano Obra'!$B$2:$T$117,19,0)</f>
        <v>120456</v>
      </c>
      <c r="E401" s="246">
        <f>H363</f>
        <v>6.25E-2</v>
      </c>
      <c r="F401" s="538">
        <f t="shared" ref="F401:F402" si="24">E401*D401*C401</f>
        <v>7528.5</v>
      </c>
      <c r="G401" s="557"/>
      <c r="H401" s="121"/>
      <c r="J401" s="136">
        <f>((('Mano Obra'!$M$5/30)*F401)/D401)*G370</f>
        <v>676.29972569444442</v>
      </c>
    </row>
    <row r="402" spans="1:10">
      <c r="A402" s="558" t="s">
        <v>4186</v>
      </c>
      <c r="B402" s="559">
        <f>VLOOKUP(A402,'Mano Obra'!$B$3:$D$290,2,0)</f>
        <v>1100000</v>
      </c>
      <c r="C402" s="101">
        <v>1</v>
      </c>
      <c r="D402" s="104">
        <f>VLOOKUP(A402,'Mano Obra'!$B$2:$T$117,19,0)</f>
        <v>72664</v>
      </c>
      <c r="E402" s="246">
        <f>H363</f>
        <v>6.25E-2</v>
      </c>
      <c r="F402" s="538">
        <f t="shared" si="24"/>
        <v>4541.5</v>
      </c>
      <c r="G402" s="557"/>
      <c r="H402" s="120"/>
      <c r="J402" s="136">
        <f>((('Mano Obra'!$M$6/30)*F402)/D402)*G370</f>
        <v>676.29972569444442</v>
      </c>
    </row>
    <row r="403" spans="1:10" ht="16.5">
      <c r="A403" s="560" t="s">
        <v>4101</v>
      </c>
      <c r="B403" s="560"/>
      <c r="C403" s="560"/>
      <c r="D403" s="560"/>
      <c r="E403" s="560"/>
      <c r="F403" s="560"/>
      <c r="G403" s="560"/>
      <c r="H403" s="105">
        <f>SUM(F400:F402)</f>
        <v>22484</v>
      </c>
      <c r="J403" s="136"/>
    </row>
    <row r="404" spans="1:10">
      <c r="A404" s="227" t="s">
        <v>4237</v>
      </c>
      <c r="B404" s="205"/>
      <c r="C404" s="205"/>
      <c r="D404" s="202"/>
      <c r="E404" s="203"/>
      <c r="F404" s="204"/>
      <c r="G404" s="203"/>
      <c r="H404" s="212"/>
    </row>
    <row r="405" spans="1:10">
      <c r="A405" s="561" t="s">
        <v>4224</v>
      </c>
      <c r="B405" s="562"/>
      <c r="C405" s="562"/>
      <c r="D405" s="562"/>
      <c r="E405" s="200"/>
      <c r="F405" s="201" t="s">
        <v>4238</v>
      </c>
      <c r="G405" s="200" t="s">
        <v>4239</v>
      </c>
      <c r="H405" s="213"/>
    </row>
    <row r="406" spans="1:10">
      <c r="A406" s="223" t="s">
        <v>4097</v>
      </c>
      <c r="B406" s="72"/>
      <c r="C406" s="72"/>
      <c r="D406" s="73"/>
      <c r="E406" s="78"/>
      <c r="F406" s="79">
        <v>0</v>
      </c>
      <c r="G406" s="80">
        <f>F406*H371</f>
        <v>0</v>
      </c>
      <c r="H406" s="212"/>
    </row>
    <row r="407" spans="1:10">
      <c r="A407" s="224" t="s">
        <v>4240</v>
      </c>
      <c r="B407" s="81"/>
      <c r="C407" s="81"/>
      <c r="D407" s="82"/>
      <c r="E407" s="78"/>
      <c r="F407" s="79">
        <v>0</v>
      </c>
      <c r="G407" s="80">
        <f>F407*H371</f>
        <v>0</v>
      </c>
      <c r="H407" s="212"/>
    </row>
    <row r="408" spans="1:10">
      <c r="A408" s="224" t="s">
        <v>4</v>
      </c>
      <c r="B408" s="81"/>
      <c r="C408" s="81"/>
      <c r="D408" s="82"/>
      <c r="E408" s="78"/>
      <c r="F408" s="79">
        <v>0</v>
      </c>
      <c r="G408" s="80">
        <f>F408*H371</f>
        <v>0</v>
      </c>
      <c r="H408" s="212"/>
    </row>
    <row r="409" spans="1:10">
      <c r="A409" s="225"/>
      <c r="B409" s="83"/>
      <c r="C409" s="75"/>
      <c r="D409" s="84"/>
      <c r="E409" s="85"/>
      <c r="F409" s="86"/>
      <c r="G409" s="87"/>
      <c r="H409" s="214"/>
    </row>
    <row r="410" spans="1:10">
      <c r="A410" s="226"/>
      <c r="B410" s="83"/>
      <c r="C410" s="83"/>
      <c r="D410" s="84"/>
      <c r="E410" s="88"/>
      <c r="F410" s="563" t="s">
        <v>4241</v>
      </c>
      <c r="G410" s="564"/>
      <c r="H410" s="233">
        <f>H371+G406+G407+G408</f>
        <v>5486044.5772500001</v>
      </c>
    </row>
    <row r="412" spans="1:10" ht="16.5">
      <c r="A412" s="90"/>
      <c r="B412" s="90"/>
      <c r="C412" s="90"/>
      <c r="D412" s="90"/>
      <c r="E412" s="90"/>
      <c r="F412" s="90"/>
      <c r="G412" s="90"/>
      <c r="H412" s="381"/>
    </row>
    <row r="413" spans="1:10">
      <c r="A413" s="579" t="s">
        <v>4225</v>
      </c>
      <c r="B413" s="580"/>
      <c r="C413" s="580"/>
      <c r="D413" s="580"/>
      <c r="E413" s="580"/>
      <c r="F413" s="580"/>
      <c r="G413" s="580"/>
      <c r="H413" s="581"/>
    </row>
    <row r="414" spans="1:10" ht="16.5">
      <c r="A414" s="91"/>
      <c r="B414" s="92"/>
      <c r="C414" s="92"/>
      <c r="D414" s="92"/>
      <c r="E414" s="92"/>
      <c r="F414" s="93"/>
      <c r="G414" s="94"/>
      <c r="H414" s="380">
        <f>ROUND((45/60)/8,4)</f>
        <v>9.3799999999999994E-2</v>
      </c>
      <c r="I414" s="115"/>
    </row>
    <row r="415" spans="1:10">
      <c r="A415" s="582" t="s">
        <v>4220</v>
      </c>
      <c r="B415" s="584" t="str">
        <f>COSTOS!$C$14</f>
        <v>MODERNIZACION A TECNOLOGIA LED</v>
      </c>
      <c r="C415" s="584"/>
      <c r="D415" s="584"/>
      <c r="E415" s="584"/>
      <c r="F415" s="584"/>
      <c r="G415" s="584"/>
      <c r="H415" s="585" t="s">
        <v>4221</v>
      </c>
    </row>
    <row r="416" spans="1:10">
      <c r="A416" s="583"/>
      <c r="B416" s="584"/>
      <c r="C416" s="584"/>
      <c r="D416" s="584"/>
      <c r="E416" s="584"/>
      <c r="F416" s="584"/>
      <c r="G416" s="584"/>
      <c r="H416" s="585"/>
    </row>
    <row r="417" spans="1:15">
      <c r="A417" s="583"/>
      <c r="B417" s="584"/>
      <c r="C417" s="584"/>
      <c r="D417" s="584"/>
      <c r="E417" s="584"/>
      <c r="F417" s="584"/>
      <c r="G417" s="584"/>
      <c r="H417" s="585"/>
    </row>
    <row r="418" spans="1:15" ht="15" customHeight="1">
      <c r="A418" s="583"/>
      <c r="B418" s="584"/>
      <c r="C418" s="584"/>
      <c r="D418" s="584"/>
      <c r="E418" s="584"/>
      <c r="F418" s="584"/>
      <c r="G418" s="584"/>
      <c r="H418" s="216">
        <f ca="1">TODAY()</f>
        <v>44889</v>
      </c>
      <c r="K418" t="s">
        <v>4391</v>
      </c>
      <c r="L418" t="s">
        <v>4392</v>
      </c>
      <c r="M418" t="s">
        <v>4393</v>
      </c>
      <c r="N418" t="s">
        <v>4394</v>
      </c>
    </row>
    <row r="419" spans="1:15" ht="60.75" customHeight="1">
      <c r="A419" s="228" t="s">
        <v>4222</v>
      </c>
      <c r="B419" s="565" t="str">
        <f>COSTOS!$D$16</f>
        <v>Luminarias</v>
      </c>
      <c r="C419" s="565"/>
      <c r="D419" s="565"/>
      <c r="E419" s="565"/>
      <c r="F419" s="565"/>
      <c r="G419" s="70" t="s">
        <v>4223</v>
      </c>
      <c r="H419" s="387">
        <v>1.8</v>
      </c>
      <c r="K419" s="62">
        <f>H444</f>
        <v>3256956.7388400002</v>
      </c>
      <c r="L419" s="62">
        <f>H454</f>
        <v>33743.987199999996</v>
      </c>
      <c r="M419" s="62">
        <f>H427</f>
        <v>6055.0244999999995</v>
      </c>
      <c r="N419" s="62">
        <f>H448</f>
        <v>4800</v>
      </c>
    </row>
    <row r="420" spans="1:15" ht="43.15" customHeight="1">
      <c r="A420" s="229" t="s">
        <v>4224</v>
      </c>
      <c r="B420" s="566" t="str">
        <f>VLOOKUP(H419,COSTOS!C:M,2,0)</f>
        <v>Farol LED 31w</v>
      </c>
      <c r="C420" s="567"/>
      <c r="D420" s="567"/>
      <c r="E420" s="568"/>
      <c r="F420" s="71" t="s">
        <v>0</v>
      </c>
      <c r="G420" s="356" t="str">
        <f>VLOOKUP(H419,COSTOS!C:M,8,0)</f>
        <v>Und</v>
      </c>
      <c r="H420" s="276"/>
      <c r="I420" s="306"/>
      <c r="J420" s="308"/>
      <c r="K420" s="308"/>
      <c r="L420" s="308"/>
    </row>
    <row r="421" spans="1:15">
      <c r="A421" s="230"/>
      <c r="B421" s="112"/>
      <c r="C421" s="112"/>
      <c r="D421" s="112"/>
      <c r="E421" s="113"/>
      <c r="F421" s="114" t="s">
        <v>1</v>
      </c>
      <c r="G421" s="356">
        <f>VLOOKUP(H419,COSTOS!C:M,9,0)</f>
        <v>1</v>
      </c>
      <c r="H421" s="357"/>
      <c r="I421" s="307"/>
    </row>
    <row r="422" spans="1:15" ht="16.5">
      <c r="A422" s="231" t="s">
        <v>4226</v>
      </c>
      <c r="B422" s="75"/>
      <c r="C422" s="75"/>
      <c r="D422" s="76"/>
      <c r="E422" s="209"/>
      <c r="F422" s="210"/>
      <c r="G422" s="211" t="s">
        <v>4227</v>
      </c>
      <c r="H422" s="217">
        <f>H427+H444+H448+H454</f>
        <v>3301555.7505399999</v>
      </c>
    </row>
    <row r="423" spans="1:15" ht="39">
      <c r="A423" s="569" t="s">
        <v>4224</v>
      </c>
      <c r="B423" s="569"/>
      <c r="C423" s="569"/>
      <c r="D423" s="77" t="s">
        <v>0</v>
      </c>
      <c r="E423" s="207" t="s">
        <v>4228</v>
      </c>
      <c r="F423" s="208" t="s">
        <v>4215</v>
      </c>
      <c r="G423" s="74" t="s">
        <v>2</v>
      </c>
      <c r="H423" s="218" t="s">
        <v>4229</v>
      </c>
      <c r="K423" s="309"/>
    </row>
    <row r="424" spans="1:15">
      <c r="A424" s="536" t="s">
        <v>3946</v>
      </c>
      <c r="B424" s="570" t="str">
        <f>VLOOKUP(A424,'Equip, Herr y Transp'!$B$2:$D$739,2,0)</f>
        <v>EQU</v>
      </c>
      <c r="C424" s="570"/>
      <c r="D424" s="95" t="str">
        <f>VLOOKUP(A424,'Equip, Herr y Transp'!$B$2:$D$218,2,0)</f>
        <v>EQU</v>
      </c>
      <c r="E424" s="95">
        <f>VLOOKUP(A424,'Equip, Herr y Transp'!$B$2:$D$218,3,0)</f>
        <v>14130</v>
      </c>
      <c r="F424" s="96">
        <f>H414</f>
        <v>9.3799999999999994E-2</v>
      </c>
      <c r="G424" s="122">
        <f>F424*E424</f>
        <v>1325.394</v>
      </c>
      <c r="H424" s="118"/>
    </row>
    <row r="425" spans="1:15">
      <c r="A425" s="536" t="s">
        <v>3904</v>
      </c>
      <c r="B425" s="570" t="str">
        <f>VLOOKUP(A425,'Equip, Herr y Transp'!$B$2:$D$739,2,0)</f>
        <v>EQU</v>
      </c>
      <c r="C425" s="570"/>
      <c r="D425" s="95" t="str">
        <f>VLOOKUP(A425,'Equip, Herr y Transp'!$B$2:$D$218,2,0)</f>
        <v>EQU</v>
      </c>
      <c r="E425" s="95">
        <f>VLOOKUP(A425,'Equip, Herr y Transp'!$B$2:$D$218,3,0)</f>
        <v>26672.5</v>
      </c>
      <c r="F425" s="96">
        <f>H414</f>
        <v>9.3799999999999994E-2</v>
      </c>
      <c r="G425" s="122">
        <f>F425*E425</f>
        <v>2501.8804999999998</v>
      </c>
      <c r="H425" s="117"/>
    </row>
    <row r="426" spans="1:15">
      <c r="A426" s="536" t="s">
        <v>3937</v>
      </c>
      <c r="B426" s="570" t="str">
        <f>VLOOKUP(A426,'Equip, Herr y Transp'!$B$2:$D$739,2,0)</f>
        <v>EQU</v>
      </c>
      <c r="C426" s="570"/>
      <c r="D426" s="95" t="str">
        <f>VLOOKUP(A426,'Equip, Herr y Transp'!$B$2:$D$218,2,0)</f>
        <v>EQU</v>
      </c>
      <c r="E426" s="95">
        <f>VLOOKUP(A426,'Equip, Herr y Transp'!$B$2:$D$218,3,0)</f>
        <v>23750</v>
      </c>
      <c r="F426" s="96">
        <f>H414</f>
        <v>9.3799999999999994E-2</v>
      </c>
      <c r="G426" s="122">
        <f>F426*E426</f>
        <v>2227.75</v>
      </c>
      <c r="H426" s="117"/>
    </row>
    <row r="427" spans="1:15" ht="16.5">
      <c r="A427" s="540" t="s">
        <v>4100</v>
      </c>
      <c r="B427" s="541"/>
      <c r="C427" s="541"/>
      <c r="D427" s="541"/>
      <c r="E427" s="541"/>
      <c r="F427" s="541"/>
      <c r="G427" s="541"/>
      <c r="H427" s="97">
        <f>SUM(G424:G426)</f>
        <v>6055.0244999999995</v>
      </c>
    </row>
    <row r="428" spans="1:15" ht="16.5">
      <c r="A428" s="571" t="s">
        <v>4230</v>
      </c>
      <c r="B428" s="572"/>
      <c r="C428" s="572"/>
      <c r="D428" s="572"/>
      <c r="E428" s="572"/>
      <c r="F428" s="572"/>
      <c r="G428" s="572"/>
      <c r="H428" s="573"/>
      <c r="K428" s="56"/>
      <c r="L428" s="56"/>
      <c r="M428" s="56"/>
      <c r="N428" s="56"/>
      <c r="O428" s="56"/>
    </row>
    <row r="429" spans="1:15" ht="30" customHeight="1">
      <c r="A429" s="574" t="s">
        <v>7</v>
      </c>
      <c r="B429" s="575"/>
      <c r="C429" s="109" t="s">
        <v>0</v>
      </c>
      <c r="D429" s="110" t="s">
        <v>4098</v>
      </c>
      <c r="E429" s="111" t="s">
        <v>1</v>
      </c>
      <c r="F429" s="576" t="s">
        <v>4218</v>
      </c>
      <c r="G429" s="576"/>
      <c r="H429" s="215"/>
      <c r="K429" s="56"/>
      <c r="L429" s="56"/>
      <c r="M429" s="56"/>
      <c r="N429" s="56"/>
      <c r="O429" s="56"/>
    </row>
    <row r="430" spans="1:15">
      <c r="A430" s="577" t="s">
        <v>4542</v>
      </c>
      <c r="B430" s="578"/>
      <c r="C430" s="98" t="str">
        <f>VLOOKUP(A430,'Materiales '!$C$2:$F$1302,3,0)</f>
        <v>Und</v>
      </c>
      <c r="D430" s="99">
        <f>VLOOKUP(A430,'Materiales '!$C$2:$F$1302,4,0)</f>
        <v>3078768.0000000005</v>
      </c>
      <c r="E430" s="100">
        <v>1</v>
      </c>
      <c r="F430" s="538">
        <f>E430*D430</f>
        <v>3078768.0000000005</v>
      </c>
      <c r="G430" s="539"/>
      <c r="H430" s="121"/>
      <c r="I430">
        <f>E430*G421</f>
        <v>1</v>
      </c>
      <c r="J430" s="67"/>
      <c r="K430" s="56"/>
      <c r="L430" s="56"/>
      <c r="M430" s="56"/>
      <c r="N430" s="56"/>
      <c r="O430" s="56"/>
    </row>
    <row r="431" spans="1:15">
      <c r="A431" s="577" t="s">
        <v>4214</v>
      </c>
      <c r="B431" s="578"/>
      <c r="C431" s="98" t="str">
        <f>VLOOKUP(A431,'Materiales '!$C$2:$F$1302,3,0)</f>
        <v>Und</v>
      </c>
      <c r="D431" s="99">
        <f>VLOOKUP(A431,'Materiales '!$C$2:$F$1302,4,0)</f>
        <v>22848</v>
      </c>
      <c r="E431" s="100">
        <v>1</v>
      </c>
      <c r="F431" s="538">
        <f t="shared" ref="F431:F437" si="25">E431*D431</f>
        <v>22848</v>
      </c>
      <c r="G431" s="539"/>
      <c r="H431" s="121"/>
      <c r="I431">
        <f>E431*G421</f>
        <v>1</v>
      </c>
      <c r="J431" s="67"/>
      <c r="K431" s="56"/>
      <c r="L431" s="56"/>
      <c r="M431" s="56"/>
      <c r="N431" s="56"/>
      <c r="O431" s="56"/>
    </row>
    <row r="432" spans="1:15">
      <c r="A432" s="536" t="s">
        <v>4474</v>
      </c>
      <c r="B432" s="537" t="str">
        <f>VLOOKUP(A432,'Materiales '!$C$2:$F$1302,3,0)</f>
        <v>Ml</v>
      </c>
      <c r="C432" s="98" t="str">
        <f>VLOOKUP(A432,'Materiales '!$C$2:$F$1302,3,0)</f>
        <v>Ml</v>
      </c>
      <c r="D432" s="99">
        <f>VLOOKUP(A432,'Materiales '!$C$2:$F$1302,4,0)</f>
        <v>2064.93084</v>
      </c>
      <c r="E432" s="100">
        <v>1</v>
      </c>
      <c r="F432" s="538">
        <f t="shared" si="25"/>
        <v>2064.93084</v>
      </c>
      <c r="G432" s="539"/>
      <c r="H432" s="121"/>
      <c r="I432">
        <f>E432*G421</f>
        <v>1</v>
      </c>
      <c r="J432" s="68"/>
      <c r="K432" s="56"/>
      <c r="L432" s="56"/>
      <c r="M432" s="56"/>
      <c r="N432" s="56"/>
      <c r="O432" s="56"/>
    </row>
    <row r="433" spans="1:15">
      <c r="A433" s="536" t="s">
        <v>4492</v>
      </c>
      <c r="B433" s="537" t="str">
        <f>VLOOKUP(A433,'Materiales '!$C$2:$F$1302,3,0)</f>
        <v>Und</v>
      </c>
      <c r="C433" s="98" t="str">
        <f>VLOOKUP(A433,'Materiales '!$C$2:$F$1302,3,0)</f>
        <v>Und</v>
      </c>
      <c r="D433" s="99">
        <f>VLOOKUP(A433,'Materiales '!$C$2:$F$1302,4,0)</f>
        <v>32411.315999999999</v>
      </c>
      <c r="E433" s="100">
        <v>3</v>
      </c>
      <c r="F433" s="538">
        <f t="shared" si="25"/>
        <v>97233.948000000004</v>
      </c>
      <c r="G433" s="539"/>
      <c r="H433" s="121"/>
      <c r="I433">
        <f>E433*G421</f>
        <v>3</v>
      </c>
      <c r="J433" s="68"/>
      <c r="K433" s="56"/>
      <c r="L433" s="56"/>
      <c r="M433" s="56"/>
      <c r="N433" s="56"/>
      <c r="O433" s="56"/>
    </row>
    <row r="434" spans="1:15">
      <c r="A434" s="536" t="s">
        <v>4539</v>
      </c>
      <c r="B434" s="537" t="str">
        <f>VLOOKUP(A434,'Materiales '!$C$2:$F$1302,3,0)</f>
        <v>Und</v>
      </c>
      <c r="C434" s="98" t="str">
        <f>VLOOKUP(A434,'Materiales '!$C$2:$F$1302,3,0)</f>
        <v>Und</v>
      </c>
      <c r="D434" s="99">
        <f>VLOOKUP(A434,'Materiales '!$C$2:$F$1302,4,0)</f>
        <v>505.51199999999994</v>
      </c>
      <c r="E434" s="100">
        <v>2</v>
      </c>
      <c r="F434" s="538">
        <f t="shared" si="25"/>
        <v>1011.0239999999999</v>
      </c>
      <c r="G434" s="539"/>
      <c r="H434" s="121"/>
      <c r="I434">
        <f>E434*G421</f>
        <v>2</v>
      </c>
      <c r="J434" s="68"/>
      <c r="K434" s="56"/>
      <c r="L434" s="56"/>
      <c r="M434" s="56"/>
      <c r="N434" s="56"/>
      <c r="O434" s="56"/>
    </row>
    <row r="435" spans="1:15">
      <c r="A435" s="536" t="s">
        <v>4450</v>
      </c>
      <c r="B435" s="537" t="str">
        <f>VLOOKUP(A435,'Materiales '!$C$2:$F$1302,3,0)</f>
        <v>Ml</v>
      </c>
      <c r="C435" s="98" t="str">
        <f>VLOOKUP(A435,'Materiales '!$C$2:$F$1302,3,0)</f>
        <v>Ml</v>
      </c>
      <c r="D435" s="99">
        <f>VLOOKUP(A435,'Materiales '!$C$2:$F$1302,4,0)</f>
        <v>6791.5679999999993</v>
      </c>
      <c r="E435" s="100">
        <v>8</v>
      </c>
      <c r="F435" s="538">
        <f t="shared" si="25"/>
        <v>54332.543999999994</v>
      </c>
      <c r="G435" s="539"/>
      <c r="H435" s="121"/>
      <c r="I435">
        <f>E435*G421</f>
        <v>8</v>
      </c>
      <c r="J435" s="68"/>
      <c r="K435" s="56"/>
      <c r="L435" s="56"/>
      <c r="M435" s="56"/>
      <c r="N435" s="56"/>
      <c r="O435" s="56"/>
    </row>
    <row r="436" spans="1:15">
      <c r="A436" s="536" t="s">
        <v>4493</v>
      </c>
      <c r="B436" s="537" t="str">
        <f>VLOOKUP(A436,'Materiales '!$C$2:$F$1302,3,0)</f>
        <v>Und</v>
      </c>
      <c r="C436" s="98" t="str">
        <f>VLOOKUP(A436,'Materiales '!$C$2:$F$1302,3,0)</f>
        <v>Und</v>
      </c>
      <c r="D436" s="99">
        <f>VLOOKUP(A436,'Materiales '!$C$2:$F$1302,4,0)</f>
        <v>232.76399999999998</v>
      </c>
      <c r="E436" s="100">
        <v>3</v>
      </c>
      <c r="F436" s="538">
        <f t="shared" si="25"/>
        <v>698.29199999999992</v>
      </c>
      <c r="G436" s="539"/>
      <c r="H436" s="121"/>
      <c r="I436">
        <f>E436*G421</f>
        <v>3</v>
      </c>
      <c r="J436" s="68"/>
      <c r="K436" s="56"/>
      <c r="L436" s="56"/>
      <c r="M436" s="56"/>
      <c r="N436" s="56"/>
      <c r="O436" s="56"/>
    </row>
    <row r="437" spans="1:15" ht="21.75" customHeight="1">
      <c r="A437" s="536" t="s">
        <v>8</v>
      </c>
      <c r="B437" s="537" t="str">
        <f>VLOOKUP(A437,'Materiales '!$C$2:$F$1302,3,0)</f>
        <v>-</v>
      </c>
      <c r="C437" s="98" t="str">
        <f>VLOOKUP(A437,'Materiales '!$C$2:$F$1302,3,0)</f>
        <v>-</v>
      </c>
      <c r="D437" s="99">
        <f>VLOOKUP(A437,'Materiales '!$C$2:$F$1302,4,0)</f>
        <v>0</v>
      </c>
      <c r="E437" s="100">
        <v>0.5</v>
      </c>
      <c r="F437" s="538">
        <f t="shared" si="25"/>
        <v>0</v>
      </c>
      <c r="G437" s="539"/>
      <c r="H437" s="121"/>
      <c r="I437">
        <f>E437*G421</f>
        <v>0.5</v>
      </c>
      <c r="J437" s="68"/>
      <c r="K437" s="56"/>
      <c r="L437" s="56"/>
      <c r="M437" s="56"/>
      <c r="N437" s="56"/>
      <c r="O437" s="56"/>
    </row>
    <row r="438" spans="1:15">
      <c r="A438" s="536" t="s">
        <v>8</v>
      </c>
      <c r="B438" s="537" t="str">
        <f>VLOOKUP(A438,'Materiales '!$C$2:$F$1302,3,0)</f>
        <v>-</v>
      </c>
      <c r="C438" s="98" t="str">
        <f>VLOOKUP(A438,'Materiales '!$C$2:$F$1302,3,0)</f>
        <v>-</v>
      </c>
      <c r="D438" s="99">
        <f>VLOOKUP(A438,'Materiales '!$C$2:$F$1302,4,0)</f>
        <v>0</v>
      </c>
      <c r="E438" s="100"/>
      <c r="F438" s="538">
        <f>E438*D438</f>
        <v>0</v>
      </c>
      <c r="G438" s="539"/>
      <c r="H438" s="120"/>
      <c r="I438">
        <f>E438*G421</f>
        <v>0</v>
      </c>
      <c r="J438" s="68"/>
      <c r="K438" s="56"/>
      <c r="L438" s="56"/>
      <c r="M438" s="56"/>
      <c r="N438" s="56"/>
      <c r="O438" s="56"/>
    </row>
    <row r="439" spans="1:15">
      <c r="A439" s="536" t="s">
        <v>8</v>
      </c>
      <c r="B439" s="537" t="str">
        <f>VLOOKUP(A439,'Materiales '!$C$2:$F$1302,3,0)</f>
        <v>-</v>
      </c>
      <c r="C439" s="98" t="str">
        <f>VLOOKUP(A439,'Materiales '!$C$2:$F$1302,3,0)</f>
        <v>-</v>
      </c>
      <c r="D439" s="99">
        <f>VLOOKUP(A439,'Materiales '!$C$2:$F$1302,4,0)</f>
        <v>0</v>
      </c>
      <c r="E439" s="100"/>
      <c r="F439" s="538">
        <f t="shared" ref="F439:F442" si="26">E439*D439</f>
        <v>0</v>
      </c>
      <c r="G439" s="539"/>
      <c r="H439" s="121"/>
      <c r="I439">
        <f>E439*G421</f>
        <v>0</v>
      </c>
      <c r="J439" s="68"/>
      <c r="K439" s="56"/>
      <c r="L439" s="56"/>
      <c r="M439" s="56"/>
      <c r="N439" s="56"/>
      <c r="O439" s="56"/>
    </row>
    <row r="440" spans="1:15">
      <c r="A440" s="536" t="s">
        <v>8</v>
      </c>
      <c r="B440" s="537" t="str">
        <f>VLOOKUP(A440,'Materiales '!$C$2:$F$1302,3,0)</f>
        <v>-</v>
      </c>
      <c r="C440" s="98" t="str">
        <f>VLOOKUP(A440,'Materiales '!$C$2:$F$1302,3,0)</f>
        <v>-</v>
      </c>
      <c r="D440" s="99">
        <f>VLOOKUP(A440,'Materiales '!$C$2:$F$1302,4,0)</f>
        <v>0</v>
      </c>
      <c r="E440" s="100"/>
      <c r="F440" s="538">
        <f t="shared" si="26"/>
        <v>0</v>
      </c>
      <c r="G440" s="539"/>
      <c r="H440" s="121"/>
      <c r="I440">
        <f>E440*G421</f>
        <v>0</v>
      </c>
      <c r="J440" s="68"/>
      <c r="K440" s="56"/>
      <c r="L440" s="56"/>
      <c r="M440" s="56"/>
      <c r="N440" s="56"/>
      <c r="O440" s="56"/>
    </row>
    <row r="441" spans="1:15">
      <c r="A441" s="536" t="s">
        <v>8</v>
      </c>
      <c r="B441" s="537" t="str">
        <f>VLOOKUP(A441,'Materiales '!$C$2:$F$1302,3,0)</f>
        <v>-</v>
      </c>
      <c r="C441" s="98" t="str">
        <f>VLOOKUP(A441,'Materiales '!$C$2:$F$1302,3,0)</f>
        <v>-</v>
      </c>
      <c r="D441" s="99">
        <f>VLOOKUP(A441,'Materiales '!$C$2:$F$1302,4,0)</f>
        <v>0</v>
      </c>
      <c r="E441" s="100"/>
      <c r="F441" s="538">
        <f t="shared" si="26"/>
        <v>0</v>
      </c>
      <c r="G441" s="539"/>
      <c r="H441" s="121"/>
      <c r="I441">
        <f>E441*G421</f>
        <v>0</v>
      </c>
      <c r="J441" s="68"/>
      <c r="K441" s="56"/>
      <c r="L441" s="56"/>
      <c r="M441" s="56"/>
      <c r="N441" s="56"/>
      <c r="O441" s="56"/>
    </row>
    <row r="442" spans="1:15">
      <c r="A442" s="536" t="s">
        <v>8</v>
      </c>
      <c r="B442" s="537" t="str">
        <f>VLOOKUP(A442,'Materiales '!$C$2:$F$1302,3,0)</f>
        <v>-</v>
      </c>
      <c r="C442" s="98" t="str">
        <f>VLOOKUP(A442,'Materiales '!$C$2:$F$1302,3,0)</f>
        <v>-</v>
      </c>
      <c r="D442" s="99">
        <f>VLOOKUP(A442,'Materiales '!$C$2:$F$1302,4,0)</f>
        <v>0</v>
      </c>
      <c r="E442" s="100"/>
      <c r="F442" s="538">
        <f t="shared" si="26"/>
        <v>0</v>
      </c>
      <c r="G442" s="539"/>
      <c r="H442" s="121"/>
      <c r="I442">
        <f>E442*G421</f>
        <v>0</v>
      </c>
      <c r="J442" s="68"/>
      <c r="K442" s="56"/>
      <c r="L442" s="56"/>
      <c r="M442" s="56"/>
      <c r="N442" s="56"/>
      <c r="O442" s="56"/>
    </row>
    <row r="443" spans="1:15">
      <c r="A443" s="536" t="s">
        <v>8</v>
      </c>
      <c r="B443" s="537" t="str">
        <f>VLOOKUP(A443,'Materiales '!$C$2:$F$1302,3,0)</f>
        <v>-</v>
      </c>
      <c r="C443" s="98" t="str">
        <f>VLOOKUP(A443,'Materiales '!$C$2:$F$1302,3,0)</f>
        <v>-</v>
      </c>
      <c r="D443" s="99">
        <f>VLOOKUP(A443,'Materiales '!$C$2:$F$1302,4,0)</f>
        <v>0</v>
      </c>
      <c r="E443" s="100"/>
      <c r="F443" s="538">
        <f>E443*D443</f>
        <v>0</v>
      </c>
      <c r="G443" s="539"/>
      <c r="H443" s="120"/>
      <c r="I443">
        <f>E443*G421</f>
        <v>0</v>
      </c>
      <c r="J443" s="68"/>
      <c r="K443" s="56"/>
      <c r="L443" s="56"/>
      <c r="M443" s="56"/>
      <c r="N443" s="56"/>
      <c r="O443" s="56"/>
    </row>
    <row r="444" spans="1:15" ht="16.5">
      <c r="A444" s="540" t="s">
        <v>4099</v>
      </c>
      <c r="B444" s="541"/>
      <c r="C444" s="541"/>
      <c r="D444" s="541"/>
      <c r="E444" s="541"/>
      <c r="F444" s="541"/>
      <c r="G444" s="542"/>
      <c r="H444" s="116">
        <f>SUM(F430:F443)</f>
        <v>3256956.7388400002</v>
      </c>
      <c r="J444" s="68"/>
      <c r="K444" s="56"/>
      <c r="L444" s="56"/>
      <c r="M444" s="56"/>
      <c r="N444" s="56"/>
      <c r="O444" s="56"/>
    </row>
    <row r="445" spans="1:15" ht="16.5">
      <c r="A445" s="543" t="s">
        <v>4231</v>
      </c>
      <c r="B445" s="544"/>
      <c r="C445" s="544"/>
      <c r="D445" s="544"/>
      <c r="E445" s="545"/>
      <c r="F445" s="544"/>
      <c r="G445" s="544"/>
      <c r="H445" s="546"/>
      <c r="J445" s="68"/>
      <c r="K445" s="56"/>
      <c r="L445" s="56"/>
      <c r="M445" s="56"/>
      <c r="N445" s="56"/>
      <c r="O445" s="56"/>
    </row>
    <row r="446" spans="1:15">
      <c r="A446" s="547" t="s">
        <v>7</v>
      </c>
      <c r="B446" s="548"/>
      <c r="C446" s="108" t="s">
        <v>4232</v>
      </c>
      <c r="D446" s="107" t="s">
        <v>4233</v>
      </c>
      <c r="E446" s="206" t="s">
        <v>4234</v>
      </c>
      <c r="F446" s="549" t="s">
        <v>4218</v>
      </c>
      <c r="G446" s="549"/>
      <c r="H446" s="119"/>
      <c r="K446" s="56"/>
      <c r="L446" s="56"/>
      <c r="M446" s="56"/>
      <c r="N446" s="56"/>
      <c r="O446" s="56"/>
    </row>
    <row r="447" spans="1:15">
      <c r="A447" s="550" t="s">
        <v>3928</v>
      </c>
      <c r="B447" s="551"/>
      <c r="C447" s="232">
        <v>1</v>
      </c>
      <c r="D447" s="102">
        <v>0.03</v>
      </c>
      <c r="E447" s="103">
        <f>VLOOKUP(A447,'Equip, Herr y Transp'!$B$2:$D$218,3,0)</f>
        <v>160000</v>
      </c>
      <c r="F447" s="552">
        <f>E447*D447*C447</f>
        <v>4800</v>
      </c>
      <c r="G447" s="553"/>
      <c r="H447" s="117"/>
      <c r="M447" s="56"/>
    </row>
    <row r="448" spans="1:15" ht="16.5">
      <c r="A448" s="554" t="s">
        <v>4216</v>
      </c>
      <c r="B448" s="555"/>
      <c r="C448" s="555"/>
      <c r="D448" s="555"/>
      <c r="E448" s="555"/>
      <c r="F448" s="555"/>
      <c r="G448" s="555"/>
      <c r="H448" s="105">
        <f>F447</f>
        <v>4800</v>
      </c>
    </row>
    <row r="449" spans="1:10" ht="16.5">
      <c r="A449" s="543" t="s">
        <v>4235</v>
      </c>
      <c r="B449" s="544"/>
      <c r="C449" s="544"/>
      <c r="D449" s="544"/>
      <c r="E449" s="544"/>
      <c r="F449" s="544"/>
      <c r="G449" s="544"/>
      <c r="H449" s="546"/>
    </row>
    <row r="450" spans="1:10">
      <c r="A450" s="547" t="s">
        <v>7</v>
      </c>
      <c r="B450" s="548"/>
      <c r="C450" s="106" t="s">
        <v>1</v>
      </c>
      <c r="D450" s="107" t="s">
        <v>4236</v>
      </c>
      <c r="E450" s="108" t="s">
        <v>4215</v>
      </c>
      <c r="F450" s="547" t="s">
        <v>5</v>
      </c>
      <c r="G450" s="556"/>
      <c r="H450" s="119"/>
    </row>
    <row r="451" spans="1:10">
      <c r="A451" s="550" t="s">
        <v>4196</v>
      </c>
      <c r="B451" s="551"/>
      <c r="C451" s="101">
        <v>1</v>
      </c>
      <c r="D451" s="104">
        <f>VLOOKUP(A451,'Mano Obra'!$B$2:$T$117,19,0)</f>
        <v>166624</v>
      </c>
      <c r="E451" s="246">
        <f>H414</f>
        <v>9.3799999999999994E-2</v>
      </c>
      <c r="F451" s="538">
        <f>E451*D451*C451</f>
        <v>15629.331199999999</v>
      </c>
      <c r="G451" s="557"/>
      <c r="H451" s="121"/>
      <c r="I451" s="69"/>
      <c r="J451" s="136">
        <f>((('Mano Obra'!$M$4/30)*F451)/D451)*G421</f>
        <v>1014.9906283222221</v>
      </c>
    </row>
    <row r="452" spans="1:10">
      <c r="A452" s="558" t="s">
        <v>4197</v>
      </c>
      <c r="B452" s="559">
        <f>VLOOKUP(A452,'Mano Obra'!$B$3:$D$290,2,0)</f>
        <v>2090000.0000000002</v>
      </c>
      <c r="C452" s="101">
        <v>1</v>
      </c>
      <c r="D452" s="104">
        <f>VLOOKUP(A452,'Mano Obra'!$B$2:$T$117,19,0)</f>
        <v>120456</v>
      </c>
      <c r="E452" s="246">
        <f>H414</f>
        <v>9.3799999999999994E-2</v>
      </c>
      <c r="F452" s="538">
        <f t="shared" ref="F452:F453" si="27">E452*D452*C452</f>
        <v>11298.772799999999</v>
      </c>
      <c r="G452" s="557"/>
      <c r="H452" s="121"/>
      <c r="J452" s="136">
        <f>((('Mano Obra'!$M$5/30)*F452)/D452)*G421</f>
        <v>1014.9906283222221</v>
      </c>
    </row>
    <row r="453" spans="1:10">
      <c r="A453" s="558" t="s">
        <v>4186</v>
      </c>
      <c r="B453" s="559">
        <f>VLOOKUP(A453,'Mano Obra'!$B$3:$D$290,2,0)</f>
        <v>1100000</v>
      </c>
      <c r="C453" s="101">
        <v>1</v>
      </c>
      <c r="D453" s="104">
        <f>VLOOKUP(A453,'Mano Obra'!$B$2:$T$117,19,0)</f>
        <v>72664</v>
      </c>
      <c r="E453" s="246">
        <f>H414</f>
        <v>9.3799999999999994E-2</v>
      </c>
      <c r="F453" s="538">
        <f t="shared" si="27"/>
        <v>6815.8831999999993</v>
      </c>
      <c r="G453" s="557"/>
      <c r="H453" s="120"/>
      <c r="J453" s="136">
        <f>((('Mano Obra'!$M$6/30)*F453)/D453)*G421</f>
        <v>1014.9906283222221</v>
      </c>
    </row>
    <row r="454" spans="1:10" ht="16.5">
      <c r="A454" s="560" t="s">
        <v>4101</v>
      </c>
      <c r="B454" s="560"/>
      <c r="C454" s="560"/>
      <c r="D454" s="560"/>
      <c r="E454" s="560"/>
      <c r="F454" s="560"/>
      <c r="G454" s="560"/>
      <c r="H454" s="105">
        <f>SUM(F451:F453)</f>
        <v>33743.987199999996</v>
      </c>
      <c r="J454" s="136"/>
    </row>
    <row r="455" spans="1:10">
      <c r="A455" s="227" t="s">
        <v>4237</v>
      </c>
      <c r="B455" s="205"/>
      <c r="C455" s="205"/>
      <c r="D455" s="202"/>
      <c r="E455" s="203"/>
      <c r="F455" s="204"/>
      <c r="G455" s="203"/>
      <c r="H455" s="212"/>
    </row>
    <row r="456" spans="1:10">
      <c r="A456" s="561" t="s">
        <v>4224</v>
      </c>
      <c r="B456" s="562"/>
      <c r="C456" s="562"/>
      <c r="D456" s="562"/>
      <c r="E456" s="200"/>
      <c r="F456" s="201" t="s">
        <v>4238</v>
      </c>
      <c r="G456" s="200" t="s">
        <v>4239</v>
      </c>
      <c r="H456" s="213"/>
    </row>
    <row r="457" spans="1:10">
      <c r="A457" s="223" t="s">
        <v>4097</v>
      </c>
      <c r="B457" s="72"/>
      <c r="C457" s="72"/>
      <c r="D457" s="73"/>
      <c r="E457" s="78"/>
      <c r="F457" s="79">
        <v>0</v>
      </c>
      <c r="G457" s="80">
        <f>F457*H422</f>
        <v>0</v>
      </c>
      <c r="H457" s="212"/>
    </row>
    <row r="458" spans="1:10">
      <c r="A458" s="224" t="s">
        <v>4240</v>
      </c>
      <c r="B458" s="81"/>
      <c r="C458" s="81"/>
      <c r="D458" s="82"/>
      <c r="E458" s="78"/>
      <c r="F458" s="79">
        <v>0</v>
      </c>
      <c r="G458" s="80">
        <f>F458*H422</f>
        <v>0</v>
      </c>
      <c r="H458" s="212"/>
    </row>
    <row r="459" spans="1:10">
      <c r="A459" s="224" t="s">
        <v>4</v>
      </c>
      <c r="B459" s="81"/>
      <c r="C459" s="81"/>
      <c r="D459" s="82"/>
      <c r="E459" s="78"/>
      <c r="F459" s="79">
        <v>0</v>
      </c>
      <c r="G459" s="80">
        <f>F459*H422</f>
        <v>0</v>
      </c>
      <c r="H459" s="212"/>
    </row>
    <row r="460" spans="1:10">
      <c r="A460" s="225"/>
      <c r="B460" s="83"/>
      <c r="C460" s="75"/>
      <c r="D460" s="84"/>
      <c r="E460" s="85"/>
      <c r="F460" s="86"/>
      <c r="G460" s="87"/>
      <c r="H460" s="214"/>
    </row>
    <row r="461" spans="1:10">
      <c r="A461" s="226"/>
      <c r="B461" s="83"/>
      <c r="C461" s="83"/>
      <c r="D461" s="84"/>
      <c r="E461" s="88"/>
      <c r="F461" s="563" t="s">
        <v>4241</v>
      </c>
      <c r="G461" s="564"/>
      <c r="H461" s="233">
        <f>H422+G457+G458+G459</f>
        <v>3301555.7505399999</v>
      </c>
    </row>
    <row r="463" spans="1:10" ht="16.5">
      <c r="A463" s="90"/>
      <c r="B463" s="90"/>
      <c r="C463" s="90"/>
      <c r="D463" s="90"/>
      <c r="E463" s="90"/>
      <c r="F463" s="90"/>
      <c r="G463" s="90"/>
      <c r="H463" s="381"/>
    </row>
    <row r="464" spans="1:10">
      <c r="A464" s="579" t="s">
        <v>4225</v>
      </c>
      <c r="B464" s="580"/>
      <c r="C464" s="580"/>
      <c r="D464" s="580"/>
      <c r="E464" s="580"/>
      <c r="F464" s="580"/>
      <c r="G464" s="580"/>
      <c r="H464" s="581"/>
    </row>
    <row r="465" spans="1:15" ht="16.5">
      <c r="A465" s="91"/>
      <c r="B465" s="92"/>
      <c r="C465" s="92"/>
      <c r="D465" s="92"/>
      <c r="E465" s="92"/>
      <c r="F465" s="93"/>
      <c r="G465" s="94"/>
      <c r="H465" s="380">
        <f>ROUND((45/60)/8,4)</f>
        <v>9.3799999999999994E-2</v>
      </c>
      <c r="I465" s="115"/>
    </row>
    <row r="466" spans="1:15">
      <c r="A466" s="582" t="s">
        <v>4220</v>
      </c>
      <c r="B466" s="584" t="str">
        <f>COSTOS!$C$14</f>
        <v>MODERNIZACION A TECNOLOGIA LED</v>
      </c>
      <c r="C466" s="584"/>
      <c r="D466" s="584"/>
      <c r="E466" s="584"/>
      <c r="F466" s="584"/>
      <c r="G466" s="584"/>
      <c r="H466" s="585" t="s">
        <v>4221</v>
      </c>
    </row>
    <row r="467" spans="1:15">
      <c r="A467" s="583"/>
      <c r="B467" s="584"/>
      <c r="C467" s="584"/>
      <c r="D467" s="584"/>
      <c r="E467" s="584"/>
      <c r="F467" s="584"/>
      <c r="G467" s="584"/>
      <c r="H467" s="585"/>
    </row>
    <row r="468" spans="1:15">
      <c r="A468" s="583"/>
      <c r="B468" s="584"/>
      <c r="C468" s="584"/>
      <c r="D468" s="584"/>
      <c r="E468" s="584"/>
      <c r="F468" s="584"/>
      <c r="G468" s="584"/>
      <c r="H468" s="585"/>
    </row>
    <row r="469" spans="1:15" ht="15" customHeight="1">
      <c r="A469" s="583"/>
      <c r="B469" s="584"/>
      <c r="C469" s="584"/>
      <c r="D469" s="584"/>
      <c r="E469" s="584"/>
      <c r="F469" s="584"/>
      <c r="G469" s="584"/>
      <c r="H469" s="216">
        <f ca="1">TODAY()</f>
        <v>44889</v>
      </c>
      <c r="K469" t="s">
        <v>4391</v>
      </c>
      <c r="L469" t="s">
        <v>4392</v>
      </c>
      <c r="M469" t="s">
        <v>4393</v>
      </c>
      <c r="N469" t="s">
        <v>4394</v>
      </c>
    </row>
    <row r="470" spans="1:15" ht="60.75" customHeight="1">
      <c r="A470" s="228" t="s">
        <v>4222</v>
      </c>
      <c r="B470" s="565" t="str">
        <f>COSTOS!$D$16</f>
        <v>Luminarias</v>
      </c>
      <c r="C470" s="565"/>
      <c r="D470" s="565"/>
      <c r="E470" s="565"/>
      <c r="F470" s="565"/>
      <c r="G470" s="70" t="s">
        <v>4223</v>
      </c>
      <c r="H470" s="387">
        <v>1.9</v>
      </c>
      <c r="K470" s="62">
        <f>H495</f>
        <v>3385238.7388400002</v>
      </c>
      <c r="L470" s="62">
        <f>H505</f>
        <v>33743.987199999996</v>
      </c>
      <c r="M470" s="62">
        <f>H478</f>
        <v>6055.0244999999995</v>
      </c>
      <c r="N470" s="62">
        <f>H499</f>
        <v>4800</v>
      </c>
    </row>
    <row r="471" spans="1:15" ht="43.15" customHeight="1">
      <c r="A471" s="229" t="s">
        <v>4224</v>
      </c>
      <c r="B471" s="566" t="str">
        <f>VLOOKUP(H470,COSTOS!C:M,2,0)</f>
        <v>Farol LED 61w</v>
      </c>
      <c r="C471" s="567"/>
      <c r="D471" s="567"/>
      <c r="E471" s="568"/>
      <c r="F471" s="71" t="s">
        <v>0</v>
      </c>
      <c r="G471" s="356" t="str">
        <f>VLOOKUP(H470,COSTOS!C:M,8,0)</f>
        <v>Und</v>
      </c>
      <c r="H471" s="276"/>
      <c r="I471" s="306"/>
      <c r="J471" s="308"/>
      <c r="K471" s="308"/>
      <c r="L471" s="308"/>
    </row>
    <row r="472" spans="1:15">
      <c r="A472" s="230"/>
      <c r="B472" s="112"/>
      <c r="C472" s="112"/>
      <c r="D472" s="112"/>
      <c r="E472" s="113"/>
      <c r="F472" s="114" t="s">
        <v>1</v>
      </c>
      <c r="G472" s="356">
        <f>VLOOKUP(H470,COSTOS!C:M,9,0)</f>
        <v>0</v>
      </c>
      <c r="H472" s="357"/>
      <c r="I472" s="307"/>
    </row>
    <row r="473" spans="1:15" ht="16.5">
      <c r="A473" s="231" t="s">
        <v>4226</v>
      </c>
      <c r="B473" s="75"/>
      <c r="C473" s="75"/>
      <c r="D473" s="76"/>
      <c r="E473" s="209"/>
      <c r="F473" s="210"/>
      <c r="G473" s="211" t="s">
        <v>4227</v>
      </c>
      <c r="H473" s="217">
        <f>H478+H495+H499+H505</f>
        <v>3429837.7505399999</v>
      </c>
    </row>
    <row r="474" spans="1:15" ht="39">
      <c r="A474" s="569" t="s">
        <v>4224</v>
      </c>
      <c r="B474" s="569"/>
      <c r="C474" s="569"/>
      <c r="D474" s="77" t="s">
        <v>0</v>
      </c>
      <c r="E474" s="207" t="s">
        <v>4228</v>
      </c>
      <c r="F474" s="208" t="s">
        <v>4215</v>
      </c>
      <c r="G474" s="74" t="s">
        <v>2</v>
      </c>
      <c r="H474" s="218" t="s">
        <v>4229</v>
      </c>
      <c r="K474" s="309"/>
    </row>
    <row r="475" spans="1:15">
      <c r="A475" s="536" t="s">
        <v>3946</v>
      </c>
      <c r="B475" s="570" t="str">
        <f>VLOOKUP(A475,'Equip, Herr y Transp'!$B$2:$D$739,2,0)</f>
        <v>EQU</v>
      </c>
      <c r="C475" s="570"/>
      <c r="D475" s="95" t="str">
        <f>VLOOKUP(A475,'Equip, Herr y Transp'!$B$2:$D$218,2,0)</f>
        <v>EQU</v>
      </c>
      <c r="E475" s="95">
        <f>VLOOKUP(A475,'Equip, Herr y Transp'!$B$2:$D$218,3,0)</f>
        <v>14130</v>
      </c>
      <c r="F475" s="96">
        <f>H465</f>
        <v>9.3799999999999994E-2</v>
      </c>
      <c r="G475" s="122">
        <f>F475*E475</f>
        <v>1325.394</v>
      </c>
      <c r="H475" s="118"/>
    </row>
    <row r="476" spans="1:15">
      <c r="A476" s="536" t="s">
        <v>3904</v>
      </c>
      <c r="B476" s="570" t="str">
        <f>VLOOKUP(A476,'Equip, Herr y Transp'!$B$2:$D$739,2,0)</f>
        <v>EQU</v>
      </c>
      <c r="C476" s="570"/>
      <c r="D476" s="95" t="str">
        <f>VLOOKUP(A476,'Equip, Herr y Transp'!$B$2:$D$218,2,0)</f>
        <v>EQU</v>
      </c>
      <c r="E476" s="95">
        <f>VLOOKUP(A476,'Equip, Herr y Transp'!$B$2:$D$218,3,0)</f>
        <v>26672.5</v>
      </c>
      <c r="F476" s="96">
        <f>H465</f>
        <v>9.3799999999999994E-2</v>
      </c>
      <c r="G476" s="122">
        <f>F476*E476</f>
        <v>2501.8804999999998</v>
      </c>
      <c r="H476" s="117"/>
    </row>
    <row r="477" spans="1:15">
      <c r="A477" s="536" t="s">
        <v>3937</v>
      </c>
      <c r="B477" s="570" t="str">
        <f>VLOOKUP(A477,'Equip, Herr y Transp'!$B$2:$D$739,2,0)</f>
        <v>EQU</v>
      </c>
      <c r="C477" s="570"/>
      <c r="D477" s="95" t="str">
        <f>VLOOKUP(A477,'Equip, Herr y Transp'!$B$2:$D$218,2,0)</f>
        <v>EQU</v>
      </c>
      <c r="E477" s="95">
        <f>VLOOKUP(A477,'Equip, Herr y Transp'!$B$2:$D$218,3,0)</f>
        <v>23750</v>
      </c>
      <c r="F477" s="96">
        <f>H465</f>
        <v>9.3799999999999994E-2</v>
      </c>
      <c r="G477" s="122">
        <f>F477*E477</f>
        <v>2227.75</v>
      </c>
      <c r="H477" s="117"/>
    </row>
    <row r="478" spans="1:15" ht="16.5">
      <c r="A478" s="540" t="s">
        <v>4100</v>
      </c>
      <c r="B478" s="541"/>
      <c r="C478" s="541"/>
      <c r="D478" s="541"/>
      <c r="E478" s="541"/>
      <c r="F478" s="541"/>
      <c r="G478" s="541"/>
      <c r="H478" s="97">
        <f>SUM(G475:G477)</f>
        <v>6055.0244999999995</v>
      </c>
    </row>
    <row r="479" spans="1:15" ht="16.5">
      <c r="A479" s="571" t="s">
        <v>4230</v>
      </c>
      <c r="B479" s="572"/>
      <c r="C479" s="572"/>
      <c r="D479" s="572"/>
      <c r="E479" s="572"/>
      <c r="F479" s="572"/>
      <c r="G479" s="572"/>
      <c r="H479" s="573"/>
      <c r="K479" s="56"/>
      <c r="L479" s="56"/>
      <c r="M479" s="56"/>
      <c r="N479" s="56"/>
      <c r="O479" s="56"/>
    </row>
    <row r="480" spans="1:15" ht="30" customHeight="1">
      <c r="A480" s="574" t="s">
        <v>7</v>
      </c>
      <c r="B480" s="575"/>
      <c r="C480" s="109" t="s">
        <v>0</v>
      </c>
      <c r="D480" s="110" t="s">
        <v>4098</v>
      </c>
      <c r="E480" s="111" t="s">
        <v>1</v>
      </c>
      <c r="F480" s="576" t="s">
        <v>4218</v>
      </c>
      <c r="G480" s="576"/>
      <c r="H480" s="215"/>
      <c r="K480" s="56"/>
      <c r="L480" s="56"/>
      <c r="M480" s="56"/>
      <c r="N480" s="56"/>
      <c r="O480" s="56"/>
    </row>
    <row r="481" spans="1:15">
      <c r="A481" s="577" t="s">
        <v>4543</v>
      </c>
      <c r="B481" s="578"/>
      <c r="C481" s="98" t="str">
        <f>VLOOKUP(A481,'Materiales '!$C$2:$F$1302,3,0)</f>
        <v>Und</v>
      </c>
      <c r="D481" s="99">
        <f>VLOOKUP(A481,'Materiales '!$C$2:$F$1302,4,0)</f>
        <v>3207050.0000000005</v>
      </c>
      <c r="E481" s="100">
        <v>1</v>
      </c>
      <c r="F481" s="538">
        <f>E481*D481</f>
        <v>3207050.0000000005</v>
      </c>
      <c r="G481" s="539"/>
      <c r="H481" s="121"/>
      <c r="I481">
        <f>E481*G472</f>
        <v>0</v>
      </c>
      <c r="J481" s="67"/>
      <c r="K481" s="56"/>
      <c r="L481" s="56"/>
      <c r="M481" s="56"/>
      <c r="N481" s="56"/>
      <c r="O481" s="56"/>
    </row>
    <row r="482" spans="1:15">
      <c r="A482" s="577" t="s">
        <v>4214</v>
      </c>
      <c r="B482" s="578"/>
      <c r="C482" s="98" t="str">
        <f>VLOOKUP(A482,'Materiales '!$C$2:$F$1302,3,0)</f>
        <v>Und</v>
      </c>
      <c r="D482" s="99">
        <f>VLOOKUP(A482,'Materiales '!$C$2:$F$1302,4,0)</f>
        <v>22848</v>
      </c>
      <c r="E482" s="100">
        <v>1</v>
      </c>
      <c r="F482" s="538">
        <f t="shared" ref="F482:F488" si="28">E482*D482</f>
        <v>22848</v>
      </c>
      <c r="G482" s="539"/>
      <c r="H482" s="121"/>
      <c r="I482">
        <f>E482*G472</f>
        <v>0</v>
      </c>
      <c r="J482" s="67"/>
      <c r="K482" s="56"/>
      <c r="L482" s="56"/>
      <c r="M482" s="56"/>
      <c r="N482" s="56"/>
      <c r="O482" s="56"/>
    </row>
    <row r="483" spans="1:15">
      <c r="A483" s="536" t="s">
        <v>4474</v>
      </c>
      <c r="B483" s="537" t="str">
        <f>VLOOKUP(A483,'Materiales '!$C$2:$F$1302,3,0)</f>
        <v>Ml</v>
      </c>
      <c r="C483" s="98" t="str">
        <f>VLOOKUP(A483,'Materiales '!$C$2:$F$1302,3,0)</f>
        <v>Ml</v>
      </c>
      <c r="D483" s="99">
        <f>VLOOKUP(A483,'Materiales '!$C$2:$F$1302,4,0)</f>
        <v>2064.93084</v>
      </c>
      <c r="E483" s="100">
        <v>1</v>
      </c>
      <c r="F483" s="538">
        <f t="shared" si="28"/>
        <v>2064.93084</v>
      </c>
      <c r="G483" s="539"/>
      <c r="H483" s="121"/>
      <c r="I483">
        <f>E483*G472</f>
        <v>0</v>
      </c>
      <c r="J483" s="68"/>
      <c r="K483" s="56"/>
      <c r="L483" s="56"/>
      <c r="M483" s="56"/>
      <c r="N483" s="56"/>
      <c r="O483" s="56"/>
    </row>
    <row r="484" spans="1:15">
      <c r="A484" s="536" t="s">
        <v>4492</v>
      </c>
      <c r="B484" s="537" t="str">
        <f>VLOOKUP(A484,'Materiales '!$C$2:$F$1302,3,0)</f>
        <v>Und</v>
      </c>
      <c r="C484" s="98" t="str">
        <f>VLOOKUP(A484,'Materiales '!$C$2:$F$1302,3,0)</f>
        <v>Und</v>
      </c>
      <c r="D484" s="99">
        <f>VLOOKUP(A484,'Materiales '!$C$2:$F$1302,4,0)</f>
        <v>32411.315999999999</v>
      </c>
      <c r="E484" s="100">
        <v>3</v>
      </c>
      <c r="F484" s="538">
        <f t="shared" si="28"/>
        <v>97233.948000000004</v>
      </c>
      <c r="G484" s="539"/>
      <c r="H484" s="121"/>
      <c r="I484">
        <f>E484*G472</f>
        <v>0</v>
      </c>
      <c r="J484" s="68"/>
      <c r="K484" s="56"/>
      <c r="L484" s="56"/>
      <c r="M484" s="56"/>
      <c r="N484" s="56"/>
      <c r="O484" s="56"/>
    </row>
    <row r="485" spans="1:15">
      <c r="A485" s="536" t="s">
        <v>4539</v>
      </c>
      <c r="B485" s="537" t="str">
        <f>VLOOKUP(A485,'Materiales '!$C$2:$F$1302,3,0)</f>
        <v>Und</v>
      </c>
      <c r="C485" s="98" t="str">
        <f>VLOOKUP(A485,'Materiales '!$C$2:$F$1302,3,0)</f>
        <v>Und</v>
      </c>
      <c r="D485" s="99">
        <f>VLOOKUP(A485,'Materiales '!$C$2:$F$1302,4,0)</f>
        <v>505.51199999999994</v>
      </c>
      <c r="E485" s="100">
        <v>2</v>
      </c>
      <c r="F485" s="538">
        <f t="shared" si="28"/>
        <v>1011.0239999999999</v>
      </c>
      <c r="G485" s="539"/>
      <c r="H485" s="121"/>
      <c r="I485">
        <f>E485*G472</f>
        <v>0</v>
      </c>
      <c r="J485" s="68"/>
      <c r="K485" s="56"/>
      <c r="L485" s="56"/>
      <c r="M485" s="56"/>
      <c r="N485" s="56"/>
      <c r="O485" s="56"/>
    </row>
    <row r="486" spans="1:15">
      <c r="A486" s="536" t="s">
        <v>4450</v>
      </c>
      <c r="B486" s="537" t="str">
        <f>VLOOKUP(A486,'Materiales '!$C$2:$F$1302,3,0)</f>
        <v>Ml</v>
      </c>
      <c r="C486" s="98" t="str">
        <f>VLOOKUP(A486,'Materiales '!$C$2:$F$1302,3,0)</f>
        <v>Ml</v>
      </c>
      <c r="D486" s="99">
        <f>VLOOKUP(A486,'Materiales '!$C$2:$F$1302,4,0)</f>
        <v>6791.5679999999993</v>
      </c>
      <c r="E486" s="100">
        <v>8</v>
      </c>
      <c r="F486" s="538">
        <f t="shared" si="28"/>
        <v>54332.543999999994</v>
      </c>
      <c r="G486" s="539"/>
      <c r="H486" s="121"/>
      <c r="I486">
        <f>E486*G472</f>
        <v>0</v>
      </c>
      <c r="J486" s="68"/>
      <c r="K486" s="56"/>
      <c r="L486" s="56"/>
      <c r="M486" s="56"/>
      <c r="N486" s="56"/>
      <c r="O486" s="56"/>
    </row>
    <row r="487" spans="1:15">
      <c r="A487" s="536" t="s">
        <v>4493</v>
      </c>
      <c r="B487" s="537" t="str">
        <f>VLOOKUP(A487,'Materiales '!$C$2:$F$1302,3,0)</f>
        <v>Und</v>
      </c>
      <c r="C487" s="98" t="str">
        <f>VLOOKUP(A487,'Materiales '!$C$2:$F$1302,3,0)</f>
        <v>Und</v>
      </c>
      <c r="D487" s="99">
        <f>VLOOKUP(A487,'Materiales '!$C$2:$F$1302,4,0)</f>
        <v>232.76399999999998</v>
      </c>
      <c r="E487" s="100">
        <v>3</v>
      </c>
      <c r="F487" s="538">
        <f t="shared" si="28"/>
        <v>698.29199999999992</v>
      </c>
      <c r="G487" s="539"/>
      <c r="H487" s="121"/>
      <c r="I487">
        <f>E487*G472</f>
        <v>0</v>
      </c>
      <c r="J487" s="68"/>
      <c r="K487" s="56"/>
      <c r="L487" s="56"/>
      <c r="M487" s="56"/>
      <c r="N487" s="56"/>
      <c r="O487" s="56"/>
    </row>
    <row r="488" spans="1:15" ht="21.75" customHeight="1">
      <c r="A488" s="536" t="s">
        <v>8</v>
      </c>
      <c r="B488" s="537" t="str">
        <f>VLOOKUP(A488,'Materiales '!$C$2:$F$1302,3,0)</f>
        <v>-</v>
      </c>
      <c r="C488" s="98" t="str">
        <f>VLOOKUP(A488,'Materiales '!$C$2:$F$1302,3,0)</f>
        <v>-</v>
      </c>
      <c r="D488" s="99">
        <f>VLOOKUP(A488,'Materiales '!$C$2:$F$1302,4,0)</f>
        <v>0</v>
      </c>
      <c r="E488" s="100">
        <v>0.5</v>
      </c>
      <c r="F488" s="538">
        <f t="shared" si="28"/>
        <v>0</v>
      </c>
      <c r="G488" s="539"/>
      <c r="H488" s="121"/>
      <c r="I488">
        <f>E488*G472</f>
        <v>0</v>
      </c>
      <c r="J488" s="68"/>
      <c r="K488" s="56"/>
      <c r="L488" s="56"/>
      <c r="M488" s="56"/>
      <c r="N488" s="56"/>
      <c r="O488" s="56"/>
    </row>
    <row r="489" spans="1:15">
      <c r="A489" s="536" t="s">
        <v>8</v>
      </c>
      <c r="B489" s="537" t="str">
        <f>VLOOKUP(A489,'Materiales '!$C$2:$F$1302,3,0)</f>
        <v>-</v>
      </c>
      <c r="C489" s="98" t="str">
        <f>VLOOKUP(A489,'Materiales '!$C$2:$F$1302,3,0)</f>
        <v>-</v>
      </c>
      <c r="D489" s="99">
        <f>VLOOKUP(A489,'Materiales '!$C$2:$F$1302,4,0)</f>
        <v>0</v>
      </c>
      <c r="E489" s="100"/>
      <c r="F489" s="538">
        <f>E489*D489</f>
        <v>0</v>
      </c>
      <c r="G489" s="539"/>
      <c r="H489" s="120"/>
      <c r="I489">
        <f>E489*G472</f>
        <v>0</v>
      </c>
      <c r="J489" s="68"/>
      <c r="K489" s="56"/>
      <c r="L489" s="56"/>
      <c r="M489" s="56"/>
      <c r="N489" s="56"/>
      <c r="O489" s="56"/>
    </row>
    <row r="490" spans="1:15">
      <c r="A490" s="536" t="s">
        <v>8</v>
      </c>
      <c r="B490" s="537" t="str">
        <f>VLOOKUP(A490,'Materiales '!$C$2:$F$1302,3,0)</f>
        <v>-</v>
      </c>
      <c r="C490" s="98" t="str">
        <f>VLOOKUP(A490,'Materiales '!$C$2:$F$1302,3,0)</f>
        <v>-</v>
      </c>
      <c r="D490" s="99">
        <f>VLOOKUP(A490,'Materiales '!$C$2:$F$1302,4,0)</f>
        <v>0</v>
      </c>
      <c r="E490" s="100"/>
      <c r="F490" s="538">
        <f t="shared" ref="F490:F493" si="29">E490*D490</f>
        <v>0</v>
      </c>
      <c r="G490" s="539"/>
      <c r="H490" s="121"/>
      <c r="I490">
        <f>E490*G472</f>
        <v>0</v>
      </c>
      <c r="J490" s="68"/>
      <c r="K490" s="56"/>
      <c r="L490" s="56"/>
      <c r="M490" s="56"/>
      <c r="N490" s="56"/>
      <c r="O490" s="56"/>
    </row>
    <row r="491" spans="1:15">
      <c r="A491" s="536" t="s">
        <v>8</v>
      </c>
      <c r="B491" s="537" t="str">
        <f>VLOOKUP(A491,'Materiales '!$C$2:$F$1302,3,0)</f>
        <v>-</v>
      </c>
      <c r="C491" s="98" t="str">
        <f>VLOOKUP(A491,'Materiales '!$C$2:$F$1302,3,0)</f>
        <v>-</v>
      </c>
      <c r="D491" s="99">
        <f>VLOOKUP(A491,'Materiales '!$C$2:$F$1302,4,0)</f>
        <v>0</v>
      </c>
      <c r="E491" s="100"/>
      <c r="F491" s="538">
        <f t="shared" si="29"/>
        <v>0</v>
      </c>
      <c r="G491" s="539"/>
      <c r="H491" s="121"/>
      <c r="I491">
        <f>E491*G472</f>
        <v>0</v>
      </c>
      <c r="J491" s="68"/>
      <c r="K491" s="56"/>
      <c r="L491" s="56"/>
      <c r="M491" s="56"/>
      <c r="N491" s="56"/>
      <c r="O491" s="56"/>
    </row>
    <row r="492" spans="1:15">
      <c r="A492" s="536" t="s">
        <v>8</v>
      </c>
      <c r="B492" s="537" t="str">
        <f>VLOOKUP(A492,'Materiales '!$C$2:$F$1302,3,0)</f>
        <v>-</v>
      </c>
      <c r="C492" s="98" t="str">
        <f>VLOOKUP(A492,'Materiales '!$C$2:$F$1302,3,0)</f>
        <v>-</v>
      </c>
      <c r="D492" s="99">
        <f>VLOOKUP(A492,'Materiales '!$C$2:$F$1302,4,0)</f>
        <v>0</v>
      </c>
      <c r="E492" s="100"/>
      <c r="F492" s="538">
        <f t="shared" si="29"/>
        <v>0</v>
      </c>
      <c r="G492" s="539"/>
      <c r="H492" s="121"/>
      <c r="I492">
        <f>E492*G472</f>
        <v>0</v>
      </c>
      <c r="J492" s="68"/>
      <c r="K492" s="56"/>
      <c r="L492" s="56"/>
      <c r="M492" s="56"/>
      <c r="N492" s="56"/>
      <c r="O492" s="56"/>
    </row>
    <row r="493" spans="1:15">
      <c r="A493" s="536" t="s">
        <v>8</v>
      </c>
      <c r="B493" s="537" t="str">
        <f>VLOOKUP(A493,'Materiales '!$C$2:$F$1302,3,0)</f>
        <v>-</v>
      </c>
      <c r="C493" s="98" t="str">
        <f>VLOOKUP(A493,'Materiales '!$C$2:$F$1302,3,0)</f>
        <v>-</v>
      </c>
      <c r="D493" s="99">
        <f>VLOOKUP(A493,'Materiales '!$C$2:$F$1302,4,0)</f>
        <v>0</v>
      </c>
      <c r="E493" s="100"/>
      <c r="F493" s="538">
        <f t="shared" si="29"/>
        <v>0</v>
      </c>
      <c r="G493" s="539"/>
      <c r="H493" s="121"/>
      <c r="I493">
        <f>E493*G472</f>
        <v>0</v>
      </c>
      <c r="J493" s="68"/>
      <c r="K493" s="56"/>
      <c r="L493" s="56"/>
      <c r="M493" s="56"/>
      <c r="N493" s="56"/>
      <c r="O493" s="56"/>
    </row>
    <row r="494" spans="1:15">
      <c r="A494" s="536" t="s">
        <v>8</v>
      </c>
      <c r="B494" s="537" t="str">
        <f>VLOOKUP(A494,'Materiales '!$C$2:$F$1302,3,0)</f>
        <v>-</v>
      </c>
      <c r="C494" s="98" t="str">
        <f>VLOOKUP(A494,'Materiales '!$C$2:$F$1302,3,0)</f>
        <v>-</v>
      </c>
      <c r="D494" s="99">
        <f>VLOOKUP(A494,'Materiales '!$C$2:$F$1302,4,0)</f>
        <v>0</v>
      </c>
      <c r="E494" s="100"/>
      <c r="F494" s="538">
        <f>E494*D494</f>
        <v>0</v>
      </c>
      <c r="G494" s="539"/>
      <c r="H494" s="120"/>
      <c r="I494">
        <f>E494*G472</f>
        <v>0</v>
      </c>
      <c r="J494" s="68"/>
      <c r="K494" s="56"/>
      <c r="L494" s="56"/>
      <c r="M494" s="56"/>
      <c r="N494" s="56"/>
      <c r="O494" s="56"/>
    </row>
    <row r="495" spans="1:15" ht="16.5">
      <c r="A495" s="540" t="s">
        <v>4099</v>
      </c>
      <c r="B495" s="541"/>
      <c r="C495" s="541"/>
      <c r="D495" s="541"/>
      <c r="E495" s="541"/>
      <c r="F495" s="541"/>
      <c r="G495" s="542"/>
      <c r="H495" s="116">
        <f>SUM(F481:F494)</f>
        <v>3385238.7388400002</v>
      </c>
      <c r="J495" s="68"/>
      <c r="K495" s="56"/>
      <c r="L495" s="56"/>
      <c r="M495" s="56"/>
      <c r="N495" s="56"/>
      <c r="O495" s="56"/>
    </row>
    <row r="496" spans="1:15" ht="16.5">
      <c r="A496" s="543" t="s">
        <v>4231</v>
      </c>
      <c r="B496" s="544"/>
      <c r="C496" s="544"/>
      <c r="D496" s="544"/>
      <c r="E496" s="545"/>
      <c r="F496" s="544"/>
      <c r="G496" s="544"/>
      <c r="H496" s="546"/>
      <c r="J496" s="68"/>
      <c r="K496" s="56"/>
      <c r="L496" s="56"/>
      <c r="M496" s="56"/>
      <c r="N496" s="56"/>
      <c r="O496" s="56"/>
    </row>
    <row r="497" spans="1:15">
      <c r="A497" s="547" t="s">
        <v>7</v>
      </c>
      <c r="B497" s="548"/>
      <c r="C497" s="108" t="s">
        <v>4232</v>
      </c>
      <c r="D497" s="107" t="s">
        <v>4233</v>
      </c>
      <c r="E497" s="206" t="s">
        <v>4234</v>
      </c>
      <c r="F497" s="549" t="s">
        <v>4218</v>
      </c>
      <c r="G497" s="549"/>
      <c r="H497" s="119"/>
      <c r="K497" s="56"/>
      <c r="L497" s="56"/>
      <c r="M497" s="56"/>
      <c r="N497" s="56"/>
      <c r="O497" s="56"/>
    </row>
    <row r="498" spans="1:15">
      <c r="A498" s="550" t="s">
        <v>3928</v>
      </c>
      <c r="B498" s="551"/>
      <c r="C498" s="232">
        <v>1</v>
      </c>
      <c r="D498" s="102">
        <v>0.03</v>
      </c>
      <c r="E498" s="103">
        <f>VLOOKUP(A498,'Equip, Herr y Transp'!$B$2:$D$218,3,0)</f>
        <v>160000</v>
      </c>
      <c r="F498" s="552">
        <f>E498*D498*C498</f>
        <v>4800</v>
      </c>
      <c r="G498" s="553"/>
      <c r="H498" s="117"/>
      <c r="M498" s="56"/>
    </row>
    <row r="499" spans="1:15" ht="16.5">
      <c r="A499" s="554" t="s">
        <v>4216</v>
      </c>
      <c r="B499" s="555"/>
      <c r="C499" s="555"/>
      <c r="D499" s="555"/>
      <c r="E499" s="555"/>
      <c r="F499" s="555"/>
      <c r="G499" s="555"/>
      <c r="H499" s="105">
        <f>F498</f>
        <v>4800</v>
      </c>
    </row>
    <row r="500" spans="1:15" ht="16.5">
      <c r="A500" s="543" t="s">
        <v>4235</v>
      </c>
      <c r="B500" s="544"/>
      <c r="C500" s="544"/>
      <c r="D500" s="544"/>
      <c r="E500" s="544"/>
      <c r="F500" s="544"/>
      <c r="G500" s="544"/>
      <c r="H500" s="546"/>
    </row>
    <row r="501" spans="1:15">
      <c r="A501" s="547" t="s">
        <v>7</v>
      </c>
      <c r="B501" s="548"/>
      <c r="C501" s="106" t="s">
        <v>1</v>
      </c>
      <c r="D501" s="107" t="s">
        <v>4236</v>
      </c>
      <c r="E501" s="108" t="s">
        <v>4215</v>
      </c>
      <c r="F501" s="547" t="s">
        <v>5</v>
      </c>
      <c r="G501" s="556"/>
      <c r="H501" s="119"/>
    </row>
    <row r="502" spans="1:15">
      <c r="A502" s="550" t="s">
        <v>4196</v>
      </c>
      <c r="B502" s="551"/>
      <c r="C502" s="101">
        <v>1</v>
      </c>
      <c r="D502" s="104">
        <f>VLOOKUP(A502,'Mano Obra'!$B$2:$T$117,19,0)</f>
        <v>166624</v>
      </c>
      <c r="E502" s="246">
        <f>H465</f>
        <v>9.3799999999999994E-2</v>
      </c>
      <c r="F502" s="538">
        <f>E502*D502*C502</f>
        <v>15629.331199999999</v>
      </c>
      <c r="G502" s="557"/>
      <c r="H502" s="121"/>
      <c r="I502" s="69"/>
      <c r="J502" s="136">
        <f>((('Mano Obra'!$M$4/30)*F502)/D502)*G472</f>
        <v>0</v>
      </c>
    </row>
    <row r="503" spans="1:15">
      <c r="A503" s="558" t="s">
        <v>4197</v>
      </c>
      <c r="B503" s="559">
        <f>VLOOKUP(A503,'Mano Obra'!$B$3:$D$290,2,0)</f>
        <v>2090000.0000000002</v>
      </c>
      <c r="C503" s="101">
        <v>1</v>
      </c>
      <c r="D503" s="104">
        <f>VLOOKUP(A503,'Mano Obra'!$B$2:$T$117,19,0)</f>
        <v>120456</v>
      </c>
      <c r="E503" s="246">
        <f>H465</f>
        <v>9.3799999999999994E-2</v>
      </c>
      <c r="F503" s="538">
        <f t="shared" ref="F503:F504" si="30">E503*D503*C503</f>
        <v>11298.772799999999</v>
      </c>
      <c r="G503" s="557"/>
      <c r="H503" s="121"/>
      <c r="J503" s="136">
        <f>((('Mano Obra'!$M$5/30)*F503)/D503)*G472</f>
        <v>0</v>
      </c>
    </row>
    <row r="504" spans="1:15">
      <c r="A504" s="558" t="s">
        <v>4186</v>
      </c>
      <c r="B504" s="559">
        <f>VLOOKUP(A504,'Mano Obra'!$B$3:$D$290,2,0)</f>
        <v>1100000</v>
      </c>
      <c r="C504" s="101">
        <v>1</v>
      </c>
      <c r="D504" s="104">
        <f>VLOOKUP(A504,'Mano Obra'!$B$2:$T$117,19,0)</f>
        <v>72664</v>
      </c>
      <c r="E504" s="246">
        <f>H465</f>
        <v>9.3799999999999994E-2</v>
      </c>
      <c r="F504" s="538">
        <f t="shared" si="30"/>
        <v>6815.8831999999993</v>
      </c>
      <c r="G504" s="557"/>
      <c r="H504" s="120"/>
      <c r="J504" s="136">
        <f>((('Mano Obra'!$M$6/30)*F504)/D504)*G472</f>
        <v>0</v>
      </c>
    </row>
    <row r="505" spans="1:15" ht="16.5">
      <c r="A505" s="560" t="s">
        <v>4101</v>
      </c>
      <c r="B505" s="560"/>
      <c r="C505" s="560"/>
      <c r="D505" s="560"/>
      <c r="E505" s="560"/>
      <c r="F505" s="560"/>
      <c r="G505" s="560"/>
      <c r="H505" s="105">
        <f>SUM(F502:F504)</f>
        <v>33743.987199999996</v>
      </c>
      <c r="J505" s="136"/>
    </row>
    <row r="506" spans="1:15">
      <c r="A506" s="227" t="s">
        <v>4237</v>
      </c>
      <c r="B506" s="205"/>
      <c r="C506" s="205"/>
      <c r="D506" s="202"/>
      <c r="E506" s="203"/>
      <c r="F506" s="204"/>
      <c r="G506" s="203"/>
      <c r="H506" s="212"/>
    </row>
    <row r="507" spans="1:15">
      <c r="A507" s="561" t="s">
        <v>4224</v>
      </c>
      <c r="B507" s="562"/>
      <c r="C507" s="562"/>
      <c r="D507" s="562"/>
      <c r="E507" s="200"/>
      <c r="F507" s="201" t="s">
        <v>4238</v>
      </c>
      <c r="G507" s="200" t="s">
        <v>4239</v>
      </c>
      <c r="H507" s="213"/>
    </row>
    <row r="508" spans="1:15">
      <c r="A508" s="223" t="s">
        <v>4097</v>
      </c>
      <c r="B508" s="72"/>
      <c r="C508" s="72"/>
      <c r="D508" s="73"/>
      <c r="E508" s="78"/>
      <c r="F508" s="79">
        <v>0</v>
      </c>
      <c r="G508" s="80">
        <f>F508*H473</f>
        <v>0</v>
      </c>
      <c r="H508" s="212"/>
    </row>
    <row r="509" spans="1:15">
      <c r="A509" s="224" t="s">
        <v>4240</v>
      </c>
      <c r="B509" s="81"/>
      <c r="C509" s="81"/>
      <c r="D509" s="82"/>
      <c r="E509" s="78"/>
      <c r="F509" s="79">
        <v>0</v>
      </c>
      <c r="G509" s="80">
        <f>F509*H473</f>
        <v>0</v>
      </c>
      <c r="H509" s="212"/>
    </row>
    <row r="510" spans="1:15">
      <c r="A510" s="224" t="s">
        <v>4</v>
      </c>
      <c r="B510" s="81"/>
      <c r="C510" s="81"/>
      <c r="D510" s="82"/>
      <c r="E510" s="78"/>
      <c r="F510" s="79">
        <v>0</v>
      </c>
      <c r="G510" s="80">
        <f>F510*H473</f>
        <v>0</v>
      </c>
      <c r="H510" s="212"/>
    </row>
    <row r="511" spans="1:15">
      <c r="A511" s="225"/>
      <c r="B511" s="83"/>
      <c r="C511" s="75"/>
      <c r="D511" s="84"/>
      <c r="E511" s="85"/>
      <c r="F511" s="86"/>
      <c r="G511" s="87"/>
      <c r="H511" s="214"/>
    </row>
    <row r="512" spans="1:15">
      <c r="A512" s="226"/>
      <c r="B512" s="83"/>
      <c r="C512" s="83"/>
      <c r="D512" s="84"/>
      <c r="E512" s="88"/>
      <c r="F512" s="563" t="s">
        <v>4241</v>
      </c>
      <c r="G512" s="564"/>
      <c r="H512" s="233">
        <f>H473+G508+G509+G510</f>
        <v>3429837.7505399999</v>
      </c>
    </row>
    <row r="513" spans="1:14">
      <c r="A513" s="83"/>
      <c r="B513" s="83"/>
      <c r="C513" s="83"/>
      <c r="D513" s="84"/>
      <c r="E513" s="388"/>
      <c r="F513" s="389"/>
      <c r="G513" s="389"/>
      <c r="H513" s="390"/>
    </row>
    <row r="514" spans="1:14">
      <c r="A514" s="83"/>
      <c r="B514" s="83"/>
      <c r="C514" s="83"/>
      <c r="D514" s="84"/>
      <c r="E514" s="388"/>
      <c r="F514" s="389"/>
      <c r="G514" s="389"/>
      <c r="H514" s="390"/>
    </row>
    <row r="515" spans="1:14" ht="16.5">
      <c r="A515" s="90"/>
      <c r="B515" s="90"/>
      <c r="C515" s="90"/>
      <c r="D515" s="90"/>
      <c r="E515" s="90"/>
      <c r="F515" s="90"/>
      <c r="G515" s="90"/>
      <c r="H515" s="381"/>
    </row>
    <row r="516" spans="1:14">
      <c r="A516" s="579" t="s">
        <v>4225</v>
      </c>
      <c r="B516" s="580"/>
      <c r="C516" s="580"/>
      <c r="D516" s="580"/>
      <c r="E516" s="580"/>
      <c r="F516" s="580"/>
      <c r="G516" s="580"/>
      <c r="H516" s="581"/>
    </row>
    <row r="517" spans="1:14" ht="16.5">
      <c r="A517" s="91"/>
      <c r="B517" s="92"/>
      <c r="C517" s="92"/>
      <c r="D517" s="92"/>
      <c r="E517" s="92"/>
      <c r="F517" s="93"/>
      <c r="G517" s="94"/>
      <c r="H517" s="380">
        <f>ROUND((25/60)/8,4)</f>
        <v>5.21E-2</v>
      </c>
      <c r="I517" s="115"/>
    </row>
    <row r="518" spans="1:14">
      <c r="A518" s="582" t="s">
        <v>4220</v>
      </c>
      <c r="B518" s="584" t="str">
        <f>COSTOS!$C$14</f>
        <v>MODERNIZACION A TECNOLOGIA LED</v>
      </c>
      <c r="C518" s="584"/>
      <c r="D518" s="584"/>
      <c r="E518" s="584"/>
      <c r="F518" s="584"/>
      <c r="G518" s="584"/>
      <c r="H518" s="585" t="s">
        <v>4221</v>
      </c>
    </row>
    <row r="519" spans="1:14">
      <c r="A519" s="583"/>
      <c r="B519" s="584"/>
      <c r="C519" s="584"/>
      <c r="D519" s="584"/>
      <c r="E519" s="584"/>
      <c r="F519" s="584"/>
      <c r="G519" s="584"/>
      <c r="H519" s="585"/>
    </row>
    <row r="520" spans="1:14">
      <c r="A520" s="583"/>
      <c r="B520" s="584"/>
      <c r="C520" s="584"/>
      <c r="D520" s="584"/>
      <c r="E520" s="584"/>
      <c r="F520" s="584"/>
      <c r="G520" s="584"/>
      <c r="H520" s="585"/>
    </row>
    <row r="521" spans="1:14" ht="15" customHeight="1">
      <c r="A521" s="583"/>
      <c r="B521" s="584"/>
      <c r="C521" s="584"/>
      <c r="D521" s="584"/>
      <c r="E521" s="584"/>
      <c r="F521" s="584"/>
      <c r="G521" s="584"/>
      <c r="H521" s="216">
        <f ca="1">TODAY()</f>
        <v>44889</v>
      </c>
      <c r="K521" t="s">
        <v>4391</v>
      </c>
      <c r="L521" t="s">
        <v>4392</v>
      </c>
      <c r="M521" t="s">
        <v>4393</v>
      </c>
      <c r="N521" t="s">
        <v>4394</v>
      </c>
    </row>
    <row r="522" spans="1:14" ht="60.75" customHeight="1">
      <c r="A522" s="228" t="s">
        <v>4222</v>
      </c>
      <c r="B522" s="565" t="str">
        <f>COSTOS!$D$16</f>
        <v>Luminarias</v>
      </c>
      <c r="C522" s="565"/>
      <c r="D522" s="565"/>
      <c r="E522" s="565"/>
      <c r="F522" s="565"/>
      <c r="G522" s="70" t="s">
        <v>4223</v>
      </c>
      <c r="H522" s="391">
        <v>1.1100000000000001</v>
      </c>
      <c r="K522" s="62">
        <f>H547</f>
        <v>210982.90639999998</v>
      </c>
      <c r="L522" s="62">
        <f>H557</f>
        <v>18742.662399999997</v>
      </c>
      <c r="M522" s="62">
        <f>H530</f>
        <v>1973.548</v>
      </c>
      <c r="N522" s="62">
        <f>H551</f>
        <v>4800</v>
      </c>
    </row>
    <row r="523" spans="1:14" ht="43.15" customHeight="1">
      <c r="A523" s="229" t="s">
        <v>4224</v>
      </c>
      <c r="B523" s="566" t="str">
        <f>VLOOKUP(H522,COSTOS!C:M,2,0)</f>
        <v>BALA LED de piso 14w, 1020lm</v>
      </c>
      <c r="C523" s="567"/>
      <c r="D523" s="567"/>
      <c r="E523" s="568"/>
      <c r="F523" s="71" t="s">
        <v>0</v>
      </c>
      <c r="G523" s="356" t="str">
        <f>VLOOKUP(H522,COSTOS!C:M,8,0)</f>
        <v>Und</v>
      </c>
      <c r="H523" s="276"/>
      <c r="I523" s="306"/>
      <c r="J523" s="308"/>
      <c r="K523" s="308"/>
      <c r="L523" s="308"/>
    </row>
    <row r="524" spans="1:14">
      <c r="A524" s="230"/>
      <c r="B524" s="112"/>
      <c r="C524" s="112"/>
      <c r="D524" s="112"/>
      <c r="E524" s="113"/>
      <c r="F524" s="114" t="s">
        <v>1</v>
      </c>
      <c r="G524" s="356">
        <f>VLOOKUP(H522,COSTOS!C:M,9,0)</f>
        <v>0</v>
      </c>
      <c r="H524" s="357"/>
      <c r="I524" s="307"/>
    </row>
    <row r="525" spans="1:14" ht="16.5">
      <c r="A525" s="231" t="s">
        <v>4226</v>
      </c>
      <c r="B525" s="75"/>
      <c r="C525" s="75"/>
      <c r="D525" s="76"/>
      <c r="E525" s="209"/>
      <c r="F525" s="210"/>
      <c r="G525" s="211" t="s">
        <v>4227</v>
      </c>
      <c r="H525" s="217">
        <f>H530+H547+H551+H557</f>
        <v>236499.11679999999</v>
      </c>
    </row>
    <row r="526" spans="1:14" ht="39">
      <c r="A526" s="569" t="s">
        <v>4224</v>
      </c>
      <c r="B526" s="569"/>
      <c r="C526" s="569"/>
      <c r="D526" s="77" t="s">
        <v>0</v>
      </c>
      <c r="E526" s="207" t="s">
        <v>4228</v>
      </c>
      <c r="F526" s="208" t="s">
        <v>4215</v>
      </c>
      <c r="G526" s="74" t="s">
        <v>2</v>
      </c>
      <c r="H526" s="218" t="s">
        <v>4229</v>
      </c>
      <c r="K526" s="309"/>
    </row>
    <row r="527" spans="1:14">
      <c r="A527" s="536" t="s">
        <v>3946</v>
      </c>
      <c r="B527" s="570" t="str">
        <f>VLOOKUP(A527,'Equip, Herr y Transp'!$B$2:$D$739,2,0)</f>
        <v>EQU</v>
      </c>
      <c r="C527" s="570"/>
      <c r="D527" s="95" t="str">
        <f>VLOOKUP(A527,'Equip, Herr y Transp'!$B$2:$D$218,2,0)</f>
        <v>EQU</v>
      </c>
      <c r="E527" s="95">
        <f>VLOOKUP(A527,'Equip, Herr y Transp'!$B$2:$D$218,3,0)</f>
        <v>14130</v>
      </c>
      <c r="F527" s="96">
        <f>H517</f>
        <v>5.21E-2</v>
      </c>
      <c r="G527" s="122">
        <f>F527*E527</f>
        <v>736.173</v>
      </c>
      <c r="H527" s="118"/>
    </row>
    <row r="528" spans="1:14">
      <c r="A528" s="536" t="s">
        <v>3937</v>
      </c>
      <c r="B528" s="570" t="str">
        <f>VLOOKUP(A528,'Equip, Herr y Transp'!$B$2:$D$739,2,0)</f>
        <v>EQU</v>
      </c>
      <c r="C528" s="570"/>
      <c r="D528" s="95" t="str">
        <f>VLOOKUP(A528,'Equip, Herr y Transp'!$B$2:$D$218,2,0)</f>
        <v>EQU</v>
      </c>
      <c r="E528" s="95">
        <f>VLOOKUP(A528,'Equip, Herr y Transp'!$B$2:$D$218,3,0)</f>
        <v>23750</v>
      </c>
      <c r="F528" s="96">
        <f>H517</f>
        <v>5.21E-2</v>
      </c>
      <c r="G528" s="122">
        <f>F528*E528</f>
        <v>1237.375</v>
      </c>
      <c r="H528" s="117"/>
    </row>
    <row r="529" spans="1:15">
      <c r="A529" s="536" t="s">
        <v>8</v>
      </c>
      <c r="B529" s="570">
        <f>VLOOKUP(A529,'Equip, Herr y Transp'!$B$2:$D$739,2,0)</f>
        <v>0</v>
      </c>
      <c r="C529" s="570"/>
      <c r="D529" s="95">
        <f>VLOOKUP(A529,'Equip, Herr y Transp'!$B$2:$D$218,2,0)</f>
        <v>0</v>
      </c>
      <c r="E529" s="95">
        <f>VLOOKUP(A529,'Equip, Herr y Transp'!$B$2:$D$218,3,0)</f>
        <v>0</v>
      </c>
      <c r="F529" s="96">
        <f>H517</f>
        <v>5.21E-2</v>
      </c>
      <c r="G529" s="122">
        <f>F529*E529</f>
        <v>0</v>
      </c>
      <c r="H529" s="117"/>
    </row>
    <row r="530" spans="1:15" ht="16.5">
      <c r="A530" s="540" t="s">
        <v>4100</v>
      </c>
      <c r="B530" s="541"/>
      <c r="C530" s="541"/>
      <c r="D530" s="541"/>
      <c r="E530" s="541"/>
      <c r="F530" s="541"/>
      <c r="G530" s="541"/>
      <c r="H530" s="97">
        <f>SUM(G527:G529)</f>
        <v>1973.548</v>
      </c>
    </row>
    <row r="531" spans="1:15" ht="16.5">
      <c r="A531" s="571" t="s">
        <v>4230</v>
      </c>
      <c r="B531" s="572"/>
      <c r="C531" s="572"/>
      <c r="D531" s="572"/>
      <c r="E531" s="572"/>
      <c r="F531" s="572"/>
      <c r="G531" s="572"/>
      <c r="H531" s="573"/>
      <c r="K531" s="56"/>
      <c r="L531" s="56"/>
      <c r="M531" s="56"/>
      <c r="N531" s="56"/>
      <c r="O531" s="56"/>
    </row>
    <row r="532" spans="1:15" ht="30" customHeight="1">
      <c r="A532" s="574" t="s">
        <v>7</v>
      </c>
      <c r="B532" s="575"/>
      <c r="C532" s="109" t="s">
        <v>0</v>
      </c>
      <c r="D532" s="110" t="s">
        <v>4098</v>
      </c>
      <c r="E532" s="111" t="s">
        <v>1</v>
      </c>
      <c r="F532" s="576" t="s">
        <v>4218</v>
      </c>
      <c r="G532" s="576"/>
      <c r="H532" s="215"/>
      <c r="K532" s="56"/>
      <c r="L532" s="56"/>
      <c r="M532" s="56"/>
      <c r="N532" s="56"/>
      <c r="O532" s="56"/>
    </row>
    <row r="533" spans="1:15">
      <c r="A533" s="577" t="s">
        <v>4630</v>
      </c>
      <c r="B533" s="578"/>
      <c r="C533" s="98" t="str">
        <f>VLOOKUP(A533,'Materiales '!$C$2:$F$1302,3,0)</f>
        <v>Und</v>
      </c>
      <c r="D533" s="99">
        <f>VLOOKUP(A533,'Materiales '!$C$2:$F$1302,4,0)</f>
        <v>178500</v>
      </c>
      <c r="E533" s="100">
        <v>1</v>
      </c>
      <c r="F533" s="538">
        <f>E533*D533</f>
        <v>178500</v>
      </c>
      <c r="G533" s="539"/>
      <c r="H533" s="121"/>
      <c r="I533">
        <f>E533*G524</f>
        <v>0</v>
      </c>
      <c r="J533" s="67"/>
      <c r="K533" s="56"/>
      <c r="L533" s="56"/>
      <c r="M533" s="56"/>
      <c r="N533" s="56"/>
      <c r="O533" s="56"/>
    </row>
    <row r="534" spans="1:15">
      <c r="A534" s="577" t="s">
        <v>4636</v>
      </c>
      <c r="B534" s="578"/>
      <c r="C534" s="98" t="str">
        <f>VLOOKUP(A534,'Materiales '!$C$2:$F$1302,3,0)</f>
        <v>Und</v>
      </c>
      <c r="D534" s="99">
        <f>VLOOKUP(A534,'Materiales '!$C$2:$F$1302,4,0)</f>
        <v>13994.4</v>
      </c>
      <c r="E534" s="100">
        <v>1</v>
      </c>
      <c r="F534" s="538">
        <f t="shared" ref="F534:F540" si="31">E534*D534</f>
        <v>13994.4</v>
      </c>
      <c r="G534" s="539"/>
      <c r="H534" s="121"/>
      <c r="I534">
        <f>E534*G524</f>
        <v>0</v>
      </c>
      <c r="J534" s="67"/>
      <c r="K534" s="56"/>
      <c r="L534" s="56"/>
      <c r="M534" s="56"/>
      <c r="N534" s="56"/>
      <c r="O534" s="56"/>
    </row>
    <row r="535" spans="1:15">
      <c r="A535" s="536" t="s">
        <v>4597</v>
      </c>
      <c r="B535" s="537" t="str">
        <f>VLOOKUP(A535,'Materiales '!$C$2:$F$1302,3,0)</f>
        <v>Und</v>
      </c>
      <c r="C535" s="98" t="str">
        <f>VLOOKUP(A535,'Materiales '!$C$2:$F$1302,3,0)</f>
        <v>Und</v>
      </c>
      <c r="D535" s="99">
        <f>VLOOKUP(A535,'Materiales '!$C$2:$F$1302,4,0)</f>
        <v>22446.732</v>
      </c>
      <c r="E535" s="100">
        <v>0.2</v>
      </c>
      <c r="F535" s="538">
        <f t="shared" si="31"/>
        <v>4489.3464000000004</v>
      </c>
      <c r="G535" s="539"/>
      <c r="H535" s="121"/>
      <c r="I535">
        <f>E535*G524</f>
        <v>0</v>
      </c>
      <c r="J535" s="68"/>
      <c r="K535" s="56"/>
      <c r="L535" s="56"/>
      <c r="M535" s="56"/>
      <c r="N535" s="56"/>
      <c r="O535" s="56"/>
    </row>
    <row r="536" spans="1:15">
      <c r="A536" s="536" t="s">
        <v>4450</v>
      </c>
      <c r="B536" s="537" t="str">
        <f>VLOOKUP(A536,'Materiales '!$C$2:$F$1302,3,0)</f>
        <v>Ml</v>
      </c>
      <c r="C536" s="98" t="str">
        <f>VLOOKUP(A536,'Materiales '!$C$2:$F$1302,3,0)</f>
        <v>Ml</v>
      </c>
      <c r="D536" s="99">
        <f>VLOOKUP(A536,'Materiales '!$C$2:$F$1302,4,0)</f>
        <v>6791.5679999999993</v>
      </c>
      <c r="E536" s="100">
        <v>1</v>
      </c>
      <c r="F536" s="538">
        <f t="shared" si="31"/>
        <v>6791.5679999999993</v>
      </c>
      <c r="G536" s="539"/>
      <c r="H536" s="121"/>
      <c r="I536">
        <f>E536*G524</f>
        <v>0</v>
      </c>
      <c r="J536" s="68"/>
      <c r="K536" s="56"/>
      <c r="L536" s="56"/>
      <c r="M536" s="56"/>
      <c r="N536" s="56"/>
      <c r="O536" s="56"/>
    </row>
    <row r="537" spans="1:15">
      <c r="A537" s="536" t="s">
        <v>4493</v>
      </c>
      <c r="B537" s="537" t="str">
        <f>VLOOKUP(A537,'Materiales '!$C$2:$F$1302,3,0)</f>
        <v>Und</v>
      </c>
      <c r="C537" s="98" t="str">
        <f>VLOOKUP(A537,'Materiales '!$C$2:$F$1302,3,0)</f>
        <v>Und</v>
      </c>
      <c r="D537" s="99">
        <f>VLOOKUP(A537,'Materiales '!$C$2:$F$1302,4,0)</f>
        <v>232.76399999999998</v>
      </c>
      <c r="E537" s="100">
        <v>3</v>
      </c>
      <c r="F537" s="538">
        <f t="shared" si="31"/>
        <v>698.29199999999992</v>
      </c>
      <c r="G537" s="539"/>
      <c r="H537" s="121"/>
      <c r="I537">
        <f>E537*G524</f>
        <v>0</v>
      </c>
      <c r="J537" s="68"/>
      <c r="K537" s="56"/>
      <c r="L537" s="56"/>
      <c r="M537" s="56"/>
      <c r="N537" s="56"/>
      <c r="O537" s="56"/>
    </row>
    <row r="538" spans="1:15">
      <c r="A538" s="536" t="s">
        <v>4637</v>
      </c>
      <c r="B538" s="537" t="str">
        <f>VLOOKUP(A538,'Materiales '!$C$2:$F$1302,3,0)</f>
        <v>Und</v>
      </c>
      <c r="C538" s="98" t="str">
        <f>VLOOKUP(A538,'Materiales '!$C$2:$F$1302,3,0)</f>
        <v>Und</v>
      </c>
      <c r="D538" s="99">
        <f>VLOOKUP(A538,'Materiales '!$C$2:$F$1302,4,0)</f>
        <v>14280</v>
      </c>
      <c r="E538" s="100">
        <v>0.1</v>
      </c>
      <c r="F538" s="538">
        <f t="shared" si="31"/>
        <v>1428</v>
      </c>
      <c r="G538" s="539"/>
      <c r="H538" s="121"/>
      <c r="I538">
        <f>E538*G524</f>
        <v>0</v>
      </c>
      <c r="J538" s="68"/>
      <c r="K538" s="56"/>
      <c r="L538" s="56"/>
      <c r="M538" s="56"/>
      <c r="N538" s="56"/>
      <c r="O538" s="56"/>
    </row>
    <row r="539" spans="1:15">
      <c r="A539" s="536" t="s">
        <v>4638</v>
      </c>
      <c r="B539" s="537" t="str">
        <f>VLOOKUP(A539,'Materiales '!$C$2:$F$1302,3,0)</f>
        <v>Und</v>
      </c>
      <c r="C539" s="98" t="str">
        <f>VLOOKUP(A539,'Materiales '!$C$2:$F$1302,3,0)</f>
        <v>Und</v>
      </c>
      <c r="D539" s="99">
        <f>VLOOKUP(A539,'Materiales '!$C$2:$F$1302,4,0)</f>
        <v>4426.8</v>
      </c>
      <c r="E539" s="100">
        <v>1</v>
      </c>
      <c r="F539" s="538">
        <f t="shared" si="31"/>
        <v>4426.8</v>
      </c>
      <c r="G539" s="539"/>
      <c r="H539" s="121"/>
      <c r="I539">
        <f>E539*G524</f>
        <v>0</v>
      </c>
      <c r="J539" s="68"/>
      <c r="K539" s="56"/>
      <c r="L539" s="56"/>
      <c r="M539" s="56"/>
      <c r="N539" s="56"/>
      <c r="O539" s="56"/>
    </row>
    <row r="540" spans="1:15" ht="21.75" customHeight="1">
      <c r="A540" s="536" t="s">
        <v>4574</v>
      </c>
      <c r="B540" s="537" t="str">
        <f>VLOOKUP(A540,'Materiales '!$C$2:$F$1302,3,0)</f>
        <v>Und</v>
      </c>
      <c r="C540" s="98" t="str">
        <f>VLOOKUP(A540,'Materiales '!$C$2:$F$1302,3,0)</f>
        <v>Und</v>
      </c>
      <c r="D540" s="99">
        <f>VLOOKUP(A540,'Materiales '!$C$2:$F$1302,4,0)</f>
        <v>654.5</v>
      </c>
      <c r="E540" s="100">
        <v>1</v>
      </c>
      <c r="F540" s="538">
        <f t="shared" si="31"/>
        <v>654.5</v>
      </c>
      <c r="G540" s="539"/>
      <c r="H540" s="121"/>
      <c r="I540">
        <f>E540*G524</f>
        <v>0</v>
      </c>
      <c r="J540" s="68"/>
      <c r="K540" s="56"/>
      <c r="L540" s="56"/>
      <c r="M540" s="56"/>
      <c r="N540" s="56"/>
      <c r="O540" s="56"/>
    </row>
    <row r="541" spans="1:15">
      <c r="A541" s="536" t="s">
        <v>8</v>
      </c>
      <c r="B541" s="537" t="str">
        <f>VLOOKUP(A541,'Materiales '!$C$2:$F$1302,3,0)</f>
        <v>-</v>
      </c>
      <c r="C541" s="98" t="str">
        <f>VLOOKUP(A541,'Materiales '!$C$2:$F$1302,3,0)</f>
        <v>-</v>
      </c>
      <c r="D541" s="99">
        <f>VLOOKUP(A541,'Materiales '!$C$2:$F$1302,4,0)</f>
        <v>0</v>
      </c>
      <c r="E541" s="100"/>
      <c r="F541" s="538">
        <f>E541*D541</f>
        <v>0</v>
      </c>
      <c r="G541" s="539"/>
      <c r="H541" s="120"/>
      <c r="I541">
        <f>E541*G524</f>
        <v>0</v>
      </c>
      <c r="J541" s="68"/>
      <c r="K541" s="56"/>
      <c r="L541" s="56"/>
      <c r="M541" s="56"/>
      <c r="N541" s="56"/>
      <c r="O541" s="56"/>
    </row>
    <row r="542" spans="1:15">
      <c r="A542" s="536" t="s">
        <v>8</v>
      </c>
      <c r="B542" s="537" t="str">
        <f>VLOOKUP(A542,'Materiales '!$C$2:$F$1302,3,0)</f>
        <v>-</v>
      </c>
      <c r="C542" s="98" t="str">
        <f>VLOOKUP(A542,'Materiales '!$C$2:$F$1302,3,0)</f>
        <v>-</v>
      </c>
      <c r="D542" s="99">
        <f>VLOOKUP(A542,'Materiales '!$C$2:$F$1302,4,0)</f>
        <v>0</v>
      </c>
      <c r="E542" s="100"/>
      <c r="F542" s="538">
        <f t="shared" ref="F542:F545" si="32">E542*D542</f>
        <v>0</v>
      </c>
      <c r="G542" s="539"/>
      <c r="H542" s="121"/>
      <c r="I542">
        <f>E542*G524</f>
        <v>0</v>
      </c>
      <c r="J542" s="68"/>
      <c r="K542" s="56"/>
      <c r="L542" s="56"/>
      <c r="M542" s="56"/>
      <c r="N542" s="56"/>
      <c r="O542" s="56"/>
    </row>
    <row r="543" spans="1:15">
      <c r="A543" s="536" t="s">
        <v>8</v>
      </c>
      <c r="B543" s="537" t="str">
        <f>VLOOKUP(A543,'Materiales '!$C$2:$F$1302,3,0)</f>
        <v>-</v>
      </c>
      <c r="C543" s="98" t="str">
        <f>VLOOKUP(A543,'Materiales '!$C$2:$F$1302,3,0)</f>
        <v>-</v>
      </c>
      <c r="D543" s="99">
        <f>VLOOKUP(A543,'Materiales '!$C$2:$F$1302,4,0)</f>
        <v>0</v>
      </c>
      <c r="E543" s="100"/>
      <c r="F543" s="538">
        <f t="shared" si="32"/>
        <v>0</v>
      </c>
      <c r="G543" s="539"/>
      <c r="H543" s="121"/>
      <c r="I543">
        <f>E543*G524</f>
        <v>0</v>
      </c>
      <c r="J543" s="68"/>
      <c r="K543" s="56"/>
      <c r="L543" s="56"/>
      <c r="M543" s="56"/>
      <c r="N543" s="56"/>
      <c r="O543" s="56"/>
    </row>
    <row r="544" spans="1:15">
      <c r="A544" s="536" t="s">
        <v>8</v>
      </c>
      <c r="B544" s="537" t="str">
        <f>VLOOKUP(A544,'Materiales '!$C$2:$F$1302,3,0)</f>
        <v>-</v>
      </c>
      <c r="C544" s="98" t="str">
        <f>VLOOKUP(A544,'Materiales '!$C$2:$F$1302,3,0)</f>
        <v>-</v>
      </c>
      <c r="D544" s="99">
        <f>VLOOKUP(A544,'Materiales '!$C$2:$F$1302,4,0)</f>
        <v>0</v>
      </c>
      <c r="E544" s="100"/>
      <c r="F544" s="538">
        <f t="shared" si="32"/>
        <v>0</v>
      </c>
      <c r="G544" s="539"/>
      <c r="H544" s="121"/>
      <c r="I544">
        <f>E544*G524</f>
        <v>0</v>
      </c>
      <c r="J544" s="68"/>
      <c r="K544" s="56"/>
      <c r="L544" s="56"/>
      <c r="M544" s="56"/>
      <c r="N544" s="56"/>
      <c r="O544" s="56"/>
    </row>
    <row r="545" spans="1:15">
      <c r="A545" s="536" t="s">
        <v>8</v>
      </c>
      <c r="B545" s="537" t="str">
        <f>VLOOKUP(A545,'Materiales '!$C$2:$F$1302,3,0)</f>
        <v>-</v>
      </c>
      <c r="C545" s="98" t="str">
        <f>VLOOKUP(A545,'Materiales '!$C$2:$F$1302,3,0)</f>
        <v>-</v>
      </c>
      <c r="D545" s="99">
        <f>VLOOKUP(A545,'Materiales '!$C$2:$F$1302,4,0)</f>
        <v>0</v>
      </c>
      <c r="E545" s="100"/>
      <c r="F545" s="538">
        <f t="shared" si="32"/>
        <v>0</v>
      </c>
      <c r="G545" s="539"/>
      <c r="H545" s="121"/>
      <c r="I545">
        <f>E545*G524</f>
        <v>0</v>
      </c>
      <c r="J545" s="68"/>
      <c r="K545" s="56"/>
      <c r="L545" s="56"/>
      <c r="M545" s="56"/>
      <c r="N545" s="56"/>
      <c r="O545" s="56"/>
    </row>
    <row r="546" spans="1:15">
      <c r="A546" s="536" t="s">
        <v>8</v>
      </c>
      <c r="B546" s="537" t="str">
        <f>VLOOKUP(A546,'Materiales '!$C$2:$F$1302,3,0)</f>
        <v>-</v>
      </c>
      <c r="C546" s="98" t="str">
        <f>VLOOKUP(A546,'Materiales '!$C$2:$F$1302,3,0)</f>
        <v>-</v>
      </c>
      <c r="D546" s="99">
        <f>VLOOKUP(A546,'Materiales '!$C$2:$F$1302,4,0)</f>
        <v>0</v>
      </c>
      <c r="E546" s="100"/>
      <c r="F546" s="538">
        <f>E546*D546</f>
        <v>0</v>
      </c>
      <c r="G546" s="539"/>
      <c r="H546" s="120"/>
      <c r="I546">
        <f>E546*G524</f>
        <v>0</v>
      </c>
      <c r="J546" s="68"/>
      <c r="K546" s="56"/>
      <c r="L546" s="56"/>
      <c r="M546" s="56"/>
      <c r="N546" s="56"/>
      <c r="O546" s="56"/>
    </row>
    <row r="547" spans="1:15" ht="16.5">
      <c r="A547" s="540" t="s">
        <v>4099</v>
      </c>
      <c r="B547" s="541"/>
      <c r="C547" s="541"/>
      <c r="D547" s="541"/>
      <c r="E547" s="541"/>
      <c r="F547" s="541"/>
      <c r="G547" s="542"/>
      <c r="H547" s="116">
        <f>SUM(F533:F546)</f>
        <v>210982.90639999998</v>
      </c>
      <c r="J547" s="68"/>
      <c r="K547" s="56"/>
      <c r="L547" s="56"/>
      <c r="M547" s="56"/>
      <c r="N547" s="56"/>
      <c r="O547" s="56"/>
    </row>
    <row r="548" spans="1:15" ht="16.5">
      <c r="A548" s="543" t="s">
        <v>4231</v>
      </c>
      <c r="B548" s="544"/>
      <c r="C548" s="544"/>
      <c r="D548" s="544"/>
      <c r="E548" s="545"/>
      <c r="F548" s="544"/>
      <c r="G548" s="544"/>
      <c r="H548" s="546"/>
      <c r="J548" s="68"/>
      <c r="K548" s="56"/>
      <c r="L548" s="56"/>
      <c r="M548" s="56"/>
      <c r="N548" s="56"/>
      <c r="O548" s="56"/>
    </row>
    <row r="549" spans="1:15">
      <c r="A549" s="547" t="s">
        <v>7</v>
      </c>
      <c r="B549" s="548"/>
      <c r="C549" s="108" t="s">
        <v>4232</v>
      </c>
      <c r="D549" s="107" t="s">
        <v>4233</v>
      </c>
      <c r="E549" s="206" t="s">
        <v>4234</v>
      </c>
      <c r="F549" s="549" t="s">
        <v>4218</v>
      </c>
      <c r="G549" s="549"/>
      <c r="H549" s="119"/>
      <c r="K549" s="56"/>
      <c r="L549" s="56"/>
      <c r="M549" s="56"/>
      <c r="N549" s="56"/>
      <c r="O549" s="56"/>
    </row>
    <row r="550" spans="1:15">
      <c r="A550" s="550" t="s">
        <v>3928</v>
      </c>
      <c r="B550" s="551"/>
      <c r="C550" s="232">
        <v>1</v>
      </c>
      <c r="D550" s="102">
        <v>0.03</v>
      </c>
      <c r="E550" s="103">
        <f>VLOOKUP(A550,'Equip, Herr y Transp'!$B$2:$D$218,3,0)</f>
        <v>160000</v>
      </c>
      <c r="F550" s="552">
        <f>E550*D550*C550</f>
        <v>4800</v>
      </c>
      <c r="G550" s="553"/>
      <c r="H550" s="117"/>
      <c r="M550" s="56"/>
    </row>
    <row r="551" spans="1:15" ht="16.5">
      <c r="A551" s="554" t="s">
        <v>4216</v>
      </c>
      <c r="B551" s="555"/>
      <c r="C551" s="555"/>
      <c r="D551" s="555"/>
      <c r="E551" s="555"/>
      <c r="F551" s="555"/>
      <c r="G551" s="555"/>
      <c r="H551" s="105">
        <f>F550</f>
        <v>4800</v>
      </c>
    </row>
    <row r="552" spans="1:15" ht="16.5">
      <c r="A552" s="543" t="s">
        <v>4235</v>
      </c>
      <c r="B552" s="544"/>
      <c r="C552" s="544"/>
      <c r="D552" s="544"/>
      <c r="E552" s="544"/>
      <c r="F552" s="544"/>
      <c r="G552" s="544"/>
      <c r="H552" s="546"/>
    </row>
    <row r="553" spans="1:15">
      <c r="A553" s="547" t="s">
        <v>7</v>
      </c>
      <c r="B553" s="548"/>
      <c r="C553" s="106" t="s">
        <v>1</v>
      </c>
      <c r="D553" s="107" t="s">
        <v>4236</v>
      </c>
      <c r="E553" s="108" t="s">
        <v>4215</v>
      </c>
      <c r="F553" s="547" t="s">
        <v>5</v>
      </c>
      <c r="G553" s="556"/>
      <c r="H553" s="119"/>
    </row>
    <row r="554" spans="1:15">
      <c r="A554" s="550" t="s">
        <v>4196</v>
      </c>
      <c r="B554" s="551"/>
      <c r="C554" s="101">
        <v>1</v>
      </c>
      <c r="D554" s="104">
        <f>VLOOKUP(A554,'Mano Obra'!$B$2:$T$117,19,0)</f>
        <v>166624</v>
      </c>
      <c r="E554" s="246">
        <f>H517</f>
        <v>5.21E-2</v>
      </c>
      <c r="F554" s="538">
        <f>E554*D554*C554</f>
        <v>8681.1103999999996</v>
      </c>
      <c r="G554" s="557"/>
      <c r="H554" s="121"/>
      <c r="I554" s="69"/>
      <c r="J554" s="136">
        <f>((('Mano Obra'!$M$4/30)*F554)/D554)*G524</f>
        <v>0</v>
      </c>
    </row>
    <row r="555" spans="1:15">
      <c r="A555" s="558" t="s">
        <v>4197</v>
      </c>
      <c r="B555" s="559">
        <f>VLOOKUP(A555,'Mano Obra'!$B$3:$D$290,2,0)</f>
        <v>2090000.0000000002</v>
      </c>
      <c r="C555" s="101">
        <v>1</v>
      </c>
      <c r="D555" s="104">
        <f>VLOOKUP(A555,'Mano Obra'!$B$2:$T$117,19,0)</f>
        <v>120456</v>
      </c>
      <c r="E555" s="246">
        <f>H517</f>
        <v>5.21E-2</v>
      </c>
      <c r="F555" s="538">
        <f t="shared" ref="F555:F556" si="33">E555*D555*C555</f>
        <v>6275.7575999999999</v>
      </c>
      <c r="G555" s="557"/>
      <c r="H555" s="121"/>
      <c r="J555" s="136">
        <f>((('Mano Obra'!$M$5/30)*F555)/D555)*G524</f>
        <v>0</v>
      </c>
    </row>
    <row r="556" spans="1:15">
      <c r="A556" s="558" t="s">
        <v>4186</v>
      </c>
      <c r="B556" s="559">
        <f>VLOOKUP(A556,'Mano Obra'!$B$3:$D$290,2,0)</f>
        <v>1100000</v>
      </c>
      <c r="C556" s="101">
        <v>1</v>
      </c>
      <c r="D556" s="104">
        <f>VLOOKUP(A556,'Mano Obra'!$B$2:$T$117,19,0)</f>
        <v>72664</v>
      </c>
      <c r="E556" s="246">
        <f>H517</f>
        <v>5.21E-2</v>
      </c>
      <c r="F556" s="538">
        <f t="shared" si="33"/>
        <v>3785.7944000000002</v>
      </c>
      <c r="G556" s="557"/>
      <c r="H556" s="120"/>
      <c r="J556" s="136">
        <f>((('Mano Obra'!$M$6/30)*F556)/D556)*G524</f>
        <v>0</v>
      </c>
    </row>
    <row r="557" spans="1:15" ht="16.5">
      <c r="A557" s="560" t="s">
        <v>4101</v>
      </c>
      <c r="B557" s="560"/>
      <c r="C557" s="560"/>
      <c r="D557" s="560"/>
      <c r="E557" s="560"/>
      <c r="F557" s="560"/>
      <c r="G557" s="560"/>
      <c r="H557" s="105">
        <f>SUM(F554:F556)</f>
        <v>18742.662399999997</v>
      </c>
      <c r="J557" s="136"/>
    </row>
    <row r="558" spans="1:15">
      <c r="A558" s="227" t="s">
        <v>4237</v>
      </c>
      <c r="B558" s="205"/>
      <c r="C558" s="205"/>
      <c r="D558" s="202"/>
      <c r="E558" s="203"/>
      <c r="F558" s="204"/>
      <c r="G558" s="203"/>
      <c r="H558" s="212"/>
    </row>
    <row r="559" spans="1:15">
      <c r="A559" s="561" t="s">
        <v>4224</v>
      </c>
      <c r="B559" s="562"/>
      <c r="C559" s="562"/>
      <c r="D559" s="562"/>
      <c r="E559" s="200"/>
      <c r="F559" s="201" t="s">
        <v>4238</v>
      </c>
      <c r="G559" s="200" t="s">
        <v>4239</v>
      </c>
      <c r="H559" s="213"/>
    </row>
    <row r="560" spans="1:15">
      <c r="A560" s="223" t="s">
        <v>4097</v>
      </c>
      <c r="B560" s="72"/>
      <c r="C560" s="72"/>
      <c r="D560" s="73"/>
      <c r="E560" s="78"/>
      <c r="F560" s="79">
        <v>0</v>
      </c>
      <c r="G560" s="80">
        <f>F560*H525</f>
        <v>0</v>
      </c>
      <c r="H560" s="212"/>
    </row>
    <row r="561" spans="1:14">
      <c r="A561" s="224" t="s">
        <v>4240</v>
      </c>
      <c r="B561" s="81"/>
      <c r="C561" s="81"/>
      <c r="D561" s="82"/>
      <c r="E561" s="78"/>
      <c r="F561" s="79">
        <v>0</v>
      </c>
      <c r="G561" s="80">
        <f>F561*H525</f>
        <v>0</v>
      </c>
      <c r="H561" s="212"/>
    </row>
    <row r="562" spans="1:14">
      <c r="A562" s="224" t="s">
        <v>4</v>
      </c>
      <c r="B562" s="81"/>
      <c r="C562" s="81"/>
      <c r="D562" s="82"/>
      <c r="E562" s="78"/>
      <c r="F562" s="79">
        <v>0</v>
      </c>
      <c r="G562" s="80">
        <f>F562*H525</f>
        <v>0</v>
      </c>
      <c r="H562" s="212"/>
    </row>
    <row r="563" spans="1:14">
      <c r="A563" s="225"/>
      <c r="B563" s="83"/>
      <c r="C563" s="75"/>
      <c r="D563" s="84"/>
      <c r="E563" s="85"/>
      <c r="F563" s="86"/>
      <c r="G563" s="87"/>
      <c r="H563" s="214"/>
    </row>
    <row r="564" spans="1:14">
      <c r="A564" s="226"/>
      <c r="B564" s="83"/>
      <c r="C564" s="83"/>
      <c r="D564" s="84"/>
      <c r="E564" s="88"/>
      <c r="F564" s="563" t="s">
        <v>4241</v>
      </c>
      <c r="G564" s="564"/>
      <c r="H564" s="233">
        <f>H525+G560+G561+G562</f>
        <v>236499.11679999999</v>
      </c>
    </row>
    <row r="565" spans="1:14">
      <c r="A565" s="83"/>
      <c r="B565" s="83"/>
      <c r="C565" s="83"/>
      <c r="D565" s="84"/>
      <c r="E565" s="388"/>
      <c r="F565" s="389"/>
      <c r="G565" s="389"/>
      <c r="H565" s="390"/>
    </row>
    <row r="566" spans="1:14" ht="16.5">
      <c r="A566" s="90"/>
      <c r="B566" s="90"/>
      <c r="C566" s="90"/>
      <c r="D566" s="90"/>
      <c r="E566" s="90"/>
      <c r="F566" s="90"/>
      <c r="G566" s="90"/>
      <c r="H566" s="381"/>
    </row>
    <row r="567" spans="1:14">
      <c r="A567" s="579" t="s">
        <v>4225</v>
      </c>
      <c r="B567" s="580"/>
      <c r="C567" s="580"/>
      <c r="D567" s="580"/>
      <c r="E567" s="580"/>
      <c r="F567" s="580"/>
      <c r="G567" s="580"/>
      <c r="H567" s="581"/>
    </row>
    <row r="568" spans="1:14" ht="16.5">
      <c r="A568" s="91"/>
      <c r="B568" s="92"/>
      <c r="C568" s="92"/>
      <c r="D568" s="92"/>
      <c r="E568" s="92"/>
      <c r="F568" s="93"/>
      <c r="G568" s="94"/>
      <c r="H568" s="380">
        <f>ROUND((5/60)/8,4)</f>
        <v>1.04E-2</v>
      </c>
      <c r="I568" s="115"/>
    </row>
    <row r="569" spans="1:14">
      <c r="A569" s="582" t="s">
        <v>4220</v>
      </c>
      <c r="B569" s="584" t="str">
        <f>COSTOS!$C$14</f>
        <v>MODERNIZACION A TECNOLOGIA LED</v>
      </c>
      <c r="C569" s="584"/>
      <c r="D569" s="584"/>
      <c r="E569" s="584"/>
      <c r="F569" s="584"/>
      <c r="G569" s="584"/>
      <c r="H569" s="585" t="s">
        <v>4221</v>
      </c>
    </row>
    <row r="570" spans="1:14">
      <c r="A570" s="583"/>
      <c r="B570" s="584"/>
      <c r="C570" s="584"/>
      <c r="D570" s="584"/>
      <c r="E570" s="584"/>
      <c r="F570" s="584"/>
      <c r="G570" s="584"/>
      <c r="H570" s="585"/>
    </row>
    <row r="571" spans="1:14">
      <c r="A571" s="583"/>
      <c r="B571" s="584"/>
      <c r="C571" s="584"/>
      <c r="D571" s="584"/>
      <c r="E571" s="584"/>
      <c r="F571" s="584"/>
      <c r="G571" s="584"/>
      <c r="H571" s="585"/>
    </row>
    <row r="572" spans="1:14" ht="15" customHeight="1">
      <c r="A572" s="583"/>
      <c r="B572" s="584"/>
      <c r="C572" s="584"/>
      <c r="D572" s="584"/>
      <c r="E572" s="584"/>
      <c r="F572" s="584"/>
      <c r="G572" s="584"/>
      <c r="H572" s="216">
        <f ca="1">TODAY()</f>
        <v>44889</v>
      </c>
      <c r="K572" t="s">
        <v>4391</v>
      </c>
      <c r="L572" t="s">
        <v>4392</v>
      </c>
      <c r="M572" t="s">
        <v>4393</v>
      </c>
      <c r="N572" t="s">
        <v>4394</v>
      </c>
    </row>
    <row r="573" spans="1:14" ht="60.75" customHeight="1">
      <c r="A573" s="228" t="s">
        <v>4222</v>
      </c>
      <c r="B573" s="565" t="str">
        <f>COSTOS!$D$16</f>
        <v>Luminarias</v>
      </c>
      <c r="C573" s="565"/>
      <c r="D573" s="565"/>
      <c r="E573" s="565"/>
      <c r="F573" s="565"/>
      <c r="G573" s="70" t="s">
        <v>4223</v>
      </c>
      <c r="H573" s="391">
        <v>1.1200000000000001</v>
      </c>
      <c r="K573" s="62">
        <f>H598</f>
        <v>21036.796200000004</v>
      </c>
      <c r="L573" s="62">
        <f>H608</f>
        <v>3741.3375999999998</v>
      </c>
      <c r="M573" s="62">
        <f>H581</f>
        <v>393.952</v>
      </c>
      <c r="N573" s="62">
        <f>H602</f>
        <v>4800</v>
      </c>
    </row>
    <row r="574" spans="1:14" ht="43.15" customHeight="1">
      <c r="A574" s="229" t="s">
        <v>4224</v>
      </c>
      <c r="B574" s="566" t="str">
        <f>VLOOKUP(H573,COSTOS!C:M,2,0)</f>
        <v>CINTA LED 5w/m, 560lm/m</v>
      </c>
      <c r="C574" s="567"/>
      <c r="D574" s="567"/>
      <c r="E574" s="568"/>
      <c r="F574" s="71" t="s">
        <v>0</v>
      </c>
      <c r="G574" s="356" t="str">
        <f>VLOOKUP(H573,COSTOS!C:M,8,0)</f>
        <v>Und</v>
      </c>
      <c r="H574" s="276"/>
      <c r="I574" s="306"/>
      <c r="J574" s="308"/>
      <c r="K574" s="308"/>
      <c r="L574" s="308"/>
    </row>
    <row r="575" spans="1:14">
      <c r="A575" s="230"/>
      <c r="B575" s="112"/>
      <c r="C575" s="112"/>
      <c r="D575" s="112"/>
      <c r="E575" s="113"/>
      <c r="F575" s="114" t="s">
        <v>1</v>
      </c>
      <c r="G575" s="356">
        <f>VLOOKUP(H573,COSTOS!C:M,9,0)</f>
        <v>0</v>
      </c>
      <c r="H575" s="357"/>
      <c r="I575" s="307"/>
    </row>
    <row r="576" spans="1:14" ht="16.5">
      <c r="A576" s="231" t="s">
        <v>4226</v>
      </c>
      <c r="B576" s="75"/>
      <c r="C576" s="75"/>
      <c r="D576" s="76"/>
      <c r="E576" s="209"/>
      <c r="F576" s="210"/>
      <c r="G576" s="211" t="s">
        <v>4227</v>
      </c>
      <c r="H576" s="217">
        <f>H581+H598+H602+H608</f>
        <v>29972.085800000004</v>
      </c>
    </row>
    <row r="577" spans="1:15" ht="39">
      <c r="A577" s="569" t="s">
        <v>4224</v>
      </c>
      <c r="B577" s="569"/>
      <c r="C577" s="569"/>
      <c r="D577" s="77" t="s">
        <v>0</v>
      </c>
      <c r="E577" s="207" t="s">
        <v>4228</v>
      </c>
      <c r="F577" s="208" t="s">
        <v>4215</v>
      </c>
      <c r="G577" s="74" t="s">
        <v>2</v>
      </c>
      <c r="H577" s="218" t="s">
        <v>4229</v>
      </c>
      <c r="K577" s="309"/>
    </row>
    <row r="578" spans="1:15">
      <c r="A578" s="536" t="s">
        <v>3946</v>
      </c>
      <c r="B578" s="570" t="str">
        <f>VLOOKUP(A578,'Equip, Herr y Transp'!$B$2:$D$739,2,0)</f>
        <v>EQU</v>
      </c>
      <c r="C578" s="570"/>
      <c r="D578" s="95" t="str">
        <f>VLOOKUP(A578,'Equip, Herr y Transp'!$B$2:$D$218,2,0)</f>
        <v>EQU</v>
      </c>
      <c r="E578" s="95">
        <f>VLOOKUP(A578,'Equip, Herr y Transp'!$B$2:$D$218,3,0)</f>
        <v>14130</v>
      </c>
      <c r="F578" s="96">
        <f>H568</f>
        <v>1.04E-2</v>
      </c>
      <c r="G578" s="122">
        <f>F578*E578</f>
        <v>146.952</v>
      </c>
      <c r="H578" s="118"/>
    </row>
    <row r="579" spans="1:15">
      <c r="A579" s="536" t="s">
        <v>3937</v>
      </c>
      <c r="B579" s="570" t="str">
        <f>VLOOKUP(A579,'Equip, Herr y Transp'!$B$2:$D$739,2,0)</f>
        <v>EQU</v>
      </c>
      <c r="C579" s="570"/>
      <c r="D579" s="95" t="str">
        <f>VLOOKUP(A579,'Equip, Herr y Transp'!$B$2:$D$218,2,0)</f>
        <v>EQU</v>
      </c>
      <c r="E579" s="95">
        <f>VLOOKUP(A579,'Equip, Herr y Transp'!$B$2:$D$218,3,0)</f>
        <v>23750</v>
      </c>
      <c r="F579" s="96">
        <f>H568</f>
        <v>1.04E-2</v>
      </c>
      <c r="G579" s="122">
        <f>F579*E579</f>
        <v>247</v>
      </c>
      <c r="H579" s="117"/>
    </row>
    <row r="580" spans="1:15">
      <c r="A580" s="536" t="s">
        <v>8</v>
      </c>
      <c r="B580" s="570">
        <f>VLOOKUP(A580,'Equip, Herr y Transp'!$B$2:$D$739,2,0)</f>
        <v>0</v>
      </c>
      <c r="C580" s="570"/>
      <c r="D580" s="95">
        <f>VLOOKUP(A580,'Equip, Herr y Transp'!$B$2:$D$218,2,0)</f>
        <v>0</v>
      </c>
      <c r="E580" s="95">
        <f>VLOOKUP(A580,'Equip, Herr y Transp'!$B$2:$D$218,3,0)</f>
        <v>0</v>
      </c>
      <c r="F580" s="96">
        <f>H568</f>
        <v>1.04E-2</v>
      </c>
      <c r="G580" s="122">
        <f>F580*E580</f>
        <v>0</v>
      </c>
      <c r="H580" s="117"/>
    </row>
    <row r="581" spans="1:15" ht="16.5">
      <c r="A581" s="540" t="s">
        <v>4100</v>
      </c>
      <c r="B581" s="541"/>
      <c r="C581" s="541"/>
      <c r="D581" s="541"/>
      <c r="E581" s="541"/>
      <c r="F581" s="541"/>
      <c r="G581" s="541"/>
      <c r="H581" s="97">
        <f>SUM(G578:G580)</f>
        <v>393.952</v>
      </c>
    </row>
    <row r="582" spans="1:15" ht="16.5">
      <c r="A582" s="571" t="s">
        <v>4230</v>
      </c>
      <c r="B582" s="572"/>
      <c r="C582" s="572"/>
      <c r="D582" s="572"/>
      <c r="E582" s="572"/>
      <c r="F582" s="572"/>
      <c r="G582" s="572"/>
      <c r="H582" s="573"/>
      <c r="K582" s="56"/>
      <c r="L582" s="56"/>
      <c r="M582" s="56"/>
      <c r="N582" s="56"/>
      <c r="O582" s="56"/>
    </row>
    <row r="583" spans="1:15" ht="30" customHeight="1">
      <c r="A583" s="574" t="s">
        <v>7</v>
      </c>
      <c r="B583" s="575"/>
      <c r="C583" s="109" t="s">
        <v>0</v>
      </c>
      <c r="D583" s="110" t="s">
        <v>4098</v>
      </c>
      <c r="E583" s="111" t="s">
        <v>1</v>
      </c>
      <c r="F583" s="576" t="s">
        <v>4218</v>
      </c>
      <c r="G583" s="576"/>
      <c r="H583" s="215"/>
      <c r="K583" s="56"/>
      <c r="L583" s="56"/>
      <c r="M583" s="56"/>
      <c r="N583" s="56"/>
      <c r="O583" s="56"/>
    </row>
    <row r="584" spans="1:15">
      <c r="A584" s="577" t="s">
        <v>4544</v>
      </c>
      <c r="B584" s="578"/>
      <c r="C584" s="98" t="str">
        <f>VLOOKUP(A584,'Materiales '!$C$2:$F$1302,3,0)</f>
        <v>Ml</v>
      </c>
      <c r="D584" s="99">
        <f>VLOOKUP(A584,'Materiales '!$C$2:$F$1302,4,0)</f>
        <v>9740.2690000000002</v>
      </c>
      <c r="E584" s="100">
        <v>1</v>
      </c>
      <c r="F584" s="538">
        <f>E584*D584</f>
        <v>9740.2690000000002</v>
      </c>
      <c r="G584" s="539"/>
      <c r="H584" s="121"/>
      <c r="I584">
        <f>E584*G575</f>
        <v>0</v>
      </c>
      <c r="J584" s="67"/>
      <c r="K584" s="56"/>
      <c r="L584" s="56"/>
      <c r="M584" s="56"/>
      <c r="N584" s="56"/>
      <c r="O584" s="56"/>
    </row>
    <row r="585" spans="1:15">
      <c r="A585" s="577" t="s">
        <v>4636</v>
      </c>
      <c r="B585" s="578"/>
      <c r="C585" s="98" t="str">
        <f>VLOOKUP(A585,'Materiales '!$C$2:$F$1302,3,0)</f>
        <v>Und</v>
      </c>
      <c r="D585" s="99">
        <f>VLOOKUP(A585,'Materiales '!$C$2:$F$1302,4,0)</f>
        <v>13994.4</v>
      </c>
      <c r="E585" s="100">
        <f>1/10</f>
        <v>0.1</v>
      </c>
      <c r="F585" s="538">
        <f t="shared" ref="F585:F591" si="34">E585*D585</f>
        <v>1399.44</v>
      </c>
      <c r="G585" s="539"/>
      <c r="H585" s="121"/>
      <c r="I585">
        <f>E585*G575</f>
        <v>0</v>
      </c>
      <c r="J585" s="67"/>
      <c r="K585" s="56"/>
      <c r="L585" s="56"/>
      <c r="M585" s="56"/>
      <c r="N585" s="56"/>
      <c r="O585" s="56"/>
    </row>
    <row r="586" spans="1:15">
      <c r="A586" s="536" t="s">
        <v>4639</v>
      </c>
      <c r="B586" s="537" t="str">
        <f>VLOOKUP(A586,'Materiales '!$C$2:$F$1302,3,0)</f>
        <v>Und</v>
      </c>
      <c r="C586" s="98" t="str">
        <f>VLOOKUP(A586,'Materiales '!$C$2:$F$1302,3,0)</f>
        <v>Und</v>
      </c>
      <c r="D586" s="99">
        <f>VLOOKUP(A586,'Materiales '!$C$2:$F$1302,4,0)</f>
        <v>35700</v>
      </c>
      <c r="E586" s="100">
        <v>0.05</v>
      </c>
      <c r="F586" s="538">
        <f t="shared" si="34"/>
        <v>1785</v>
      </c>
      <c r="G586" s="539"/>
      <c r="H586" s="121"/>
      <c r="I586">
        <f>E586*G575</f>
        <v>0</v>
      </c>
      <c r="J586" s="68"/>
      <c r="K586" s="56"/>
      <c r="L586" s="56"/>
      <c r="M586" s="56"/>
      <c r="N586" s="56"/>
      <c r="O586" s="56"/>
    </row>
    <row r="587" spans="1:15">
      <c r="A587" s="536" t="s">
        <v>4450</v>
      </c>
      <c r="B587" s="537" t="str">
        <f>VLOOKUP(A587,'Materiales '!$C$2:$F$1302,3,0)</f>
        <v>Ml</v>
      </c>
      <c r="C587" s="98" t="str">
        <f>VLOOKUP(A587,'Materiales '!$C$2:$F$1302,3,0)</f>
        <v>Ml</v>
      </c>
      <c r="D587" s="99">
        <f>VLOOKUP(A587,'Materiales '!$C$2:$F$1302,4,0)</f>
        <v>6791.5679999999993</v>
      </c>
      <c r="E587" s="100">
        <v>1</v>
      </c>
      <c r="F587" s="538">
        <f t="shared" si="34"/>
        <v>6791.5679999999993</v>
      </c>
      <c r="G587" s="539"/>
      <c r="H587" s="121"/>
      <c r="I587">
        <f>E587*G575</f>
        <v>0</v>
      </c>
      <c r="J587" s="68"/>
      <c r="K587" s="56"/>
      <c r="L587" s="56"/>
      <c r="M587" s="56"/>
      <c r="N587" s="56"/>
      <c r="O587" s="56"/>
    </row>
    <row r="588" spans="1:15">
      <c r="A588" s="536" t="s">
        <v>4493</v>
      </c>
      <c r="B588" s="537" t="str">
        <f>VLOOKUP(A588,'Materiales '!$C$2:$F$1302,3,0)</f>
        <v>Und</v>
      </c>
      <c r="C588" s="98" t="str">
        <f>VLOOKUP(A588,'Materiales '!$C$2:$F$1302,3,0)</f>
        <v>Und</v>
      </c>
      <c r="D588" s="99">
        <f>VLOOKUP(A588,'Materiales '!$C$2:$F$1302,4,0)</f>
        <v>232.76399999999998</v>
      </c>
      <c r="E588" s="100">
        <f>3/10</f>
        <v>0.3</v>
      </c>
      <c r="F588" s="538">
        <f t="shared" si="34"/>
        <v>69.829199999999986</v>
      </c>
      <c r="G588" s="539"/>
      <c r="H588" s="121"/>
      <c r="I588">
        <f>E588*G575</f>
        <v>0</v>
      </c>
      <c r="J588" s="68"/>
      <c r="K588" s="56"/>
      <c r="L588" s="56"/>
      <c r="M588" s="56"/>
      <c r="N588" s="56"/>
      <c r="O588" s="56"/>
    </row>
    <row r="589" spans="1:15">
      <c r="A589" s="536" t="s">
        <v>4638</v>
      </c>
      <c r="B589" s="537" t="str">
        <f>VLOOKUP(A589,'Materiales '!$C$2:$F$1302,3,0)</f>
        <v>Und</v>
      </c>
      <c r="C589" s="98" t="str">
        <f>VLOOKUP(A589,'Materiales '!$C$2:$F$1302,3,0)</f>
        <v>Und</v>
      </c>
      <c r="D589" s="99">
        <f>VLOOKUP(A589,'Materiales '!$C$2:$F$1302,4,0)</f>
        <v>4426.8</v>
      </c>
      <c r="E589" s="100">
        <v>0.1</v>
      </c>
      <c r="F589" s="538">
        <f t="shared" si="34"/>
        <v>442.68000000000006</v>
      </c>
      <c r="G589" s="539"/>
      <c r="H589" s="121"/>
      <c r="I589">
        <f>E589*G575</f>
        <v>0</v>
      </c>
      <c r="J589" s="68"/>
      <c r="K589" s="56"/>
      <c r="L589" s="56"/>
      <c r="M589" s="56"/>
      <c r="N589" s="56"/>
      <c r="O589" s="56"/>
    </row>
    <row r="590" spans="1:15">
      <c r="A590" s="536" t="s">
        <v>4574</v>
      </c>
      <c r="B590" s="537" t="str">
        <f>VLOOKUP(A590,'Materiales '!$C$2:$F$1302,3,0)</f>
        <v>Und</v>
      </c>
      <c r="C590" s="98" t="str">
        <f>VLOOKUP(A590,'Materiales '!$C$2:$F$1302,3,0)</f>
        <v>Und</v>
      </c>
      <c r="D590" s="99">
        <f>VLOOKUP(A590,'Materiales '!$C$2:$F$1302,4,0)</f>
        <v>654.5</v>
      </c>
      <c r="E590" s="100">
        <f>1/10</f>
        <v>0.1</v>
      </c>
      <c r="F590" s="538">
        <f t="shared" si="34"/>
        <v>65.45</v>
      </c>
      <c r="G590" s="539"/>
      <c r="H590" s="121"/>
      <c r="I590">
        <f>E590*G575</f>
        <v>0</v>
      </c>
      <c r="J590" s="68"/>
      <c r="K590" s="56"/>
      <c r="L590" s="56"/>
      <c r="M590" s="56"/>
      <c r="N590" s="56"/>
      <c r="O590" s="56"/>
    </row>
    <row r="591" spans="1:15" ht="21.75" customHeight="1">
      <c r="A591" s="536" t="s">
        <v>4443</v>
      </c>
      <c r="B591" s="537" t="str">
        <f>VLOOKUP(A591,'Materiales '!$C$2:$F$1302,3,0)</f>
        <v>Ml</v>
      </c>
      <c r="C591" s="98" t="str">
        <f>VLOOKUP(A591,'Materiales '!$C$2:$F$1302,3,0)</f>
        <v>Ml</v>
      </c>
      <c r="D591" s="99">
        <f>VLOOKUP(A591,'Materiales '!$C$2:$F$1302,4,0)</f>
        <v>14851.199999999999</v>
      </c>
      <c r="E591" s="100">
        <f>1/20</f>
        <v>0.05</v>
      </c>
      <c r="F591" s="538">
        <f t="shared" si="34"/>
        <v>742.56</v>
      </c>
      <c r="G591" s="539"/>
      <c r="H591" s="121"/>
      <c r="I591">
        <f>E591*G575</f>
        <v>0</v>
      </c>
      <c r="J591" s="68"/>
      <c r="K591" s="56"/>
      <c r="L591" s="56"/>
      <c r="M591" s="56"/>
      <c r="N591" s="56"/>
      <c r="O591" s="56"/>
    </row>
    <row r="592" spans="1:15">
      <c r="A592" s="536" t="s">
        <v>8</v>
      </c>
      <c r="B592" s="537" t="str">
        <f>VLOOKUP(A592,'Materiales '!$C$2:$F$1302,3,0)</f>
        <v>-</v>
      </c>
      <c r="C592" s="98" t="str">
        <f>VLOOKUP(A592,'Materiales '!$C$2:$F$1302,3,0)</f>
        <v>-</v>
      </c>
      <c r="D592" s="99">
        <f>VLOOKUP(A592,'Materiales '!$C$2:$F$1302,4,0)</f>
        <v>0</v>
      </c>
      <c r="E592" s="100"/>
      <c r="F592" s="538">
        <f>E592*D592</f>
        <v>0</v>
      </c>
      <c r="G592" s="539"/>
      <c r="H592" s="120"/>
      <c r="I592">
        <f>E592*G575</f>
        <v>0</v>
      </c>
      <c r="J592" s="68"/>
      <c r="K592" s="56"/>
      <c r="L592" s="56"/>
      <c r="M592" s="56"/>
      <c r="N592" s="56"/>
      <c r="O592" s="56"/>
    </row>
    <row r="593" spans="1:15">
      <c r="A593" s="536" t="s">
        <v>8</v>
      </c>
      <c r="B593" s="537" t="str">
        <f>VLOOKUP(A593,'Materiales '!$C$2:$F$1302,3,0)</f>
        <v>-</v>
      </c>
      <c r="C593" s="98" t="str">
        <f>VLOOKUP(A593,'Materiales '!$C$2:$F$1302,3,0)</f>
        <v>-</v>
      </c>
      <c r="D593" s="99">
        <f>VLOOKUP(A593,'Materiales '!$C$2:$F$1302,4,0)</f>
        <v>0</v>
      </c>
      <c r="E593" s="100"/>
      <c r="F593" s="538">
        <f t="shared" ref="F593:F596" si="35">E593*D593</f>
        <v>0</v>
      </c>
      <c r="G593" s="539"/>
      <c r="H593" s="121"/>
      <c r="I593">
        <f>E593*G575</f>
        <v>0</v>
      </c>
      <c r="J593" s="68"/>
      <c r="K593" s="56"/>
      <c r="L593" s="56"/>
      <c r="M593" s="56"/>
      <c r="N593" s="56"/>
      <c r="O593" s="56"/>
    </row>
    <row r="594" spans="1:15">
      <c r="A594" s="536" t="s">
        <v>8</v>
      </c>
      <c r="B594" s="537" t="str">
        <f>VLOOKUP(A594,'Materiales '!$C$2:$F$1302,3,0)</f>
        <v>-</v>
      </c>
      <c r="C594" s="98" t="str">
        <f>VLOOKUP(A594,'Materiales '!$C$2:$F$1302,3,0)</f>
        <v>-</v>
      </c>
      <c r="D594" s="99">
        <f>VLOOKUP(A594,'Materiales '!$C$2:$F$1302,4,0)</f>
        <v>0</v>
      </c>
      <c r="E594" s="100"/>
      <c r="F594" s="538">
        <f t="shared" si="35"/>
        <v>0</v>
      </c>
      <c r="G594" s="539"/>
      <c r="H594" s="121"/>
      <c r="I594">
        <f>E594*G575</f>
        <v>0</v>
      </c>
      <c r="J594" s="68"/>
      <c r="K594" s="56"/>
      <c r="L594" s="56"/>
      <c r="M594" s="56"/>
      <c r="N594" s="56"/>
      <c r="O594" s="56"/>
    </row>
    <row r="595" spans="1:15">
      <c r="A595" s="536" t="s">
        <v>8</v>
      </c>
      <c r="B595" s="537" t="str">
        <f>VLOOKUP(A595,'Materiales '!$C$2:$F$1302,3,0)</f>
        <v>-</v>
      </c>
      <c r="C595" s="98" t="str">
        <f>VLOOKUP(A595,'Materiales '!$C$2:$F$1302,3,0)</f>
        <v>-</v>
      </c>
      <c r="D595" s="99">
        <f>VLOOKUP(A595,'Materiales '!$C$2:$F$1302,4,0)</f>
        <v>0</v>
      </c>
      <c r="E595" s="100"/>
      <c r="F595" s="538">
        <f t="shared" si="35"/>
        <v>0</v>
      </c>
      <c r="G595" s="539"/>
      <c r="H595" s="121"/>
      <c r="I595">
        <f>E595*G575</f>
        <v>0</v>
      </c>
      <c r="J595" s="68"/>
      <c r="K595" s="56"/>
      <c r="L595" s="56"/>
      <c r="M595" s="56"/>
      <c r="N595" s="56"/>
      <c r="O595" s="56"/>
    </row>
    <row r="596" spans="1:15">
      <c r="A596" s="536" t="s">
        <v>8</v>
      </c>
      <c r="B596" s="537" t="str">
        <f>VLOOKUP(A596,'Materiales '!$C$2:$F$1302,3,0)</f>
        <v>-</v>
      </c>
      <c r="C596" s="98" t="str">
        <f>VLOOKUP(A596,'Materiales '!$C$2:$F$1302,3,0)</f>
        <v>-</v>
      </c>
      <c r="D596" s="99">
        <f>VLOOKUP(A596,'Materiales '!$C$2:$F$1302,4,0)</f>
        <v>0</v>
      </c>
      <c r="E596" s="100"/>
      <c r="F596" s="538">
        <f t="shared" si="35"/>
        <v>0</v>
      </c>
      <c r="G596" s="539"/>
      <c r="H596" s="121"/>
      <c r="I596">
        <f>E596*G575</f>
        <v>0</v>
      </c>
      <c r="J596" s="68"/>
      <c r="K596" s="56"/>
      <c r="L596" s="56"/>
      <c r="M596" s="56"/>
      <c r="N596" s="56"/>
      <c r="O596" s="56"/>
    </row>
    <row r="597" spans="1:15">
      <c r="A597" s="536" t="s">
        <v>8</v>
      </c>
      <c r="B597" s="537" t="str">
        <f>VLOOKUP(A597,'Materiales '!$C$2:$F$1302,3,0)</f>
        <v>-</v>
      </c>
      <c r="C597" s="98" t="str">
        <f>VLOOKUP(A597,'Materiales '!$C$2:$F$1302,3,0)</f>
        <v>-</v>
      </c>
      <c r="D597" s="99">
        <f>VLOOKUP(A597,'Materiales '!$C$2:$F$1302,4,0)</f>
        <v>0</v>
      </c>
      <c r="E597" s="100"/>
      <c r="F597" s="538">
        <f>E597*D597</f>
        <v>0</v>
      </c>
      <c r="G597" s="539"/>
      <c r="H597" s="120"/>
      <c r="I597">
        <f>E597*G575</f>
        <v>0</v>
      </c>
      <c r="J597" s="68"/>
      <c r="K597" s="56"/>
      <c r="L597" s="56"/>
      <c r="M597" s="56"/>
      <c r="N597" s="56"/>
      <c r="O597" s="56"/>
    </row>
    <row r="598" spans="1:15" ht="16.5">
      <c r="A598" s="540" t="s">
        <v>4099</v>
      </c>
      <c r="B598" s="541"/>
      <c r="C598" s="541"/>
      <c r="D598" s="541"/>
      <c r="E598" s="541"/>
      <c r="F598" s="541"/>
      <c r="G598" s="542"/>
      <c r="H598" s="116">
        <f>SUM(F584:F597)</f>
        <v>21036.796200000004</v>
      </c>
      <c r="J598" s="68"/>
      <c r="K598" s="56"/>
      <c r="L598" s="56"/>
      <c r="M598" s="56"/>
      <c r="N598" s="56"/>
      <c r="O598" s="56"/>
    </row>
    <row r="599" spans="1:15" ht="16.5">
      <c r="A599" s="543" t="s">
        <v>4231</v>
      </c>
      <c r="B599" s="544"/>
      <c r="C599" s="544"/>
      <c r="D599" s="544"/>
      <c r="E599" s="545"/>
      <c r="F599" s="544"/>
      <c r="G599" s="544"/>
      <c r="H599" s="546"/>
      <c r="J599" s="68"/>
      <c r="K599" s="56"/>
      <c r="L599" s="56"/>
      <c r="M599" s="56"/>
      <c r="N599" s="56"/>
      <c r="O599" s="56"/>
    </row>
    <row r="600" spans="1:15">
      <c r="A600" s="547" t="s">
        <v>7</v>
      </c>
      <c r="B600" s="548"/>
      <c r="C600" s="108" t="s">
        <v>4232</v>
      </c>
      <c r="D600" s="107" t="s">
        <v>4233</v>
      </c>
      <c r="E600" s="206" t="s">
        <v>4234</v>
      </c>
      <c r="F600" s="549" t="s">
        <v>4218</v>
      </c>
      <c r="G600" s="549"/>
      <c r="H600" s="119"/>
      <c r="K600" s="56"/>
      <c r="L600" s="56"/>
      <c r="M600" s="56"/>
      <c r="N600" s="56"/>
      <c r="O600" s="56"/>
    </row>
    <row r="601" spans="1:15">
      <c r="A601" s="550" t="s">
        <v>3928</v>
      </c>
      <c r="B601" s="551"/>
      <c r="C601" s="232">
        <v>1</v>
      </c>
      <c r="D601" s="102">
        <v>0.03</v>
      </c>
      <c r="E601" s="103">
        <f>VLOOKUP(A601,'Equip, Herr y Transp'!$B$2:$D$218,3,0)</f>
        <v>160000</v>
      </c>
      <c r="F601" s="552">
        <f>E601*D601*C601</f>
        <v>4800</v>
      </c>
      <c r="G601" s="553"/>
      <c r="H601" s="117"/>
      <c r="M601" s="56"/>
    </row>
    <row r="602" spans="1:15" ht="16.5">
      <c r="A602" s="554" t="s">
        <v>4216</v>
      </c>
      <c r="B602" s="555"/>
      <c r="C602" s="555"/>
      <c r="D602" s="555"/>
      <c r="E602" s="555"/>
      <c r="F602" s="555"/>
      <c r="G602" s="555"/>
      <c r="H602" s="105">
        <f>F601</f>
        <v>4800</v>
      </c>
    </row>
    <row r="603" spans="1:15" ht="16.5">
      <c r="A603" s="543" t="s">
        <v>4235</v>
      </c>
      <c r="B603" s="544"/>
      <c r="C603" s="544"/>
      <c r="D603" s="544"/>
      <c r="E603" s="544"/>
      <c r="F603" s="544"/>
      <c r="G603" s="544"/>
      <c r="H603" s="546"/>
    </row>
    <row r="604" spans="1:15">
      <c r="A604" s="547" t="s">
        <v>7</v>
      </c>
      <c r="B604" s="548"/>
      <c r="C604" s="106" t="s">
        <v>1</v>
      </c>
      <c r="D604" s="107" t="s">
        <v>4236</v>
      </c>
      <c r="E604" s="108" t="s">
        <v>4215</v>
      </c>
      <c r="F604" s="547" t="s">
        <v>5</v>
      </c>
      <c r="G604" s="556"/>
      <c r="H604" s="119"/>
    </row>
    <row r="605" spans="1:15">
      <c r="A605" s="550" t="s">
        <v>4196</v>
      </c>
      <c r="B605" s="551"/>
      <c r="C605" s="101">
        <v>1</v>
      </c>
      <c r="D605" s="104">
        <f>VLOOKUP(A605,'Mano Obra'!$B$2:$T$117,19,0)</f>
        <v>166624</v>
      </c>
      <c r="E605" s="246">
        <f>H568</f>
        <v>1.04E-2</v>
      </c>
      <c r="F605" s="538">
        <f>E605*D605*C605</f>
        <v>1732.8896</v>
      </c>
      <c r="G605" s="557"/>
      <c r="H605" s="121"/>
      <c r="I605" s="69"/>
      <c r="J605" s="136">
        <f>((('Mano Obra'!$M$4/30)*F605)/D605)*G575</f>
        <v>0</v>
      </c>
    </row>
    <row r="606" spans="1:15">
      <c r="A606" s="558" t="s">
        <v>4197</v>
      </c>
      <c r="B606" s="559">
        <f>VLOOKUP(A606,'Mano Obra'!$B$3:$D$290,2,0)</f>
        <v>2090000.0000000002</v>
      </c>
      <c r="C606" s="101">
        <v>1</v>
      </c>
      <c r="D606" s="104">
        <f>VLOOKUP(A606,'Mano Obra'!$B$2:$T$117,19,0)</f>
        <v>120456</v>
      </c>
      <c r="E606" s="246">
        <f>H568</f>
        <v>1.04E-2</v>
      </c>
      <c r="F606" s="538">
        <f t="shared" ref="F606:F607" si="36">E606*D606*C606</f>
        <v>1252.7423999999999</v>
      </c>
      <c r="G606" s="557"/>
      <c r="H606" s="121"/>
      <c r="J606" s="136">
        <f>((('Mano Obra'!$M$5/30)*F606)/D606)*G575</f>
        <v>0</v>
      </c>
    </row>
    <row r="607" spans="1:15">
      <c r="A607" s="558" t="s">
        <v>4186</v>
      </c>
      <c r="B607" s="559">
        <f>VLOOKUP(A607,'Mano Obra'!$B$3:$D$290,2,0)</f>
        <v>1100000</v>
      </c>
      <c r="C607" s="101">
        <v>1</v>
      </c>
      <c r="D607" s="104">
        <f>VLOOKUP(A607,'Mano Obra'!$B$2:$T$117,19,0)</f>
        <v>72664</v>
      </c>
      <c r="E607" s="246">
        <f>H568</f>
        <v>1.04E-2</v>
      </c>
      <c r="F607" s="538">
        <f t="shared" si="36"/>
        <v>755.7056</v>
      </c>
      <c r="G607" s="557"/>
      <c r="H607" s="120"/>
      <c r="J607" s="136">
        <f>((('Mano Obra'!$M$6/30)*F607)/D607)*G575</f>
        <v>0</v>
      </c>
    </row>
    <row r="608" spans="1:15" ht="16.5">
      <c r="A608" s="560" t="s">
        <v>4101</v>
      </c>
      <c r="B608" s="560"/>
      <c r="C608" s="560"/>
      <c r="D608" s="560"/>
      <c r="E608" s="560"/>
      <c r="F608" s="560"/>
      <c r="G608" s="560"/>
      <c r="H608" s="105">
        <f>SUM(F605:F607)</f>
        <v>3741.3375999999998</v>
      </c>
      <c r="J608" s="136"/>
    </row>
    <row r="609" spans="1:14">
      <c r="A609" s="227" t="s">
        <v>4237</v>
      </c>
      <c r="B609" s="205"/>
      <c r="C609" s="205"/>
      <c r="D609" s="202"/>
      <c r="E609" s="203"/>
      <c r="F609" s="204"/>
      <c r="G609" s="203"/>
      <c r="H609" s="212"/>
    </row>
    <row r="610" spans="1:14">
      <c r="A610" s="561" t="s">
        <v>4224</v>
      </c>
      <c r="B610" s="562"/>
      <c r="C610" s="562"/>
      <c r="D610" s="562"/>
      <c r="E610" s="200"/>
      <c r="F610" s="201" t="s">
        <v>4238</v>
      </c>
      <c r="G610" s="200" t="s">
        <v>4239</v>
      </c>
      <c r="H610" s="213"/>
    </row>
    <row r="611" spans="1:14">
      <c r="A611" s="223" t="s">
        <v>4097</v>
      </c>
      <c r="B611" s="72"/>
      <c r="C611" s="72"/>
      <c r="D611" s="73"/>
      <c r="E611" s="78"/>
      <c r="F611" s="79">
        <v>0</v>
      </c>
      <c r="G611" s="80">
        <f>F611*H576</f>
        <v>0</v>
      </c>
      <c r="H611" s="212"/>
    </row>
    <row r="612" spans="1:14">
      <c r="A612" s="224" t="s">
        <v>4240</v>
      </c>
      <c r="B612" s="81"/>
      <c r="C612" s="81"/>
      <c r="D612" s="82"/>
      <c r="E612" s="78"/>
      <c r="F612" s="79">
        <v>0</v>
      </c>
      <c r="G612" s="80">
        <f>F612*H576</f>
        <v>0</v>
      </c>
      <c r="H612" s="212"/>
    </row>
    <row r="613" spans="1:14">
      <c r="A613" s="224" t="s">
        <v>4</v>
      </c>
      <c r="B613" s="81"/>
      <c r="C613" s="81"/>
      <c r="D613" s="82"/>
      <c r="E613" s="78"/>
      <c r="F613" s="79">
        <v>0</v>
      </c>
      <c r="G613" s="80">
        <f>F613*H576</f>
        <v>0</v>
      </c>
      <c r="H613" s="212"/>
    </row>
    <row r="614" spans="1:14">
      <c r="A614" s="225"/>
      <c r="B614" s="83"/>
      <c r="C614" s="75"/>
      <c r="D614" s="84"/>
      <c r="E614" s="85"/>
      <c r="F614" s="86"/>
      <c r="G614" s="87"/>
      <c r="H614" s="214"/>
    </row>
    <row r="615" spans="1:14">
      <c r="A615" s="226"/>
      <c r="B615" s="83"/>
      <c r="C615" s="83"/>
      <c r="D615" s="84"/>
      <c r="E615" s="88"/>
      <c r="F615" s="563" t="s">
        <v>4241</v>
      </c>
      <c r="G615" s="564"/>
      <c r="H615" s="233">
        <f>H576+G611+G612+G613</f>
        <v>29972.085800000004</v>
      </c>
    </row>
    <row r="616" spans="1:14">
      <c r="A616" s="83"/>
      <c r="B616" s="83"/>
      <c r="C616" s="83"/>
      <c r="D616" s="84"/>
      <c r="E616" s="388"/>
      <c r="F616" s="389"/>
      <c r="G616" s="389"/>
      <c r="H616" s="390"/>
    </row>
    <row r="617" spans="1:14" ht="16.5">
      <c r="A617" s="90"/>
      <c r="B617" s="90"/>
      <c r="C617" s="90"/>
      <c r="D617" s="90"/>
      <c r="E617" s="90"/>
      <c r="F617" s="90"/>
      <c r="G617" s="90"/>
      <c r="H617" s="381"/>
    </row>
    <row r="618" spans="1:14">
      <c r="A618" s="579" t="s">
        <v>4225</v>
      </c>
      <c r="B618" s="580"/>
      <c r="C618" s="580"/>
      <c r="D618" s="580"/>
      <c r="E618" s="580"/>
      <c r="F618" s="580"/>
      <c r="G618" s="580"/>
      <c r="H618" s="581"/>
    </row>
    <row r="619" spans="1:14" ht="16.5">
      <c r="A619" s="91"/>
      <c r="B619" s="92"/>
      <c r="C619" s="92"/>
      <c r="D619" s="92"/>
      <c r="E619" s="92"/>
      <c r="F619" s="93"/>
      <c r="G619" s="94"/>
      <c r="H619" s="380">
        <f>ROUND((25/60)/8,4)</f>
        <v>5.21E-2</v>
      </c>
      <c r="I619" s="115"/>
    </row>
    <row r="620" spans="1:14">
      <c r="A620" s="582" t="s">
        <v>4220</v>
      </c>
      <c r="B620" s="584" t="str">
        <f>COSTOS!$C$14</f>
        <v>MODERNIZACION A TECNOLOGIA LED</v>
      </c>
      <c r="C620" s="584"/>
      <c r="D620" s="584"/>
      <c r="E620" s="584"/>
      <c r="F620" s="584"/>
      <c r="G620" s="584"/>
      <c r="H620" s="585" t="s">
        <v>4221</v>
      </c>
    </row>
    <row r="621" spans="1:14">
      <c r="A621" s="583"/>
      <c r="B621" s="584"/>
      <c r="C621" s="584"/>
      <c r="D621" s="584"/>
      <c r="E621" s="584"/>
      <c r="F621" s="584"/>
      <c r="G621" s="584"/>
      <c r="H621" s="585"/>
    </row>
    <row r="622" spans="1:14">
      <c r="A622" s="583"/>
      <c r="B622" s="584"/>
      <c r="C622" s="584"/>
      <c r="D622" s="584"/>
      <c r="E622" s="584"/>
      <c r="F622" s="584"/>
      <c r="G622" s="584"/>
      <c r="H622" s="585"/>
    </row>
    <row r="623" spans="1:14" ht="15" customHeight="1">
      <c r="A623" s="583"/>
      <c r="B623" s="584"/>
      <c r="C623" s="584"/>
      <c r="D623" s="584"/>
      <c r="E623" s="584"/>
      <c r="F623" s="584"/>
      <c r="G623" s="584"/>
      <c r="H623" s="216">
        <f ca="1">TODAY()</f>
        <v>44889</v>
      </c>
      <c r="K623" t="s">
        <v>4391</v>
      </c>
      <c r="L623" t="s">
        <v>4392</v>
      </c>
      <c r="M623" t="s">
        <v>4393</v>
      </c>
      <c r="N623" t="s">
        <v>4394</v>
      </c>
    </row>
    <row r="624" spans="1:14" ht="60.75" customHeight="1">
      <c r="A624" s="228" t="s">
        <v>4222</v>
      </c>
      <c r="B624" s="565" t="str">
        <f>COSTOS!$D$16</f>
        <v>Luminarias</v>
      </c>
      <c r="C624" s="565"/>
      <c r="D624" s="565"/>
      <c r="E624" s="565"/>
      <c r="F624" s="565"/>
      <c r="G624" s="70" t="s">
        <v>4223</v>
      </c>
      <c r="H624" s="391">
        <v>1.1299999999999999</v>
      </c>
      <c r="K624" s="62">
        <f>H649</f>
        <v>112959.56</v>
      </c>
      <c r="L624" s="62">
        <f>H659</f>
        <v>18742.662399999997</v>
      </c>
      <c r="M624" s="62">
        <f>H632</f>
        <v>2377.1927500000002</v>
      </c>
      <c r="N624" s="62">
        <f>H653</f>
        <v>4800</v>
      </c>
    </row>
    <row r="625" spans="1:15" ht="43.15" customHeight="1">
      <c r="A625" s="229" t="s">
        <v>4224</v>
      </c>
      <c r="B625" s="566" t="str">
        <f>VLOOKUP(H624,COSTOS!C:M,2,0)</f>
        <v>SPOT LED 14w, 650lm</v>
      </c>
      <c r="C625" s="567"/>
      <c r="D625" s="567"/>
      <c r="E625" s="568"/>
      <c r="F625" s="71" t="s">
        <v>0</v>
      </c>
      <c r="G625" s="356" t="str">
        <f>VLOOKUP(H624,COSTOS!C:M,8,0)</f>
        <v>Und</v>
      </c>
      <c r="H625" s="276"/>
      <c r="I625" s="306"/>
      <c r="J625" s="308"/>
      <c r="K625" s="308"/>
      <c r="L625" s="308"/>
    </row>
    <row r="626" spans="1:15">
      <c r="A626" s="230"/>
      <c r="B626" s="112"/>
      <c r="C626" s="112"/>
      <c r="D626" s="112"/>
      <c r="E626" s="113"/>
      <c r="F626" s="114" t="s">
        <v>1</v>
      </c>
      <c r="G626" s="356">
        <f>VLOOKUP(H624,COSTOS!C:M,9,0)</f>
        <v>0</v>
      </c>
      <c r="H626" s="357"/>
      <c r="I626" s="307"/>
    </row>
    <row r="627" spans="1:15" ht="16.5">
      <c r="A627" s="231" t="s">
        <v>4226</v>
      </c>
      <c r="B627" s="75"/>
      <c r="C627" s="75"/>
      <c r="D627" s="76"/>
      <c r="E627" s="209"/>
      <c r="F627" s="210"/>
      <c r="G627" s="211" t="s">
        <v>4227</v>
      </c>
      <c r="H627" s="217">
        <f>H632+H649+H653+H659</f>
        <v>138879.41514999999</v>
      </c>
    </row>
    <row r="628" spans="1:15" ht="39">
      <c r="A628" s="569" t="s">
        <v>4224</v>
      </c>
      <c r="B628" s="569"/>
      <c r="C628" s="569"/>
      <c r="D628" s="77" t="s">
        <v>0</v>
      </c>
      <c r="E628" s="207" t="s">
        <v>4228</v>
      </c>
      <c r="F628" s="208" t="s">
        <v>4215</v>
      </c>
      <c r="G628" s="74" t="s">
        <v>2</v>
      </c>
      <c r="H628" s="218" t="s">
        <v>4229</v>
      </c>
      <c r="K628" s="309"/>
    </row>
    <row r="629" spans="1:15">
      <c r="A629" s="536" t="s">
        <v>3946</v>
      </c>
      <c r="B629" s="570" t="str">
        <f>VLOOKUP(A629,'Equip, Herr y Transp'!$B$2:$D$739,2,0)</f>
        <v>EQU</v>
      </c>
      <c r="C629" s="570"/>
      <c r="D629" s="95" t="str">
        <f>VLOOKUP(A629,'Equip, Herr y Transp'!$B$2:$D$218,2,0)</f>
        <v>EQU</v>
      </c>
      <c r="E629" s="95">
        <f>VLOOKUP(A629,'Equip, Herr y Transp'!$B$2:$D$218,3,0)</f>
        <v>14130</v>
      </c>
      <c r="F629" s="96">
        <f>H619</f>
        <v>5.21E-2</v>
      </c>
      <c r="G629" s="122">
        <f>F629*E629</f>
        <v>736.173</v>
      </c>
      <c r="H629" s="118"/>
    </row>
    <row r="630" spans="1:15">
      <c r="A630" s="536" t="s">
        <v>3937</v>
      </c>
      <c r="B630" s="570" t="str">
        <f>VLOOKUP(A630,'Equip, Herr y Transp'!$B$2:$D$739,2,0)</f>
        <v>EQU</v>
      </c>
      <c r="C630" s="570"/>
      <c r="D630" s="95" t="str">
        <f>VLOOKUP(A630,'Equip, Herr y Transp'!$B$2:$D$218,2,0)</f>
        <v>EQU</v>
      </c>
      <c r="E630" s="95">
        <f>VLOOKUP(A630,'Equip, Herr y Transp'!$B$2:$D$218,3,0)</f>
        <v>23750</v>
      </c>
      <c r="F630" s="96">
        <f>H619</f>
        <v>5.21E-2</v>
      </c>
      <c r="G630" s="122">
        <f>F630*E630</f>
        <v>1237.375</v>
      </c>
      <c r="H630" s="117"/>
    </row>
    <row r="631" spans="1:15">
      <c r="A631" s="536" t="s">
        <v>3903</v>
      </c>
      <c r="B631" s="570" t="str">
        <f>VLOOKUP(A631,'Equip, Herr y Transp'!$B$2:$D$739,2,0)</f>
        <v>EQU</v>
      </c>
      <c r="C631" s="570"/>
      <c r="D631" s="95" t="str">
        <f>VLOOKUP(A631,'Equip, Herr y Transp'!$B$2:$D$218,2,0)</f>
        <v>EQU</v>
      </c>
      <c r="E631" s="95">
        <f>VLOOKUP(A631,'Equip, Herr y Transp'!$B$2:$D$218,3,0)</f>
        <v>7747.5</v>
      </c>
      <c r="F631" s="96">
        <f>H619</f>
        <v>5.21E-2</v>
      </c>
      <c r="G631" s="122">
        <f>F631*E631</f>
        <v>403.64474999999999</v>
      </c>
      <c r="H631" s="117"/>
    </row>
    <row r="632" spans="1:15" ht="16.5">
      <c r="A632" s="540" t="s">
        <v>4100</v>
      </c>
      <c r="B632" s="541"/>
      <c r="C632" s="541"/>
      <c r="D632" s="541"/>
      <c r="E632" s="541"/>
      <c r="F632" s="541"/>
      <c r="G632" s="541"/>
      <c r="H632" s="97">
        <f>SUM(G629:G631)</f>
        <v>2377.1927500000002</v>
      </c>
    </row>
    <row r="633" spans="1:15" ht="16.5">
      <c r="A633" s="571" t="s">
        <v>4230</v>
      </c>
      <c r="B633" s="572"/>
      <c r="C633" s="572"/>
      <c r="D633" s="572"/>
      <c r="E633" s="572"/>
      <c r="F633" s="572"/>
      <c r="G633" s="572"/>
      <c r="H633" s="573"/>
      <c r="K633" s="56"/>
      <c r="L633" s="56"/>
      <c r="M633" s="56"/>
      <c r="N633" s="56"/>
      <c r="O633" s="56"/>
    </row>
    <row r="634" spans="1:15" ht="30" customHeight="1">
      <c r="A634" s="574" t="s">
        <v>7</v>
      </c>
      <c r="B634" s="575"/>
      <c r="C634" s="109" t="s">
        <v>0</v>
      </c>
      <c r="D634" s="110" t="s">
        <v>4098</v>
      </c>
      <c r="E634" s="111" t="s">
        <v>1</v>
      </c>
      <c r="F634" s="576" t="s">
        <v>4218</v>
      </c>
      <c r="G634" s="576"/>
      <c r="H634" s="215"/>
      <c r="K634" s="56"/>
      <c r="L634" s="56"/>
      <c r="M634" s="56"/>
      <c r="N634" s="56"/>
      <c r="O634" s="56"/>
    </row>
    <row r="635" spans="1:15">
      <c r="A635" s="577" t="s">
        <v>4632</v>
      </c>
      <c r="B635" s="578"/>
      <c r="C635" s="98" t="str">
        <f>VLOOKUP(A635,'Materiales '!$C$2:$F$1302,3,0)</f>
        <v>Und</v>
      </c>
      <c r="D635" s="99">
        <f>VLOOKUP(A635,'Materiales '!$C$2:$F$1302,4,0)</f>
        <v>82824</v>
      </c>
      <c r="E635" s="100">
        <v>1</v>
      </c>
      <c r="F635" s="538">
        <f>E635*D635</f>
        <v>82824</v>
      </c>
      <c r="G635" s="539"/>
      <c r="H635" s="121"/>
      <c r="I635">
        <f>E635*G626</f>
        <v>0</v>
      </c>
      <c r="J635" s="67"/>
      <c r="K635" s="56"/>
      <c r="L635" s="56"/>
      <c r="M635" s="56"/>
      <c r="N635" s="56"/>
      <c r="O635" s="56"/>
    </row>
    <row r="636" spans="1:15">
      <c r="A636" s="577" t="s">
        <v>4636</v>
      </c>
      <c r="B636" s="578"/>
      <c r="C636" s="98" t="str">
        <f>VLOOKUP(A636,'Materiales '!$C$2:$F$1302,3,0)</f>
        <v>Und</v>
      </c>
      <c r="D636" s="99">
        <f>VLOOKUP(A636,'Materiales '!$C$2:$F$1302,4,0)</f>
        <v>13994.4</v>
      </c>
      <c r="E636" s="100">
        <v>1</v>
      </c>
      <c r="F636" s="538">
        <f t="shared" ref="F636:F642" si="37">E636*D636</f>
        <v>13994.4</v>
      </c>
      <c r="G636" s="539"/>
      <c r="H636" s="121"/>
      <c r="I636">
        <f>E636*G626</f>
        <v>0</v>
      </c>
      <c r="J636" s="67"/>
      <c r="K636" s="56"/>
      <c r="L636" s="56"/>
      <c r="M636" s="56"/>
      <c r="N636" s="56"/>
      <c r="O636" s="56"/>
    </row>
    <row r="637" spans="1:15">
      <c r="A637" s="536" t="s">
        <v>4639</v>
      </c>
      <c r="B637" s="537" t="str">
        <f>VLOOKUP(A637,'Materiales '!$C$2:$F$1302,3,0)</f>
        <v>Und</v>
      </c>
      <c r="C637" s="98" t="str">
        <f>VLOOKUP(A637,'Materiales '!$C$2:$F$1302,3,0)</f>
        <v>Und</v>
      </c>
      <c r="D637" s="99">
        <f>VLOOKUP(A637,'Materiales '!$C$2:$F$1302,4,0)</f>
        <v>35700</v>
      </c>
      <c r="E637" s="100">
        <v>0.1</v>
      </c>
      <c r="F637" s="538">
        <f t="shared" si="37"/>
        <v>3570</v>
      </c>
      <c r="G637" s="539"/>
      <c r="H637" s="121"/>
      <c r="I637">
        <f>E637*G626</f>
        <v>0</v>
      </c>
      <c r="J637" s="68"/>
      <c r="K637" s="56"/>
      <c r="L637" s="56"/>
      <c r="M637" s="56"/>
      <c r="N637" s="56"/>
      <c r="O637" s="56"/>
    </row>
    <row r="638" spans="1:15">
      <c r="A638" s="536" t="s">
        <v>4450</v>
      </c>
      <c r="B638" s="537" t="str">
        <f>VLOOKUP(A638,'Materiales '!$C$2:$F$1302,3,0)</f>
        <v>Ml</v>
      </c>
      <c r="C638" s="98" t="str">
        <f>VLOOKUP(A638,'Materiales '!$C$2:$F$1302,3,0)</f>
        <v>Ml</v>
      </c>
      <c r="D638" s="99">
        <f>VLOOKUP(A638,'Materiales '!$C$2:$F$1302,4,0)</f>
        <v>6791.5679999999993</v>
      </c>
      <c r="E638" s="100">
        <v>1</v>
      </c>
      <c r="F638" s="538">
        <f t="shared" si="37"/>
        <v>6791.5679999999993</v>
      </c>
      <c r="G638" s="539"/>
      <c r="H638" s="121"/>
      <c r="I638">
        <f>E638*G626</f>
        <v>0</v>
      </c>
      <c r="J638" s="68"/>
      <c r="K638" s="56"/>
      <c r="L638" s="56"/>
      <c r="M638" s="56"/>
      <c r="N638" s="56"/>
      <c r="O638" s="56"/>
    </row>
    <row r="639" spans="1:15">
      <c r="A639" s="536" t="s">
        <v>4493</v>
      </c>
      <c r="B639" s="537" t="str">
        <f>VLOOKUP(A639,'Materiales '!$C$2:$F$1302,3,0)</f>
        <v>Und</v>
      </c>
      <c r="C639" s="98" t="str">
        <f>VLOOKUP(A639,'Materiales '!$C$2:$F$1302,3,0)</f>
        <v>Und</v>
      </c>
      <c r="D639" s="99">
        <f>VLOOKUP(A639,'Materiales '!$C$2:$F$1302,4,0)</f>
        <v>232.76399999999998</v>
      </c>
      <c r="E639" s="100">
        <v>3</v>
      </c>
      <c r="F639" s="538">
        <f t="shared" si="37"/>
        <v>698.29199999999992</v>
      </c>
      <c r="G639" s="539"/>
      <c r="H639" s="121"/>
      <c r="I639">
        <f>E639*G626</f>
        <v>0</v>
      </c>
      <c r="J639" s="68"/>
      <c r="K639" s="56"/>
      <c r="L639" s="56"/>
      <c r="M639" s="56"/>
      <c r="N639" s="56"/>
      <c r="O639" s="56"/>
    </row>
    <row r="640" spans="1:15">
      <c r="A640" s="536" t="s">
        <v>4638</v>
      </c>
      <c r="B640" s="537" t="str">
        <f>VLOOKUP(A640,'Materiales '!$C$2:$F$1302,3,0)</f>
        <v>Und</v>
      </c>
      <c r="C640" s="98" t="str">
        <f>VLOOKUP(A640,'Materiales '!$C$2:$F$1302,3,0)</f>
        <v>Und</v>
      </c>
      <c r="D640" s="99">
        <f>VLOOKUP(A640,'Materiales '!$C$2:$F$1302,4,0)</f>
        <v>4426.8</v>
      </c>
      <c r="E640" s="100">
        <v>1</v>
      </c>
      <c r="F640" s="538">
        <f t="shared" si="37"/>
        <v>4426.8</v>
      </c>
      <c r="G640" s="539"/>
      <c r="H640" s="121"/>
      <c r="I640">
        <f>E640*G626</f>
        <v>0</v>
      </c>
      <c r="J640" s="68"/>
      <c r="K640" s="56"/>
      <c r="L640" s="56"/>
      <c r="M640" s="56"/>
      <c r="N640" s="56"/>
      <c r="O640" s="56"/>
    </row>
    <row r="641" spans="1:15">
      <c r="A641" s="536" t="s">
        <v>4574</v>
      </c>
      <c r="B641" s="537" t="str">
        <f>VLOOKUP(A641,'Materiales '!$C$2:$F$1302,3,0)</f>
        <v>Und</v>
      </c>
      <c r="C641" s="98" t="str">
        <f>VLOOKUP(A641,'Materiales '!$C$2:$F$1302,3,0)</f>
        <v>Und</v>
      </c>
      <c r="D641" s="99">
        <f>VLOOKUP(A641,'Materiales '!$C$2:$F$1302,4,0)</f>
        <v>654.5</v>
      </c>
      <c r="E641" s="100">
        <v>1</v>
      </c>
      <c r="F641" s="538">
        <f t="shared" si="37"/>
        <v>654.5</v>
      </c>
      <c r="G641" s="539"/>
      <c r="H641" s="121"/>
      <c r="I641">
        <f>E641*G626</f>
        <v>0</v>
      </c>
      <c r="J641" s="68"/>
      <c r="K641" s="56"/>
      <c r="L641" s="56"/>
      <c r="M641" s="56"/>
      <c r="N641" s="56"/>
      <c r="O641" s="56"/>
    </row>
    <row r="642" spans="1:15" ht="21.75" customHeight="1">
      <c r="A642" s="536" t="s">
        <v>8</v>
      </c>
      <c r="B642" s="537" t="str">
        <f>VLOOKUP(A642,'Materiales '!$C$2:$F$1302,3,0)</f>
        <v>-</v>
      </c>
      <c r="C642" s="98" t="str">
        <f>VLOOKUP(A642,'Materiales '!$C$2:$F$1302,3,0)</f>
        <v>-</v>
      </c>
      <c r="D642" s="99">
        <f>VLOOKUP(A642,'Materiales '!$C$2:$F$1302,4,0)</f>
        <v>0</v>
      </c>
      <c r="E642" s="100"/>
      <c r="F642" s="538">
        <f t="shared" si="37"/>
        <v>0</v>
      </c>
      <c r="G642" s="539"/>
      <c r="H642" s="121"/>
      <c r="I642">
        <f>E642*G626</f>
        <v>0</v>
      </c>
      <c r="J642" s="68"/>
      <c r="K642" s="56"/>
      <c r="L642" s="56"/>
      <c r="M642" s="56"/>
      <c r="N642" s="56"/>
      <c r="O642" s="56"/>
    </row>
    <row r="643" spans="1:15">
      <c r="A643" s="536" t="s">
        <v>8</v>
      </c>
      <c r="B643" s="537" t="str">
        <f>VLOOKUP(A643,'Materiales '!$C$2:$F$1302,3,0)</f>
        <v>-</v>
      </c>
      <c r="C643" s="98" t="str">
        <f>VLOOKUP(A643,'Materiales '!$C$2:$F$1302,3,0)</f>
        <v>-</v>
      </c>
      <c r="D643" s="99">
        <f>VLOOKUP(A643,'Materiales '!$C$2:$F$1302,4,0)</f>
        <v>0</v>
      </c>
      <c r="E643" s="100"/>
      <c r="F643" s="538">
        <f>E643*D643</f>
        <v>0</v>
      </c>
      <c r="G643" s="539"/>
      <c r="H643" s="120"/>
      <c r="I643">
        <f>E643*G626</f>
        <v>0</v>
      </c>
      <c r="J643" s="68"/>
      <c r="K643" s="56"/>
      <c r="L643" s="56"/>
      <c r="M643" s="56"/>
      <c r="N643" s="56"/>
      <c r="O643" s="56"/>
    </row>
    <row r="644" spans="1:15">
      <c r="A644" s="536" t="s">
        <v>8</v>
      </c>
      <c r="B644" s="537" t="str">
        <f>VLOOKUP(A644,'Materiales '!$C$2:$F$1302,3,0)</f>
        <v>-</v>
      </c>
      <c r="C644" s="98" t="str">
        <f>VLOOKUP(A644,'Materiales '!$C$2:$F$1302,3,0)</f>
        <v>-</v>
      </c>
      <c r="D644" s="99">
        <f>VLOOKUP(A644,'Materiales '!$C$2:$F$1302,4,0)</f>
        <v>0</v>
      </c>
      <c r="E644" s="100"/>
      <c r="F644" s="538">
        <f t="shared" ref="F644:F647" si="38">E644*D644</f>
        <v>0</v>
      </c>
      <c r="G644" s="539"/>
      <c r="H644" s="121"/>
      <c r="I644">
        <f>E644*G626</f>
        <v>0</v>
      </c>
      <c r="J644" s="68"/>
      <c r="K644" s="56"/>
      <c r="L644" s="56"/>
      <c r="M644" s="56"/>
      <c r="N644" s="56"/>
      <c r="O644" s="56"/>
    </row>
    <row r="645" spans="1:15">
      <c r="A645" s="536" t="s">
        <v>8</v>
      </c>
      <c r="B645" s="537" t="str">
        <f>VLOOKUP(A645,'Materiales '!$C$2:$F$1302,3,0)</f>
        <v>-</v>
      </c>
      <c r="C645" s="98" t="str">
        <f>VLOOKUP(A645,'Materiales '!$C$2:$F$1302,3,0)</f>
        <v>-</v>
      </c>
      <c r="D645" s="99">
        <f>VLOOKUP(A645,'Materiales '!$C$2:$F$1302,4,0)</f>
        <v>0</v>
      </c>
      <c r="E645" s="100"/>
      <c r="F645" s="538">
        <f t="shared" si="38"/>
        <v>0</v>
      </c>
      <c r="G645" s="539"/>
      <c r="H645" s="121"/>
      <c r="I645">
        <f>E645*G626</f>
        <v>0</v>
      </c>
      <c r="J645" s="68"/>
      <c r="K645" s="56"/>
      <c r="L645" s="56"/>
      <c r="M645" s="56"/>
      <c r="N645" s="56"/>
      <c r="O645" s="56"/>
    </row>
    <row r="646" spans="1:15">
      <c r="A646" s="536" t="s">
        <v>8</v>
      </c>
      <c r="B646" s="537" t="str">
        <f>VLOOKUP(A646,'Materiales '!$C$2:$F$1302,3,0)</f>
        <v>-</v>
      </c>
      <c r="C646" s="98" t="str">
        <f>VLOOKUP(A646,'Materiales '!$C$2:$F$1302,3,0)</f>
        <v>-</v>
      </c>
      <c r="D646" s="99">
        <f>VLOOKUP(A646,'Materiales '!$C$2:$F$1302,4,0)</f>
        <v>0</v>
      </c>
      <c r="E646" s="100"/>
      <c r="F646" s="538">
        <f t="shared" si="38"/>
        <v>0</v>
      </c>
      <c r="G646" s="539"/>
      <c r="H646" s="121"/>
      <c r="I646">
        <f>E646*G626</f>
        <v>0</v>
      </c>
      <c r="J646" s="68"/>
      <c r="K646" s="56"/>
      <c r="L646" s="56"/>
      <c r="M646" s="56"/>
      <c r="N646" s="56"/>
      <c r="O646" s="56"/>
    </row>
    <row r="647" spans="1:15">
      <c r="A647" s="536" t="s">
        <v>8</v>
      </c>
      <c r="B647" s="537" t="str">
        <f>VLOOKUP(A647,'Materiales '!$C$2:$F$1302,3,0)</f>
        <v>-</v>
      </c>
      <c r="C647" s="98" t="str">
        <f>VLOOKUP(A647,'Materiales '!$C$2:$F$1302,3,0)</f>
        <v>-</v>
      </c>
      <c r="D647" s="99">
        <f>VLOOKUP(A647,'Materiales '!$C$2:$F$1302,4,0)</f>
        <v>0</v>
      </c>
      <c r="E647" s="100"/>
      <c r="F647" s="538">
        <f t="shared" si="38"/>
        <v>0</v>
      </c>
      <c r="G647" s="539"/>
      <c r="H647" s="121"/>
      <c r="I647">
        <f>E647*G626</f>
        <v>0</v>
      </c>
      <c r="J647" s="68"/>
      <c r="K647" s="56"/>
      <c r="L647" s="56"/>
      <c r="M647" s="56"/>
      <c r="N647" s="56"/>
      <c r="O647" s="56"/>
    </row>
    <row r="648" spans="1:15">
      <c r="A648" s="536" t="s">
        <v>8</v>
      </c>
      <c r="B648" s="537" t="str">
        <f>VLOOKUP(A648,'Materiales '!$C$2:$F$1302,3,0)</f>
        <v>-</v>
      </c>
      <c r="C648" s="98" t="str">
        <f>VLOOKUP(A648,'Materiales '!$C$2:$F$1302,3,0)</f>
        <v>-</v>
      </c>
      <c r="D648" s="99">
        <f>VLOOKUP(A648,'Materiales '!$C$2:$F$1302,4,0)</f>
        <v>0</v>
      </c>
      <c r="E648" s="100"/>
      <c r="F648" s="538">
        <f>E648*D648</f>
        <v>0</v>
      </c>
      <c r="G648" s="539"/>
      <c r="H648" s="120"/>
      <c r="I648">
        <f>E648*G626</f>
        <v>0</v>
      </c>
      <c r="J648" s="68"/>
      <c r="K648" s="56"/>
      <c r="L648" s="56"/>
      <c r="M648" s="56"/>
      <c r="N648" s="56"/>
      <c r="O648" s="56"/>
    </row>
    <row r="649" spans="1:15" ht="16.5">
      <c r="A649" s="540" t="s">
        <v>4099</v>
      </c>
      <c r="B649" s="541"/>
      <c r="C649" s="541"/>
      <c r="D649" s="541"/>
      <c r="E649" s="541"/>
      <c r="F649" s="541"/>
      <c r="G649" s="542"/>
      <c r="H649" s="116">
        <f>SUM(F635:F648)</f>
        <v>112959.56</v>
      </c>
      <c r="J649" s="68"/>
      <c r="K649" s="56"/>
      <c r="L649" s="56"/>
      <c r="M649" s="56"/>
      <c r="N649" s="56"/>
      <c r="O649" s="56"/>
    </row>
    <row r="650" spans="1:15" ht="16.5">
      <c r="A650" s="543" t="s">
        <v>4231</v>
      </c>
      <c r="B650" s="544"/>
      <c r="C650" s="544"/>
      <c r="D650" s="544"/>
      <c r="E650" s="545"/>
      <c r="F650" s="544"/>
      <c r="G650" s="544"/>
      <c r="H650" s="546"/>
      <c r="J650" s="68"/>
      <c r="K650" s="56"/>
      <c r="L650" s="56"/>
      <c r="M650" s="56"/>
      <c r="N650" s="56"/>
      <c r="O650" s="56"/>
    </row>
    <row r="651" spans="1:15">
      <c r="A651" s="547" t="s">
        <v>7</v>
      </c>
      <c r="B651" s="548"/>
      <c r="C651" s="108" t="s">
        <v>4232</v>
      </c>
      <c r="D651" s="107" t="s">
        <v>4233</v>
      </c>
      <c r="E651" s="206" t="s">
        <v>4234</v>
      </c>
      <c r="F651" s="549" t="s">
        <v>4218</v>
      </c>
      <c r="G651" s="549"/>
      <c r="H651" s="119"/>
      <c r="K651" s="56"/>
      <c r="L651" s="56"/>
      <c r="M651" s="56"/>
      <c r="N651" s="56"/>
      <c r="O651" s="56"/>
    </row>
    <row r="652" spans="1:15">
      <c r="A652" s="550" t="s">
        <v>3928</v>
      </c>
      <c r="B652" s="551"/>
      <c r="C652" s="232">
        <v>1</v>
      </c>
      <c r="D652" s="102">
        <v>0.03</v>
      </c>
      <c r="E652" s="103">
        <f>VLOOKUP(A652,'Equip, Herr y Transp'!$B$2:$D$218,3,0)</f>
        <v>160000</v>
      </c>
      <c r="F652" s="552">
        <f>E652*D652*C652</f>
        <v>4800</v>
      </c>
      <c r="G652" s="553"/>
      <c r="H652" s="117"/>
      <c r="M652" s="56"/>
    </row>
    <row r="653" spans="1:15" ht="16.5">
      <c r="A653" s="554" t="s">
        <v>4216</v>
      </c>
      <c r="B653" s="555"/>
      <c r="C653" s="555"/>
      <c r="D653" s="555"/>
      <c r="E653" s="555"/>
      <c r="F653" s="555"/>
      <c r="G653" s="555"/>
      <c r="H653" s="105">
        <f>F652</f>
        <v>4800</v>
      </c>
    </row>
    <row r="654" spans="1:15" ht="16.5">
      <c r="A654" s="543" t="s">
        <v>4235</v>
      </c>
      <c r="B654" s="544"/>
      <c r="C654" s="544"/>
      <c r="D654" s="544"/>
      <c r="E654" s="544"/>
      <c r="F654" s="544"/>
      <c r="G654" s="544"/>
      <c r="H654" s="546"/>
    </row>
    <row r="655" spans="1:15">
      <c r="A655" s="547" t="s">
        <v>7</v>
      </c>
      <c r="B655" s="548"/>
      <c r="C655" s="106" t="s">
        <v>1</v>
      </c>
      <c r="D655" s="107" t="s">
        <v>4236</v>
      </c>
      <c r="E655" s="108" t="s">
        <v>4215</v>
      </c>
      <c r="F655" s="547" t="s">
        <v>5</v>
      </c>
      <c r="G655" s="556"/>
      <c r="H655" s="119"/>
    </row>
    <row r="656" spans="1:15">
      <c r="A656" s="550" t="s">
        <v>4196</v>
      </c>
      <c r="B656" s="551"/>
      <c r="C656" s="101">
        <v>1</v>
      </c>
      <c r="D656" s="104">
        <f>VLOOKUP(A656,'Mano Obra'!$B$2:$T$117,19,0)</f>
        <v>166624</v>
      </c>
      <c r="E656" s="246">
        <f>H619</f>
        <v>5.21E-2</v>
      </c>
      <c r="F656" s="538">
        <f>E656*D656*C656</f>
        <v>8681.1103999999996</v>
      </c>
      <c r="G656" s="557"/>
      <c r="H656" s="121"/>
      <c r="I656" s="69"/>
      <c r="J656" s="136">
        <f>((('Mano Obra'!$M$4/30)*F656)/D656)*G626</f>
        <v>0</v>
      </c>
    </row>
    <row r="657" spans="1:10">
      <c r="A657" s="558" t="s">
        <v>4197</v>
      </c>
      <c r="B657" s="559">
        <f>VLOOKUP(A657,'Mano Obra'!$B$3:$D$290,2,0)</f>
        <v>2090000.0000000002</v>
      </c>
      <c r="C657" s="101">
        <v>1</v>
      </c>
      <c r="D657" s="104">
        <f>VLOOKUP(A657,'Mano Obra'!$B$2:$T$117,19,0)</f>
        <v>120456</v>
      </c>
      <c r="E657" s="246">
        <f>H619</f>
        <v>5.21E-2</v>
      </c>
      <c r="F657" s="538">
        <f t="shared" ref="F657:F658" si="39">E657*D657*C657</f>
        <v>6275.7575999999999</v>
      </c>
      <c r="G657" s="557"/>
      <c r="H657" s="121"/>
      <c r="J657" s="136">
        <f>((('Mano Obra'!$M$5/30)*F657)/D657)*G626</f>
        <v>0</v>
      </c>
    </row>
    <row r="658" spans="1:10">
      <c r="A658" s="558" t="s">
        <v>4186</v>
      </c>
      <c r="B658" s="559">
        <f>VLOOKUP(A658,'Mano Obra'!$B$3:$D$290,2,0)</f>
        <v>1100000</v>
      </c>
      <c r="C658" s="101">
        <v>1</v>
      </c>
      <c r="D658" s="104">
        <f>VLOOKUP(A658,'Mano Obra'!$B$2:$T$117,19,0)</f>
        <v>72664</v>
      </c>
      <c r="E658" s="246">
        <f>H619</f>
        <v>5.21E-2</v>
      </c>
      <c r="F658" s="538">
        <f t="shared" si="39"/>
        <v>3785.7944000000002</v>
      </c>
      <c r="G658" s="557"/>
      <c r="H658" s="120"/>
      <c r="J658" s="136">
        <f>((('Mano Obra'!$M$6/30)*F658)/D658)*G626</f>
        <v>0</v>
      </c>
    </row>
    <row r="659" spans="1:10" ht="16.5">
      <c r="A659" s="560" t="s">
        <v>4101</v>
      </c>
      <c r="B659" s="560"/>
      <c r="C659" s="560"/>
      <c r="D659" s="560"/>
      <c r="E659" s="560"/>
      <c r="F659" s="560"/>
      <c r="G659" s="560"/>
      <c r="H659" s="105">
        <f>SUM(F656:F658)</f>
        <v>18742.662399999997</v>
      </c>
      <c r="J659" s="136"/>
    </row>
    <row r="660" spans="1:10">
      <c r="A660" s="227" t="s">
        <v>4237</v>
      </c>
      <c r="B660" s="205"/>
      <c r="C660" s="205"/>
      <c r="D660" s="202"/>
      <c r="E660" s="203"/>
      <c r="F660" s="204"/>
      <c r="G660" s="203"/>
      <c r="H660" s="212"/>
    </row>
    <row r="661" spans="1:10">
      <c r="A661" s="561" t="s">
        <v>4224</v>
      </c>
      <c r="B661" s="562"/>
      <c r="C661" s="562"/>
      <c r="D661" s="562"/>
      <c r="E661" s="200"/>
      <c r="F661" s="201" t="s">
        <v>4238</v>
      </c>
      <c r="G661" s="200" t="s">
        <v>4239</v>
      </c>
      <c r="H661" s="213"/>
    </row>
    <row r="662" spans="1:10">
      <c r="A662" s="223" t="s">
        <v>4097</v>
      </c>
      <c r="B662" s="72"/>
      <c r="C662" s="72"/>
      <c r="D662" s="73"/>
      <c r="E662" s="78"/>
      <c r="F662" s="79">
        <v>0</v>
      </c>
      <c r="G662" s="80">
        <f>F662*H627</f>
        <v>0</v>
      </c>
      <c r="H662" s="212"/>
    </row>
    <row r="663" spans="1:10">
      <c r="A663" s="224" t="s">
        <v>4240</v>
      </c>
      <c r="B663" s="81"/>
      <c r="C663" s="81"/>
      <c r="D663" s="82"/>
      <c r="E663" s="78"/>
      <c r="F663" s="79">
        <v>0</v>
      </c>
      <c r="G663" s="80">
        <f>F663*H627</f>
        <v>0</v>
      </c>
      <c r="H663" s="212"/>
    </row>
    <row r="664" spans="1:10">
      <c r="A664" s="224" t="s">
        <v>4</v>
      </c>
      <c r="B664" s="81"/>
      <c r="C664" s="81"/>
      <c r="D664" s="82"/>
      <c r="E664" s="78"/>
      <c r="F664" s="79">
        <v>0</v>
      </c>
      <c r="G664" s="80">
        <f>F664*H627</f>
        <v>0</v>
      </c>
      <c r="H664" s="212"/>
    </row>
    <row r="665" spans="1:10">
      <c r="A665" s="225"/>
      <c r="B665" s="83"/>
      <c r="C665" s="75"/>
      <c r="D665" s="84"/>
      <c r="E665" s="85"/>
      <c r="F665" s="86"/>
      <c r="G665" s="87"/>
      <c r="H665" s="214"/>
    </row>
    <row r="666" spans="1:10">
      <c r="A666" s="226"/>
      <c r="B666" s="83"/>
      <c r="C666" s="83"/>
      <c r="D666" s="84"/>
      <c r="E666" s="88"/>
      <c r="F666" s="563" t="s">
        <v>4241</v>
      </c>
      <c r="G666" s="564"/>
      <c r="H666" s="233">
        <f>H627+G662+G663+G664</f>
        <v>138879.41514999999</v>
      </c>
    </row>
    <row r="667" spans="1:10">
      <c r="A667" s="83"/>
      <c r="B667" s="83"/>
      <c r="C667" s="83"/>
      <c r="D667" s="84"/>
      <c r="E667" s="388"/>
      <c r="F667" s="389"/>
      <c r="G667" s="389"/>
      <c r="H667" s="390"/>
    </row>
    <row r="668" spans="1:10" ht="16.5">
      <c r="A668" s="90"/>
      <c r="B668" s="90"/>
      <c r="C668" s="90"/>
      <c r="D668" s="90"/>
      <c r="E668" s="90"/>
      <c r="F668" s="90"/>
      <c r="G668" s="90"/>
      <c r="H668" s="381"/>
    </row>
    <row r="669" spans="1:10">
      <c r="A669" s="579" t="s">
        <v>4225</v>
      </c>
      <c r="B669" s="580"/>
      <c r="C669" s="580"/>
      <c r="D669" s="580"/>
      <c r="E669" s="580"/>
      <c r="F669" s="580"/>
      <c r="G669" s="580"/>
      <c r="H669" s="581"/>
    </row>
    <row r="670" spans="1:10" ht="16.5">
      <c r="A670" s="91"/>
      <c r="B670" s="92"/>
      <c r="C670" s="92"/>
      <c r="D670" s="92"/>
      <c r="E670" s="92"/>
      <c r="F670" s="93"/>
      <c r="G670" s="94"/>
      <c r="H670" s="380">
        <f>ROUND((25/60)/8,4)</f>
        <v>5.21E-2</v>
      </c>
      <c r="I670" s="115"/>
    </row>
    <row r="671" spans="1:10">
      <c r="A671" s="582" t="s">
        <v>4220</v>
      </c>
      <c r="B671" s="584" t="str">
        <f>COSTOS!$C$14</f>
        <v>MODERNIZACION A TECNOLOGIA LED</v>
      </c>
      <c r="C671" s="584"/>
      <c r="D671" s="584"/>
      <c r="E671" s="584"/>
      <c r="F671" s="584"/>
      <c r="G671" s="584"/>
      <c r="H671" s="585" t="s">
        <v>4221</v>
      </c>
    </row>
    <row r="672" spans="1:10">
      <c r="A672" s="583"/>
      <c r="B672" s="584"/>
      <c r="C672" s="584"/>
      <c r="D672" s="584"/>
      <c r="E672" s="584"/>
      <c r="F672" s="584"/>
      <c r="G672" s="584"/>
      <c r="H672" s="585"/>
    </row>
    <row r="673" spans="1:15">
      <c r="A673" s="583"/>
      <c r="B673" s="584"/>
      <c r="C673" s="584"/>
      <c r="D673" s="584"/>
      <c r="E673" s="584"/>
      <c r="F673" s="584"/>
      <c r="G673" s="584"/>
      <c r="H673" s="585"/>
    </row>
    <row r="674" spans="1:15" ht="15" customHeight="1">
      <c r="A674" s="583"/>
      <c r="B674" s="584"/>
      <c r="C674" s="584"/>
      <c r="D674" s="584"/>
      <c r="E674" s="584"/>
      <c r="F674" s="584"/>
      <c r="G674" s="584"/>
      <c r="H674" s="216">
        <f ca="1">TODAY()</f>
        <v>44889</v>
      </c>
      <c r="K674" t="s">
        <v>4391</v>
      </c>
      <c r="L674" t="s">
        <v>4392</v>
      </c>
      <c r="M674" t="s">
        <v>4393</v>
      </c>
      <c r="N674" t="s">
        <v>4394</v>
      </c>
    </row>
    <row r="675" spans="1:15" ht="60.75" customHeight="1">
      <c r="A675" s="228" t="s">
        <v>4222</v>
      </c>
      <c r="B675" s="565" t="str">
        <f>COSTOS!$D$16</f>
        <v>Luminarias</v>
      </c>
      <c r="C675" s="565"/>
      <c r="D675" s="565"/>
      <c r="E675" s="565"/>
      <c r="F675" s="565"/>
      <c r="G675" s="70" t="s">
        <v>4223</v>
      </c>
      <c r="H675" s="391">
        <v>1.1399999999999999</v>
      </c>
      <c r="K675" s="62">
        <f>H700</f>
        <v>637035.56000000006</v>
      </c>
      <c r="L675" s="62">
        <f>H710</f>
        <v>18742.662399999997</v>
      </c>
      <c r="M675" s="62">
        <f>H683</f>
        <v>3363.18525</v>
      </c>
      <c r="N675" s="62">
        <f>H704</f>
        <v>4800</v>
      </c>
    </row>
    <row r="676" spans="1:15" ht="43.15" customHeight="1">
      <c r="A676" s="229" t="s">
        <v>4224</v>
      </c>
      <c r="B676" s="566" t="str">
        <f>VLOOKUP(H675,COSTOS!C:M,2,0)</f>
        <v>WALLPACK LED 30w, 3180lm</v>
      </c>
      <c r="C676" s="567"/>
      <c r="D676" s="567"/>
      <c r="E676" s="568"/>
      <c r="F676" s="71" t="s">
        <v>0</v>
      </c>
      <c r="G676" s="356" t="str">
        <f>VLOOKUP(H675,COSTOS!C:M,8,0)</f>
        <v>Und</v>
      </c>
      <c r="H676" s="276"/>
      <c r="I676" s="306"/>
      <c r="J676" s="308"/>
      <c r="K676" s="308"/>
      <c r="L676" s="308"/>
    </row>
    <row r="677" spans="1:15">
      <c r="A677" s="230"/>
      <c r="B677" s="112"/>
      <c r="C677" s="112"/>
      <c r="D677" s="112"/>
      <c r="E677" s="113"/>
      <c r="F677" s="114" t="s">
        <v>1</v>
      </c>
      <c r="G677" s="356">
        <f>VLOOKUP(H675,COSTOS!C:M,9,0)</f>
        <v>0</v>
      </c>
      <c r="H677" s="357"/>
      <c r="I677" s="307"/>
    </row>
    <row r="678" spans="1:15" ht="16.5">
      <c r="A678" s="231" t="s">
        <v>4226</v>
      </c>
      <c r="B678" s="75"/>
      <c r="C678" s="75"/>
      <c r="D678" s="76"/>
      <c r="E678" s="209"/>
      <c r="F678" s="210"/>
      <c r="G678" s="211" t="s">
        <v>4227</v>
      </c>
      <c r="H678" s="217">
        <f>H683+H700+H704+H710</f>
        <v>663941.40765000007</v>
      </c>
    </row>
    <row r="679" spans="1:15" ht="39">
      <c r="A679" s="569" t="s">
        <v>4224</v>
      </c>
      <c r="B679" s="569"/>
      <c r="C679" s="569"/>
      <c r="D679" s="77" t="s">
        <v>0</v>
      </c>
      <c r="E679" s="207" t="s">
        <v>4228</v>
      </c>
      <c r="F679" s="208" t="s">
        <v>4215</v>
      </c>
      <c r="G679" s="74" t="s">
        <v>2</v>
      </c>
      <c r="H679" s="218" t="s">
        <v>4229</v>
      </c>
      <c r="K679" s="309"/>
    </row>
    <row r="680" spans="1:15">
      <c r="A680" s="536" t="s">
        <v>3946</v>
      </c>
      <c r="B680" s="570" t="str">
        <f>VLOOKUP(A680,'Equip, Herr y Transp'!$B$2:$D$739,2,0)</f>
        <v>EQU</v>
      </c>
      <c r="C680" s="570"/>
      <c r="D680" s="95" t="str">
        <f>VLOOKUP(A680,'Equip, Herr y Transp'!$B$2:$D$218,2,0)</f>
        <v>EQU</v>
      </c>
      <c r="E680" s="95">
        <f>VLOOKUP(A680,'Equip, Herr y Transp'!$B$2:$D$218,3,0)</f>
        <v>14130</v>
      </c>
      <c r="F680" s="96">
        <f>H670</f>
        <v>5.21E-2</v>
      </c>
      <c r="G680" s="122">
        <f>F680*E680</f>
        <v>736.173</v>
      </c>
      <c r="H680" s="118"/>
    </row>
    <row r="681" spans="1:15">
      <c r="A681" s="536" t="s">
        <v>3937</v>
      </c>
      <c r="B681" s="570" t="str">
        <f>VLOOKUP(A681,'Equip, Herr y Transp'!$B$2:$D$739,2,0)</f>
        <v>EQU</v>
      </c>
      <c r="C681" s="570"/>
      <c r="D681" s="95" t="str">
        <f>VLOOKUP(A681,'Equip, Herr y Transp'!$B$2:$D$218,2,0)</f>
        <v>EQU</v>
      </c>
      <c r="E681" s="95">
        <f>VLOOKUP(A681,'Equip, Herr y Transp'!$B$2:$D$218,3,0)</f>
        <v>23750</v>
      </c>
      <c r="F681" s="96">
        <f>H670</f>
        <v>5.21E-2</v>
      </c>
      <c r="G681" s="122">
        <f>F681*E681</f>
        <v>1237.375</v>
      </c>
      <c r="H681" s="117"/>
    </row>
    <row r="682" spans="1:15">
      <c r="A682" s="536" t="s">
        <v>3904</v>
      </c>
      <c r="B682" s="570" t="str">
        <f>VLOOKUP(A682,'Equip, Herr y Transp'!$B$2:$D$739,2,0)</f>
        <v>EQU</v>
      </c>
      <c r="C682" s="570"/>
      <c r="D682" s="95" t="str">
        <f>VLOOKUP(A682,'Equip, Herr y Transp'!$B$2:$D$218,2,0)</f>
        <v>EQU</v>
      </c>
      <c r="E682" s="95">
        <f>VLOOKUP(A682,'Equip, Herr y Transp'!$B$2:$D$218,3,0)</f>
        <v>26672.5</v>
      </c>
      <c r="F682" s="96">
        <f>H670</f>
        <v>5.21E-2</v>
      </c>
      <c r="G682" s="122">
        <f>F682*E682</f>
        <v>1389.63725</v>
      </c>
      <c r="H682" s="117"/>
    </row>
    <row r="683" spans="1:15" ht="16.5">
      <c r="A683" s="540" t="s">
        <v>4100</v>
      </c>
      <c r="B683" s="541"/>
      <c r="C683" s="541"/>
      <c r="D683" s="541"/>
      <c r="E683" s="541"/>
      <c r="F683" s="541"/>
      <c r="G683" s="541"/>
      <c r="H683" s="97">
        <f>SUM(G680:G682)</f>
        <v>3363.18525</v>
      </c>
    </row>
    <row r="684" spans="1:15" ht="16.5">
      <c r="A684" s="571" t="s">
        <v>4230</v>
      </c>
      <c r="B684" s="572"/>
      <c r="C684" s="572"/>
      <c r="D684" s="572"/>
      <c r="E684" s="572"/>
      <c r="F684" s="572"/>
      <c r="G684" s="572"/>
      <c r="H684" s="573"/>
      <c r="K684" s="56"/>
      <c r="L684" s="56"/>
      <c r="M684" s="56"/>
      <c r="N684" s="56"/>
      <c r="O684" s="56"/>
    </row>
    <row r="685" spans="1:15" ht="30" customHeight="1">
      <c r="A685" s="574" t="s">
        <v>7</v>
      </c>
      <c r="B685" s="575"/>
      <c r="C685" s="109" t="s">
        <v>0</v>
      </c>
      <c r="D685" s="110" t="s">
        <v>4098</v>
      </c>
      <c r="E685" s="111" t="s">
        <v>1</v>
      </c>
      <c r="F685" s="576" t="s">
        <v>4218</v>
      </c>
      <c r="G685" s="576"/>
      <c r="H685" s="215"/>
      <c r="K685" s="56"/>
      <c r="L685" s="56"/>
      <c r="M685" s="56"/>
      <c r="N685" s="56"/>
      <c r="O685" s="56"/>
    </row>
    <row r="686" spans="1:15">
      <c r="A686" s="577" t="s">
        <v>4633</v>
      </c>
      <c r="B686" s="578"/>
      <c r="C686" s="98" t="str">
        <f>VLOOKUP(A686,'Materiales '!$C$2:$F$1302,3,0)</f>
        <v>Und</v>
      </c>
      <c r="D686" s="99">
        <f>VLOOKUP(A686,'Materiales '!$C$2:$F$1302,4,0)</f>
        <v>606900</v>
      </c>
      <c r="E686" s="100">
        <v>1</v>
      </c>
      <c r="F686" s="538">
        <f>E686*D686</f>
        <v>606900</v>
      </c>
      <c r="G686" s="539"/>
      <c r="H686" s="121"/>
      <c r="I686">
        <f>E686*G677</f>
        <v>0</v>
      </c>
      <c r="J686" s="67"/>
      <c r="K686" s="56"/>
      <c r="L686" s="56"/>
      <c r="M686" s="56"/>
      <c r="N686" s="56"/>
      <c r="O686" s="56"/>
    </row>
    <row r="687" spans="1:15">
      <c r="A687" s="577" t="s">
        <v>4636</v>
      </c>
      <c r="B687" s="578"/>
      <c r="C687" s="98" t="str">
        <f>VLOOKUP(A687,'Materiales '!$C$2:$F$1302,3,0)</f>
        <v>Und</v>
      </c>
      <c r="D687" s="99">
        <f>VLOOKUP(A687,'Materiales '!$C$2:$F$1302,4,0)</f>
        <v>13994.4</v>
      </c>
      <c r="E687" s="100">
        <v>1</v>
      </c>
      <c r="F687" s="538">
        <f t="shared" ref="F687:F693" si="40">E687*D687</f>
        <v>13994.4</v>
      </c>
      <c r="G687" s="539"/>
      <c r="H687" s="121"/>
      <c r="I687">
        <f>E687*G677</f>
        <v>0</v>
      </c>
      <c r="J687" s="67"/>
      <c r="K687" s="56"/>
      <c r="L687" s="56"/>
      <c r="M687" s="56"/>
      <c r="N687" s="56"/>
      <c r="O687" s="56"/>
    </row>
    <row r="688" spans="1:15">
      <c r="A688" s="536" t="s">
        <v>4639</v>
      </c>
      <c r="B688" s="537" t="str">
        <f>VLOOKUP(A688,'Materiales '!$C$2:$F$1302,3,0)</f>
        <v>Und</v>
      </c>
      <c r="C688" s="98" t="str">
        <f>VLOOKUP(A688,'Materiales '!$C$2:$F$1302,3,0)</f>
        <v>Und</v>
      </c>
      <c r="D688" s="99">
        <f>VLOOKUP(A688,'Materiales '!$C$2:$F$1302,4,0)</f>
        <v>35700</v>
      </c>
      <c r="E688" s="100">
        <v>0.1</v>
      </c>
      <c r="F688" s="538">
        <f t="shared" si="40"/>
        <v>3570</v>
      </c>
      <c r="G688" s="539"/>
      <c r="H688" s="121"/>
      <c r="I688">
        <f>E688*G677</f>
        <v>0</v>
      </c>
      <c r="J688" s="68"/>
      <c r="K688" s="56"/>
      <c r="L688" s="56"/>
      <c r="M688" s="56"/>
      <c r="N688" s="56"/>
      <c r="O688" s="56"/>
    </row>
    <row r="689" spans="1:15">
      <c r="A689" s="536" t="s">
        <v>4450</v>
      </c>
      <c r="B689" s="537" t="str">
        <f>VLOOKUP(A689,'Materiales '!$C$2:$F$1302,3,0)</f>
        <v>Ml</v>
      </c>
      <c r="C689" s="98" t="str">
        <f>VLOOKUP(A689,'Materiales '!$C$2:$F$1302,3,0)</f>
        <v>Ml</v>
      </c>
      <c r="D689" s="99">
        <f>VLOOKUP(A689,'Materiales '!$C$2:$F$1302,4,0)</f>
        <v>6791.5679999999993</v>
      </c>
      <c r="E689" s="100">
        <v>1</v>
      </c>
      <c r="F689" s="538">
        <f t="shared" si="40"/>
        <v>6791.5679999999993</v>
      </c>
      <c r="G689" s="539"/>
      <c r="H689" s="121"/>
      <c r="I689">
        <f>E689*G677</f>
        <v>0</v>
      </c>
      <c r="J689" s="68"/>
      <c r="K689" s="56"/>
      <c r="L689" s="56"/>
      <c r="M689" s="56"/>
      <c r="N689" s="56"/>
      <c r="O689" s="56"/>
    </row>
    <row r="690" spans="1:15">
      <c r="A690" s="536" t="s">
        <v>4493</v>
      </c>
      <c r="B690" s="537" t="str">
        <f>VLOOKUP(A690,'Materiales '!$C$2:$F$1302,3,0)</f>
        <v>Und</v>
      </c>
      <c r="C690" s="98" t="str">
        <f>VLOOKUP(A690,'Materiales '!$C$2:$F$1302,3,0)</f>
        <v>Und</v>
      </c>
      <c r="D690" s="99">
        <f>VLOOKUP(A690,'Materiales '!$C$2:$F$1302,4,0)</f>
        <v>232.76399999999998</v>
      </c>
      <c r="E690" s="100">
        <v>3</v>
      </c>
      <c r="F690" s="538">
        <f t="shared" si="40"/>
        <v>698.29199999999992</v>
      </c>
      <c r="G690" s="539"/>
      <c r="H690" s="121"/>
      <c r="I690">
        <f>E690*G677</f>
        <v>0</v>
      </c>
      <c r="J690" s="68"/>
      <c r="K690" s="56"/>
      <c r="L690" s="56"/>
      <c r="M690" s="56"/>
      <c r="N690" s="56"/>
      <c r="O690" s="56"/>
    </row>
    <row r="691" spans="1:15">
      <c r="A691" s="536" t="s">
        <v>4638</v>
      </c>
      <c r="B691" s="537" t="str">
        <f>VLOOKUP(A691,'Materiales '!$C$2:$F$1302,3,0)</f>
        <v>Und</v>
      </c>
      <c r="C691" s="98" t="str">
        <f>VLOOKUP(A691,'Materiales '!$C$2:$F$1302,3,0)</f>
        <v>Und</v>
      </c>
      <c r="D691" s="99">
        <f>VLOOKUP(A691,'Materiales '!$C$2:$F$1302,4,0)</f>
        <v>4426.8</v>
      </c>
      <c r="E691" s="100">
        <v>1</v>
      </c>
      <c r="F691" s="538">
        <f t="shared" si="40"/>
        <v>4426.8</v>
      </c>
      <c r="G691" s="539"/>
      <c r="H691" s="121"/>
      <c r="I691">
        <f>E691*G677</f>
        <v>0</v>
      </c>
      <c r="J691" s="68"/>
      <c r="K691" s="56"/>
      <c r="L691" s="56"/>
      <c r="M691" s="56"/>
      <c r="N691" s="56"/>
      <c r="O691" s="56"/>
    </row>
    <row r="692" spans="1:15">
      <c r="A692" s="536" t="s">
        <v>4574</v>
      </c>
      <c r="B692" s="537" t="str">
        <f>VLOOKUP(A692,'Materiales '!$C$2:$F$1302,3,0)</f>
        <v>Und</v>
      </c>
      <c r="C692" s="98" t="str">
        <f>VLOOKUP(A692,'Materiales '!$C$2:$F$1302,3,0)</f>
        <v>Und</v>
      </c>
      <c r="D692" s="99">
        <f>VLOOKUP(A692,'Materiales '!$C$2:$F$1302,4,0)</f>
        <v>654.5</v>
      </c>
      <c r="E692" s="100">
        <v>1</v>
      </c>
      <c r="F692" s="538">
        <f t="shared" si="40"/>
        <v>654.5</v>
      </c>
      <c r="G692" s="539"/>
      <c r="H692" s="121"/>
      <c r="I692">
        <f>E692*G677</f>
        <v>0</v>
      </c>
      <c r="J692" s="68"/>
      <c r="K692" s="56"/>
      <c r="L692" s="56"/>
      <c r="M692" s="56"/>
      <c r="N692" s="56"/>
      <c r="O692" s="56"/>
    </row>
    <row r="693" spans="1:15" ht="21.75" customHeight="1">
      <c r="A693" s="536" t="s">
        <v>8</v>
      </c>
      <c r="B693" s="537" t="str">
        <f>VLOOKUP(A693,'Materiales '!$C$2:$F$1302,3,0)</f>
        <v>-</v>
      </c>
      <c r="C693" s="98" t="str">
        <f>VLOOKUP(A693,'Materiales '!$C$2:$F$1302,3,0)</f>
        <v>-</v>
      </c>
      <c r="D693" s="99">
        <f>VLOOKUP(A693,'Materiales '!$C$2:$F$1302,4,0)</f>
        <v>0</v>
      </c>
      <c r="E693" s="100"/>
      <c r="F693" s="538">
        <f t="shared" si="40"/>
        <v>0</v>
      </c>
      <c r="G693" s="539"/>
      <c r="H693" s="121"/>
      <c r="I693">
        <f>E693*G677</f>
        <v>0</v>
      </c>
      <c r="J693" s="68"/>
      <c r="K693" s="56"/>
      <c r="L693" s="56"/>
      <c r="M693" s="56"/>
      <c r="N693" s="56"/>
      <c r="O693" s="56"/>
    </row>
    <row r="694" spans="1:15">
      <c r="A694" s="536" t="s">
        <v>8</v>
      </c>
      <c r="B694" s="537" t="str">
        <f>VLOOKUP(A694,'Materiales '!$C$2:$F$1302,3,0)</f>
        <v>-</v>
      </c>
      <c r="C694" s="98" t="str">
        <f>VLOOKUP(A694,'Materiales '!$C$2:$F$1302,3,0)</f>
        <v>-</v>
      </c>
      <c r="D694" s="99">
        <f>VLOOKUP(A694,'Materiales '!$C$2:$F$1302,4,0)</f>
        <v>0</v>
      </c>
      <c r="E694" s="100"/>
      <c r="F694" s="538">
        <f>E694*D694</f>
        <v>0</v>
      </c>
      <c r="G694" s="539"/>
      <c r="H694" s="120"/>
      <c r="I694">
        <f>E694*G677</f>
        <v>0</v>
      </c>
      <c r="J694" s="68"/>
      <c r="K694" s="56"/>
      <c r="L694" s="56"/>
      <c r="M694" s="56"/>
      <c r="N694" s="56"/>
      <c r="O694" s="56"/>
    </row>
    <row r="695" spans="1:15">
      <c r="A695" s="536" t="s">
        <v>8</v>
      </c>
      <c r="B695" s="537" t="str">
        <f>VLOOKUP(A695,'Materiales '!$C$2:$F$1302,3,0)</f>
        <v>-</v>
      </c>
      <c r="C695" s="98" t="str">
        <f>VLOOKUP(A695,'Materiales '!$C$2:$F$1302,3,0)</f>
        <v>-</v>
      </c>
      <c r="D695" s="99">
        <f>VLOOKUP(A695,'Materiales '!$C$2:$F$1302,4,0)</f>
        <v>0</v>
      </c>
      <c r="E695" s="100"/>
      <c r="F695" s="538">
        <f t="shared" ref="F695:F698" si="41">E695*D695</f>
        <v>0</v>
      </c>
      <c r="G695" s="539"/>
      <c r="H695" s="121"/>
      <c r="I695">
        <f>E695*G677</f>
        <v>0</v>
      </c>
      <c r="J695" s="68"/>
      <c r="K695" s="56"/>
      <c r="L695" s="56"/>
      <c r="M695" s="56"/>
      <c r="N695" s="56"/>
      <c r="O695" s="56"/>
    </row>
    <row r="696" spans="1:15">
      <c r="A696" s="536" t="s">
        <v>8</v>
      </c>
      <c r="B696" s="537" t="str">
        <f>VLOOKUP(A696,'Materiales '!$C$2:$F$1302,3,0)</f>
        <v>-</v>
      </c>
      <c r="C696" s="98" t="str">
        <f>VLOOKUP(A696,'Materiales '!$C$2:$F$1302,3,0)</f>
        <v>-</v>
      </c>
      <c r="D696" s="99">
        <f>VLOOKUP(A696,'Materiales '!$C$2:$F$1302,4,0)</f>
        <v>0</v>
      </c>
      <c r="E696" s="100"/>
      <c r="F696" s="538">
        <f t="shared" si="41"/>
        <v>0</v>
      </c>
      <c r="G696" s="539"/>
      <c r="H696" s="121"/>
      <c r="I696">
        <f>E696*G677</f>
        <v>0</v>
      </c>
      <c r="J696" s="68"/>
      <c r="K696" s="56"/>
      <c r="L696" s="56"/>
      <c r="M696" s="56"/>
      <c r="N696" s="56"/>
      <c r="O696" s="56"/>
    </row>
    <row r="697" spans="1:15">
      <c r="A697" s="536" t="s">
        <v>8</v>
      </c>
      <c r="B697" s="537" t="str">
        <f>VLOOKUP(A697,'Materiales '!$C$2:$F$1302,3,0)</f>
        <v>-</v>
      </c>
      <c r="C697" s="98" t="str">
        <f>VLOOKUP(A697,'Materiales '!$C$2:$F$1302,3,0)</f>
        <v>-</v>
      </c>
      <c r="D697" s="99">
        <f>VLOOKUP(A697,'Materiales '!$C$2:$F$1302,4,0)</f>
        <v>0</v>
      </c>
      <c r="E697" s="100"/>
      <c r="F697" s="538">
        <f t="shared" si="41"/>
        <v>0</v>
      </c>
      <c r="G697" s="539"/>
      <c r="H697" s="121"/>
      <c r="I697">
        <f>E697*G677</f>
        <v>0</v>
      </c>
      <c r="J697" s="68"/>
      <c r="K697" s="56"/>
      <c r="L697" s="56"/>
      <c r="M697" s="56"/>
      <c r="N697" s="56"/>
      <c r="O697" s="56"/>
    </row>
    <row r="698" spans="1:15">
      <c r="A698" s="536" t="s">
        <v>8</v>
      </c>
      <c r="B698" s="537" t="str">
        <f>VLOOKUP(A698,'Materiales '!$C$2:$F$1302,3,0)</f>
        <v>-</v>
      </c>
      <c r="C698" s="98" t="str">
        <f>VLOOKUP(A698,'Materiales '!$C$2:$F$1302,3,0)</f>
        <v>-</v>
      </c>
      <c r="D698" s="99">
        <f>VLOOKUP(A698,'Materiales '!$C$2:$F$1302,4,0)</f>
        <v>0</v>
      </c>
      <c r="E698" s="100"/>
      <c r="F698" s="538">
        <f t="shared" si="41"/>
        <v>0</v>
      </c>
      <c r="G698" s="539"/>
      <c r="H698" s="121"/>
      <c r="I698">
        <f>E698*G677</f>
        <v>0</v>
      </c>
      <c r="J698" s="68"/>
      <c r="K698" s="56"/>
      <c r="L698" s="56"/>
      <c r="M698" s="56"/>
      <c r="N698" s="56"/>
      <c r="O698" s="56"/>
    </row>
    <row r="699" spans="1:15">
      <c r="A699" s="536" t="s">
        <v>8</v>
      </c>
      <c r="B699" s="537" t="str">
        <f>VLOOKUP(A699,'Materiales '!$C$2:$F$1302,3,0)</f>
        <v>-</v>
      </c>
      <c r="C699" s="98" t="str">
        <f>VLOOKUP(A699,'Materiales '!$C$2:$F$1302,3,0)</f>
        <v>-</v>
      </c>
      <c r="D699" s="99">
        <f>VLOOKUP(A699,'Materiales '!$C$2:$F$1302,4,0)</f>
        <v>0</v>
      </c>
      <c r="E699" s="100"/>
      <c r="F699" s="538">
        <f>E699*D699</f>
        <v>0</v>
      </c>
      <c r="G699" s="539"/>
      <c r="H699" s="120"/>
      <c r="I699">
        <f>E699*G677</f>
        <v>0</v>
      </c>
      <c r="J699" s="68"/>
      <c r="K699" s="56"/>
      <c r="L699" s="56"/>
      <c r="M699" s="56"/>
      <c r="N699" s="56"/>
      <c r="O699" s="56"/>
    </row>
    <row r="700" spans="1:15" ht="16.5">
      <c r="A700" s="540" t="s">
        <v>4099</v>
      </c>
      <c r="B700" s="541"/>
      <c r="C700" s="541"/>
      <c r="D700" s="541"/>
      <c r="E700" s="541"/>
      <c r="F700" s="541"/>
      <c r="G700" s="542"/>
      <c r="H700" s="116">
        <f>SUM(F686:F699)</f>
        <v>637035.56000000006</v>
      </c>
      <c r="J700" s="68"/>
      <c r="K700" s="56"/>
      <c r="L700" s="56"/>
      <c r="M700" s="56"/>
      <c r="N700" s="56"/>
      <c r="O700" s="56"/>
    </row>
    <row r="701" spans="1:15" ht="16.5">
      <c r="A701" s="543" t="s">
        <v>4231</v>
      </c>
      <c r="B701" s="544"/>
      <c r="C701" s="544"/>
      <c r="D701" s="544"/>
      <c r="E701" s="545"/>
      <c r="F701" s="544"/>
      <c r="G701" s="544"/>
      <c r="H701" s="546"/>
      <c r="J701" s="68"/>
      <c r="K701" s="56"/>
      <c r="L701" s="56"/>
      <c r="M701" s="56"/>
      <c r="N701" s="56"/>
      <c r="O701" s="56"/>
    </row>
    <row r="702" spans="1:15">
      <c r="A702" s="547" t="s">
        <v>7</v>
      </c>
      <c r="B702" s="548"/>
      <c r="C702" s="108" t="s">
        <v>4232</v>
      </c>
      <c r="D702" s="107" t="s">
        <v>4233</v>
      </c>
      <c r="E702" s="206" t="s">
        <v>4234</v>
      </c>
      <c r="F702" s="549" t="s">
        <v>4218</v>
      </c>
      <c r="G702" s="549"/>
      <c r="H702" s="119"/>
      <c r="K702" s="56"/>
      <c r="L702" s="56"/>
      <c r="M702" s="56"/>
      <c r="N702" s="56"/>
      <c r="O702" s="56"/>
    </row>
    <row r="703" spans="1:15">
      <c r="A703" s="550" t="s">
        <v>3928</v>
      </c>
      <c r="B703" s="551"/>
      <c r="C703" s="232">
        <v>1</v>
      </c>
      <c r="D703" s="102">
        <v>0.03</v>
      </c>
      <c r="E703" s="103">
        <f>VLOOKUP(A703,'Equip, Herr y Transp'!$B$2:$D$218,3,0)</f>
        <v>160000</v>
      </c>
      <c r="F703" s="552">
        <f>E703*D703*C703</f>
        <v>4800</v>
      </c>
      <c r="G703" s="553"/>
      <c r="H703" s="117"/>
      <c r="M703" s="56"/>
    </row>
    <row r="704" spans="1:15" ht="16.5">
      <c r="A704" s="554" t="s">
        <v>4216</v>
      </c>
      <c r="B704" s="555"/>
      <c r="C704" s="555"/>
      <c r="D704" s="555"/>
      <c r="E704" s="555"/>
      <c r="F704" s="555"/>
      <c r="G704" s="555"/>
      <c r="H704" s="105">
        <f>F703</f>
        <v>4800</v>
      </c>
    </row>
    <row r="705" spans="1:10" ht="16.5">
      <c r="A705" s="543" t="s">
        <v>4235</v>
      </c>
      <c r="B705" s="544"/>
      <c r="C705" s="544"/>
      <c r="D705" s="544"/>
      <c r="E705" s="544"/>
      <c r="F705" s="544"/>
      <c r="G705" s="544"/>
      <c r="H705" s="546"/>
    </row>
    <row r="706" spans="1:10">
      <c r="A706" s="547" t="s">
        <v>7</v>
      </c>
      <c r="B706" s="548"/>
      <c r="C706" s="106" t="s">
        <v>1</v>
      </c>
      <c r="D706" s="107" t="s">
        <v>4236</v>
      </c>
      <c r="E706" s="108" t="s">
        <v>4215</v>
      </c>
      <c r="F706" s="547" t="s">
        <v>5</v>
      </c>
      <c r="G706" s="556"/>
      <c r="H706" s="119"/>
    </row>
    <row r="707" spans="1:10">
      <c r="A707" s="550" t="s">
        <v>4196</v>
      </c>
      <c r="B707" s="551"/>
      <c r="C707" s="101">
        <v>1</v>
      </c>
      <c r="D707" s="104">
        <f>VLOOKUP(A707,'Mano Obra'!$B$2:$T$117,19,0)</f>
        <v>166624</v>
      </c>
      <c r="E707" s="246">
        <f>H670</f>
        <v>5.21E-2</v>
      </c>
      <c r="F707" s="538">
        <f>E707*D707*C707</f>
        <v>8681.1103999999996</v>
      </c>
      <c r="G707" s="557"/>
      <c r="H707" s="121"/>
      <c r="I707" s="69"/>
      <c r="J707" s="136">
        <f>((('Mano Obra'!$M$4/30)*F707)/D707)*G677</f>
        <v>0</v>
      </c>
    </row>
    <row r="708" spans="1:10">
      <c r="A708" s="558" t="s">
        <v>4197</v>
      </c>
      <c r="B708" s="559">
        <f>VLOOKUP(A708,'Mano Obra'!$B$3:$D$290,2,0)</f>
        <v>2090000.0000000002</v>
      </c>
      <c r="C708" s="101">
        <v>1</v>
      </c>
      <c r="D708" s="104">
        <f>VLOOKUP(A708,'Mano Obra'!$B$2:$T$117,19,0)</f>
        <v>120456</v>
      </c>
      <c r="E708" s="246">
        <f>H670</f>
        <v>5.21E-2</v>
      </c>
      <c r="F708" s="538">
        <f t="shared" ref="F708:F709" si="42">E708*D708*C708</f>
        <v>6275.7575999999999</v>
      </c>
      <c r="G708" s="557"/>
      <c r="H708" s="121"/>
      <c r="J708" s="136">
        <f>((('Mano Obra'!$M$5/30)*F708)/D708)*G677</f>
        <v>0</v>
      </c>
    </row>
    <row r="709" spans="1:10">
      <c r="A709" s="558" t="s">
        <v>4186</v>
      </c>
      <c r="B709" s="559">
        <f>VLOOKUP(A709,'Mano Obra'!$B$3:$D$290,2,0)</f>
        <v>1100000</v>
      </c>
      <c r="C709" s="101">
        <v>1</v>
      </c>
      <c r="D709" s="104">
        <f>VLOOKUP(A709,'Mano Obra'!$B$2:$T$117,19,0)</f>
        <v>72664</v>
      </c>
      <c r="E709" s="246">
        <f>H670</f>
        <v>5.21E-2</v>
      </c>
      <c r="F709" s="538">
        <f t="shared" si="42"/>
        <v>3785.7944000000002</v>
      </c>
      <c r="G709" s="557"/>
      <c r="H709" s="120"/>
      <c r="J709" s="136">
        <f>((('Mano Obra'!$M$6/30)*F709)/D709)*G677</f>
        <v>0</v>
      </c>
    </row>
    <row r="710" spans="1:10" ht="16.5">
      <c r="A710" s="560" t="s">
        <v>4101</v>
      </c>
      <c r="B710" s="560"/>
      <c r="C710" s="560"/>
      <c r="D710" s="560"/>
      <c r="E710" s="560"/>
      <c r="F710" s="560"/>
      <c r="G710" s="560"/>
      <c r="H710" s="105">
        <f>SUM(F707:F709)</f>
        <v>18742.662399999997</v>
      </c>
      <c r="J710" s="136"/>
    </row>
    <row r="711" spans="1:10">
      <c r="A711" s="227" t="s">
        <v>4237</v>
      </c>
      <c r="B711" s="205"/>
      <c r="C711" s="205"/>
      <c r="D711" s="202"/>
      <c r="E711" s="203"/>
      <c r="F711" s="204"/>
      <c r="G711" s="203"/>
      <c r="H711" s="212"/>
    </row>
    <row r="712" spans="1:10">
      <c r="A712" s="561" t="s">
        <v>4224</v>
      </c>
      <c r="B712" s="562"/>
      <c r="C712" s="562"/>
      <c r="D712" s="562"/>
      <c r="E712" s="200"/>
      <c r="F712" s="201" t="s">
        <v>4238</v>
      </c>
      <c r="G712" s="200" t="s">
        <v>4239</v>
      </c>
      <c r="H712" s="213"/>
    </row>
    <row r="713" spans="1:10">
      <c r="A713" s="223" t="s">
        <v>4097</v>
      </c>
      <c r="B713" s="72"/>
      <c r="C713" s="72"/>
      <c r="D713" s="73"/>
      <c r="E713" s="78"/>
      <c r="F713" s="79">
        <v>0</v>
      </c>
      <c r="G713" s="80">
        <f>F713*H678</f>
        <v>0</v>
      </c>
      <c r="H713" s="212"/>
    </row>
    <row r="714" spans="1:10">
      <c r="A714" s="224" t="s">
        <v>4240</v>
      </c>
      <c r="B714" s="81"/>
      <c r="C714" s="81"/>
      <c r="D714" s="82"/>
      <c r="E714" s="78"/>
      <c r="F714" s="79">
        <v>0</v>
      </c>
      <c r="G714" s="80">
        <f>F714*H678</f>
        <v>0</v>
      </c>
      <c r="H714" s="212"/>
    </row>
    <row r="715" spans="1:10">
      <c r="A715" s="224" t="s">
        <v>4</v>
      </c>
      <c r="B715" s="81"/>
      <c r="C715" s="81"/>
      <c r="D715" s="82"/>
      <c r="E715" s="78"/>
      <c r="F715" s="79">
        <v>0</v>
      </c>
      <c r="G715" s="80">
        <f>F715*H678</f>
        <v>0</v>
      </c>
      <c r="H715" s="212"/>
    </row>
    <row r="716" spans="1:10">
      <c r="A716" s="225"/>
      <c r="B716" s="83"/>
      <c r="C716" s="75"/>
      <c r="D716" s="84"/>
      <c r="E716" s="85"/>
      <c r="F716" s="86"/>
      <c r="G716" s="87"/>
      <c r="H716" s="214"/>
    </row>
    <row r="717" spans="1:10">
      <c r="A717" s="226"/>
      <c r="B717" s="83"/>
      <c r="C717" s="83"/>
      <c r="D717" s="84"/>
      <c r="E717" s="88"/>
      <c r="F717" s="563" t="s">
        <v>4241</v>
      </c>
      <c r="G717" s="564"/>
      <c r="H717" s="233">
        <f>H678+G713+G714+G715</f>
        <v>663941.40765000007</v>
      </c>
    </row>
    <row r="718" spans="1:10">
      <c r="A718" s="83"/>
      <c r="B718" s="83"/>
      <c r="C718" s="83"/>
      <c r="D718" s="84"/>
      <c r="E718" s="388"/>
      <c r="F718" s="389"/>
      <c r="G718" s="389"/>
      <c r="H718" s="390"/>
    </row>
    <row r="719" spans="1:10" ht="16.5">
      <c r="A719" s="90"/>
      <c r="B719" s="90"/>
      <c r="C719" s="90"/>
      <c r="D719" s="90"/>
      <c r="E719" s="90"/>
      <c r="F719" s="90"/>
      <c r="G719" s="90"/>
      <c r="H719" s="381"/>
    </row>
    <row r="720" spans="1:10">
      <c r="A720" s="579" t="s">
        <v>4225</v>
      </c>
      <c r="B720" s="580"/>
      <c r="C720" s="580"/>
      <c r="D720" s="580"/>
      <c r="E720" s="580"/>
      <c r="F720" s="580"/>
      <c r="G720" s="580"/>
      <c r="H720" s="581"/>
    </row>
    <row r="721" spans="1:15" ht="16.5">
      <c r="A721" s="91"/>
      <c r="B721" s="92"/>
      <c r="C721" s="92"/>
      <c r="D721" s="92"/>
      <c r="E721" s="92"/>
      <c r="F721" s="93"/>
      <c r="G721" s="94"/>
      <c r="H721" s="380">
        <f>ROUND((25/60)/8,4)</f>
        <v>5.21E-2</v>
      </c>
      <c r="I721" s="115"/>
    </row>
    <row r="722" spans="1:15">
      <c r="A722" s="582" t="s">
        <v>4220</v>
      </c>
      <c r="B722" s="584" t="str">
        <f>COSTOS!$C$14</f>
        <v>MODERNIZACION A TECNOLOGIA LED</v>
      </c>
      <c r="C722" s="584"/>
      <c r="D722" s="584"/>
      <c r="E722" s="584"/>
      <c r="F722" s="584"/>
      <c r="G722" s="584"/>
      <c r="H722" s="585" t="s">
        <v>4221</v>
      </c>
    </row>
    <row r="723" spans="1:15">
      <c r="A723" s="583"/>
      <c r="B723" s="584"/>
      <c r="C723" s="584"/>
      <c r="D723" s="584"/>
      <c r="E723" s="584"/>
      <c r="F723" s="584"/>
      <c r="G723" s="584"/>
      <c r="H723" s="585"/>
    </row>
    <row r="724" spans="1:15">
      <c r="A724" s="583"/>
      <c r="B724" s="584"/>
      <c r="C724" s="584"/>
      <c r="D724" s="584"/>
      <c r="E724" s="584"/>
      <c r="F724" s="584"/>
      <c r="G724" s="584"/>
      <c r="H724" s="585"/>
    </row>
    <row r="725" spans="1:15" ht="15" customHeight="1">
      <c r="A725" s="583"/>
      <c r="B725" s="584"/>
      <c r="C725" s="584"/>
      <c r="D725" s="584"/>
      <c r="E725" s="584"/>
      <c r="F725" s="584"/>
      <c r="G725" s="584"/>
      <c r="H725" s="216">
        <f ca="1">TODAY()</f>
        <v>44889</v>
      </c>
      <c r="K725" t="s">
        <v>4391</v>
      </c>
      <c r="L725" t="s">
        <v>4392</v>
      </c>
      <c r="M725" t="s">
        <v>4393</v>
      </c>
      <c r="N725" t="s">
        <v>4394</v>
      </c>
    </row>
    <row r="726" spans="1:15" ht="60.75" customHeight="1">
      <c r="A726" s="228" t="s">
        <v>4222</v>
      </c>
      <c r="B726" s="565" t="str">
        <f>COSTOS!$D$16</f>
        <v>Luminarias</v>
      </c>
      <c r="C726" s="565"/>
      <c r="D726" s="565"/>
      <c r="E726" s="565"/>
      <c r="F726" s="565"/>
      <c r="G726" s="70" t="s">
        <v>4223</v>
      </c>
      <c r="H726" s="391">
        <v>1.1499999999999999</v>
      </c>
      <c r="K726" s="62">
        <f>H751</f>
        <v>132594.56</v>
      </c>
      <c r="L726" s="62">
        <f>H761</f>
        <v>18742.662399999997</v>
      </c>
      <c r="M726" s="62">
        <f>H734</f>
        <v>3363.18525</v>
      </c>
      <c r="N726" s="62">
        <f>H755</f>
        <v>4800</v>
      </c>
    </row>
    <row r="727" spans="1:15" ht="43.15" customHeight="1">
      <c r="A727" s="229" t="s">
        <v>4224</v>
      </c>
      <c r="B727" s="566" t="str">
        <f>VLOOKUP(H726,COSTOS!C:M,2,0)</f>
        <v>BAÑADOR LINEAL DE SOBREPONER 1 METRO, 45w, 4300lm</v>
      </c>
      <c r="C727" s="567"/>
      <c r="D727" s="567"/>
      <c r="E727" s="568"/>
      <c r="F727" s="71" t="s">
        <v>0</v>
      </c>
      <c r="G727" s="356" t="str">
        <f>VLOOKUP(H726,COSTOS!C:M,8,0)</f>
        <v>Und</v>
      </c>
      <c r="H727" s="276"/>
      <c r="I727" s="306"/>
      <c r="J727" s="308"/>
      <c r="K727" s="308"/>
      <c r="L727" s="308"/>
    </row>
    <row r="728" spans="1:15">
      <c r="A728" s="230"/>
      <c r="B728" s="112"/>
      <c r="C728" s="112"/>
      <c r="D728" s="112"/>
      <c r="E728" s="113"/>
      <c r="F728" s="114" t="s">
        <v>1</v>
      </c>
      <c r="G728" s="356">
        <f>VLOOKUP(H726,COSTOS!C:M,9,0)</f>
        <v>0</v>
      </c>
      <c r="H728" s="357"/>
      <c r="I728" s="307"/>
    </row>
    <row r="729" spans="1:15" ht="16.5">
      <c r="A729" s="231" t="s">
        <v>4226</v>
      </c>
      <c r="B729" s="75"/>
      <c r="C729" s="75"/>
      <c r="D729" s="76"/>
      <c r="E729" s="209"/>
      <c r="F729" s="210"/>
      <c r="G729" s="211" t="s">
        <v>4227</v>
      </c>
      <c r="H729" s="217">
        <f>H734+H751+H755+H761</f>
        <v>159500.40765000001</v>
      </c>
    </row>
    <row r="730" spans="1:15" ht="39">
      <c r="A730" s="569" t="s">
        <v>4224</v>
      </c>
      <c r="B730" s="569"/>
      <c r="C730" s="569"/>
      <c r="D730" s="77" t="s">
        <v>0</v>
      </c>
      <c r="E730" s="207" t="s">
        <v>4228</v>
      </c>
      <c r="F730" s="208" t="s">
        <v>4215</v>
      </c>
      <c r="G730" s="74" t="s">
        <v>2</v>
      </c>
      <c r="H730" s="218" t="s">
        <v>4229</v>
      </c>
      <c r="K730" s="309"/>
    </row>
    <row r="731" spans="1:15">
      <c r="A731" s="536" t="s">
        <v>3946</v>
      </c>
      <c r="B731" s="570" t="str">
        <f>VLOOKUP(A731,'Equip, Herr y Transp'!$B$2:$D$739,2,0)</f>
        <v>EQU</v>
      </c>
      <c r="C731" s="570"/>
      <c r="D731" s="95" t="str">
        <f>VLOOKUP(A731,'Equip, Herr y Transp'!$B$2:$D$218,2,0)</f>
        <v>EQU</v>
      </c>
      <c r="E731" s="95">
        <f>VLOOKUP(A731,'Equip, Herr y Transp'!$B$2:$D$218,3,0)</f>
        <v>14130</v>
      </c>
      <c r="F731" s="96">
        <f>H721</f>
        <v>5.21E-2</v>
      </c>
      <c r="G731" s="122">
        <f>F731*E731</f>
        <v>736.173</v>
      </c>
      <c r="H731" s="118"/>
    </row>
    <row r="732" spans="1:15">
      <c r="A732" s="536" t="s">
        <v>3937</v>
      </c>
      <c r="B732" s="570" t="str">
        <f>VLOOKUP(A732,'Equip, Herr y Transp'!$B$2:$D$739,2,0)</f>
        <v>EQU</v>
      </c>
      <c r="C732" s="570"/>
      <c r="D732" s="95" t="str">
        <f>VLOOKUP(A732,'Equip, Herr y Transp'!$B$2:$D$218,2,0)</f>
        <v>EQU</v>
      </c>
      <c r="E732" s="95">
        <f>VLOOKUP(A732,'Equip, Herr y Transp'!$B$2:$D$218,3,0)</f>
        <v>23750</v>
      </c>
      <c r="F732" s="96">
        <f>H721</f>
        <v>5.21E-2</v>
      </c>
      <c r="G732" s="122">
        <f>F732*E732</f>
        <v>1237.375</v>
      </c>
      <c r="H732" s="117"/>
    </row>
    <row r="733" spans="1:15">
      <c r="A733" s="536" t="s">
        <v>3904</v>
      </c>
      <c r="B733" s="570" t="str">
        <f>VLOOKUP(A733,'Equip, Herr y Transp'!$B$2:$D$739,2,0)</f>
        <v>EQU</v>
      </c>
      <c r="C733" s="570"/>
      <c r="D733" s="95" t="str">
        <f>VLOOKUP(A733,'Equip, Herr y Transp'!$B$2:$D$218,2,0)</f>
        <v>EQU</v>
      </c>
      <c r="E733" s="95">
        <f>VLOOKUP(A733,'Equip, Herr y Transp'!$B$2:$D$218,3,0)</f>
        <v>26672.5</v>
      </c>
      <c r="F733" s="96">
        <f>H721</f>
        <v>5.21E-2</v>
      </c>
      <c r="G733" s="122">
        <f>F733*E733</f>
        <v>1389.63725</v>
      </c>
      <c r="H733" s="117"/>
    </row>
    <row r="734" spans="1:15" ht="16.5">
      <c r="A734" s="540" t="s">
        <v>4100</v>
      </c>
      <c r="B734" s="541"/>
      <c r="C734" s="541"/>
      <c r="D734" s="541"/>
      <c r="E734" s="541"/>
      <c r="F734" s="541"/>
      <c r="G734" s="541"/>
      <c r="H734" s="97">
        <f>SUM(G731:G733)</f>
        <v>3363.18525</v>
      </c>
    </row>
    <row r="735" spans="1:15" ht="16.5">
      <c r="A735" s="571" t="s">
        <v>4230</v>
      </c>
      <c r="B735" s="572"/>
      <c r="C735" s="572"/>
      <c r="D735" s="572"/>
      <c r="E735" s="572"/>
      <c r="F735" s="572"/>
      <c r="G735" s="572"/>
      <c r="H735" s="573"/>
      <c r="K735" s="56"/>
      <c r="L735" s="56"/>
      <c r="M735" s="56"/>
      <c r="N735" s="56"/>
      <c r="O735" s="56"/>
    </row>
    <row r="736" spans="1:15" ht="30" customHeight="1">
      <c r="A736" s="574" t="s">
        <v>7</v>
      </c>
      <c r="B736" s="575"/>
      <c r="C736" s="109" t="s">
        <v>0</v>
      </c>
      <c r="D736" s="110" t="s">
        <v>4098</v>
      </c>
      <c r="E736" s="111" t="s">
        <v>1</v>
      </c>
      <c r="F736" s="576" t="s">
        <v>4218</v>
      </c>
      <c r="G736" s="576"/>
      <c r="H736" s="215"/>
      <c r="K736" s="56"/>
      <c r="L736" s="56"/>
      <c r="M736" s="56"/>
      <c r="N736" s="56"/>
      <c r="O736" s="56"/>
    </row>
    <row r="737" spans="1:15">
      <c r="A737" s="577" t="s">
        <v>4634</v>
      </c>
      <c r="B737" s="578"/>
      <c r="C737" s="98" t="str">
        <f>VLOOKUP(A737,'Materiales '!$C$2:$F$1302,3,0)</f>
        <v>Und</v>
      </c>
      <c r="D737" s="99">
        <f>VLOOKUP(A737,'Materiales '!$C$2:$F$1302,4,0)</f>
        <v>102459</v>
      </c>
      <c r="E737" s="100">
        <v>1</v>
      </c>
      <c r="F737" s="538">
        <f>E737*D737</f>
        <v>102459</v>
      </c>
      <c r="G737" s="539"/>
      <c r="H737" s="121"/>
      <c r="I737">
        <f>E737*G728</f>
        <v>0</v>
      </c>
      <c r="J737" s="67"/>
      <c r="K737" s="56"/>
      <c r="L737" s="56"/>
      <c r="M737" s="56"/>
      <c r="N737" s="56"/>
      <c r="O737" s="56"/>
    </row>
    <row r="738" spans="1:15">
      <c r="A738" s="577" t="s">
        <v>4636</v>
      </c>
      <c r="B738" s="578"/>
      <c r="C738" s="98" t="str">
        <f>VLOOKUP(A738,'Materiales '!$C$2:$F$1302,3,0)</f>
        <v>Und</v>
      </c>
      <c r="D738" s="99">
        <f>VLOOKUP(A738,'Materiales '!$C$2:$F$1302,4,0)</f>
        <v>13994.4</v>
      </c>
      <c r="E738" s="100">
        <v>1</v>
      </c>
      <c r="F738" s="538">
        <f t="shared" ref="F738:F744" si="43">E738*D738</f>
        <v>13994.4</v>
      </c>
      <c r="G738" s="539"/>
      <c r="H738" s="121"/>
      <c r="I738">
        <f>E738*G728</f>
        <v>0</v>
      </c>
      <c r="J738" s="67"/>
      <c r="K738" s="56"/>
      <c r="L738" s="56"/>
      <c r="M738" s="56"/>
      <c r="N738" s="56"/>
      <c r="O738" s="56"/>
    </row>
    <row r="739" spans="1:15">
      <c r="A739" s="536" t="s">
        <v>4639</v>
      </c>
      <c r="B739" s="537" t="str">
        <f>VLOOKUP(A739,'Materiales '!$C$2:$F$1302,3,0)</f>
        <v>Und</v>
      </c>
      <c r="C739" s="98" t="str">
        <f>VLOOKUP(A739,'Materiales '!$C$2:$F$1302,3,0)</f>
        <v>Und</v>
      </c>
      <c r="D739" s="99">
        <f>VLOOKUP(A739,'Materiales '!$C$2:$F$1302,4,0)</f>
        <v>35700</v>
      </c>
      <c r="E739" s="100">
        <v>0.1</v>
      </c>
      <c r="F739" s="538">
        <f t="shared" si="43"/>
        <v>3570</v>
      </c>
      <c r="G739" s="539"/>
      <c r="H739" s="121"/>
      <c r="I739">
        <f>E739*G728</f>
        <v>0</v>
      </c>
      <c r="J739" s="68"/>
      <c r="K739" s="56"/>
      <c r="L739" s="56"/>
      <c r="M739" s="56"/>
      <c r="N739" s="56"/>
      <c r="O739" s="56"/>
    </row>
    <row r="740" spans="1:15">
      <c r="A740" s="536" t="s">
        <v>4450</v>
      </c>
      <c r="B740" s="537" t="str">
        <f>VLOOKUP(A740,'Materiales '!$C$2:$F$1302,3,0)</f>
        <v>Ml</v>
      </c>
      <c r="C740" s="98" t="str">
        <f>VLOOKUP(A740,'Materiales '!$C$2:$F$1302,3,0)</f>
        <v>Ml</v>
      </c>
      <c r="D740" s="99">
        <f>VLOOKUP(A740,'Materiales '!$C$2:$F$1302,4,0)</f>
        <v>6791.5679999999993</v>
      </c>
      <c r="E740" s="100">
        <v>1</v>
      </c>
      <c r="F740" s="538">
        <f t="shared" si="43"/>
        <v>6791.5679999999993</v>
      </c>
      <c r="G740" s="539"/>
      <c r="H740" s="121"/>
      <c r="I740">
        <f>E740*G728</f>
        <v>0</v>
      </c>
      <c r="J740" s="68"/>
      <c r="K740" s="56"/>
      <c r="L740" s="56"/>
      <c r="M740" s="56"/>
      <c r="N740" s="56"/>
      <c r="O740" s="56"/>
    </row>
    <row r="741" spans="1:15">
      <c r="A741" s="536" t="s">
        <v>4493</v>
      </c>
      <c r="B741" s="537" t="str">
        <f>VLOOKUP(A741,'Materiales '!$C$2:$F$1302,3,0)</f>
        <v>Und</v>
      </c>
      <c r="C741" s="98" t="str">
        <f>VLOOKUP(A741,'Materiales '!$C$2:$F$1302,3,0)</f>
        <v>Und</v>
      </c>
      <c r="D741" s="99">
        <f>VLOOKUP(A741,'Materiales '!$C$2:$F$1302,4,0)</f>
        <v>232.76399999999998</v>
      </c>
      <c r="E741" s="100">
        <v>3</v>
      </c>
      <c r="F741" s="538">
        <f t="shared" si="43"/>
        <v>698.29199999999992</v>
      </c>
      <c r="G741" s="539"/>
      <c r="H741" s="121"/>
      <c r="I741">
        <f>E741*G728</f>
        <v>0</v>
      </c>
      <c r="J741" s="68"/>
      <c r="K741" s="56"/>
      <c r="L741" s="56"/>
      <c r="M741" s="56"/>
      <c r="N741" s="56"/>
      <c r="O741" s="56"/>
    </row>
    <row r="742" spans="1:15">
      <c r="A742" s="536" t="s">
        <v>4638</v>
      </c>
      <c r="B742" s="537" t="str">
        <f>VLOOKUP(A742,'Materiales '!$C$2:$F$1302,3,0)</f>
        <v>Und</v>
      </c>
      <c r="C742" s="98" t="str">
        <f>VLOOKUP(A742,'Materiales '!$C$2:$F$1302,3,0)</f>
        <v>Und</v>
      </c>
      <c r="D742" s="99">
        <f>VLOOKUP(A742,'Materiales '!$C$2:$F$1302,4,0)</f>
        <v>4426.8</v>
      </c>
      <c r="E742" s="100">
        <v>1</v>
      </c>
      <c r="F742" s="538">
        <f t="shared" si="43"/>
        <v>4426.8</v>
      </c>
      <c r="G742" s="539"/>
      <c r="H742" s="121"/>
      <c r="I742">
        <f>E742*G728</f>
        <v>0</v>
      </c>
      <c r="J742" s="68"/>
      <c r="K742" s="56"/>
      <c r="L742" s="56"/>
      <c r="M742" s="56"/>
      <c r="N742" s="56"/>
      <c r="O742" s="56"/>
    </row>
    <row r="743" spans="1:15">
      <c r="A743" s="536" t="s">
        <v>4574</v>
      </c>
      <c r="B743" s="537" t="str">
        <f>VLOOKUP(A743,'Materiales '!$C$2:$F$1302,3,0)</f>
        <v>Und</v>
      </c>
      <c r="C743" s="98" t="str">
        <f>VLOOKUP(A743,'Materiales '!$C$2:$F$1302,3,0)</f>
        <v>Und</v>
      </c>
      <c r="D743" s="99">
        <f>VLOOKUP(A743,'Materiales '!$C$2:$F$1302,4,0)</f>
        <v>654.5</v>
      </c>
      <c r="E743" s="100">
        <v>1</v>
      </c>
      <c r="F743" s="538">
        <f t="shared" si="43"/>
        <v>654.5</v>
      </c>
      <c r="G743" s="539"/>
      <c r="H743" s="121"/>
      <c r="I743">
        <f>E743*G728</f>
        <v>0</v>
      </c>
      <c r="J743" s="68"/>
      <c r="K743" s="56"/>
      <c r="L743" s="56"/>
      <c r="M743" s="56"/>
      <c r="N743" s="56"/>
      <c r="O743" s="56"/>
    </row>
    <row r="744" spans="1:15" ht="21.75" customHeight="1">
      <c r="A744" s="536" t="s">
        <v>8</v>
      </c>
      <c r="B744" s="537" t="str">
        <f>VLOOKUP(A744,'Materiales '!$C$2:$F$1302,3,0)</f>
        <v>-</v>
      </c>
      <c r="C744" s="98" t="str">
        <f>VLOOKUP(A744,'Materiales '!$C$2:$F$1302,3,0)</f>
        <v>-</v>
      </c>
      <c r="D744" s="99">
        <f>VLOOKUP(A744,'Materiales '!$C$2:$F$1302,4,0)</f>
        <v>0</v>
      </c>
      <c r="E744" s="100"/>
      <c r="F744" s="538">
        <f t="shared" si="43"/>
        <v>0</v>
      </c>
      <c r="G744" s="539"/>
      <c r="H744" s="121"/>
      <c r="I744">
        <f>E744*G728</f>
        <v>0</v>
      </c>
      <c r="J744" s="68"/>
      <c r="K744" s="56"/>
      <c r="L744" s="56"/>
      <c r="M744" s="56"/>
      <c r="N744" s="56"/>
      <c r="O744" s="56"/>
    </row>
    <row r="745" spans="1:15">
      <c r="A745" s="536" t="s">
        <v>8</v>
      </c>
      <c r="B745" s="537" t="str">
        <f>VLOOKUP(A745,'Materiales '!$C$2:$F$1302,3,0)</f>
        <v>-</v>
      </c>
      <c r="C745" s="98" t="str">
        <f>VLOOKUP(A745,'Materiales '!$C$2:$F$1302,3,0)</f>
        <v>-</v>
      </c>
      <c r="D745" s="99">
        <f>VLOOKUP(A745,'Materiales '!$C$2:$F$1302,4,0)</f>
        <v>0</v>
      </c>
      <c r="E745" s="100"/>
      <c r="F745" s="538">
        <f>E745*D745</f>
        <v>0</v>
      </c>
      <c r="G745" s="539"/>
      <c r="H745" s="120"/>
      <c r="I745">
        <f>E745*G728</f>
        <v>0</v>
      </c>
      <c r="J745" s="68"/>
      <c r="K745" s="56"/>
      <c r="L745" s="56"/>
      <c r="M745" s="56"/>
      <c r="N745" s="56"/>
      <c r="O745" s="56"/>
    </row>
    <row r="746" spans="1:15">
      <c r="A746" s="536" t="s">
        <v>8</v>
      </c>
      <c r="B746" s="537" t="str">
        <f>VLOOKUP(A746,'Materiales '!$C$2:$F$1302,3,0)</f>
        <v>-</v>
      </c>
      <c r="C746" s="98" t="str">
        <f>VLOOKUP(A746,'Materiales '!$C$2:$F$1302,3,0)</f>
        <v>-</v>
      </c>
      <c r="D746" s="99">
        <f>VLOOKUP(A746,'Materiales '!$C$2:$F$1302,4,0)</f>
        <v>0</v>
      </c>
      <c r="E746" s="100"/>
      <c r="F746" s="538">
        <f t="shared" ref="F746:F749" si="44">E746*D746</f>
        <v>0</v>
      </c>
      <c r="G746" s="539"/>
      <c r="H746" s="121"/>
      <c r="I746">
        <f>E746*G728</f>
        <v>0</v>
      </c>
      <c r="J746" s="68"/>
      <c r="K746" s="56"/>
      <c r="L746" s="56"/>
      <c r="M746" s="56"/>
      <c r="N746" s="56"/>
      <c r="O746" s="56"/>
    </row>
    <row r="747" spans="1:15">
      <c r="A747" s="536" t="s">
        <v>8</v>
      </c>
      <c r="B747" s="537" t="str">
        <f>VLOOKUP(A747,'Materiales '!$C$2:$F$1302,3,0)</f>
        <v>-</v>
      </c>
      <c r="C747" s="98" t="str">
        <f>VLOOKUP(A747,'Materiales '!$C$2:$F$1302,3,0)</f>
        <v>-</v>
      </c>
      <c r="D747" s="99">
        <f>VLOOKUP(A747,'Materiales '!$C$2:$F$1302,4,0)</f>
        <v>0</v>
      </c>
      <c r="E747" s="100"/>
      <c r="F747" s="538">
        <f t="shared" si="44"/>
        <v>0</v>
      </c>
      <c r="G747" s="539"/>
      <c r="H747" s="121"/>
      <c r="I747">
        <f>E747*G728</f>
        <v>0</v>
      </c>
      <c r="J747" s="68"/>
      <c r="K747" s="56"/>
      <c r="L747" s="56"/>
      <c r="M747" s="56"/>
      <c r="N747" s="56"/>
      <c r="O747" s="56"/>
    </row>
    <row r="748" spans="1:15">
      <c r="A748" s="536" t="s">
        <v>8</v>
      </c>
      <c r="B748" s="537" t="str">
        <f>VLOOKUP(A748,'Materiales '!$C$2:$F$1302,3,0)</f>
        <v>-</v>
      </c>
      <c r="C748" s="98" t="str">
        <f>VLOOKUP(A748,'Materiales '!$C$2:$F$1302,3,0)</f>
        <v>-</v>
      </c>
      <c r="D748" s="99">
        <f>VLOOKUP(A748,'Materiales '!$C$2:$F$1302,4,0)</f>
        <v>0</v>
      </c>
      <c r="E748" s="100"/>
      <c r="F748" s="538">
        <f t="shared" si="44"/>
        <v>0</v>
      </c>
      <c r="G748" s="539"/>
      <c r="H748" s="121"/>
      <c r="I748">
        <f>E748*G728</f>
        <v>0</v>
      </c>
      <c r="J748" s="68"/>
      <c r="K748" s="56"/>
      <c r="L748" s="56"/>
      <c r="M748" s="56"/>
      <c r="N748" s="56"/>
      <c r="O748" s="56"/>
    </row>
    <row r="749" spans="1:15">
      <c r="A749" s="536" t="s">
        <v>8</v>
      </c>
      <c r="B749" s="537" t="str">
        <f>VLOOKUP(A749,'Materiales '!$C$2:$F$1302,3,0)</f>
        <v>-</v>
      </c>
      <c r="C749" s="98" t="str">
        <f>VLOOKUP(A749,'Materiales '!$C$2:$F$1302,3,0)</f>
        <v>-</v>
      </c>
      <c r="D749" s="99">
        <f>VLOOKUP(A749,'Materiales '!$C$2:$F$1302,4,0)</f>
        <v>0</v>
      </c>
      <c r="E749" s="100"/>
      <c r="F749" s="538">
        <f t="shared" si="44"/>
        <v>0</v>
      </c>
      <c r="G749" s="539"/>
      <c r="H749" s="121"/>
      <c r="I749">
        <f>E749*G728</f>
        <v>0</v>
      </c>
      <c r="J749" s="68"/>
      <c r="K749" s="56"/>
      <c r="L749" s="56"/>
      <c r="M749" s="56"/>
      <c r="N749" s="56"/>
      <c r="O749" s="56"/>
    </row>
    <row r="750" spans="1:15">
      <c r="A750" s="536" t="s">
        <v>8</v>
      </c>
      <c r="B750" s="537" t="str">
        <f>VLOOKUP(A750,'Materiales '!$C$2:$F$1302,3,0)</f>
        <v>-</v>
      </c>
      <c r="C750" s="98" t="str">
        <f>VLOOKUP(A750,'Materiales '!$C$2:$F$1302,3,0)</f>
        <v>-</v>
      </c>
      <c r="D750" s="99">
        <f>VLOOKUP(A750,'Materiales '!$C$2:$F$1302,4,0)</f>
        <v>0</v>
      </c>
      <c r="E750" s="100"/>
      <c r="F750" s="538">
        <f>E750*D750</f>
        <v>0</v>
      </c>
      <c r="G750" s="539"/>
      <c r="H750" s="120"/>
      <c r="I750">
        <f>E750*G728</f>
        <v>0</v>
      </c>
      <c r="J750" s="68"/>
      <c r="K750" s="56"/>
      <c r="L750" s="56"/>
      <c r="M750" s="56"/>
      <c r="N750" s="56"/>
      <c r="O750" s="56"/>
    </row>
    <row r="751" spans="1:15" ht="16.5">
      <c r="A751" s="540" t="s">
        <v>4099</v>
      </c>
      <c r="B751" s="541"/>
      <c r="C751" s="541"/>
      <c r="D751" s="541"/>
      <c r="E751" s="541"/>
      <c r="F751" s="541"/>
      <c r="G751" s="542"/>
      <c r="H751" s="116">
        <f>SUM(F737:F750)</f>
        <v>132594.56</v>
      </c>
      <c r="J751" s="68"/>
      <c r="K751" s="56"/>
      <c r="L751" s="56"/>
      <c r="M751" s="56"/>
      <c r="N751" s="56"/>
      <c r="O751" s="56"/>
    </row>
    <row r="752" spans="1:15" ht="16.5">
      <c r="A752" s="543" t="s">
        <v>4231</v>
      </c>
      <c r="B752" s="544"/>
      <c r="C752" s="544"/>
      <c r="D752" s="544"/>
      <c r="E752" s="545"/>
      <c r="F752" s="544"/>
      <c r="G752" s="544"/>
      <c r="H752" s="546"/>
      <c r="J752" s="68"/>
      <c r="K752" s="56"/>
      <c r="L752" s="56"/>
      <c r="M752" s="56"/>
      <c r="N752" s="56"/>
      <c r="O752" s="56"/>
    </row>
    <row r="753" spans="1:15">
      <c r="A753" s="547" t="s">
        <v>7</v>
      </c>
      <c r="B753" s="548"/>
      <c r="C753" s="108" t="s">
        <v>4232</v>
      </c>
      <c r="D753" s="107" t="s">
        <v>4233</v>
      </c>
      <c r="E753" s="206" t="s">
        <v>4234</v>
      </c>
      <c r="F753" s="549" t="s">
        <v>4218</v>
      </c>
      <c r="G753" s="549"/>
      <c r="H753" s="119"/>
      <c r="K753" s="56"/>
      <c r="L753" s="56"/>
      <c r="M753" s="56"/>
      <c r="N753" s="56"/>
      <c r="O753" s="56"/>
    </row>
    <row r="754" spans="1:15">
      <c r="A754" s="550" t="s">
        <v>3928</v>
      </c>
      <c r="B754" s="551"/>
      <c r="C754" s="232">
        <v>1</v>
      </c>
      <c r="D754" s="102">
        <v>0.03</v>
      </c>
      <c r="E754" s="103">
        <f>VLOOKUP(A754,'Equip, Herr y Transp'!$B$2:$D$218,3,0)</f>
        <v>160000</v>
      </c>
      <c r="F754" s="552">
        <f>E754*D754*C754</f>
        <v>4800</v>
      </c>
      <c r="G754" s="553"/>
      <c r="H754" s="117"/>
      <c r="M754" s="56"/>
    </row>
    <row r="755" spans="1:15" ht="16.5">
      <c r="A755" s="554" t="s">
        <v>4216</v>
      </c>
      <c r="B755" s="555"/>
      <c r="C755" s="555"/>
      <c r="D755" s="555"/>
      <c r="E755" s="555"/>
      <c r="F755" s="555"/>
      <c r="G755" s="555"/>
      <c r="H755" s="105">
        <f>F754</f>
        <v>4800</v>
      </c>
    </row>
    <row r="756" spans="1:15" ht="16.5">
      <c r="A756" s="543" t="s">
        <v>4235</v>
      </c>
      <c r="B756" s="544"/>
      <c r="C756" s="544"/>
      <c r="D756" s="544"/>
      <c r="E756" s="544"/>
      <c r="F756" s="544"/>
      <c r="G756" s="544"/>
      <c r="H756" s="546"/>
    </row>
    <row r="757" spans="1:15">
      <c r="A757" s="547" t="s">
        <v>7</v>
      </c>
      <c r="B757" s="548"/>
      <c r="C757" s="106" t="s">
        <v>1</v>
      </c>
      <c r="D757" s="107" t="s">
        <v>4236</v>
      </c>
      <c r="E757" s="108" t="s">
        <v>4215</v>
      </c>
      <c r="F757" s="547" t="s">
        <v>5</v>
      </c>
      <c r="G757" s="556"/>
      <c r="H757" s="119"/>
    </row>
    <row r="758" spans="1:15">
      <c r="A758" s="550" t="s">
        <v>4196</v>
      </c>
      <c r="B758" s="551"/>
      <c r="C758" s="101">
        <v>1</v>
      </c>
      <c r="D758" s="104">
        <f>VLOOKUP(A758,'Mano Obra'!$B$2:$T$117,19,0)</f>
        <v>166624</v>
      </c>
      <c r="E758" s="246">
        <f>H721</f>
        <v>5.21E-2</v>
      </c>
      <c r="F758" s="538">
        <f>E758*D758*C758</f>
        <v>8681.1103999999996</v>
      </c>
      <c r="G758" s="557"/>
      <c r="H758" s="121"/>
      <c r="I758" s="69"/>
      <c r="J758" s="136">
        <f>((('Mano Obra'!$M$4/30)*F758)/D758)*G728</f>
        <v>0</v>
      </c>
    </row>
    <row r="759" spans="1:15">
      <c r="A759" s="558" t="s">
        <v>4197</v>
      </c>
      <c r="B759" s="559">
        <f>VLOOKUP(A759,'Mano Obra'!$B$3:$D$290,2,0)</f>
        <v>2090000.0000000002</v>
      </c>
      <c r="C759" s="101">
        <v>1</v>
      </c>
      <c r="D759" s="104">
        <f>VLOOKUP(A759,'Mano Obra'!$B$2:$T$117,19,0)</f>
        <v>120456</v>
      </c>
      <c r="E759" s="246">
        <f>H721</f>
        <v>5.21E-2</v>
      </c>
      <c r="F759" s="538">
        <f t="shared" ref="F759:F760" si="45">E759*D759*C759</f>
        <v>6275.7575999999999</v>
      </c>
      <c r="G759" s="557"/>
      <c r="H759" s="121"/>
      <c r="J759" s="136">
        <f>((('Mano Obra'!$M$5/30)*F759)/D759)*G728</f>
        <v>0</v>
      </c>
    </row>
    <row r="760" spans="1:15">
      <c r="A760" s="558" t="s">
        <v>4186</v>
      </c>
      <c r="B760" s="559">
        <f>VLOOKUP(A760,'Mano Obra'!$B$3:$D$290,2,0)</f>
        <v>1100000</v>
      </c>
      <c r="C760" s="101">
        <v>1</v>
      </c>
      <c r="D760" s="104">
        <f>VLOOKUP(A760,'Mano Obra'!$B$2:$T$117,19,0)</f>
        <v>72664</v>
      </c>
      <c r="E760" s="246">
        <f>H721</f>
        <v>5.21E-2</v>
      </c>
      <c r="F760" s="538">
        <f t="shared" si="45"/>
        <v>3785.7944000000002</v>
      </c>
      <c r="G760" s="557"/>
      <c r="H760" s="120"/>
      <c r="J760" s="136">
        <f>((('Mano Obra'!$M$6/30)*F760)/D760)*G728</f>
        <v>0</v>
      </c>
    </row>
    <row r="761" spans="1:15" ht="16.5">
      <c r="A761" s="560" t="s">
        <v>4101</v>
      </c>
      <c r="B761" s="560"/>
      <c r="C761" s="560"/>
      <c r="D761" s="560"/>
      <c r="E761" s="560"/>
      <c r="F761" s="560"/>
      <c r="G761" s="560"/>
      <c r="H761" s="105">
        <f>SUM(F758:F760)</f>
        <v>18742.662399999997</v>
      </c>
      <c r="J761" s="136"/>
    </row>
    <row r="762" spans="1:15">
      <c r="A762" s="227" t="s">
        <v>4237</v>
      </c>
      <c r="B762" s="205"/>
      <c r="C762" s="205"/>
      <c r="D762" s="202"/>
      <c r="E762" s="203"/>
      <c r="F762" s="204"/>
      <c r="G762" s="203"/>
      <c r="H762" s="212"/>
    </row>
    <row r="763" spans="1:15">
      <c r="A763" s="561" t="s">
        <v>4224</v>
      </c>
      <c r="B763" s="562"/>
      <c r="C763" s="562"/>
      <c r="D763" s="562"/>
      <c r="E763" s="200"/>
      <c r="F763" s="201" t="s">
        <v>4238</v>
      </c>
      <c r="G763" s="200" t="s">
        <v>4239</v>
      </c>
      <c r="H763" s="213"/>
    </row>
    <row r="764" spans="1:15">
      <c r="A764" s="223" t="s">
        <v>4097</v>
      </c>
      <c r="B764" s="72"/>
      <c r="C764" s="72"/>
      <c r="D764" s="73"/>
      <c r="E764" s="78"/>
      <c r="F764" s="79">
        <v>0</v>
      </c>
      <c r="G764" s="80">
        <f>F764*H729</f>
        <v>0</v>
      </c>
      <c r="H764" s="212"/>
    </row>
    <row r="765" spans="1:15">
      <c r="A765" s="224" t="s">
        <v>4240</v>
      </c>
      <c r="B765" s="81"/>
      <c r="C765" s="81"/>
      <c r="D765" s="82"/>
      <c r="E765" s="78"/>
      <c r="F765" s="79">
        <v>0</v>
      </c>
      <c r="G765" s="80">
        <f>F765*H729</f>
        <v>0</v>
      </c>
      <c r="H765" s="212"/>
    </row>
    <row r="766" spans="1:15">
      <c r="A766" s="224" t="s">
        <v>4</v>
      </c>
      <c r="B766" s="81"/>
      <c r="C766" s="81"/>
      <c r="D766" s="82"/>
      <c r="E766" s="78"/>
      <c r="F766" s="79">
        <v>0</v>
      </c>
      <c r="G766" s="80">
        <f>F766*H729</f>
        <v>0</v>
      </c>
      <c r="H766" s="212"/>
    </row>
    <row r="767" spans="1:15">
      <c r="A767" s="225"/>
      <c r="B767" s="83"/>
      <c r="C767" s="75"/>
      <c r="D767" s="84"/>
      <c r="E767" s="85"/>
      <c r="F767" s="86"/>
      <c r="G767" s="87"/>
      <c r="H767" s="214"/>
    </row>
    <row r="768" spans="1:15">
      <c r="A768" s="226"/>
      <c r="B768" s="83"/>
      <c r="C768" s="83"/>
      <c r="D768" s="84"/>
      <c r="E768" s="88"/>
      <c r="F768" s="563" t="s">
        <v>4241</v>
      </c>
      <c r="G768" s="564"/>
      <c r="H768" s="233">
        <f>H729+G764+G765+G766</f>
        <v>159500.40765000001</v>
      </c>
    </row>
    <row r="769" spans="1:14">
      <c r="A769" s="83"/>
      <c r="B769" s="83"/>
      <c r="C769" s="83"/>
      <c r="D769" s="84"/>
      <c r="E769" s="388"/>
      <c r="F769" s="389"/>
      <c r="G769" s="389"/>
      <c r="H769" s="390"/>
    </row>
    <row r="770" spans="1:14" ht="16.5">
      <c r="A770" s="90"/>
      <c r="B770" s="90"/>
      <c r="C770" s="90"/>
      <c r="D770" s="90"/>
      <c r="E770" s="90"/>
      <c r="F770" s="90"/>
      <c r="G770" s="90"/>
      <c r="H770" s="381"/>
    </row>
    <row r="771" spans="1:14">
      <c r="A771" s="579" t="s">
        <v>4225</v>
      </c>
      <c r="B771" s="580"/>
      <c r="C771" s="580"/>
      <c r="D771" s="580"/>
      <c r="E771" s="580"/>
      <c r="F771" s="580"/>
      <c r="G771" s="580"/>
      <c r="H771" s="581"/>
    </row>
    <row r="772" spans="1:14" ht="16.5">
      <c r="A772" s="91"/>
      <c r="B772" s="92"/>
      <c r="C772" s="92"/>
      <c r="D772" s="92"/>
      <c r="E772" s="92"/>
      <c r="F772" s="93"/>
      <c r="G772" s="94"/>
      <c r="H772" s="380">
        <f>ROUND((25/60)/8,4)</f>
        <v>5.21E-2</v>
      </c>
      <c r="I772" s="115"/>
    </row>
    <row r="773" spans="1:14">
      <c r="A773" s="582" t="s">
        <v>4220</v>
      </c>
      <c r="B773" s="584" t="str">
        <f>COSTOS!$C$14</f>
        <v>MODERNIZACION A TECNOLOGIA LED</v>
      </c>
      <c r="C773" s="584"/>
      <c r="D773" s="584"/>
      <c r="E773" s="584"/>
      <c r="F773" s="584"/>
      <c r="G773" s="584"/>
      <c r="H773" s="585" t="s">
        <v>4221</v>
      </c>
    </row>
    <row r="774" spans="1:14">
      <c r="A774" s="583"/>
      <c r="B774" s="584"/>
      <c r="C774" s="584"/>
      <c r="D774" s="584"/>
      <c r="E774" s="584"/>
      <c r="F774" s="584"/>
      <c r="G774" s="584"/>
      <c r="H774" s="585"/>
    </row>
    <row r="775" spans="1:14">
      <c r="A775" s="583"/>
      <c r="B775" s="584"/>
      <c r="C775" s="584"/>
      <c r="D775" s="584"/>
      <c r="E775" s="584"/>
      <c r="F775" s="584"/>
      <c r="G775" s="584"/>
      <c r="H775" s="585"/>
    </row>
    <row r="776" spans="1:14" ht="15" customHeight="1">
      <c r="A776" s="583"/>
      <c r="B776" s="584"/>
      <c r="C776" s="584"/>
      <c r="D776" s="584"/>
      <c r="E776" s="584"/>
      <c r="F776" s="584"/>
      <c r="G776" s="584"/>
      <c r="H776" s="216">
        <f ca="1">TODAY()</f>
        <v>44889</v>
      </c>
      <c r="K776" t="s">
        <v>4391</v>
      </c>
      <c r="L776" t="s">
        <v>4392</v>
      </c>
      <c r="M776" t="s">
        <v>4393</v>
      </c>
      <c r="N776" t="s">
        <v>4394</v>
      </c>
    </row>
    <row r="777" spans="1:14" ht="60.75" customHeight="1">
      <c r="A777" s="228" t="s">
        <v>4222</v>
      </c>
      <c r="B777" s="565" t="str">
        <f>COSTOS!$D$16</f>
        <v>Luminarias</v>
      </c>
      <c r="C777" s="565"/>
      <c r="D777" s="565"/>
      <c r="E777" s="565"/>
      <c r="F777" s="565"/>
      <c r="G777" s="70" t="s">
        <v>4223</v>
      </c>
      <c r="H777" s="391">
        <v>1.1599999999999999</v>
      </c>
      <c r="K777" s="62">
        <f>H802</f>
        <v>112959.56</v>
      </c>
      <c r="L777" s="62">
        <f>H812</f>
        <v>18742.662399999997</v>
      </c>
      <c r="M777" s="62">
        <f>H785</f>
        <v>2377.1927500000002</v>
      </c>
      <c r="N777" s="62">
        <f>H806</f>
        <v>4800</v>
      </c>
    </row>
    <row r="778" spans="1:14" ht="43.15" customHeight="1">
      <c r="A778" s="229" t="s">
        <v>4224</v>
      </c>
      <c r="B778" s="566" t="str">
        <f>VLOOKUP(H777,COSTOS!C:M,2,0)</f>
        <v>SPOT LED 14w, 650lm EMPOTRABLE</v>
      </c>
      <c r="C778" s="567"/>
      <c r="D778" s="567"/>
      <c r="E778" s="568"/>
      <c r="F778" s="71" t="s">
        <v>0</v>
      </c>
      <c r="G778" s="356" t="str">
        <f>VLOOKUP(H777,COSTOS!C:M,8,0)</f>
        <v>Und</v>
      </c>
      <c r="H778" s="276"/>
      <c r="I778" s="306"/>
      <c r="J778" s="308"/>
      <c r="K778" s="308"/>
      <c r="L778" s="308"/>
    </row>
    <row r="779" spans="1:14">
      <c r="A779" s="230"/>
      <c r="B779" s="112"/>
      <c r="C779" s="112"/>
      <c r="D779" s="112"/>
      <c r="E779" s="113"/>
      <c r="F779" s="114" t="s">
        <v>1</v>
      </c>
      <c r="G779" s="356">
        <f>VLOOKUP(H777,COSTOS!C:M,9,0)</f>
        <v>0</v>
      </c>
      <c r="H779" s="357"/>
      <c r="I779" s="307"/>
    </row>
    <row r="780" spans="1:14" ht="16.5">
      <c r="A780" s="231" t="s">
        <v>4226</v>
      </c>
      <c r="B780" s="75"/>
      <c r="C780" s="75"/>
      <c r="D780" s="76"/>
      <c r="E780" s="209"/>
      <c r="F780" s="210"/>
      <c r="G780" s="211" t="s">
        <v>4227</v>
      </c>
      <c r="H780" s="217">
        <f>H785+H802+H806+H812</f>
        <v>138879.41514999999</v>
      </c>
    </row>
    <row r="781" spans="1:14" ht="39">
      <c r="A781" s="569" t="s">
        <v>4224</v>
      </c>
      <c r="B781" s="569"/>
      <c r="C781" s="569"/>
      <c r="D781" s="77" t="s">
        <v>0</v>
      </c>
      <c r="E781" s="207" t="s">
        <v>4228</v>
      </c>
      <c r="F781" s="208" t="s">
        <v>4215</v>
      </c>
      <c r="G781" s="74" t="s">
        <v>2</v>
      </c>
      <c r="H781" s="218" t="s">
        <v>4229</v>
      </c>
      <c r="K781" s="309"/>
    </row>
    <row r="782" spans="1:14">
      <c r="A782" s="536" t="s">
        <v>3946</v>
      </c>
      <c r="B782" s="570" t="str">
        <f>VLOOKUP(A782,'Equip, Herr y Transp'!$B$2:$D$739,2,0)</f>
        <v>EQU</v>
      </c>
      <c r="C782" s="570"/>
      <c r="D782" s="95" t="str">
        <f>VLOOKUP(A782,'Equip, Herr y Transp'!$B$2:$D$218,2,0)</f>
        <v>EQU</v>
      </c>
      <c r="E782" s="95">
        <f>VLOOKUP(A782,'Equip, Herr y Transp'!$B$2:$D$218,3,0)</f>
        <v>14130</v>
      </c>
      <c r="F782" s="96">
        <f>H772</f>
        <v>5.21E-2</v>
      </c>
      <c r="G782" s="122">
        <f>F782*E782</f>
        <v>736.173</v>
      </c>
      <c r="H782" s="118"/>
    </row>
    <row r="783" spans="1:14">
      <c r="A783" s="536" t="s">
        <v>3937</v>
      </c>
      <c r="B783" s="570" t="str">
        <f>VLOOKUP(A783,'Equip, Herr y Transp'!$B$2:$D$739,2,0)</f>
        <v>EQU</v>
      </c>
      <c r="C783" s="570"/>
      <c r="D783" s="95" t="str">
        <f>VLOOKUP(A783,'Equip, Herr y Transp'!$B$2:$D$218,2,0)</f>
        <v>EQU</v>
      </c>
      <c r="E783" s="95">
        <f>VLOOKUP(A783,'Equip, Herr y Transp'!$B$2:$D$218,3,0)</f>
        <v>23750</v>
      </c>
      <c r="F783" s="96">
        <f>H772</f>
        <v>5.21E-2</v>
      </c>
      <c r="G783" s="122">
        <f>F783*E783</f>
        <v>1237.375</v>
      </c>
      <c r="H783" s="117"/>
    </row>
    <row r="784" spans="1:14">
      <c r="A784" s="536" t="s">
        <v>3903</v>
      </c>
      <c r="B784" s="570" t="str">
        <f>VLOOKUP(A784,'Equip, Herr y Transp'!$B$2:$D$739,2,0)</f>
        <v>EQU</v>
      </c>
      <c r="C784" s="570"/>
      <c r="D784" s="95" t="str">
        <f>VLOOKUP(A784,'Equip, Herr y Transp'!$B$2:$D$218,2,0)</f>
        <v>EQU</v>
      </c>
      <c r="E784" s="95">
        <f>VLOOKUP(A784,'Equip, Herr y Transp'!$B$2:$D$218,3,0)</f>
        <v>7747.5</v>
      </c>
      <c r="F784" s="96">
        <f>H772</f>
        <v>5.21E-2</v>
      </c>
      <c r="G784" s="122">
        <f>F784*E784</f>
        <v>403.64474999999999</v>
      </c>
      <c r="H784" s="117"/>
    </row>
    <row r="785" spans="1:15" ht="16.5">
      <c r="A785" s="540" t="s">
        <v>4100</v>
      </c>
      <c r="B785" s="541"/>
      <c r="C785" s="541"/>
      <c r="D785" s="541"/>
      <c r="E785" s="541"/>
      <c r="F785" s="541"/>
      <c r="G785" s="541"/>
      <c r="H785" s="97">
        <f>SUM(G782:G784)</f>
        <v>2377.1927500000002</v>
      </c>
    </row>
    <row r="786" spans="1:15" ht="16.5">
      <c r="A786" s="571" t="s">
        <v>4230</v>
      </c>
      <c r="B786" s="572"/>
      <c r="C786" s="572"/>
      <c r="D786" s="572"/>
      <c r="E786" s="572"/>
      <c r="F786" s="572"/>
      <c r="G786" s="572"/>
      <c r="H786" s="573"/>
      <c r="K786" s="56"/>
      <c r="L786" s="56"/>
      <c r="M786" s="56"/>
      <c r="N786" s="56"/>
      <c r="O786" s="56"/>
    </row>
    <row r="787" spans="1:15" ht="30" customHeight="1">
      <c r="A787" s="574" t="s">
        <v>7</v>
      </c>
      <c r="B787" s="575"/>
      <c r="C787" s="109" t="s">
        <v>0</v>
      </c>
      <c r="D787" s="110" t="s">
        <v>4098</v>
      </c>
      <c r="E787" s="111" t="s">
        <v>1</v>
      </c>
      <c r="F787" s="576" t="s">
        <v>4218</v>
      </c>
      <c r="G787" s="576"/>
      <c r="H787" s="215"/>
      <c r="K787" s="56"/>
      <c r="L787" s="56"/>
      <c r="M787" s="56"/>
      <c r="N787" s="56"/>
      <c r="O787" s="56"/>
    </row>
    <row r="788" spans="1:15">
      <c r="A788" s="577" t="s">
        <v>4632</v>
      </c>
      <c r="B788" s="578"/>
      <c r="C788" s="98" t="str">
        <f>VLOOKUP(A788,'Materiales '!$C$2:$F$1302,3,0)</f>
        <v>Und</v>
      </c>
      <c r="D788" s="99">
        <f>VLOOKUP(A788,'Materiales '!$C$2:$F$1302,4,0)</f>
        <v>82824</v>
      </c>
      <c r="E788" s="100">
        <v>1</v>
      </c>
      <c r="F788" s="538">
        <f>E788*D788</f>
        <v>82824</v>
      </c>
      <c r="G788" s="539"/>
      <c r="H788" s="121"/>
      <c r="I788">
        <f>E788*G779</f>
        <v>0</v>
      </c>
      <c r="J788" s="67"/>
      <c r="K788" s="56"/>
      <c r="L788" s="56"/>
      <c r="M788" s="56"/>
      <c r="N788" s="56"/>
      <c r="O788" s="56"/>
    </row>
    <row r="789" spans="1:15">
      <c r="A789" s="577" t="s">
        <v>4636</v>
      </c>
      <c r="B789" s="578"/>
      <c r="C789" s="98" t="str">
        <f>VLOOKUP(A789,'Materiales '!$C$2:$F$1302,3,0)</f>
        <v>Und</v>
      </c>
      <c r="D789" s="99">
        <f>VLOOKUP(A789,'Materiales '!$C$2:$F$1302,4,0)</f>
        <v>13994.4</v>
      </c>
      <c r="E789" s="100">
        <v>1</v>
      </c>
      <c r="F789" s="538">
        <f t="shared" ref="F789:F795" si="46">E789*D789</f>
        <v>13994.4</v>
      </c>
      <c r="G789" s="539"/>
      <c r="H789" s="121"/>
      <c r="I789">
        <f>E789*G779</f>
        <v>0</v>
      </c>
      <c r="J789" s="67"/>
      <c r="K789" s="56"/>
      <c r="L789" s="56"/>
      <c r="M789" s="56"/>
      <c r="N789" s="56"/>
      <c r="O789" s="56"/>
    </row>
    <row r="790" spans="1:15">
      <c r="A790" s="536" t="s">
        <v>4639</v>
      </c>
      <c r="B790" s="537" t="str">
        <f>VLOOKUP(A790,'Materiales '!$C$2:$F$1302,3,0)</f>
        <v>Und</v>
      </c>
      <c r="C790" s="98" t="str">
        <f>VLOOKUP(A790,'Materiales '!$C$2:$F$1302,3,0)</f>
        <v>Und</v>
      </c>
      <c r="D790" s="99">
        <f>VLOOKUP(A790,'Materiales '!$C$2:$F$1302,4,0)</f>
        <v>35700</v>
      </c>
      <c r="E790" s="100">
        <v>0.1</v>
      </c>
      <c r="F790" s="538">
        <f t="shared" si="46"/>
        <v>3570</v>
      </c>
      <c r="G790" s="539"/>
      <c r="H790" s="121"/>
      <c r="I790">
        <f>E790*G779</f>
        <v>0</v>
      </c>
      <c r="J790" s="68"/>
      <c r="K790" s="56"/>
      <c r="L790" s="56"/>
      <c r="M790" s="56"/>
      <c r="N790" s="56"/>
      <c r="O790" s="56"/>
    </row>
    <row r="791" spans="1:15">
      <c r="A791" s="536" t="s">
        <v>4450</v>
      </c>
      <c r="B791" s="537" t="str">
        <f>VLOOKUP(A791,'Materiales '!$C$2:$F$1302,3,0)</f>
        <v>Ml</v>
      </c>
      <c r="C791" s="98" t="str">
        <f>VLOOKUP(A791,'Materiales '!$C$2:$F$1302,3,0)</f>
        <v>Ml</v>
      </c>
      <c r="D791" s="99">
        <f>VLOOKUP(A791,'Materiales '!$C$2:$F$1302,4,0)</f>
        <v>6791.5679999999993</v>
      </c>
      <c r="E791" s="100">
        <v>1</v>
      </c>
      <c r="F791" s="538">
        <f t="shared" si="46"/>
        <v>6791.5679999999993</v>
      </c>
      <c r="G791" s="539"/>
      <c r="H791" s="121"/>
      <c r="I791">
        <f>E791*G779</f>
        <v>0</v>
      </c>
      <c r="J791" s="68"/>
      <c r="K791" s="56"/>
      <c r="L791" s="56"/>
      <c r="M791" s="56"/>
      <c r="N791" s="56"/>
      <c r="O791" s="56"/>
    </row>
    <row r="792" spans="1:15">
      <c r="A792" s="536" t="s">
        <v>4493</v>
      </c>
      <c r="B792" s="537" t="str">
        <f>VLOOKUP(A792,'Materiales '!$C$2:$F$1302,3,0)</f>
        <v>Und</v>
      </c>
      <c r="C792" s="98" t="str">
        <f>VLOOKUP(A792,'Materiales '!$C$2:$F$1302,3,0)</f>
        <v>Und</v>
      </c>
      <c r="D792" s="99">
        <f>VLOOKUP(A792,'Materiales '!$C$2:$F$1302,4,0)</f>
        <v>232.76399999999998</v>
      </c>
      <c r="E792" s="100">
        <v>3</v>
      </c>
      <c r="F792" s="538">
        <f t="shared" si="46"/>
        <v>698.29199999999992</v>
      </c>
      <c r="G792" s="539"/>
      <c r="H792" s="121"/>
      <c r="I792">
        <f>E792*G779</f>
        <v>0</v>
      </c>
      <c r="J792" s="68"/>
      <c r="K792" s="56"/>
      <c r="L792" s="56"/>
      <c r="M792" s="56"/>
      <c r="N792" s="56"/>
      <c r="O792" s="56"/>
    </row>
    <row r="793" spans="1:15">
      <c r="A793" s="536" t="s">
        <v>4638</v>
      </c>
      <c r="B793" s="537" t="str">
        <f>VLOOKUP(A793,'Materiales '!$C$2:$F$1302,3,0)</f>
        <v>Und</v>
      </c>
      <c r="C793" s="98" t="str">
        <f>VLOOKUP(A793,'Materiales '!$C$2:$F$1302,3,0)</f>
        <v>Und</v>
      </c>
      <c r="D793" s="99">
        <f>VLOOKUP(A793,'Materiales '!$C$2:$F$1302,4,0)</f>
        <v>4426.8</v>
      </c>
      <c r="E793" s="100">
        <v>1</v>
      </c>
      <c r="F793" s="538">
        <f t="shared" si="46"/>
        <v>4426.8</v>
      </c>
      <c r="G793" s="539"/>
      <c r="H793" s="121"/>
      <c r="I793">
        <f>E793*G779</f>
        <v>0</v>
      </c>
      <c r="J793" s="68"/>
      <c r="K793" s="56"/>
      <c r="L793" s="56"/>
      <c r="M793" s="56"/>
      <c r="N793" s="56"/>
      <c r="O793" s="56"/>
    </row>
    <row r="794" spans="1:15">
      <c r="A794" s="536" t="s">
        <v>4574</v>
      </c>
      <c r="B794" s="537" t="str">
        <f>VLOOKUP(A794,'Materiales '!$C$2:$F$1302,3,0)</f>
        <v>Und</v>
      </c>
      <c r="C794" s="98" t="str">
        <f>VLOOKUP(A794,'Materiales '!$C$2:$F$1302,3,0)</f>
        <v>Und</v>
      </c>
      <c r="D794" s="99">
        <f>VLOOKUP(A794,'Materiales '!$C$2:$F$1302,4,0)</f>
        <v>654.5</v>
      </c>
      <c r="E794" s="100">
        <v>1</v>
      </c>
      <c r="F794" s="538">
        <f t="shared" si="46"/>
        <v>654.5</v>
      </c>
      <c r="G794" s="539"/>
      <c r="H794" s="121"/>
      <c r="I794">
        <f>E794*G779</f>
        <v>0</v>
      </c>
      <c r="J794" s="68"/>
      <c r="K794" s="56"/>
      <c r="L794" s="56"/>
      <c r="M794" s="56"/>
      <c r="N794" s="56"/>
      <c r="O794" s="56"/>
    </row>
    <row r="795" spans="1:15" ht="21.75" customHeight="1">
      <c r="A795" s="536" t="s">
        <v>8</v>
      </c>
      <c r="B795" s="537" t="str">
        <f>VLOOKUP(A795,'Materiales '!$C$2:$F$1302,3,0)</f>
        <v>-</v>
      </c>
      <c r="C795" s="98" t="str">
        <f>VLOOKUP(A795,'Materiales '!$C$2:$F$1302,3,0)</f>
        <v>-</v>
      </c>
      <c r="D795" s="99">
        <f>VLOOKUP(A795,'Materiales '!$C$2:$F$1302,4,0)</f>
        <v>0</v>
      </c>
      <c r="E795" s="100"/>
      <c r="F795" s="538">
        <f t="shared" si="46"/>
        <v>0</v>
      </c>
      <c r="G795" s="539"/>
      <c r="H795" s="121"/>
      <c r="I795">
        <f>E795*G779</f>
        <v>0</v>
      </c>
      <c r="J795" s="68"/>
      <c r="K795" s="56"/>
      <c r="L795" s="56"/>
      <c r="M795" s="56"/>
      <c r="N795" s="56"/>
      <c r="O795" s="56"/>
    </row>
    <row r="796" spans="1:15">
      <c r="A796" s="536" t="s">
        <v>8</v>
      </c>
      <c r="B796" s="537" t="str">
        <f>VLOOKUP(A796,'Materiales '!$C$2:$F$1302,3,0)</f>
        <v>-</v>
      </c>
      <c r="C796" s="98" t="str">
        <f>VLOOKUP(A796,'Materiales '!$C$2:$F$1302,3,0)</f>
        <v>-</v>
      </c>
      <c r="D796" s="99">
        <f>VLOOKUP(A796,'Materiales '!$C$2:$F$1302,4,0)</f>
        <v>0</v>
      </c>
      <c r="E796" s="100"/>
      <c r="F796" s="538">
        <f>E796*D796</f>
        <v>0</v>
      </c>
      <c r="G796" s="539"/>
      <c r="H796" s="120"/>
      <c r="I796">
        <f>E796*G779</f>
        <v>0</v>
      </c>
      <c r="J796" s="68"/>
      <c r="K796" s="56"/>
      <c r="L796" s="56"/>
      <c r="M796" s="56"/>
      <c r="N796" s="56"/>
      <c r="O796" s="56"/>
    </row>
    <row r="797" spans="1:15">
      <c r="A797" s="536" t="s">
        <v>8</v>
      </c>
      <c r="B797" s="537" t="str">
        <f>VLOOKUP(A797,'Materiales '!$C$2:$F$1302,3,0)</f>
        <v>-</v>
      </c>
      <c r="C797" s="98" t="str">
        <f>VLOOKUP(A797,'Materiales '!$C$2:$F$1302,3,0)</f>
        <v>-</v>
      </c>
      <c r="D797" s="99">
        <f>VLOOKUP(A797,'Materiales '!$C$2:$F$1302,4,0)</f>
        <v>0</v>
      </c>
      <c r="E797" s="100"/>
      <c r="F797" s="538">
        <f t="shared" ref="F797:F800" si="47">E797*D797</f>
        <v>0</v>
      </c>
      <c r="G797" s="539"/>
      <c r="H797" s="121"/>
      <c r="I797">
        <f>E797*G779</f>
        <v>0</v>
      </c>
      <c r="J797" s="68"/>
      <c r="K797" s="56"/>
      <c r="L797" s="56"/>
      <c r="M797" s="56"/>
      <c r="N797" s="56"/>
      <c r="O797" s="56"/>
    </row>
    <row r="798" spans="1:15">
      <c r="A798" s="536" t="s">
        <v>8</v>
      </c>
      <c r="B798" s="537" t="str">
        <f>VLOOKUP(A798,'Materiales '!$C$2:$F$1302,3,0)</f>
        <v>-</v>
      </c>
      <c r="C798" s="98" t="str">
        <f>VLOOKUP(A798,'Materiales '!$C$2:$F$1302,3,0)</f>
        <v>-</v>
      </c>
      <c r="D798" s="99">
        <f>VLOOKUP(A798,'Materiales '!$C$2:$F$1302,4,0)</f>
        <v>0</v>
      </c>
      <c r="E798" s="100"/>
      <c r="F798" s="538">
        <f t="shared" si="47"/>
        <v>0</v>
      </c>
      <c r="G798" s="539"/>
      <c r="H798" s="121"/>
      <c r="I798">
        <f>E798*G779</f>
        <v>0</v>
      </c>
      <c r="J798" s="68"/>
      <c r="K798" s="56"/>
      <c r="L798" s="56"/>
      <c r="M798" s="56"/>
      <c r="N798" s="56"/>
      <c r="O798" s="56"/>
    </row>
    <row r="799" spans="1:15">
      <c r="A799" s="536" t="s">
        <v>8</v>
      </c>
      <c r="B799" s="537" t="str">
        <f>VLOOKUP(A799,'Materiales '!$C$2:$F$1302,3,0)</f>
        <v>-</v>
      </c>
      <c r="C799" s="98" t="str">
        <f>VLOOKUP(A799,'Materiales '!$C$2:$F$1302,3,0)</f>
        <v>-</v>
      </c>
      <c r="D799" s="99">
        <f>VLOOKUP(A799,'Materiales '!$C$2:$F$1302,4,0)</f>
        <v>0</v>
      </c>
      <c r="E799" s="100"/>
      <c r="F799" s="538">
        <f t="shared" si="47"/>
        <v>0</v>
      </c>
      <c r="G799" s="539"/>
      <c r="H799" s="121"/>
      <c r="I799">
        <f>E799*G779</f>
        <v>0</v>
      </c>
      <c r="J799" s="68"/>
      <c r="K799" s="56"/>
      <c r="L799" s="56"/>
      <c r="M799" s="56"/>
      <c r="N799" s="56"/>
      <c r="O799" s="56"/>
    </row>
    <row r="800" spans="1:15">
      <c r="A800" s="536" t="s">
        <v>8</v>
      </c>
      <c r="B800" s="537" t="str">
        <f>VLOOKUP(A800,'Materiales '!$C$2:$F$1302,3,0)</f>
        <v>-</v>
      </c>
      <c r="C800" s="98" t="str">
        <f>VLOOKUP(A800,'Materiales '!$C$2:$F$1302,3,0)</f>
        <v>-</v>
      </c>
      <c r="D800" s="99">
        <f>VLOOKUP(A800,'Materiales '!$C$2:$F$1302,4,0)</f>
        <v>0</v>
      </c>
      <c r="E800" s="100"/>
      <c r="F800" s="538">
        <f t="shared" si="47"/>
        <v>0</v>
      </c>
      <c r="G800" s="539"/>
      <c r="H800" s="121"/>
      <c r="I800">
        <f>E800*G779</f>
        <v>0</v>
      </c>
      <c r="J800" s="68"/>
      <c r="K800" s="56"/>
      <c r="L800" s="56"/>
      <c r="M800" s="56"/>
      <c r="N800" s="56"/>
      <c r="O800" s="56"/>
    </row>
    <row r="801" spans="1:15">
      <c r="A801" s="536" t="s">
        <v>8</v>
      </c>
      <c r="B801" s="537" t="str">
        <f>VLOOKUP(A801,'Materiales '!$C$2:$F$1302,3,0)</f>
        <v>-</v>
      </c>
      <c r="C801" s="98" t="str">
        <f>VLOOKUP(A801,'Materiales '!$C$2:$F$1302,3,0)</f>
        <v>-</v>
      </c>
      <c r="D801" s="99">
        <f>VLOOKUP(A801,'Materiales '!$C$2:$F$1302,4,0)</f>
        <v>0</v>
      </c>
      <c r="E801" s="100"/>
      <c r="F801" s="538">
        <f>E801*D801</f>
        <v>0</v>
      </c>
      <c r="G801" s="539"/>
      <c r="H801" s="120"/>
      <c r="I801">
        <f>E801*G779</f>
        <v>0</v>
      </c>
      <c r="J801" s="68"/>
      <c r="K801" s="56"/>
      <c r="L801" s="56"/>
      <c r="M801" s="56"/>
      <c r="N801" s="56"/>
      <c r="O801" s="56"/>
    </row>
    <row r="802" spans="1:15" ht="16.5">
      <c r="A802" s="540" t="s">
        <v>4099</v>
      </c>
      <c r="B802" s="541"/>
      <c r="C802" s="541"/>
      <c r="D802" s="541"/>
      <c r="E802" s="541"/>
      <c r="F802" s="541"/>
      <c r="G802" s="542"/>
      <c r="H802" s="116">
        <f>SUM(F788:F801)</f>
        <v>112959.56</v>
      </c>
      <c r="J802" s="68"/>
      <c r="K802" s="56"/>
      <c r="L802" s="56"/>
      <c r="M802" s="56"/>
      <c r="N802" s="56"/>
      <c r="O802" s="56"/>
    </row>
    <row r="803" spans="1:15" ht="16.5">
      <c r="A803" s="543" t="s">
        <v>4231</v>
      </c>
      <c r="B803" s="544"/>
      <c r="C803" s="544"/>
      <c r="D803" s="544"/>
      <c r="E803" s="545"/>
      <c r="F803" s="544"/>
      <c r="G803" s="544"/>
      <c r="H803" s="546"/>
      <c r="J803" s="68"/>
      <c r="K803" s="56"/>
      <c r="L803" s="56"/>
      <c r="M803" s="56"/>
      <c r="N803" s="56"/>
      <c r="O803" s="56"/>
    </row>
    <row r="804" spans="1:15">
      <c r="A804" s="547" t="s">
        <v>7</v>
      </c>
      <c r="B804" s="548"/>
      <c r="C804" s="108" t="s">
        <v>4232</v>
      </c>
      <c r="D804" s="107" t="s">
        <v>4233</v>
      </c>
      <c r="E804" s="206" t="s">
        <v>4234</v>
      </c>
      <c r="F804" s="549" t="s">
        <v>4218</v>
      </c>
      <c r="G804" s="549"/>
      <c r="H804" s="119"/>
      <c r="K804" s="56"/>
      <c r="L804" s="56"/>
      <c r="M804" s="56"/>
      <c r="N804" s="56"/>
      <c r="O804" s="56"/>
    </row>
    <row r="805" spans="1:15">
      <c r="A805" s="550" t="s">
        <v>3928</v>
      </c>
      <c r="B805" s="551"/>
      <c r="C805" s="232">
        <v>1</v>
      </c>
      <c r="D805" s="102">
        <v>0.03</v>
      </c>
      <c r="E805" s="103">
        <f>VLOOKUP(A805,'Equip, Herr y Transp'!$B$2:$D$218,3,0)</f>
        <v>160000</v>
      </c>
      <c r="F805" s="552">
        <f>E805*D805*C805</f>
        <v>4800</v>
      </c>
      <c r="G805" s="553"/>
      <c r="H805" s="117"/>
      <c r="M805" s="56"/>
    </row>
    <row r="806" spans="1:15" ht="16.5">
      <c r="A806" s="554" t="s">
        <v>4216</v>
      </c>
      <c r="B806" s="555"/>
      <c r="C806" s="555"/>
      <c r="D806" s="555"/>
      <c r="E806" s="555"/>
      <c r="F806" s="555"/>
      <c r="G806" s="555"/>
      <c r="H806" s="105">
        <f>F805</f>
        <v>4800</v>
      </c>
    </row>
    <row r="807" spans="1:15" ht="16.5">
      <c r="A807" s="543" t="s">
        <v>4235</v>
      </c>
      <c r="B807" s="544"/>
      <c r="C807" s="544"/>
      <c r="D807" s="544"/>
      <c r="E807" s="544"/>
      <c r="F807" s="544"/>
      <c r="G807" s="544"/>
      <c r="H807" s="546"/>
    </row>
    <row r="808" spans="1:15">
      <c r="A808" s="547" t="s">
        <v>7</v>
      </c>
      <c r="B808" s="548"/>
      <c r="C808" s="106" t="s">
        <v>1</v>
      </c>
      <c r="D808" s="107" t="s">
        <v>4236</v>
      </c>
      <c r="E808" s="108" t="s">
        <v>4215</v>
      </c>
      <c r="F808" s="547" t="s">
        <v>5</v>
      </c>
      <c r="G808" s="556"/>
      <c r="H808" s="119"/>
    </row>
    <row r="809" spans="1:15">
      <c r="A809" s="550" t="s">
        <v>4196</v>
      </c>
      <c r="B809" s="551"/>
      <c r="C809" s="101">
        <v>1</v>
      </c>
      <c r="D809" s="104">
        <f>VLOOKUP(A809,'Mano Obra'!$B$2:$T$117,19,0)</f>
        <v>166624</v>
      </c>
      <c r="E809" s="246">
        <f>H772</f>
        <v>5.21E-2</v>
      </c>
      <c r="F809" s="538">
        <f>E809*D809*C809</f>
        <v>8681.1103999999996</v>
      </c>
      <c r="G809" s="557"/>
      <c r="H809" s="121"/>
      <c r="I809" s="69"/>
      <c r="J809" s="136">
        <f>((('Mano Obra'!$M$4/30)*F809)/D809)*G779</f>
        <v>0</v>
      </c>
    </row>
    <row r="810" spans="1:15">
      <c r="A810" s="558" t="s">
        <v>4197</v>
      </c>
      <c r="B810" s="559">
        <f>VLOOKUP(A810,'Mano Obra'!$B$3:$D$290,2,0)</f>
        <v>2090000.0000000002</v>
      </c>
      <c r="C810" s="101">
        <v>1</v>
      </c>
      <c r="D810" s="104">
        <f>VLOOKUP(A810,'Mano Obra'!$B$2:$T$117,19,0)</f>
        <v>120456</v>
      </c>
      <c r="E810" s="246">
        <f>H772</f>
        <v>5.21E-2</v>
      </c>
      <c r="F810" s="538">
        <f t="shared" ref="F810:F811" si="48">E810*D810*C810</f>
        <v>6275.7575999999999</v>
      </c>
      <c r="G810" s="557"/>
      <c r="H810" s="121"/>
      <c r="J810" s="136">
        <f>((('Mano Obra'!$M$5/30)*F810)/D810)*G779</f>
        <v>0</v>
      </c>
    </row>
    <row r="811" spans="1:15">
      <c r="A811" s="558" t="s">
        <v>4186</v>
      </c>
      <c r="B811" s="559">
        <f>VLOOKUP(A811,'Mano Obra'!$B$3:$D$290,2,0)</f>
        <v>1100000</v>
      </c>
      <c r="C811" s="101">
        <v>1</v>
      </c>
      <c r="D811" s="104">
        <f>VLOOKUP(A811,'Mano Obra'!$B$2:$T$117,19,0)</f>
        <v>72664</v>
      </c>
      <c r="E811" s="246">
        <f>H772</f>
        <v>5.21E-2</v>
      </c>
      <c r="F811" s="538">
        <f t="shared" si="48"/>
        <v>3785.7944000000002</v>
      </c>
      <c r="G811" s="557"/>
      <c r="H811" s="120"/>
      <c r="J811" s="136">
        <f>((('Mano Obra'!$M$6/30)*F811)/D811)*G779</f>
        <v>0</v>
      </c>
    </row>
    <row r="812" spans="1:15" ht="16.5">
      <c r="A812" s="560" t="s">
        <v>4101</v>
      </c>
      <c r="B812" s="560"/>
      <c r="C812" s="560"/>
      <c r="D812" s="560"/>
      <c r="E812" s="560"/>
      <c r="F812" s="560"/>
      <c r="G812" s="560"/>
      <c r="H812" s="105">
        <f>SUM(F809:F811)</f>
        <v>18742.662399999997</v>
      </c>
      <c r="J812" s="136"/>
    </row>
    <row r="813" spans="1:15">
      <c r="A813" s="227" t="s">
        <v>4237</v>
      </c>
      <c r="B813" s="205"/>
      <c r="C813" s="205"/>
      <c r="D813" s="202"/>
      <c r="E813" s="203"/>
      <c r="F813" s="204"/>
      <c r="G813" s="203"/>
      <c r="H813" s="212"/>
    </row>
    <row r="814" spans="1:15">
      <c r="A814" s="561" t="s">
        <v>4224</v>
      </c>
      <c r="B814" s="562"/>
      <c r="C814" s="562"/>
      <c r="D814" s="562"/>
      <c r="E814" s="200"/>
      <c r="F814" s="201" t="s">
        <v>4238</v>
      </c>
      <c r="G814" s="200" t="s">
        <v>4239</v>
      </c>
      <c r="H814" s="213"/>
    </row>
    <row r="815" spans="1:15">
      <c r="A815" s="223" t="s">
        <v>4097</v>
      </c>
      <c r="B815" s="72"/>
      <c r="C815" s="72"/>
      <c r="D815" s="73"/>
      <c r="E815" s="78"/>
      <c r="F815" s="79">
        <v>0</v>
      </c>
      <c r="G815" s="80">
        <f>F815*H780</f>
        <v>0</v>
      </c>
      <c r="H815" s="212"/>
    </row>
    <row r="816" spans="1:15">
      <c r="A816" s="224" t="s">
        <v>4240</v>
      </c>
      <c r="B816" s="81"/>
      <c r="C816" s="81"/>
      <c r="D816" s="82"/>
      <c r="E816" s="78"/>
      <c r="F816" s="79">
        <v>0</v>
      </c>
      <c r="G816" s="80">
        <f>F816*H780</f>
        <v>0</v>
      </c>
      <c r="H816" s="212"/>
    </row>
    <row r="817" spans="1:14">
      <c r="A817" s="224" t="s">
        <v>4</v>
      </c>
      <c r="B817" s="81"/>
      <c r="C817" s="81"/>
      <c r="D817" s="82"/>
      <c r="E817" s="78"/>
      <c r="F817" s="79">
        <v>0</v>
      </c>
      <c r="G817" s="80">
        <f>F817*H780</f>
        <v>0</v>
      </c>
      <c r="H817" s="212"/>
    </row>
    <row r="818" spans="1:14">
      <c r="A818" s="225"/>
      <c r="B818" s="83"/>
      <c r="C818" s="75"/>
      <c r="D818" s="84"/>
      <c r="E818" s="85"/>
      <c r="F818" s="86"/>
      <c r="G818" s="87"/>
      <c r="H818" s="214"/>
    </row>
    <row r="819" spans="1:14">
      <c r="A819" s="226"/>
      <c r="B819" s="83"/>
      <c r="C819" s="83"/>
      <c r="D819" s="84"/>
      <c r="E819" s="88"/>
      <c r="F819" s="563" t="s">
        <v>4241</v>
      </c>
      <c r="G819" s="564"/>
      <c r="H819" s="233">
        <f>H780+G815+G816+G817</f>
        <v>138879.41514999999</v>
      </c>
    </row>
    <row r="820" spans="1:14">
      <c r="A820" s="83"/>
      <c r="B820" s="83"/>
      <c r="C820" s="83"/>
      <c r="D820" s="84"/>
      <c r="E820" s="388"/>
      <c r="F820" s="389"/>
      <c r="G820" s="389"/>
      <c r="H820" s="390"/>
    </row>
    <row r="822" spans="1:14" ht="16.5">
      <c r="A822" s="90"/>
      <c r="B822" s="90"/>
      <c r="C822" s="90"/>
      <c r="D822" s="90"/>
      <c r="E822" s="90"/>
      <c r="F822" s="90"/>
      <c r="G822" s="90"/>
      <c r="H822" s="381"/>
    </row>
    <row r="823" spans="1:14">
      <c r="A823" s="579" t="s">
        <v>4225</v>
      </c>
      <c r="B823" s="580"/>
      <c r="C823" s="580"/>
      <c r="D823" s="580"/>
      <c r="E823" s="580"/>
      <c r="F823" s="580"/>
      <c r="G823" s="580"/>
      <c r="H823" s="581"/>
    </row>
    <row r="824" spans="1:14" ht="16.5">
      <c r="A824" s="91"/>
      <c r="B824" s="92"/>
      <c r="C824" s="92"/>
      <c r="D824" s="92"/>
      <c r="E824" s="92"/>
      <c r="F824" s="93"/>
      <c r="G824" s="94"/>
      <c r="H824" s="380">
        <f>ROUND((30/60)/8,4)</f>
        <v>6.25E-2</v>
      </c>
      <c r="I824" s="115"/>
    </row>
    <row r="825" spans="1:14">
      <c r="A825" s="582" t="s">
        <v>4220</v>
      </c>
      <c r="B825" s="584" t="str">
        <f>COSTOS!$C$14</f>
        <v>MODERNIZACION A TECNOLOGIA LED</v>
      </c>
      <c r="C825" s="584"/>
      <c r="D825" s="584"/>
      <c r="E825" s="584"/>
      <c r="F825" s="584"/>
      <c r="G825" s="584"/>
      <c r="H825" s="585" t="s">
        <v>4221</v>
      </c>
    </row>
    <row r="826" spans="1:14">
      <c r="A826" s="583"/>
      <c r="B826" s="584"/>
      <c r="C826" s="584"/>
      <c r="D826" s="584"/>
      <c r="E826" s="584"/>
      <c r="F826" s="584"/>
      <c r="G826" s="584"/>
      <c r="H826" s="585"/>
    </row>
    <row r="827" spans="1:14">
      <c r="A827" s="583"/>
      <c r="B827" s="584"/>
      <c r="C827" s="584"/>
      <c r="D827" s="584"/>
      <c r="E827" s="584"/>
      <c r="F827" s="584"/>
      <c r="G827" s="584"/>
      <c r="H827" s="585"/>
    </row>
    <row r="828" spans="1:14" ht="15" customHeight="1">
      <c r="A828" s="583"/>
      <c r="B828" s="584"/>
      <c r="C828" s="584"/>
      <c r="D828" s="584"/>
      <c r="E828" s="584"/>
      <c r="F828" s="584"/>
      <c r="G828" s="584"/>
      <c r="H828" s="216">
        <f ca="1">TODAY()</f>
        <v>44889</v>
      </c>
      <c r="K828" t="s">
        <v>4391</v>
      </c>
      <c r="L828" t="s">
        <v>4392</v>
      </c>
      <c r="M828" t="s">
        <v>4393</v>
      </c>
      <c r="N828" t="s">
        <v>4394</v>
      </c>
    </row>
    <row r="829" spans="1:14" ht="60.75" customHeight="1">
      <c r="A829" s="228" t="s">
        <v>4222</v>
      </c>
      <c r="B829" s="565" t="str">
        <f>COSTOS!$D$16</f>
        <v>Luminarias</v>
      </c>
      <c r="C829" s="565"/>
      <c r="D829" s="565"/>
      <c r="E829" s="565"/>
      <c r="F829" s="565"/>
      <c r="G829" s="70" t="s">
        <v>4223</v>
      </c>
      <c r="H829" s="391">
        <v>1.17</v>
      </c>
      <c r="K829" s="62">
        <f>H854</f>
        <v>503808.23317564372</v>
      </c>
      <c r="L829" s="62">
        <f>H864</f>
        <v>22484</v>
      </c>
      <c r="M829" s="62">
        <f>H837</f>
        <v>4034.53125</v>
      </c>
      <c r="N829" s="62">
        <f>H858</f>
        <v>4800</v>
      </c>
    </row>
    <row r="830" spans="1:14" ht="43.15" customHeight="1">
      <c r="A830" s="229" t="s">
        <v>4224</v>
      </c>
      <c r="B830" s="566" t="str">
        <f>VLOOKUP(H829,COSTOS!C:M,2,0)</f>
        <v>Reflector Metal Halide 100w</v>
      </c>
      <c r="C830" s="567"/>
      <c r="D830" s="567"/>
      <c r="E830" s="568"/>
      <c r="F830" s="71" t="s">
        <v>0</v>
      </c>
      <c r="G830" s="356" t="str">
        <f>VLOOKUP(H829,COSTOS!C:M,8,0)</f>
        <v>Und</v>
      </c>
      <c r="H830" s="276"/>
      <c r="I830" s="306"/>
      <c r="J830" s="308"/>
      <c r="K830" s="308"/>
      <c r="L830" s="308"/>
    </row>
    <row r="831" spans="1:14">
      <c r="A831" s="230"/>
      <c r="B831" s="112"/>
      <c r="C831" s="112"/>
      <c r="D831" s="112"/>
      <c r="E831" s="113"/>
      <c r="F831" s="114" t="s">
        <v>1</v>
      </c>
      <c r="G831" s="356">
        <f>VLOOKUP(H829,COSTOS!C:M,9,0)</f>
        <v>0</v>
      </c>
      <c r="H831" s="357"/>
      <c r="I831" s="307"/>
    </row>
    <row r="832" spans="1:14" ht="16.5">
      <c r="A832" s="231" t="s">
        <v>4226</v>
      </c>
      <c r="B832" s="75"/>
      <c r="C832" s="75"/>
      <c r="D832" s="76"/>
      <c r="E832" s="209"/>
      <c r="F832" s="210"/>
      <c r="G832" s="211" t="s">
        <v>4227</v>
      </c>
      <c r="H832" s="217">
        <f>H837+H854+H858+H864</f>
        <v>535126.76442564372</v>
      </c>
    </row>
    <row r="833" spans="1:15" ht="39">
      <c r="A833" s="569" t="s">
        <v>4224</v>
      </c>
      <c r="B833" s="569"/>
      <c r="C833" s="569"/>
      <c r="D833" s="77" t="s">
        <v>0</v>
      </c>
      <c r="E833" s="207" t="s">
        <v>4228</v>
      </c>
      <c r="F833" s="208" t="s">
        <v>4215</v>
      </c>
      <c r="G833" s="74" t="s">
        <v>2</v>
      </c>
      <c r="H833" s="218" t="s">
        <v>4229</v>
      </c>
      <c r="K833" s="309"/>
    </row>
    <row r="834" spans="1:15">
      <c r="A834" s="536" t="s">
        <v>3946</v>
      </c>
      <c r="B834" s="570" t="str">
        <f>VLOOKUP(A834,'Equip, Herr y Transp'!$B$2:$D$739,2,0)</f>
        <v>EQU</v>
      </c>
      <c r="C834" s="570"/>
      <c r="D834" s="95" t="str">
        <f>VLOOKUP(A834,'Equip, Herr y Transp'!$B$2:$D$218,2,0)</f>
        <v>EQU</v>
      </c>
      <c r="E834" s="95">
        <f>VLOOKUP(A834,'Equip, Herr y Transp'!$B$2:$D$218,3,0)</f>
        <v>14130</v>
      </c>
      <c r="F834" s="96">
        <f>H824</f>
        <v>6.25E-2</v>
      </c>
      <c r="G834" s="122">
        <f>F834*E834</f>
        <v>883.125</v>
      </c>
      <c r="H834" s="118"/>
    </row>
    <row r="835" spans="1:15">
      <c r="A835" s="536" t="s">
        <v>3904</v>
      </c>
      <c r="B835" s="570" t="str">
        <f>VLOOKUP(A835,'Equip, Herr y Transp'!$B$2:$D$739,2,0)</f>
        <v>EQU</v>
      </c>
      <c r="C835" s="570"/>
      <c r="D835" s="95" t="str">
        <f>VLOOKUP(A835,'Equip, Herr y Transp'!$B$2:$D$218,2,0)</f>
        <v>EQU</v>
      </c>
      <c r="E835" s="95">
        <f>VLOOKUP(A835,'Equip, Herr y Transp'!$B$2:$D$218,3,0)</f>
        <v>26672.5</v>
      </c>
      <c r="F835" s="96">
        <f>H824</f>
        <v>6.25E-2</v>
      </c>
      <c r="G835" s="122">
        <f>F835*E835</f>
        <v>1667.03125</v>
      </c>
      <c r="H835" s="117"/>
    </row>
    <row r="836" spans="1:15">
      <c r="A836" s="536" t="s">
        <v>3937</v>
      </c>
      <c r="B836" s="570" t="str">
        <f>VLOOKUP(A836,'Equip, Herr y Transp'!$B$2:$D$739,2,0)</f>
        <v>EQU</v>
      </c>
      <c r="C836" s="570"/>
      <c r="D836" s="95" t="str">
        <f>VLOOKUP(A836,'Equip, Herr y Transp'!$B$2:$D$218,2,0)</f>
        <v>EQU</v>
      </c>
      <c r="E836" s="95">
        <f>VLOOKUP(A836,'Equip, Herr y Transp'!$B$2:$D$218,3,0)</f>
        <v>23750</v>
      </c>
      <c r="F836" s="96">
        <f>H824</f>
        <v>6.25E-2</v>
      </c>
      <c r="G836" s="122">
        <f>F836*E836</f>
        <v>1484.375</v>
      </c>
      <c r="H836" s="117"/>
    </row>
    <row r="837" spans="1:15" ht="16.5">
      <c r="A837" s="540" t="s">
        <v>4100</v>
      </c>
      <c r="B837" s="541"/>
      <c r="C837" s="541"/>
      <c r="D837" s="541"/>
      <c r="E837" s="541"/>
      <c r="F837" s="541"/>
      <c r="G837" s="541"/>
      <c r="H837" s="97">
        <f>SUM(G834:G836)</f>
        <v>4034.53125</v>
      </c>
    </row>
    <row r="838" spans="1:15" ht="16.5">
      <c r="A838" s="571" t="s">
        <v>4230</v>
      </c>
      <c r="B838" s="572"/>
      <c r="C838" s="572"/>
      <c r="D838" s="572"/>
      <c r="E838" s="572"/>
      <c r="F838" s="572"/>
      <c r="G838" s="572"/>
      <c r="H838" s="573"/>
      <c r="K838" s="56"/>
      <c r="L838" s="56"/>
      <c r="M838" s="56"/>
      <c r="N838" s="56"/>
      <c r="O838" s="56"/>
    </row>
    <row r="839" spans="1:15" ht="30" customHeight="1">
      <c r="A839" s="574" t="s">
        <v>7</v>
      </c>
      <c r="B839" s="575"/>
      <c r="C839" s="109" t="s">
        <v>0</v>
      </c>
      <c r="D839" s="110" t="s">
        <v>4098</v>
      </c>
      <c r="E839" s="111" t="s">
        <v>1</v>
      </c>
      <c r="F839" s="576" t="s">
        <v>4218</v>
      </c>
      <c r="G839" s="576"/>
      <c r="H839" s="215"/>
      <c r="K839" s="56"/>
      <c r="L839" s="56"/>
      <c r="M839" s="56"/>
      <c r="N839" s="56"/>
      <c r="O839" s="56"/>
    </row>
    <row r="840" spans="1:15">
      <c r="A840" s="577" t="s">
        <v>4669</v>
      </c>
      <c r="B840" s="578"/>
      <c r="C840" s="98" t="str">
        <f>VLOOKUP(A840,'Materiales '!$C$2:$F$1302,3,0)</f>
        <v>Und</v>
      </c>
      <c r="D840" s="99">
        <f>VLOOKUP(A840,'Materiales '!$C$2:$F$1302,4,0)</f>
        <v>340714.68717564375</v>
      </c>
      <c r="E840" s="100">
        <v>1</v>
      </c>
      <c r="F840" s="538">
        <f>E840*D840</f>
        <v>340714.68717564375</v>
      </c>
      <c r="G840" s="539"/>
      <c r="H840" s="121"/>
      <c r="I840">
        <f>E840*G831</f>
        <v>0</v>
      </c>
      <c r="J840" s="67"/>
      <c r="K840" s="56"/>
      <c r="L840" s="56"/>
      <c r="M840" s="56"/>
      <c r="N840" s="56"/>
      <c r="O840" s="56"/>
    </row>
    <row r="841" spans="1:15">
      <c r="A841" s="577" t="s">
        <v>4214</v>
      </c>
      <c r="B841" s="578"/>
      <c r="C841" s="98" t="str">
        <f>VLOOKUP(A841,'Materiales '!$C$2:$F$1302,3,0)</f>
        <v>Und</v>
      </c>
      <c r="D841" s="99">
        <f>VLOOKUP(A841,'Materiales '!$C$2:$F$1302,4,0)</f>
        <v>22848</v>
      </c>
      <c r="E841" s="100">
        <v>1</v>
      </c>
      <c r="F841" s="538">
        <f t="shared" ref="F841:F847" si="49">E841*D841</f>
        <v>22848</v>
      </c>
      <c r="G841" s="539"/>
      <c r="H841" s="121"/>
      <c r="I841">
        <f>E841*G831</f>
        <v>0</v>
      </c>
      <c r="J841" s="67"/>
      <c r="K841" s="56"/>
      <c r="L841" s="56"/>
      <c r="M841" s="56"/>
      <c r="N841" s="56"/>
      <c r="O841" s="56"/>
    </row>
    <row r="842" spans="1:15">
      <c r="A842" s="536" t="s">
        <v>4484</v>
      </c>
      <c r="B842" s="537" t="str">
        <f>VLOOKUP(A842,'Materiales '!$C$2:$F$1302,3,0)</f>
        <v>Und</v>
      </c>
      <c r="C842" s="98" t="str">
        <f>VLOOKUP(A842,'Materiales '!$C$2:$F$1302,3,0)</f>
        <v>Und</v>
      </c>
      <c r="D842" s="99">
        <f>VLOOKUP(A842,'Materiales '!$C$2:$F$1302,4,0)</f>
        <v>21705.599999999999</v>
      </c>
      <c r="E842" s="100">
        <v>2</v>
      </c>
      <c r="F842" s="538">
        <f t="shared" si="49"/>
        <v>43411.199999999997</v>
      </c>
      <c r="G842" s="539"/>
      <c r="H842" s="121"/>
      <c r="I842">
        <f>E842*G831</f>
        <v>0</v>
      </c>
      <c r="J842" s="68"/>
      <c r="K842" s="56"/>
      <c r="L842" s="56"/>
      <c r="M842" s="56"/>
      <c r="N842" s="56"/>
      <c r="O842" s="56"/>
    </row>
    <row r="843" spans="1:15">
      <c r="A843" s="536" t="s">
        <v>4489</v>
      </c>
      <c r="B843" s="537" t="str">
        <f>VLOOKUP(A843,'Materiales '!$C$2:$F$1302,3,0)</f>
        <v>Und</v>
      </c>
      <c r="C843" s="98" t="str">
        <f>VLOOKUP(A843,'Materiales '!$C$2:$F$1302,3,0)</f>
        <v>Und</v>
      </c>
      <c r="D843" s="99">
        <f>VLOOKUP(A843,'Materiales '!$C$2:$F$1302,4,0)</f>
        <v>8039.6399999999994</v>
      </c>
      <c r="E843" s="100">
        <v>3</v>
      </c>
      <c r="F843" s="538">
        <f t="shared" si="49"/>
        <v>24118.92</v>
      </c>
      <c r="G843" s="539"/>
      <c r="H843" s="121"/>
      <c r="I843">
        <f>E843*G831</f>
        <v>0</v>
      </c>
      <c r="J843" s="68"/>
      <c r="K843" s="56"/>
      <c r="L843" s="56"/>
      <c r="M843" s="56"/>
      <c r="N843" s="56"/>
      <c r="O843" s="56"/>
    </row>
    <row r="844" spans="1:15">
      <c r="A844" s="536" t="s">
        <v>4554</v>
      </c>
      <c r="B844" s="537" t="str">
        <f>VLOOKUP(A844,'Materiales '!$C$2:$F$1302,3,0)</f>
        <v>Und</v>
      </c>
      <c r="C844" s="98" t="str">
        <f>VLOOKUP(A844,'Materiales '!$C$2:$F$1302,3,0)</f>
        <v>Und</v>
      </c>
      <c r="D844" s="99">
        <f>VLOOKUP(A844,'Materiales '!$C$2:$F$1302,4,0)</f>
        <v>2535.5329999999999</v>
      </c>
      <c r="E844" s="100">
        <v>2</v>
      </c>
      <c r="F844" s="538">
        <f t="shared" si="49"/>
        <v>5071.0659999999998</v>
      </c>
      <c r="G844" s="539"/>
      <c r="H844" s="121"/>
      <c r="I844">
        <f>E844*G831</f>
        <v>0</v>
      </c>
      <c r="J844" s="68"/>
      <c r="K844" s="56"/>
      <c r="L844" s="56"/>
      <c r="M844" s="56"/>
      <c r="N844" s="56"/>
      <c r="O844" s="56"/>
    </row>
    <row r="845" spans="1:15">
      <c r="A845" s="536" t="s">
        <v>4450</v>
      </c>
      <c r="B845" s="537" t="str">
        <f>VLOOKUP(A845,'Materiales '!$C$2:$F$1302,3,0)</f>
        <v>Ml</v>
      </c>
      <c r="C845" s="98" t="str">
        <f>VLOOKUP(A845,'Materiales '!$C$2:$F$1302,3,0)</f>
        <v>Ml</v>
      </c>
      <c r="D845" s="99">
        <f>VLOOKUP(A845,'Materiales '!$C$2:$F$1302,4,0)</f>
        <v>6791.5679999999993</v>
      </c>
      <c r="E845" s="100">
        <v>1</v>
      </c>
      <c r="F845" s="538">
        <f t="shared" si="49"/>
        <v>6791.5679999999993</v>
      </c>
      <c r="G845" s="539"/>
      <c r="H845" s="121"/>
      <c r="I845">
        <f>E845*G831</f>
        <v>0</v>
      </c>
      <c r="J845" s="68"/>
      <c r="K845" s="56"/>
      <c r="L845" s="56"/>
      <c r="M845" s="56"/>
      <c r="N845" s="56"/>
      <c r="O845" s="56"/>
    </row>
    <row r="846" spans="1:15">
      <c r="A846" s="536" t="s">
        <v>4493</v>
      </c>
      <c r="B846" s="537" t="str">
        <f>VLOOKUP(A846,'Materiales '!$C$2:$F$1302,3,0)</f>
        <v>Und</v>
      </c>
      <c r="C846" s="98" t="str">
        <f>VLOOKUP(A846,'Materiales '!$C$2:$F$1302,3,0)</f>
        <v>Und</v>
      </c>
      <c r="D846" s="99">
        <f>VLOOKUP(A846,'Materiales '!$C$2:$F$1302,4,0)</f>
        <v>232.76399999999998</v>
      </c>
      <c r="E846" s="100">
        <v>3</v>
      </c>
      <c r="F846" s="538">
        <f t="shared" si="49"/>
        <v>698.29199999999992</v>
      </c>
      <c r="G846" s="539"/>
      <c r="H846" s="121"/>
      <c r="I846">
        <f>E846*G831</f>
        <v>0</v>
      </c>
      <c r="J846" s="68"/>
      <c r="K846" s="56"/>
      <c r="L846" s="56"/>
      <c r="M846" s="56"/>
      <c r="N846" s="56"/>
      <c r="O846" s="56"/>
    </row>
    <row r="847" spans="1:15" ht="21.75" customHeight="1">
      <c r="A847" s="536" t="s">
        <v>4498</v>
      </c>
      <c r="B847" s="537" t="str">
        <f>VLOOKUP(A847,'Materiales '!$C$2:$F$1302,3,0)</f>
        <v>Und</v>
      </c>
      <c r="C847" s="98" t="str">
        <f>VLOOKUP(A847,'Materiales '!$C$2:$F$1302,3,0)</f>
        <v>Und</v>
      </c>
      <c r="D847" s="99">
        <f>VLOOKUP(A847,'Materiales '!$C$2:$F$1302,4,0)</f>
        <v>120309</v>
      </c>
      <c r="E847" s="100">
        <v>0.5</v>
      </c>
      <c r="F847" s="538">
        <f t="shared" si="49"/>
        <v>60154.5</v>
      </c>
      <c r="G847" s="539"/>
      <c r="H847" s="121"/>
      <c r="I847">
        <f>E847*G831</f>
        <v>0</v>
      </c>
      <c r="J847" s="68"/>
      <c r="K847" s="56"/>
      <c r="L847" s="56"/>
      <c r="M847" s="56"/>
      <c r="N847" s="56"/>
      <c r="O847" s="56"/>
    </row>
    <row r="848" spans="1:15">
      <c r="A848" s="536" t="s">
        <v>8</v>
      </c>
      <c r="B848" s="537" t="str">
        <f>VLOOKUP(A848,'Materiales '!$C$2:$F$1302,3,0)</f>
        <v>-</v>
      </c>
      <c r="C848" s="98" t="str">
        <f>VLOOKUP(A848,'Materiales '!$C$2:$F$1302,3,0)</f>
        <v>-</v>
      </c>
      <c r="D848" s="99">
        <f>VLOOKUP(A848,'Materiales '!$C$2:$F$1302,4,0)</f>
        <v>0</v>
      </c>
      <c r="E848" s="100"/>
      <c r="F848" s="538">
        <f>E848*D848</f>
        <v>0</v>
      </c>
      <c r="G848" s="539"/>
      <c r="H848" s="120"/>
      <c r="I848">
        <f>E848*G831</f>
        <v>0</v>
      </c>
      <c r="J848" s="68"/>
      <c r="K848" s="56"/>
      <c r="L848" s="56"/>
      <c r="M848" s="56"/>
      <c r="N848" s="56"/>
      <c r="O848" s="56"/>
    </row>
    <row r="849" spans="1:15">
      <c r="A849" s="536" t="s">
        <v>8</v>
      </c>
      <c r="B849" s="537" t="str">
        <f>VLOOKUP(A849,'Materiales '!$C$2:$F$1302,3,0)</f>
        <v>-</v>
      </c>
      <c r="C849" s="98" t="str">
        <f>VLOOKUP(A849,'Materiales '!$C$2:$F$1302,3,0)</f>
        <v>-</v>
      </c>
      <c r="D849" s="99">
        <f>VLOOKUP(A849,'Materiales '!$C$2:$F$1302,4,0)</f>
        <v>0</v>
      </c>
      <c r="E849" s="100"/>
      <c r="F849" s="538">
        <f t="shared" ref="F849:F852" si="50">E849*D849</f>
        <v>0</v>
      </c>
      <c r="G849" s="539"/>
      <c r="H849" s="121"/>
      <c r="I849">
        <f>E849*G831</f>
        <v>0</v>
      </c>
      <c r="J849" s="68"/>
      <c r="K849" s="56"/>
      <c r="L849" s="56"/>
      <c r="M849" s="56"/>
      <c r="N849" s="56"/>
      <c r="O849" s="56"/>
    </row>
    <row r="850" spans="1:15">
      <c r="A850" s="536" t="s">
        <v>8</v>
      </c>
      <c r="B850" s="537" t="str">
        <f>VLOOKUP(A850,'Materiales '!$C$2:$F$1302,3,0)</f>
        <v>-</v>
      </c>
      <c r="C850" s="98" t="str">
        <f>VLOOKUP(A850,'Materiales '!$C$2:$F$1302,3,0)</f>
        <v>-</v>
      </c>
      <c r="D850" s="99">
        <f>VLOOKUP(A850,'Materiales '!$C$2:$F$1302,4,0)</f>
        <v>0</v>
      </c>
      <c r="E850" s="100"/>
      <c r="F850" s="538">
        <f t="shared" si="50"/>
        <v>0</v>
      </c>
      <c r="G850" s="539"/>
      <c r="H850" s="121"/>
      <c r="I850">
        <f>E850*G831</f>
        <v>0</v>
      </c>
      <c r="J850" s="68"/>
      <c r="K850" s="56"/>
      <c r="L850" s="56"/>
      <c r="M850" s="56"/>
      <c r="N850" s="56"/>
      <c r="O850" s="56"/>
    </row>
    <row r="851" spans="1:15">
      <c r="A851" s="536" t="s">
        <v>8</v>
      </c>
      <c r="B851" s="537" t="str">
        <f>VLOOKUP(A851,'Materiales '!$C$2:$F$1302,3,0)</f>
        <v>-</v>
      </c>
      <c r="C851" s="98" t="str">
        <f>VLOOKUP(A851,'Materiales '!$C$2:$F$1302,3,0)</f>
        <v>-</v>
      </c>
      <c r="D851" s="99">
        <f>VLOOKUP(A851,'Materiales '!$C$2:$F$1302,4,0)</f>
        <v>0</v>
      </c>
      <c r="E851" s="100"/>
      <c r="F851" s="538">
        <f t="shared" si="50"/>
        <v>0</v>
      </c>
      <c r="G851" s="539"/>
      <c r="H851" s="121"/>
      <c r="I851">
        <f>E851*G831</f>
        <v>0</v>
      </c>
      <c r="J851" s="68"/>
      <c r="K851" s="56"/>
      <c r="L851" s="56"/>
      <c r="M851" s="56"/>
      <c r="N851" s="56"/>
      <c r="O851" s="56"/>
    </row>
    <row r="852" spans="1:15">
      <c r="A852" s="536" t="s">
        <v>8</v>
      </c>
      <c r="B852" s="537" t="str">
        <f>VLOOKUP(A852,'Materiales '!$C$2:$F$1302,3,0)</f>
        <v>-</v>
      </c>
      <c r="C852" s="98" t="str">
        <f>VLOOKUP(A852,'Materiales '!$C$2:$F$1302,3,0)</f>
        <v>-</v>
      </c>
      <c r="D852" s="99">
        <f>VLOOKUP(A852,'Materiales '!$C$2:$F$1302,4,0)</f>
        <v>0</v>
      </c>
      <c r="E852" s="100"/>
      <c r="F852" s="538">
        <f t="shared" si="50"/>
        <v>0</v>
      </c>
      <c r="G852" s="539"/>
      <c r="H852" s="121"/>
      <c r="I852">
        <f>E852*G831</f>
        <v>0</v>
      </c>
      <c r="J852" s="68"/>
      <c r="K852" s="56"/>
      <c r="L852" s="56"/>
      <c r="M852" s="56"/>
      <c r="N852" s="56"/>
      <c r="O852" s="56"/>
    </row>
    <row r="853" spans="1:15">
      <c r="A853" s="536" t="s">
        <v>8</v>
      </c>
      <c r="B853" s="537" t="str">
        <f>VLOOKUP(A853,'Materiales '!$C$2:$F$1302,3,0)</f>
        <v>-</v>
      </c>
      <c r="C853" s="98" t="str">
        <f>VLOOKUP(A853,'Materiales '!$C$2:$F$1302,3,0)</f>
        <v>-</v>
      </c>
      <c r="D853" s="99">
        <f>VLOOKUP(A853,'Materiales '!$C$2:$F$1302,4,0)</f>
        <v>0</v>
      </c>
      <c r="E853" s="100"/>
      <c r="F853" s="538">
        <f>E853*D853</f>
        <v>0</v>
      </c>
      <c r="G853" s="539"/>
      <c r="H853" s="120"/>
      <c r="I853">
        <f>E853*G831</f>
        <v>0</v>
      </c>
      <c r="J853" s="68"/>
      <c r="K853" s="56"/>
      <c r="L853" s="56"/>
      <c r="M853" s="56"/>
      <c r="N853" s="56"/>
      <c r="O853" s="56"/>
    </row>
    <row r="854" spans="1:15" ht="16.5">
      <c r="A854" s="540" t="s">
        <v>4099</v>
      </c>
      <c r="B854" s="541"/>
      <c r="C854" s="541"/>
      <c r="D854" s="541"/>
      <c r="E854" s="541"/>
      <c r="F854" s="541"/>
      <c r="G854" s="542"/>
      <c r="H854" s="116">
        <f>SUM(F840:F853)</f>
        <v>503808.23317564372</v>
      </c>
      <c r="J854" s="68"/>
      <c r="K854" s="56"/>
      <c r="L854" s="56"/>
      <c r="M854" s="56"/>
      <c r="N854" s="56"/>
      <c r="O854" s="56"/>
    </row>
    <row r="855" spans="1:15" ht="16.5">
      <c r="A855" s="543" t="s">
        <v>4231</v>
      </c>
      <c r="B855" s="544"/>
      <c r="C855" s="544"/>
      <c r="D855" s="544"/>
      <c r="E855" s="545"/>
      <c r="F855" s="544"/>
      <c r="G855" s="544"/>
      <c r="H855" s="546"/>
      <c r="J855" s="68"/>
      <c r="K855" s="56"/>
      <c r="L855" s="56"/>
      <c r="M855" s="56"/>
      <c r="N855" s="56"/>
      <c r="O855" s="56"/>
    </row>
    <row r="856" spans="1:15">
      <c r="A856" s="547" t="s">
        <v>7</v>
      </c>
      <c r="B856" s="548"/>
      <c r="C856" s="108" t="s">
        <v>4232</v>
      </c>
      <c r="D856" s="107" t="s">
        <v>4233</v>
      </c>
      <c r="E856" s="206" t="s">
        <v>4234</v>
      </c>
      <c r="F856" s="549" t="s">
        <v>4218</v>
      </c>
      <c r="G856" s="549"/>
      <c r="H856" s="119"/>
      <c r="K856" s="56"/>
      <c r="L856" s="56"/>
      <c r="M856" s="56"/>
      <c r="N856" s="56"/>
      <c r="O856" s="56"/>
    </row>
    <row r="857" spans="1:15">
      <c r="A857" s="550" t="s">
        <v>3928</v>
      </c>
      <c r="B857" s="551"/>
      <c r="C857" s="232">
        <v>1</v>
      </c>
      <c r="D857" s="102">
        <v>0.03</v>
      </c>
      <c r="E857" s="103">
        <f>VLOOKUP(A857,'Equip, Herr y Transp'!$B$2:$D$218,3,0)</f>
        <v>160000</v>
      </c>
      <c r="F857" s="552">
        <f>E857*D857*C857</f>
        <v>4800</v>
      </c>
      <c r="G857" s="553"/>
      <c r="H857" s="117"/>
      <c r="M857" s="56"/>
    </row>
    <row r="858" spans="1:15" ht="16.5">
      <c r="A858" s="554" t="s">
        <v>4216</v>
      </c>
      <c r="B858" s="555"/>
      <c r="C858" s="555"/>
      <c r="D858" s="555"/>
      <c r="E858" s="555"/>
      <c r="F858" s="555"/>
      <c r="G858" s="555"/>
      <c r="H858" s="105">
        <f>F857</f>
        <v>4800</v>
      </c>
    </row>
    <row r="859" spans="1:15" ht="16.5">
      <c r="A859" s="543" t="s">
        <v>4235</v>
      </c>
      <c r="B859" s="544"/>
      <c r="C859" s="544"/>
      <c r="D859" s="544"/>
      <c r="E859" s="544"/>
      <c r="F859" s="544"/>
      <c r="G859" s="544"/>
      <c r="H859" s="546"/>
    </row>
    <row r="860" spans="1:15">
      <c r="A860" s="547" t="s">
        <v>7</v>
      </c>
      <c r="B860" s="548"/>
      <c r="C860" s="106" t="s">
        <v>1</v>
      </c>
      <c r="D860" s="107" t="s">
        <v>4236</v>
      </c>
      <c r="E860" s="108" t="s">
        <v>4215</v>
      </c>
      <c r="F860" s="547" t="s">
        <v>5</v>
      </c>
      <c r="G860" s="556"/>
      <c r="H860" s="119"/>
    </row>
    <row r="861" spans="1:15">
      <c r="A861" s="550" t="s">
        <v>4196</v>
      </c>
      <c r="B861" s="551"/>
      <c r="C861" s="101">
        <v>1</v>
      </c>
      <c r="D861" s="104">
        <f>VLOOKUP(A861,'Mano Obra'!$B$2:$T$117,19,0)</f>
        <v>166624</v>
      </c>
      <c r="E861" s="246">
        <f>H824</f>
        <v>6.25E-2</v>
      </c>
      <c r="F861" s="538">
        <f>E861*D861*C861</f>
        <v>10414</v>
      </c>
      <c r="G861" s="557"/>
      <c r="H861" s="121"/>
      <c r="I861" s="69"/>
      <c r="J861" s="136">
        <f>((('Mano Obra'!$M$4/30)*F861)/D861)*G831</f>
        <v>0</v>
      </c>
    </row>
    <row r="862" spans="1:15">
      <c r="A862" s="558" t="s">
        <v>4197</v>
      </c>
      <c r="B862" s="559">
        <f>VLOOKUP(A862,'Mano Obra'!$B$3:$D$290,2,0)</f>
        <v>2090000.0000000002</v>
      </c>
      <c r="C862" s="101">
        <v>1</v>
      </c>
      <c r="D862" s="104">
        <f>VLOOKUP(A862,'Mano Obra'!$B$2:$T$117,19,0)</f>
        <v>120456</v>
      </c>
      <c r="E862" s="246">
        <f>H824</f>
        <v>6.25E-2</v>
      </c>
      <c r="F862" s="538">
        <f t="shared" ref="F862:F863" si="51">E862*D862*C862</f>
        <v>7528.5</v>
      </c>
      <c r="G862" s="557"/>
      <c r="H862" s="121"/>
      <c r="J862" s="136">
        <f>((('Mano Obra'!$M$5/30)*F862)/D862)*G831</f>
        <v>0</v>
      </c>
    </row>
    <row r="863" spans="1:15">
      <c r="A863" s="558" t="s">
        <v>4186</v>
      </c>
      <c r="B863" s="559">
        <f>VLOOKUP(A863,'Mano Obra'!$B$3:$D$290,2,0)</f>
        <v>1100000</v>
      </c>
      <c r="C863" s="101">
        <v>1</v>
      </c>
      <c r="D863" s="104">
        <f>VLOOKUP(A863,'Mano Obra'!$B$2:$T$117,19,0)</f>
        <v>72664</v>
      </c>
      <c r="E863" s="246">
        <f>H824</f>
        <v>6.25E-2</v>
      </c>
      <c r="F863" s="538">
        <f t="shared" si="51"/>
        <v>4541.5</v>
      </c>
      <c r="G863" s="557"/>
      <c r="H863" s="120"/>
      <c r="J863" s="136">
        <f>((('Mano Obra'!$M$6/30)*F863)/D863)*G831</f>
        <v>0</v>
      </c>
    </row>
    <row r="864" spans="1:15" ht="16.5">
      <c r="A864" s="560" t="s">
        <v>4101</v>
      </c>
      <c r="B864" s="560"/>
      <c r="C864" s="560"/>
      <c r="D864" s="560"/>
      <c r="E864" s="560"/>
      <c r="F864" s="560"/>
      <c r="G864" s="560"/>
      <c r="H864" s="105">
        <f>SUM(F861:F863)</f>
        <v>22484</v>
      </c>
      <c r="J864" s="136"/>
    </row>
    <row r="865" spans="1:14">
      <c r="A865" s="227" t="s">
        <v>4237</v>
      </c>
      <c r="B865" s="205"/>
      <c r="C865" s="205"/>
      <c r="D865" s="202"/>
      <c r="E865" s="203"/>
      <c r="F865" s="204"/>
      <c r="G865" s="203"/>
      <c r="H865" s="212"/>
    </row>
    <row r="866" spans="1:14">
      <c r="A866" s="561" t="s">
        <v>4224</v>
      </c>
      <c r="B866" s="562"/>
      <c r="C866" s="562"/>
      <c r="D866" s="562"/>
      <c r="E866" s="200"/>
      <c r="F866" s="201" t="s">
        <v>4238</v>
      </c>
      <c r="G866" s="200" t="s">
        <v>4239</v>
      </c>
      <c r="H866" s="213"/>
    </row>
    <row r="867" spans="1:14">
      <c r="A867" s="223" t="s">
        <v>4097</v>
      </c>
      <c r="B867" s="72"/>
      <c r="C867" s="72"/>
      <c r="D867" s="73"/>
      <c r="E867" s="78"/>
      <c r="F867" s="79">
        <v>0</v>
      </c>
      <c r="G867" s="80">
        <f>F867*H832</f>
        <v>0</v>
      </c>
      <c r="H867" s="212"/>
    </row>
    <row r="868" spans="1:14">
      <c r="A868" s="224" t="s">
        <v>4240</v>
      </c>
      <c r="B868" s="81"/>
      <c r="C868" s="81"/>
      <c r="D868" s="82"/>
      <c r="E868" s="78"/>
      <c r="F868" s="79">
        <v>0</v>
      </c>
      <c r="G868" s="80">
        <f>F868*H832</f>
        <v>0</v>
      </c>
      <c r="H868" s="212"/>
    </row>
    <row r="869" spans="1:14">
      <c r="A869" s="224" t="s">
        <v>4</v>
      </c>
      <c r="B869" s="81"/>
      <c r="C869" s="81"/>
      <c r="D869" s="82"/>
      <c r="E869" s="78"/>
      <c r="F869" s="79">
        <v>0</v>
      </c>
      <c r="G869" s="80">
        <f>F869*H832</f>
        <v>0</v>
      </c>
      <c r="H869" s="212"/>
    </row>
    <row r="870" spans="1:14">
      <c r="A870" s="225"/>
      <c r="B870" s="83"/>
      <c r="C870" s="75"/>
      <c r="D870" s="84"/>
      <c r="E870" s="85"/>
      <c r="F870" s="86"/>
      <c r="G870" s="87"/>
      <c r="H870" s="214"/>
    </row>
    <row r="871" spans="1:14">
      <c r="A871" s="226"/>
      <c r="B871" s="83"/>
      <c r="C871" s="83"/>
      <c r="D871" s="84"/>
      <c r="E871" s="88"/>
      <c r="F871" s="563" t="s">
        <v>4241</v>
      </c>
      <c r="G871" s="564"/>
      <c r="H871" s="233">
        <f>H832+G867+G868+G869</f>
        <v>535126.76442564372</v>
      </c>
    </row>
    <row r="872" spans="1:14">
      <c r="A872" s="83"/>
      <c r="B872" s="83"/>
      <c r="C872" s="83"/>
      <c r="D872" s="84"/>
      <c r="E872" s="388"/>
      <c r="F872" s="389"/>
      <c r="G872" s="389"/>
      <c r="H872" s="390"/>
    </row>
    <row r="873" spans="1:14" ht="16.5">
      <c r="A873" s="90"/>
      <c r="B873" s="90"/>
      <c r="C873" s="90"/>
      <c r="D873" s="90"/>
      <c r="E873" s="90"/>
      <c r="F873" s="90"/>
      <c r="G873" s="90"/>
      <c r="H873" s="381"/>
    </row>
    <row r="874" spans="1:14">
      <c r="A874" s="579" t="s">
        <v>4225</v>
      </c>
      <c r="B874" s="580"/>
      <c r="C874" s="580"/>
      <c r="D874" s="580"/>
      <c r="E874" s="580"/>
      <c r="F874" s="580"/>
      <c r="G874" s="580"/>
      <c r="H874" s="581"/>
    </row>
    <row r="875" spans="1:14" ht="16.5">
      <c r="A875" s="91"/>
      <c r="B875" s="92"/>
      <c r="C875" s="92"/>
      <c r="D875" s="92"/>
      <c r="E875" s="92"/>
      <c r="F875" s="93"/>
      <c r="G875" s="94"/>
      <c r="H875" s="380">
        <f>ROUND((30/60)/8,4)</f>
        <v>6.25E-2</v>
      </c>
      <c r="I875" s="115"/>
    </row>
    <row r="876" spans="1:14">
      <c r="A876" s="582" t="s">
        <v>4220</v>
      </c>
      <c r="B876" s="584" t="str">
        <f>COSTOS!$C$14</f>
        <v>MODERNIZACION A TECNOLOGIA LED</v>
      </c>
      <c r="C876" s="584"/>
      <c r="D876" s="584"/>
      <c r="E876" s="584"/>
      <c r="F876" s="584"/>
      <c r="G876" s="584"/>
      <c r="H876" s="585" t="s">
        <v>4221</v>
      </c>
    </row>
    <row r="877" spans="1:14">
      <c r="A877" s="583"/>
      <c r="B877" s="584"/>
      <c r="C877" s="584"/>
      <c r="D877" s="584"/>
      <c r="E877" s="584"/>
      <c r="F877" s="584"/>
      <c r="G877" s="584"/>
      <c r="H877" s="585"/>
    </row>
    <row r="878" spans="1:14">
      <c r="A878" s="583"/>
      <c r="B878" s="584"/>
      <c r="C878" s="584"/>
      <c r="D878" s="584"/>
      <c r="E878" s="584"/>
      <c r="F878" s="584"/>
      <c r="G878" s="584"/>
      <c r="H878" s="585"/>
    </row>
    <row r="879" spans="1:14" ht="15" customHeight="1">
      <c r="A879" s="583"/>
      <c r="B879" s="584"/>
      <c r="C879" s="584"/>
      <c r="D879" s="584"/>
      <c r="E879" s="584"/>
      <c r="F879" s="584"/>
      <c r="G879" s="584"/>
      <c r="H879" s="216">
        <f ca="1">TODAY()</f>
        <v>44889</v>
      </c>
      <c r="K879" t="s">
        <v>4391</v>
      </c>
      <c r="L879" t="s">
        <v>4392</v>
      </c>
      <c r="M879" t="s">
        <v>4393</v>
      </c>
      <c r="N879" t="s">
        <v>4394</v>
      </c>
    </row>
    <row r="880" spans="1:14" ht="60.75" customHeight="1">
      <c r="A880" s="228" t="s">
        <v>4222</v>
      </c>
      <c r="B880" s="565" t="str">
        <f>COSTOS!$D$16</f>
        <v>Luminarias</v>
      </c>
      <c r="C880" s="565"/>
      <c r="D880" s="565"/>
      <c r="E880" s="565"/>
      <c r="F880" s="565"/>
      <c r="G880" s="70" t="s">
        <v>4223</v>
      </c>
      <c r="H880" s="391">
        <v>1.18</v>
      </c>
      <c r="K880" s="62">
        <f>H905</f>
        <v>592611.52930121042</v>
      </c>
      <c r="L880" s="62">
        <f>H915</f>
        <v>22484</v>
      </c>
      <c r="M880" s="62">
        <f>H888</f>
        <v>4034.53125</v>
      </c>
      <c r="N880" s="62">
        <f>H909</f>
        <v>4800</v>
      </c>
    </row>
    <row r="881" spans="1:15" ht="43.15" customHeight="1">
      <c r="A881" s="229" t="s">
        <v>4224</v>
      </c>
      <c r="B881" s="566" t="str">
        <f>VLOOKUP(H880,COSTOS!C:M,2,0)</f>
        <v>Reflector Metal Halide 150w</v>
      </c>
      <c r="C881" s="567"/>
      <c r="D881" s="567"/>
      <c r="E881" s="568"/>
      <c r="F881" s="71" t="s">
        <v>0</v>
      </c>
      <c r="G881" s="356" t="str">
        <f>VLOOKUP(H880,COSTOS!C:M,8,0)</f>
        <v>Und</v>
      </c>
      <c r="H881" s="276"/>
      <c r="I881" s="306"/>
      <c r="J881" s="308"/>
      <c r="K881" s="308"/>
      <c r="L881" s="308"/>
    </row>
    <row r="882" spans="1:15">
      <c r="A882" s="230"/>
      <c r="B882" s="112"/>
      <c r="C882" s="112"/>
      <c r="D882" s="112"/>
      <c r="E882" s="113"/>
      <c r="F882" s="114" t="s">
        <v>1</v>
      </c>
      <c r="G882" s="356">
        <f>VLOOKUP(H880,COSTOS!C:M,9,0)</f>
        <v>0</v>
      </c>
      <c r="H882" s="357"/>
      <c r="I882" s="307"/>
    </row>
    <row r="883" spans="1:15" ht="16.5">
      <c r="A883" s="231" t="s">
        <v>4226</v>
      </c>
      <c r="B883" s="75"/>
      <c r="C883" s="75"/>
      <c r="D883" s="76"/>
      <c r="E883" s="209"/>
      <c r="F883" s="210"/>
      <c r="G883" s="211" t="s">
        <v>4227</v>
      </c>
      <c r="H883" s="217">
        <f>H888+H905+H909+H915</f>
        <v>623930.06055121042</v>
      </c>
    </row>
    <row r="884" spans="1:15" ht="39">
      <c r="A884" s="569" t="s">
        <v>4224</v>
      </c>
      <c r="B884" s="569"/>
      <c r="C884" s="569"/>
      <c r="D884" s="77" t="s">
        <v>0</v>
      </c>
      <c r="E884" s="207" t="s">
        <v>4228</v>
      </c>
      <c r="F884" s="208" t="s">
        <v>4215</v>
      </c>
      <c r="G884" s="74" t="s">
        <v>2</v>
      </c>
      <c r="H884" s="218" t="s">
        <v>4229</v>
      </c>
      <c r="K884" s="309"/>
    </row>
    <row r="885" spans="1:15">
      <c r="A885" s="536" t="s">
        <v>3946</v>
      </c>
      <c r="B885" s="570" t="str">
        <f>VLOOKUP(A885,'Equip, Herr y Transp'!$B$2:$D$739,2,0)</f>
        <v>EQU</v>
      </c>
      <c r="C885" s="570"/>
      <c r="D885" s="95" t="str">
        <f>VLOOKUP(A885,'Equip, Herr y Transp'!$B$2:$D$218,2,0)</f>
        <v>EQU</v>
      </c>
      <c r="E885" s="95">
        <f>VLOOKUP(A885,'Equip, Herr y Transp'!$B$2:$D$218,3,0)</f>
        <v>14130</v>
      </c>
      <c r="F885" s="96">
        <f>H875</f>
        <v>6.25E-2</v>
      </c>
      <c r="G885" s="122">
        <f>F885*E885</f>
        <v>883.125</v>
      </c>
      <c r="H885" s="118"/>
    </row>
    <row r="886" spans="1:15">
      <c r="A886" s="536" t="s">
        <v>3904</v>
      </c>
      <c r="B886" s="570" t="str">
        <f>VLOOKUP(A886,'Equip, Herr y Transp'!$B$2:$D$739,2,0)</f>
        <v>EQU</v>
      </c>
      <c r="C886" s="570"/>
      <c r="D886" s="95" t="str">
        <f>VLOOKUP(A886,'Equip, Herr y Transp'!$B$2:$D$218,2,0)</f>
        <v>EQU</v>
      </c>
      <c r="E886" s="95">
        <f>VLOOKUP(A886,'Equip, Herr y Transp'!$B$2:$D$218,3,0)</f>
        <v>26672.5</v>
      </c>
      <c r="F886" s="96">
        <f>H875</f>
        <v>6.25E-2</v>
      </c>
      <c r="G886" s="122">
        <f>F886*E886</f>
        <v>1667.03125</v>
      </c>
      <c r="H886" s="117"/>
    </row>
    <row r="887" spans="1:15">
      <c r="A887" s="536" t="s">
        <v>3937</v>
      </c>
      <c r="B887" s="570" t="str">
        <f>VLOOKUP(A887,'Equip, Herr y Transp'!$B$2:$D$739,2,0)</f>
        <v>EQU</v>
      </c>
      <c r="C887" s="570"/>
      <c r="D887" s="95" t="str">
        <f>VLOOKUP(A887,'Equip, Herr y Transp'!$B$2:$D$218,2,0)</f>
        <v>EQU</v>
      </c>
      <c r="E887" s="95">
        <f>VLOOKUP(A887,'Equip, Herr y Transp'!$B$2:$D$218,3,0)</f>
        <v>23750</v>
      </c>
      <c r="F887" s="96">
        <f>H875</f>
        <v>6.25E-2</v>
      </c>
      <c r="G887" s="122">
        <f>F887*E887</f>
        <v>1484.375</v>
      </c>
      <c r="H887" s="117"/>
    </row>
    <row r="888" spans="1:15" ht="16.5">
      <c r="A888" s="540" t="s">
        <v>4100</v>
      </c>
      <c r="B888" s="541"/>
      <c r="C888" s="541"/>
      <c r="D888" s="541"/>
      <c r="E888" s="541"/>
      <c r="F888" s="541"/>
      <c r="G888" s="541"/>
      <c r="H888" s="97">
        <f>SUM(G885:G887)</f>
        <v>4034.53125</v>
      </c>
    </row>
    <row r="889" spans="1:15" ht="16.5">
      <c r="A889" s="571" t="s">
        <v>4230</v>
      </c>
      <c r="B889" s="572"/>
      <c r="C889" s="572"/>
      <c r="D889" s="572"/>
      <c r="E889" s="572"/>
      <c r="F889" s="572"/>
      <c r="G889" s="572"/>
      <c r="H889" s="573"/>
      <c r="K889" s="56"/>
      <c r="L889" s="56"/>
      <c r="M889" s="56"/>
      <c r="N889" s="56"/>
      <c r="O889" s="56"/>
    </row>
    <row r="890" spans="1:15" ht="30" customHeight="1">
      <c r="A890" s="574" t="s">
        <v>7</v>
      </c>
      <c r="B890" s="575"/>
      <c r="C890" s="109" t="s">
        <v>0</v>
      </c>
      <c r="D890" s="110" t="s">
        <v>4098</v>
      </c>
      <c r="E890" s="111" t="s">
        <v>1</v>
      </c>
      <c r="F890" s="576" t="s">
        <v>4218</v>
      </c>
      <c r="G890" s="576"/>
      <c r="H890" s="215"/>
      <c r="K890" s="56"/>
      <c r="L890" s="56"/>
      <c r="M890" s="56"/>
      <c r="N890" s="56"/>
      <c r="O890" s="56"/>
    </row>
    <row r="891" spans="1:15">
      <c r="A891" s="577" t="s">
        <v>4670</v>
      </c>
      <c r="B891" s="578"/>
      <c r="C891" s="98" t="str">
        <f>VLOOKUP(A891,'Materiales '!$C$2:$F$1302,3,0)</f>
        <v>Und</v>
      </c>
      <c r="D891" s="99">
        <f>VLOOKUP(A891,'Materiales '!$C$2:$F$1302,4,0)</f>
        <v>429517.98330121045</v>
      </c>
      <c r="E891" s="100">
        <v>1</v>
      </c>
      <c r="F891" s="538">
        <f>E891*D891</f>
        <v>429517.98330121045</v>
      </c>
      <c r="G891" s="539"/>
      <c r="H891" s="121"/>
      <c r="I891">
        <f>E891*G882</f>
        <v>0</v>
      </c>
      <c r="J891" s="67"/>
      <c r="K891" s="56"/>
      <c r="L891" s="56"/>
      <c r="M891" s="56"/>
      <c r="N891" s="56"/>
      <c r="O891" s="56"/>
    </row>
    <row r="892" spans="1:15">
      <c r="A892" s="577" t="s">
        <v>4214</v>
      </c>
      <c r="B892" s="578"/>
      <c r="C892" s="98" t="str">
        <f>VLOOKUP(A892,'Materiales '!$C$2:$F$1302,3,0)</f>
        <v>Und</v>
      </c>
      <c r="D892" s="99">
        <f>VLOOKUP(A892,'Materiales '!$C$2:$F$1302,4,0)</f>
        <v>22848</v>
      </c>
      <c r="E892" s="100">
        <v>1</v>
      </c>
      <c r="F892" s="538">
        <f t="shared" ref="F892:F898" si="52">E892*D892</f>
        <v>22848</v>
      </c>
      <c r="G892" s="539"/>
      <c r="H892" s="121"/>
      <c r="I892">
        <f>E892*G882</f>
        <v>0</v>
      </c>
      <c r="J892" s="67"/>
      <c r="K892" s="56"/>
      <c r="L892" s="56"/>
      <c r="M892" s="56"/>
      <c r="N892" s="56"/>
      <c r="O892" s="56"/>
    </row>
    <row r="893" spans="1:15">
      <c r="A893" s="536" t="s">
        <v>4484</v>
      </c>
      <c r="B893" s="537" t="str">
        <f>VLOOKUP(A893,'Materiales '!$C$2:$F$1302,3,0)</f>
        <v>Und</v>
      </c>
      <c r="C893" s="98" t="str">
        <f>VLOOKUP(A893,'Materiales '!$C$2:$F$1302,3,0)</f>
        <v>Und</v>
      </c>
      <c r="D893" s="99">
        <f>VLOOKUP(A893,'Materiales '!$C$2:$F$1302,4,0)</f>
        <v>21705.599999999999</v>
      </c>
      <c r="E893" s="100">
        <v>2</v>
      </c>
      <c r="F893" s="538">
        <f t="shared" si="52"/>
        <v>43411.199999999997</v>
      </c>
      <c r="G893" s="539"/>
      <c r="H893" s="121"/>
      <c r="I893">
        <f>E893*G882</f>
        <v>0</v>
      </c>
      <c r="J893" s="68"/>
      <c r="K893" s="56"/>
      <c r="L893" s="56"/>
      <c r="M893" s="56"/>
      <c r="N893" s="56"/>
      <c r="O893" s="56"/>
    </row>
    <row r="894" spans="1:15">
      <c r="A894" s="536" t="s">
        <v>4489</v>
      </c>
      <c r="B894" s="537" t="str">
        <f>VLOOKUP(A894,'Materiales '!$C$2:$F$1302,3,0)</f>
        <v>Und</v>
      </c>
      <c r="C894" s="98" t="str">
        <f>VLOOKUP(A894,'Materiales '!$C$2:$F$1302,3,0)</f>
        <v>Und</v>
      </c>
      <c r="D894" s="99">
        <f>VLOOKUP(A894,'Materiales '!$C$2:$F$1302,4,0)</f>
        <v>8039.6399999999994</v>
      </c>
      <c r="E894" s="100">
        <v>3</v>
      </c>
      <c r="F894" s="538">
        <f t="shared" si="52"/>
        <v>24118.92</v>
      </c>
      <c r="G894" s="539"/>
      <c r="H894" s="121"/>
      <c r="I894">
        <f>E894*G882</f>
        <v>0</v>
      </c>
      <c r="J894" s="68"/>
      <c r="K894" s="56"/>
      <c r="L894" s="56"/>
      <c r="M894" s="56"/>
      <c r="N894" s="56"/>
      <c r="O894" s="56"/>
    </row>
    <row r="895" spans="1:15">
      <c r="A895" s="536" t="s">
        <v>4554</v>
      </c>
      <c r="B895" s="537" t="str">
        <f>VLOOKUP(A895,'Materiales '!$C$2:$F$1302,3,0)</f>
        <v>Und</v>
      </c>
      <c r="C895" s="98" t="str">
        <f>VLOOKUP(A895,'Materiales '!$C$2:$F$1302,3,0)</f>
        <v>Und</v>
      </c>
      <c r="D895" s="99">
        <f>VLOOKUP(A895,'Materiales '!$C$2:$F$1302,4,0)</f>
        <v>2535.5329999999999</v>
      </c>
      <c r="E895" s="100">
        <v>2</v>
      </c>
      <c r="F895" s="538">
        <f t="shared" si="52"/>
        <v>5071.0659999999998</v>
      </c>
      <c r="G895" s="539"/>
      <c r="H895" s="121"/>
      <c r="I895">
        <f>E895*G882</f>
        <v>0</v>
      </c>
      <c r="J895" s="68"/>
      <c r="K895" s="56"/>
      <c r="L895" s="56"/>
      <c r="M895" s="56"/>
      <c r="N895" s="56"/>
      <c r="O895" s="56"/>
    </row>
    <row r="896" spans="1:15">
      <c r="A896" s="536" t="s">
        <v>4450</v>
      </c>
      <c r="B896" s="537" t="str">
        <f>VLOOKUP(A896,'Materiales '!$C$2:$F$1302,3,0)</f>
        <v>Ml</v>
      </c>
      <c r="C896" s="98" t="str">
        <f>VLOOKUP(A896,'Materiales '!$C$2:$F$1302,3,0)</f>
        <v>Ml</v>
      </c>
      <c r="D896" s="99">
        <f>VLOOKUP(A896,'Materiales '!$C$2:$F$1302,4,0)</f>
        <v>6791.5679999999993</v>
      </c>
      <c r="E896" s="100">
        <v>1</v>
      </c>
      <c r="F896" s="538">
        <f t="shared" si="52"/>
        <v>6791.5679999999993</v>
      </c>
      <c r="G896" s="539"/>
      <c r="H896" s="121"/>
      <c r="I896">
        <f>E896*G882</f>
        <v>0</v>
      </c>
      <c r="J896" s="68"/>
      <c r="K896" s="56"/>
      <c r="L896" s="56"/>
      <c r="M896" s="56"/>
      <c r="N896" s="56"/>
      <c r="O896" s="56"/>
    </row>
    <row r="897" spans="1:15">
      <c r="A897" s="536" t="s">
        <v>4493</v>
      </c>
      <c r="B897" s="537" t="str">
        <f>VLOOKUP(A897,'Materiales '!$C$2:$F$1302,3,0)</f>
        <v>Und</v>
      </c>
      <c r="C897" s="98" t="str">
        <f>VLOOKUP(A897,'Materiales '!$C$2:$F$1302,3,0)</f>
        <v>Und</v>
      </c>
      <c r="D897" s="99">
        <f>VLOOKUP(A897,'Materiales '!$C$2:$F$1302,4,0)</f>
        <v>232.76399999999998</v>
      </c>
      <c r="E897" s="100">
        <v>3</v>
      </c>
      <c r="F897" s="538">
        <f t="shared" si="52"/>
        <v>698.29199999999992</v>
      </c>
      <c r="G897" s="539"/>
      <c r="H897" s="121"/>
      <c r="I897">
        <f>E897*G882</f>
        <v>0</v>
      </c>
      <c r="J897" s="68"/>
      <c r="K897" s="56"/>
      <c r="L897" s="56"/>
      <c r="M897" s="56"/>
      <c r="N897" s="56"/>
      <c r="O897" s="56"/>
    </row>
    <row r="898" spans="1:15" ht="21.75" customHeight="1">
      <c r="A898" s="536" t="s">
        <v>4498</v>
      </c>
      <c r="B898" s="537" t="str">
        <f>VLOOKUP(A898,'Materiales '!$C$2:$F$1302,3,0)</f>
        <v>Und</v>
      </c>
      <c r="C898" s="98" t="str">
        <f>VLOOKUP(A898,'Materiales '!$C$2:$F$1302,3,0)</f>
        <v>Und</v>
      </c>
      <c r="D898" s="99">
        <f>VLOOKUP(A898,'Materiales '!$C$2:$F$1302,4,0)</f>
        <v>120309</v>
      </c>
      <c r="E898" s="100">
        <v>0.5</v>
      </c>
      <c r="F898" s="538">
        <f t="shared" si="52"/>
        <v>60154.5</v>
      </c>
      <c r="G898" s="539"/>
      <c r="H898" s="121"/>
      <c r="I898">
        <f>E898*G882</f>
        <v>0</v>
      </c>
      <c r="J898" s="68"/>
      <c r="K898" s="56"/>
      <c r="L898" s="56"/>
      <c r="M898" s="56"/>
      <c r="N898" s="56"/>
      <c r="O898" s="56"/>
    </row>
    <row r="899" spans="1:15">
      <c r="A899" s="536" t="s">
        <v>8</v>
      </c>
      <c r="B899" s="537" t="str">
        <f>VLOOKUP(A899,'Materiales '!$C$2:$F$1302,3,0)</f>
        <v>-</v>
      </c>
      <c r="C899" s="98" t="str">
        <f>VLOOKUP(A899,'Materiales '!$C$2:$F$1302,3,0)</f>
        <v>-</v>
      </c>
      <c r="D899" s="99">
        <f>VLOOKUP(A899,'Materiales '!$C$2:$F$1302,4,0)</f>
        <v>0</v>
      </c>
      <c r="E899" s="100"/>
      <c r="F899" s="538">
        <f>E899*D899</f>
        <v>0</v>
      </c>
      <c r="G899" s="539"/>
      <c r="H899" s="120"/>
      <c r="I899">
        <f>E899*G882</f>
        <v>0</v>
      </c>
      <c r="J899" s="68"/>
      <c r="K899" s="56"/>
      <c r="L899" s="56"/>
      <c r="M899" s="56"/>
      <c r="N899" s="56"/>
      <c r="O899" s="56"/>
    </row>
    <row r="900" spans="1:15">
      <c r="A900" s="536" t="s">
        <v>8</v>
      </c>
      <c r="B900" s="537" t="str">
        <f>VLOOKUP(A900,'Materiales '!$C$2:$F$1302,3,0)</f>
        <v>-</v>
      </c>
      <c r="C900" s="98" t="str">
        <f>VLOOKUP(A900,'Materiales '!$C$2:$F$1302,3,0)</f>
        <v>-</v>
      </c>
      <c r="D900" s="99">
        <f>VLOOKUP(A900,'Materiales '!$C$2:$F$1302,4,0)</f>
        <v>0</v>
      </c>
      <c r="E900" s="100"/>
      <c r="F900" s="538">
        <f t="shared" ref="F900:F903" si="53">E900*D900</f>
        <v>0</v>
      </c>
      <c r="G900" s="539"/>
      <c r="H900" s="121"/>
      <c r="I900">
        <f>E900*G882</f>
        <v>0</v>
      </c>
      <c r="J900" s="68"/>
      <c r="K900" s="56"/>
      <c r="L900" s="56"/>
      <c r="M900" s="56"/>
      <c r="N900" s="56"/>
      <c r="O900" s="56"/>
    </row>
    <row r="901" spans="1:15">
      <c r="A901" s="536" t="s">
        <v>8</v>
      </c>
      <c r="B901" s="537" t="str">
        <f>VLOOKUP(A901,'Materiales '!$C$2:$F$1302,3,0)</f>
        <v>-</v>
      </c>
      <c r="C901" s="98" t="str">
        <f>VLOOKUP(A901,'Materiales '!$C$2:$F$1302,3,0)</f>
        <v>-</v>
      </c>
      <c r="D901" s="99">
        <f>VLOOKUP(A901,'Materiales '!$C$2:$F$1302,4,0)</f>
        <v>0</v>
      </c>
      <c r="E901" s="100"/>
      <c r="F901" s="538">
        <f t="shared" si="53"/>
        <v>0</v>
      </c>
      <c r="G901" s="539"/>
      <c r="H901" s="121"/>
      <c r="I901">
        <f>E901*G882</f>
        <v>0</v>
      </c>
      <c r="J901" s="68"/>
      <c r="K901" s="56"/>
      <c r="L901" s="56"/>
      <c r="M901" s="56"/>
      <c r="N901" s="56"/>
      <c r="O901" s="56"/>
    </row>
    <row r="902" spans="1:15">
      <c r="A902" s="536" t="s">
        <v>8</v>
      </c>
      <c r="B902" s="537" t="str">
        <f>VLOOKUP(A902,'Materiales '!$C$2:$F$1302,3,0)</f>
        <v>-</v>
      </c>
      <c r="C902" s="98" t="str">
        <f>VLOOKUP(A902,'Materiales '!$C$2:$F$1302,3,0)</f>
        <v>-</v>
      </c>
      <c r="D902" s="99">
        <f>VLOOKUP(A902,'Materiales '!$C$2:$F$1302,4,0)</f>
        <v>0</v>
      </c>
      <c r="E902" s="100"/>
      <c r="F902" s="538">
        <f t="shared" si="53"/>
        <v>0</v>
      </c>
      <c r="G902" s="539"/>
      <c r="H902" s="121"/>
      <c r="I902">
        <f>E902*G882</f>
        <v>0</v>
      </c>
      <c r="J902" s="68"/>
      <c r="K902" s="56"/>
      <c r="L902" s="56"/>
      <c r="M902" s="56"/>
      <c r="N902" s="56"/>
      <c r="O902" s="56"/>
    </row>
    <row r="903" spans="1:15">
      <c r="A903" s="536" t="s">
        <v>8</v>
      </c>
      <c r="B903" s="537" t="str">
        <f>VLOOKUP(A903,'Materiales '!$C$2:$F$1302,3,0)</f>
        <v>-</v>
      </c>
      <c r="C903" s="98" t="str">
        <f>VLOOKUP(A903,'Materiales '!$C$2:$F$1302,3,0)</f>
        <v>-</v>
      </c>
      <c r="D903" s="99">
        <f>VLOOKUP(A903,'Materiales '!$C$2:$F$1302,4,0)</f>
        <v>0</v>
      </c>
      <c r="E903" s="100"/>
      <c r="F903" s="538">
        <f t="shared" si="53"/>
        <v>0</v>
      </c>
      <c r="G903" s="539"/>
      <c r="H903" s="121"/>
      <c r="I903">
        <f>E903*G882</f>
        <v>0</v>
      </c>
      <c r="J903" s="68"/>
      <c r="K903" s="56"/>
      <c r="L903" s="56"/>
      <c r="M903" s="56"/>
      <c r="N903" s="56"/>
      <c r="O903" s="56"/>
    </row>
    <row r="904" spans="1:15">
      <c r="A904" s="536" t="s">
        <v>8</v>
      </c>
      <c r="B904" s="537" t="str">
        <f>VLOOKUP(A904,'Materiales '!$C$2:$F$1302,3,0)</f>
        <v>-</v>
      </c>
      <c r="C904" s="98" t="str">
        <f>VLOOKUP(A904,'Materiales '!$C$2:$F$1302,3,0)</f>
        <v>-</v>
      </c>
      <c r="D904" s="99">
        <f>VLOOKUP(A904,'Materiales '!$C$2:$F$1302,4,0)</f>
        <v>0</v>
      </c>
      <c r="E904" s="100"/>
      <c r="F904" s="538">
        <f>E904*D904</f>
        <v>0</v>
      </c>
      <c r="G904" s="539"/>
      <c r="H904" s="120"/>
      <c r="I904">
        <f>E904*G882</f>
        <v>0</v>
      </c>
      <c r="J904" s="68"/>
      <c r="K904" s="56"/>
      <c r="L904" s="56"/>
      <c r="M904" s="56"/>
      <c r="N904" s="56"/>
      <c r="O904" s="56"/>
    </row>
    <row r="905" spans="1:15" ht="16.5">
      <c r="A905" s="540" t="s">
        <v>4099</v>
      </c>
      <c r="B905" s="541"/>
      <c r="C905" s="541"/>
      <c r="D905" s="541"/>
      <c r="E905" s="541"/>
      <c r="F905" s="541"/>
      <c r="G905" s="542"/>
      <c r="H905" s="116">
        <f>SUM(F891:F904)</f>
        <v>592611.52930121042</v>
      </c>
      <c r="J905" s="68"/>
      <c r="K905" s="56"/>
      <c r="L905" s="56"/>
      <c r="M905" s="56"/>
      <c r="N905" s="56"/>
      <c r="O905" s="56"/>
    </row>
    <row r="906" spans="1:15" ht="16.5">
      <c r="A906" s="543" t="s">
        <v>4231</v>
      </c>
      <c r="B906" s="544"/>
      <c r="C906" s="544"/>
      <c r="D906" s="544"/>
      <c r="E906" s="545"/>
      <c r="F906" s="544"/>
      <c r="G906" s="544"/>
      <c r="H906" s="546"/>
      <c r="J906" s="68"/>
      <c r="K906" s="56"/>
      <c r="L906" s="56"/>
      <c r="M906" s="56"/>
      <c r="N906" s="56"/>
      <c r="O906" s="56"/>
    </row>
    <row r="907" spans="1:15">
      <c r="A907" s="547" t="s">
        <v>7</v>
      </c>
      <c r="B907" s="548"/>
      <c r="C907" s="108" t="s">
        <v>4232</v>
      </c>
      <c r="D907" s="107" t="s">
        <v>4233</v>
      </c>
      <c r="E907" s="206" t="s">
        <v>4234</v>
      </c>
      <c r="F907" s="549" t="s">
        <v>4218</v>
      </c>
      <c r="G907" s="549"/>
      <c r="H907" s="119"/>
      <c r="K907" s="56"/>
      <c r="L907" s="56"/>
      <c r="M907" s="56"/>
      <c r="N907" s="56"/>
      <c r="O907" s="56"/>
    </row>
    <row r="908" spans="1:15">
      <c r="A908" s="550" t="s">
        <v>3928</v>
      </c>
      <c r="B908" s="551"/>
      <c r="C908" s="232">
        <v>1</v>
      </c>
      <c r="D908" s="102">
        <v>0.03</v>
      </c>
      <c r="E908" s="103">
        <f>VLOOKUP(A908,'Equip, Herr y Transp'!$B$2:$D$218,3,0)</f>
        <v>160000</v>
      </c>
      <c r="F908" s="552">
        <f>E908*D908*C908</f>
        <v>4800</v>
      </c>
      <c r="G908" s="553"/>
      <c r="H908" s="117"/>
      <c r="M908" s="56"/>
    </row>
    <row r="909" spans="1:15" ht="16.5">
      <c r="A909" s="554" t="s">
        <v>4216</v>
      </c>
      <c r="B909" s="555"/>
      <c r="C909" s="555"/>
      <c r="D909" s="555"/>
      <c r="E909" s="555"/>
      <c r="F909" s="555"/>
      <c r="G909" s="555"/>
      <c r="H909" s="105">
        <f>F908</f>
        <v>4800</v>
      </c>
    </row>
    <row r="910" spans="1:15" ht="16.5">
      <c r="A910" s="543" t="s">
        <v>4235</v>
      </c>
      <c r="B910" s="544"/>
      <c r="C910" s="544"/>
      <c r="D910" s="544"/>
      <c r="E910" s="544"/>
      <c r="F910" s="544"/>
      <c r="G910" s="544"/>
      <c r="H910" s="546"/>
    </row>
    <row r="911" spans="1:15">
      <c r="A911" s="547" t="s">
        <v>7</v>
      </c>
      <c r="B911" s="548"/>
      <c r="C911" s="106" t="s">
        <v>1</v>
      </c>
      <c r="D911" s="107" t="s">
        <v>4236</v>
      </c>
      <c r="E911" s="108" t="s">
        <v>4215</v>
      </c>
      <c r="F911" s="547" t="s">
        <v>5</v>
      </c>
      <c r="G911" s="556"/>
      <c r="H911" s="119"/>
    </row>
    <row r="912" spans="1:15">
      <c r="A912" s="550" t="s">
        <v>4196</v>
      </c>
      <c r="B912" s="551"/>
      <c r="C912" s="101">
        <v>1</v>
      </c>
      <c r="D912" s="104">
        <f>VLOOKUP(A912,'Mano Obra'!$B$2:$T$117,19,0)</f>
        <v>166624</v>
      </c>
      <c r="E912" s="246">
        <f>H875</f>
        <v>6.25E-2</v>
      </c>
      <c r="F912" s="538">
        <f>E912*D912*C912</f>
        <v>10414</v>
      </c>
      <c r="G912" s="557"/>
      <c r="H912" s="121"/>
      <c r="I912" s="69"/>
      <c r="J912" s="136">
        <f>((('Mano Obra'!$M$4/30)*F912)/D912)*G882</f>
        <v>0</v>
      </c>
    </row>
    <row r="913" spans="1:10">
      <c r="A913" s="558" t="s">
        <v>4197</v>
      </c>
      <c r="B913" s="559">
        <f>VLOOKUP(A913,'Mano Obra'!$B$3:$D$290,2,0)</f>
        <v>2090000.0000000002</v>
      </c>
      <c r="C913" s="101">
        <v>1</v>
      </c>
      <c r="D913" s="104">
        <f>VLOOKUP(A913,'Mano Obra'!$B$2:$T$117,19,0)</f>
        <v>120456</v>
      </c>
      <c r="E913" s="246">
        <f>H875</f>
        <v>6.25E-2</v>
      </c>
      <c r="F913" s="538">
        <f t="shared" ref="F913:F914" si="54">E913*D913*C913</f>
        <v>7528.5</v>
      </c>
      <c r="G913" s="557"/>
      <c r="H913" s="121"/>
      <c r="J913" s="136">
        <f>((('Mano Obra'!$M$5/30)*F913)/D913)*G882</f>
        <v>0</v>
      </c>
    </row>
    <row r="914" spans="1:10">
      <c r="A914" s="558" t="s">
        <v>4186</v>
      </c>
      <c r="B914" s="559">
        <f>VLOOKUP(A914,'Mano Obra'!$B$3:$D$290,2,0)</f>
        <v>1100000</v>
      </c>
      <c r="C914" s="101">
        <v>1</v>
      </c>
      <c r="D914" s="104">
        <f>VLOOKUP(A914,'Mano Obra'!$B$2:$T$117,19,0)</f>
        <v>72664</v>
      </c>
      <c r="E914" s="246">
        <f>H875</f>
        <v>6.25E-2</v>
      </c>
      <c r="F914" s="538">
        <f t="shared" si="54"/>
        <v>4541.5</v>
      </c>
      <c r="G914" s="557"/>
      <c r="H914" s="120"/>
      <c r="J914" s="136">
        <f>((('Mano Obra'!$M$6/30)*F914)/D914)*G882</f>
        <v>0</v>
      </c>
    </row>
    <row r="915" spans="1:10" ht="16.5">
      <c r="A915" s="560" t="s">
        <v>4101</v>
      </c>
      <c r="B915" s="560"/>
      <c r="C915" s="560"/>
      <c r="D915" s="560"/>
      <c r="E915" s="560"/>
      <c r="F915" s="560"/>
      <c r="G915" s="560"/>
      <c r="H915" s="105">
        <f>SUM(F912:F914)</f>
        <v>22484</v>
      </c>
      <c r="J915" s="136"/>
    </row>
    <row r="916" spans="1:10">
      <c r="A916" s="227" t="s">
        <v>4237</v>
      </c>
      <c r="B916" s="205"/>
      <c r="C916" s="205"/>
      <c r="D916" s="202"/>
      <c r="E916" s="203"/>
      <c r="F916" s="204"/>
      <c r="G916" s="203"/>
      <c r="H916" s="212"/>
    </row>
    <row r="917" spans="1:10">
      <c r="A917" s="561" t="s">
        <v>4224</v>
      </c>
      <c r="B917" s="562"/>
      <c r="C917" s="562"/>
      <c r="D917" s="562"/>
      <c r="E917" s="200"/>
      <c r="F917" s="201" t="s">
        <v>4238</v>
      </c>
      <c r="G917" s="200" t="s">
        <v>4239</v>
      </c>
      <c r="H917" s="213"/>
    </row>
    <row r="918" spans="1:10">
      <c r="A918" s="223" t="s">
        <v>4097</v>
      </c>
      <c r="B918" s="72"/>
      <c r="C918" s="72"/>
      <c r="D918" s="73"/>
      <c r="E918" s="78"/>
      <c r="F918" s="79">
        <v>0</v>
      </c>
      <c r="G918" s="80">
        <f>F918*H883</f>
        <v>0</v>
      </c>
      <c r="H918" s="212"/>
    </row>
    <row r="919" spans="1:10">
      <c r="A919" s="224" t="s">
        <v>4240</v>
      </c>
      <c r="B919" s="81"/>
      <c r="C919" s="81"/>
      <c r="D919" s="82"/>
      <c r="E919" s="78"/>
      <c r="F919" s="79">
        <v>0</v>
      </c>
      <c r="G919" s="80">
        <f>F919*H883</f>
        <v>0</v>
      </c>
      <c r="H919" s="212"/>
    </row>
    <row r="920" spans="1:10">
      <c r="A920" s="224" t="s">
        <v>4</v>
      </c>
      <c r="B920" s="81"/>
      <c r="C920" s="81"/>
      <c r="D920" s="82"/>
      <c r="E920" s="78"/>
      <c r="F920" s="79">
        <v>0</v>
      </c>
      <c r="G920" s="80">
        <f>F920*H883</f>
        <v>0</v>
      </c>
      <c r="H920" s="212"/>
    </row>
    <row r="921" spans="1:10">
      <c r="A921" s="225"/>
      <c r="B921" s="83"/>
      <c r="C921" s="75"/>
      <c r="D921" s="84"/>
      <c r="E921" s="85"/>
      <c r="F921" s="86"/>
      <c r="G921" s="87"/>
      <c r="H921" s="214"/>
    </row>
    <row r="922" spans="1:10">
      <c r="A922" s="226"/>
      <c r="B922" s="83"/>
      <c r="C922" s="83"/>
      <c r="D922" s="84"/>
      <c r="E922" s="88"/>
      <c r="F922" s="563" t="s">
        <v>4241</v>
      </c>
      <c r="G922" s="564"/>
      <c r="H922" s="233">
        <f>H883+G918+G919+G920</f>
        <v>623930.06055121042</v>
      </c>
    </row>
    <row r="923" spans="1:10">
      <c r="A923" s="83"/>
      <c r="B923" s="83"/>
      <c r="C923" s="83"/>
      <c r="D923" s="84"/>
      <c r="E923" s="388"/>
      <c r="F923" s="389"/>
      <c r="G923" s="389"/>
      <c r="H923" s="390"/>
    </row>
    <row r="924" spans="1:10" ht="16.5">
      <c r="A924" s="90"/>
      <c r="B924" s="90"/>
      <c r="C924" s="90"/>
      <c r="D924" s="90"/>
      <c r="E924" s="90"/>
      <c r="F924" s="90"/>
      <c r="G924" s="90"/>
      <c r="H924" s="381"/>
    </row>
    <row r="925" spans="1:10">
      <c r="A925" s="579" t="s">
        <v>4225</v>
      </c>
      <c r="B925" s="580"/>
      <c r="C925" s="580"/>
      <c r="D925" s="580"/>
      <c r="E925" s="580"/>
      <c r="F925" s="580"/>
      <c r="G925" s="580"/>
      <c r="H925" s="581"/>
    </row>
    <row r="926" spans="1:10" ht="16.5">
      <c r="A926" s="91"/>
      <c r="B926" s="92"/>
      <c r="C926" s="92"/>
      <c r="D926" s="92"/>
      <c r="E926" s="92"/>
      <c r="F926" s="93"/>
      <c r="G926" s="94"/>
      <c r="H926" s="380">
        <f>ROUND((30/60)/8,4)</f>
        <v>6.25E-2</v>
      </c>
      <c r="I926" s="115"/>
    </row>
    <row r="927" spans="1:10">
      <c r="A927" s="582" t="s">
        <v>4220</v>
      </c>
      <c r="B927" s="584" t="str">
        <f>COSTOS!$C$14</f>
        <v>MODERNIZACION A TECNOLOGIA LED</v>
      </c>
      <c r="C927" s="584"/>
      <c r="D927" s="584"/>
      <c r="E927" s="584"/>
      <c r="F927" s="584"/>
      <c r="G927" s="584"/>
      <c r="H927" s="585" t="s">
        <v>4221</v>
      </c>
    </row>
    <row r="928" spans="1:10">
      <c r="A928" s="583"/>
      <c r="B928" s="584"/>
      <c r="C928" s="584"/>
      <c r="D928" s="584"/>
      <c r="E928" s="584"/>
      <c r="F928" s="584"/>
      <c r="G928" s="584"/>
      <c r="H928" s="585"/>
    </row>
    <row r="929" spans="1:15">
      <c r="A929" s="583"/>
      <c r="B929" s="584"/>
      <c r="C929" s="584"/>
      <c r="D929" s="584"/>
      <c r="E929" s="584"/>
      <c r="F929" s="584"/>
      <c r="G929" s="584"/>
      <c r="H929" s="585"/>
    </row>
    <row r="930" spans="1:15" ht="15" customHeight="1">
      <c r="A930" s="583"/>
      <c r="B930" s="584"/>
      <c r="C930" s="584"/>
      <c r="D930" s="584"/>
      <c r="E930" s="584"/>
      <c r="F930" s="584"/>
      <c r="G930" s="584"/>
      <c r="H930" s="216">
        <f ca="1">TODAY()</f>
        <v>44889</v>
      </c>
      <c r="K930" t="s">
        <v>4391</v>
      </c>
      <c r="L930" t="s">
        <v>4392</v>
      </c>
      <c r="M930" t="s">
        <v>4393</v>
      </c>
      <c r="N930" t="s">
        <v>4394</v>
      </c>
    </row>
    <row r="931" spans="1:15" ht="60.75" customHeight="1">
      <c r="A931" s="228" t="s">
        <v>4222</v>
      </c>
      <c r="B931" s="565" t="str">
        <f>COSTOS!$D$16</f>
        <v>Luminarias</v>
      </c>
      <c r="C931" s="565"/>
      <c r="D931" s="565"/>
      <c r="E931" s="565"/>
      <c r="F931" s="565"/>
      <c r="G931" s="70" t="s">
        <v>4223</v>
      </c>
      <c r="H931" s="391">
        <v>1.19</v>
      </c>
      <c r="K931" s="62">
        <f>H956</f>
        <v>1100058.9357330203</v>
      </c>
      <c r="L931" s="62">
        <f>H966</f>
        <v>22484</v>
      </c>
      <c r="M931" s="62">
        <f>H939</f>
        <v>4034.53125</v>
      </c>
      <c r="N931" s="62">
        <f>H960</f>
        <v>4800</v>
      </c>
    </row>
    <row r="932" spans="1:15" ht="43.15" customHeight="1">
      <c r="A932" s="229" t="s">
        <v>4224</v>
      </c>
      <c r="B932" s="566" t="str">
        <f>VLOOKUP(H931,COSTOS!C:M,2,0)</f>
        <v>Reflector Metal Halide 250w</v>
      </c>
      <c r="C932" s="567"/>
      <c r="D932" s="567"/>
      <c r="E932" s="568"/>
      <c r="F932" s="71" t="s">
        <v>0</v>
      </c>
      <c r="G932" s="356" t="str">
        <f>VLOOKUP(H931,COSTOS!C:M,8,0)</f>
        <v>Und</v>
      </c>
      <c r="H932" s="276"/>
      <c r="I932" s="306"/>
      <c r="J932" s="308"/>
      <c r="K932" s="308"/>
      <c r="L932" s="308"/>
    </row>
    <row r="933" spans="1:15">
      <c r="A933" s="230"/>
      <c r="B933" s="112"/>
      <c r="C933" s="112"/>
      <c r="D933" s="112"/>
      <c r="E933" s="113"/>
      <c r="F933" s="114" t="s">
        <v>1</v>
      </c>
      <c r="G933" s="356">
        <f>VLOOKUP(H931,COSTOS!C:M,9,0)</f>
        <v>0</v>
      </c>
      <c r="H933" s="357"/>
      <c r="I933" s="307"/>
    </row>
    <row r="934" spans="1:15" ht="16.5">
      <c r="A934" s="231" t="s">
        <v>4226</v>
      </c>
      <c r="B934" s="75"/>
      <c r="C934" s="75"/>
      <c r="D934" s="76"/>
      <c r="E934" s="209"/>
      <c r="F934" s="210"/>
      <c r="G934" s="211" t="s">
        <v>4227</v>
      </c>
      <c r="H934" s="217">
        <f>H939+H956+H960+H966</f>
        <v>1131377.4669830203</v>
      </c>
    </row>
    <row r="935" spans="1:15" ht="39">
      <c r="A935" s="569" t="s">
        <v>4224</v>
      </c>
      <c r="B935" s="569"/>
      <c r="C935" s="569"/>
      <c r="D935" s="77" t="s">
        <v>0</v>
      </c>
      <c r="E935" s="207" t="s">
        <v>4228</v>
      </c>
      <c r="F935" s="208" t="s">
        <v>4215</v>
      </c>
      <c r="G935" s="74" t="s">
        <v>2</v>
      </c>
      <c r="H935" s="218" t="s">
        <v>4229</v>
      </c>
      <c r="K935" s="309"/>
    </row>
    <row r="936" spans="1:15">
      <c r="A936" s="536" t="s">
        <v>3946</v>
      </c>
      <c r="B936" s="570" t="str">
        <f>VLOOKUP(A936,'Equip, Herr y Transp'!$B$2:$D$739,2,0)</f>
        <v>EQU</v>
      </c>
      <c r="C936" s="570"/>
      <c r="D936" s="95" t="str">
        <f>VLOOKUP(A936,'Equip, Herr y Transp'!$B$2:$D$218,2,0)</f>
        <v>EQU</v>
      </c>
      <c r="E936" s="95">
        <f>VLOOKUP(A936,'Equip, Herr y Transp'!$B$2:$D$218,3,0)</f>
        <v>14130</v>
      </c>
      <c r="F936" s="96">
        <f>H926</f>
        <v>6.25E-2</v>
      </c>
      <c r="G936" s="122">
        <f>F936*E936</f>
        <v>883.125</v>
      </c>
      <c r="H936" s="118"/>
    </row>
    <row r="937" spans="1:15">
      <c r="A937" s="536" t="s">
        <v>3904</v>
      </c>
      <c r="B937" s="570" t="str">
        <f>VLOOKUP(A937,'Equip, Herr y Transp'!$B$2:$D$739,2,0)</f>
        <v>EQU</v>
      </c>
      <c r="C937" s="570"/>
      <c r="D937" s="95" t="str">
        <f>VLOOKUP(A937,'Equip, Herr y Transp'!$B$2:$D$218,2,0)</f>
        <v>EQU</v>
      </c>
      <c r="E937" s="95">
        <f>VLOOKUP(A937,'Equip, Herr y Transp'!$B$2:$D$218,3,0)</f>
        <v>26672.5</v>
      </c>
      <c r="F937" s="96">
        <f>H926</f>
        <v>6.25E-2</v>
      </c>
      <c r="G937" s="122">
        <f>F937*E937</f>
        <v>1667.03125</v>
      </c>
      <c r="H937" s="117"/>
    </row>
    <row r="938" spans="1:15">
      <c r="A938" s="536" t="s">
        <v>3937</v>
      </c>
      <c r="B938" s="570" t="str">
        <f>VLOOKUP(A938,'Equip, Herr y Transp'!$B$2:$D$739,2,0)</f>
        <v>EQU</v>
      </c>
      <c r="C938" s="570"/>
      <c r="D938" s="95" t="str">
        <f>VLOOKUP(A938,'Equip, Herr y Transp'!$B$2:$D$218,2,0)</f>
        <v>EQU</v>
      </c>
      <c r="E938" s="95">
        <f>VLOOKUP(A938,'Equip, Herr y Transp'!$B$2:$D$218,3,0)</f>
        <v>23750</v>
      </c>
      <c r="F938" s="96">
        <f>H926</f>
        <v>6.25E-2</v>
      </c>
      <c r="G938" s="122">
        <f>F938*E938</f>
        <v>1484.375</v>
      </c>
      <c r="H938" s="117"/>
    </row>
    <row r="939" spans="1:15" ht="16.5">
      <c r="A939" s="540" t="s">
        <v>4100</v>
      </c>
      <c r="B939" s="541"/>
      <c r="C939" s="541"/>
      <c r="D939" s="541"/>
      <c r="E939" s="541"/>
      <c r="F939" s="541"/>
      <c r="G939" s="541"/>
      <c r="H939" s="97">
        <f>SUM(G936:G938)</f>
        <v>4034.53125</v>
      </c>
    </row>
    <row r="940" spans="1:15" ht="16.5">
      <c r="A940" s="571" t="s">
        <v>4230</v>
      </c>
      <c r="B940" s="572"/>
      <c r="C940" s="572"/>
      <c r="D940" s="572"/>
      <c r="E940" s="572"/>
      <c r="F940" s="572"/>
      <c r="G940" s="572"/>
      <c r="H940" s="573"/>
      <c r="K940" s="56"/>
      <c r="L940" s="56"/>
      <c r="M940" s="56"/>
      <c r="N940" s="56"/>
      <c r="O940" s="56"/>
    </row>
    <row r="941" spans="1:15" ht="30" customHeight="1">
      <c r="A941" s="574" t="s">
        <v>7</v>
      </c>
      <c r="B941" s="575"/>
      <c r="C941" s="109" t="s">
        <v>0</v>
      </c>
      <c r="D941" s="110" t="s">
        <v>4098</v>
      </c>
      <c r="E941" s="111" t="s">
        <v>1</v>
      </c>
      <c r="F941" s="576" t="s">
        <v>4218</v>
      </c>
      <c r="G941" s="576"/>
      <c r="H941" s="215"/>
      <c r="K941" s="56"/>
      <c r="L941" s="56"/>
      <c r="M941" s="56"/>
      <c r="N941" s="56"/>
      <c r="O941" s="56"/>
    </row>
    <row r="942" spans="1:15">
      <c r="A942" s="577" t="s">
        <v>4671</v>
      </c>
      <c r="B942" s="578"/>
      <c r="C942" s="98" t="str">
        <f>VLOOKUP(A942,'Materiales '!$C$2:$F$1302,3,0)</f>
        <v>Und</v>
      </c>
      <c r="D942" s="99">
        <f>VLOOKUP(A942,'Materiales '!$C$2:$F$1302,4,0)</f>
        <v>936965.38973302022</v>
      </c>
      <c r="E942" s="100">
        <v>1</v>
      </c>
      <c r="F942" s="538">
        <f>E942*D942</f>
        <v>936965.38973302022</v>
      </c>
      <c r="G942" s="539"/>
      <c r="H942" s="121"/>
      <c r="I942">
        <f>E942*G933</f>
        <v>0</v>
      </c>
      <c r="J942" s="67"/>
      <c r="K942" s="56"/>
      <c r="L942" s="56"/>
      <c r="M942" s="56"/>
      <c r="N942" s="56"/>
      <c r="O942" s="56"/>
    </row>
    <row r="943" spans="1:15">
      <c r="A943" s="577" t="s">
        <v>4214</v>
      </c>
      <c r="B943" s="578"/>
      <c r="C943" s="98" t="str">
        <f>VLOOKUP(A943,'Materiales '!$C$2:$F$1302,3,0)</f>
        <v>Und</v>
      </c>
      <c r="D943" s="99">
        <f>VLOOKUP(A943,'Materiales '!$C$2:$F$1302,4,0)</f>
        <v>22848</v>
      </c>
      <c r="E943" s="100">
        <v>1</v>
      </c>
      <c r="F943" s="538">
        <f t="shared" ref="F943:F949" si="55">E943*D943</f>
        <v>22848</v>
      </c>
      <c r="G943" s="539"/>
      <c r="H943" s="121"/>
      <c r="I943">
        <f>E943*G933</f>
        <v>0</v>
      </c>
      <c r="J943" s="67"/>
      <c r="K943" s="56"/>
      <c r="L943" s="56"/>
      <c r="M943" s="56"/>
      <c r="N943" s="56"/>
      <c r="O943" s="56"/>
    </row>
    <row r="944" spans="1:15">
      <c r="A944" s="536" t="s">
        <v>4484</v>
      </c>
      <c r="B944" s="537" t="str">
        <f>VLOOKUP(A944,'Materiales '!$C$2:$F$1302,3,0)</f>
        <v>Und</v>
      </c>
      <c r="C944" s="98" t="str">
        <f>VLOOKUP(A944,'Materiales '!$C$2:$F$1302,3,0)</f>
        <v>Und</v>
      </c>
      <c r="D944" s="99">
        <f>VLOOKUP(A944,'Materiales '!$C$2:$F$1302,4,0)</f>
        <v>21705.599999999999</v>
      </c>
      <c r="E944" s="100">
        <v>2</v>
      </c>
      <c r="F944" s="538">
        <f t="shared" si="55"/>
        <v>43411.199999999997</v>
      </c>
      <c r="G944" s="539"/>
      <c r="H944" s="121"/>
      <c r="I944">
        <f>E944*G933</f>
        <v>0</v>
      </c>
      <c r="J944" s="68"/>
      <c r="K944" s="56"/>
      <c r="L944" s="56"/>
      <c r="M944" s="56"/>
      <c r="N944" s="56"/>
      <c r="O944" s="56"/>
    </row>
    <row r="945" spans="1:15">
      <c r="A945" s="536" t="s">
        <v>4489</v>
      </c>
      <c r="B945" s="537" t="str">
        <f>VLOOKUP(A945,'Materiales '!$C$2:$F$1302,3,0)</f>
        <v>Und</v>
      </c>
      <c r="C945" s="98" t="str">
        <f>VLOOKUP(A945,'Materiales '!$C$2:$F$1302,3,0)</f>
        <v>Und</v>
      </c>
      <c r="D945" s="99">
        <f>VLOOKUP(A945,'Materiales '!$C$2:$F$1302,4,0)</f>
        <v>8039.6399999999994</v>
      </c>
      <c r="E945" s="100">
        <v>3</v>
      </c>
      <c r="F945" s="538">
        <f t="shared" si="55"/>
        <v>24118.92</v>
      </c>
      <c r="G945" s="539"/>
      <c r="H945" s="121"/>
      <c r="I945">
        <f>E945*G933</f>
        <v>0</v>
      </c>
      <c r="J945" s="68"/>
      <c r="K945" s="56"/>
      <c r="L945" s="56"/>
      <c r="M945" s="56"/>
      <c r="N945" s="56"/>
      <c r="O945" s="56"/>
    </row>
    <row r="946" spans="1:15">
      <c r="A946" s="536" t="s">
        <v>4554</v>
      </c>
      <c r="B946" s="537" t="str">
        <f>VLOOKUP(A946,'Materiales '!$C$2:$F$1302,3,0)</f>
        <v>Und</v>
      </c>
      <c r="C946" s="98" t="str">
        <f>VLOOKUP(A946,'Materiales '!$C$2:$F$1302,3,0)</f>
        <v>Und</v>
      </c>
      <c r="D946" s="99">
        <f>VLOOKUP(A946,'Materiales '!$C$2:$F$1302,4,0)</f>
        <v>2535.5329999999999</v>
      </c>
      <c r="E946" s="100">
        <v>2</v>
      </c>
      <c r="F946" s="538">
        <f t="shared" si="55"/>
        <v>5071.0659999999998</v>
      </c>
      <c r="G946" s="539"/>
      <c r="H946" s="121"/>
      <c r="I946">
        <f>E946*G933</f>
        <v>0</v>
      </c>
      <c r="J946" s="68"/>
      <c r="K946" s="56"/>
      <c r="L946" s="56"/>
      <c r="M946" s="56"/>
      <c r="N946" s="56"/>
      <c r="O946" s="56"/>
    </row>
    <row r="947" spans="1:15">
      <c r="A947" s="536" t="s">
        <v>4450</v>
      </c>
      <c r="B947" s="537" t="str">
        <f>VLOOKUP(A947,'Materiales '!$C$2:$F$1302,3,0)</f>
        <v>Ml</v>
      </c>
      <c r="C947" s="98" t="str">
        <f>VLOOKUP(A947,'Materiales '!$C$2:$F$1302,3,0)</f>
        <v>Ml</v>
      </c>
      <c r="D947" s="99">
        <f>VLOOKUP(A947,'Materiales '!$C$2:$F$1302,4,0)</f>
        <v>6791.5679999999993</v>
      </c>
      <c r="E947" s="100">
        <v>1</v>
      </c>
      <c r="F947" s="538">
        <f t="shared" si="55"/>
        <v>6791.5679999999993</v>
      </c>
      <c r="G947" s="539"/>
      <c r="H947" s="121"/>
      <c r="I947">
        <f>E947*G933</f>
        <v>0</v>
      </c>
      <c r="J947" s="68"/>
      <c r="K947" s="56"/>
      <c r="L947" s="56"/>
      <c r="M947" s="56"/>
      <c r="N947" s="56"/>
      <c r="O947" s="56"/>
    </row>
    <row r="948" spans="1:15">
      <c r="A948" s="536" t="s">
        <v>4493</v>
      </c>
      <c r="B948" s="537" t="str">
        <f>VLOOKUP(A948,'Materiales '!$C$2:$F$1302,3,0)</f>
        <v>Und</v>
      </c>
      <c r="C948" s="98" t="str">
        <f>VLOOKUP(A948,'Materiales '!$C$2:$F$1302,3,0)</f>
        <v>Und</v>
      </c>
      <c r="D948" s="99">
        <f>VLOOKUP(A948,'Materiales '!$C$2:$F$1302,4,0)</f>
        <v>232.76399999999998</v>
      </c>
      <c r="E948" s="100">
        <v>3</v>
      </c>
      <c r="F948" s="538">
        <f t="shared" si="55"/>
        <v>698.29199999999992</v>
      </c>
      <c r="G948" s="539"/>
      <c r="H948" s="121"/>
      <c r="I948">
        <f>E948*G933</f>
        <v>0</v>
      </c>
      <c r="J948" s="68"/>
      <c r="K948" s="56"/>
      <c r="L948" s="56"/>
      <c r="M948" s="56"/>
      <c r="N948" s="56"/>
      <c r="O948" s="56"/>
    </row>
    <row r="949" spans="1:15" ht="21.75" customHeight="1">
      <c r="A949" s="536" t="s">
        <v>4498</v>
      </c>
      <c r="B949" s="537" t="str">
        <f>VLOOKUP(A949,'Materiales '!$C$2:$F$1302,3,0)</f>
        <v>Und</v>
      </c>
      <c r="C949" s="98" t="str">
        <f>VLOOKUP(A949,'Materiales '!$C$2:$F$1302,3,0)</f>
        <v>Und</v>
      </c>
      <c r="D949" s="99">
        <f>VLOOKUP(A949,'Materiales '!$C$2:$F$1302,4,0)</f>
        <v>120309</v>
      </c>
      <c r="E949" s="100">
        <v>0.5</v>
      </c>
      <c r="F949" s="538">
        <f t="shared" si="55"/>
        <v>60154.5</v>
      </c>
      <c r="G949" s="539"/>
      <c r="H949" s="121"/>
      <c r="I949">
        <f>E949*G933</f>
        <v>0</v>
      </c>
      <c r="J949" s="68"/>
      <c r="K949" s="56"/>
      <c r="L949" s="56"/>
      <c r="M949" s="56"/>
      <c r="N949" s="56"/>
      <c r="O949" s="56"/>
    </row>
    <row r="950" spans="1:15">
      <c r="A950" s="536" t="s">
        <v>8</v>
      </c>
      <c r="B950" s="537" t="str">
        <f>VLOOKUP(A950,'Materiales '!$C$2:$F$1302,3,0)</f>
        <v>-</v>
      </c>
      <c r="C950" s="98" t="str">
        <f>VLOOKUP(A950,'Materiales '!$C$2:$F$1302,3,0)</f>
        <v>-</v>
      </c>
      <c r="D950" s="99">
        <f>VLOOKUP(A950,'Materiales '!$C$2:$F$1302,4,0)</f>
        <v>0</v>
      </c>
      <c r="E950" s="100"/>
      <c r="F950" s="538">
        <f>E950*D950</f>
        <v>0</v>
      </c>
      <c r="G950" s="539"/>
      <c r="H950" s="120"/>
      <c r="I950">
        <f>E950*G933</f>
        <v>0</v>
      </c>
      <c r="J950" s="68"/>
      <c r="K950" s="56"/>
      <c r="L950" s="56"/>
      <c r="M950" s="56"/>
      <c r="N950" s="56"/>
      <c r="O950" s="56"/>
    </row>
    <row r="951" spans="1:15">
      <c r="A951" s="536" t="s">
        <v>8</v>
      </c>
      <c r="B951" s="537" t="str">
        <f>VLOOKUP(A951,'Materiales '!$C$2:$F$1302,3,0)</f>
        <v>-</v>
      </c>
      <c r="C951" s="98" t="str">
        <f>VLOOKUP(A951,'Materiales '!$C$2:$F$1302,3,0)</f>
        <v>-</v>
      </c>
      <c r="D951" s="99">
        <f>VLOOKUP(A951,'Materiales '!$C$2:$F$1302,4,0)</f>
        <v>0</v>
      </c>
      <c r="E951" s="100"/>
      <c r="F951" s="538">
        <f t="shared" ref="F951:F954" si="56">E951*D951</f>
        <v>0</v>
      </c>
      <c r="G951" s="539"/>
      <c r="H951" s="121"/>
      <c r="I951">
        <f>E951*G933</f>
        <v>0</v>
      </c>
      <c r="J951" s="68"/>
      <c r="K951" s="56"/>
      <c r="L951" s="56"/>
      <c r="M951" s="56"/>
      <c r="N951" s="56"/>
      <c r="O951" s="56"/>
    </row>
    <row r="952" spans="1:15">
      <c r="A952" s="536" t="s">
        <v>8</v>
      </c>
      <c r="B952" s="537" t="str">
        <f>VLOOKUP(A952,'Materiales '!$C$2:$F$1302,3,0)</f>
        <v>-</v>
      </c>
      <c r="C952" s="98" t="str">
        <f>VLOOKUP(A952,'Materiales '!$C$2:$F$1302,3,0)</f>
        <v>-</v>
      </c>
      <c r="D952" s="99">
        <f>VLOOKUP(A952,'Materiales '!$C$2:$F$1302,4,0)</f>
        <v>0</v>
      </c>
      <c r="E952" s="100"/>
      <c r="F952" s="538">
        <f t="shared" si="56"/>
        <v>0</v>
      </c>
      <c r="G952" s="539"/>
      <c r="H952" s="121"/>
      <c r="I952">
        <f>E952*G933</f>
        <v>0</v>
      </c>
      <c r="J952" s="68"/>
      <c r="K952" s="56"/>
      <c r="L952" s="56"/>
      <c r="M952" s="56"/>
      <c r="N952" s="56"/>
      <c r="O952" s="56"/>
    </row>
    <row r="953" spans="1:15">
      <c r="A953" s="536" t="s">
        <v>8</v>
      </c>
      <c r="B953" s="537" t="str">
        <f>VLOOKUP(A953,'Materiales '!$C$2:$F$1302,3,0)</f>
        <v>-</v>
      </c>
      <c r="C953" s="98" t="str">
        <f>VLOOKUP(A953,'Materiales '!$C$2:$F$1302,3,0)</f>
        <v>-</v>
      </c>
      <c r="D953" s="99">
        <f>VLOOKUP(A953,'Materiales '!$C$2:$F$1302,4,0)</f>
        <v>0</v>
      </c>
      <c r="E953" s="100"/>
      <c r="F953" s="538">
        <f t="shared" si="56"/>
        <v>0</v>
      </c>
      <c r="G953" s="539"/>
      <c r="H953" s="121"/>
      <c r="I953">
        <f>E953*G933</f>
        <v>0</v>
      </c>
      <c r="J953" s="68"/>
      <c r="K953" s="56"/>
      <c r="L953" s="56"/>
      <c r="M953" s="56"/>
      <c r="N953" s="56"/>
      <c r="O953" s="56"/>
    </row>
    <row r="954" spans="1:15">
      <c r="A954" s="536" t="s">
        <v>8</v>
      </c>
      <c r="B954" s="537" t="str">
        <f>VLOOKUP(A954,'Materiales '!$C$2:$F$1302,3,0)</f>
        <v>-</v>
      </c>
      <c r="C954" s="98" t="str">
        <f>VLOOKUP(A954,'Materiales '!$C$2:$F$1302,3,0)</f>
        <v>-</v>
      </c>
      <c r="D954" s="99">
        <f>VLOOKUP(A954,'Materiales '!$C$2:$F$1302,4,0)</f>
        <v>0</v>
      </c>
      <c r="E954" s="100"/>
      <c r="F954" s="538">
        <f t="shared" si="56"/>
        <v>0</v>
      </c>
      <c r="G954" s="539"/>
      <c r="H954" s="121"/>
      <c r="I954">
        <f>E954*G933</f>
        <v>0</v>
      </c>
      <c r="J954" s="68"/>
      <c r="K954" s="56"/>
      <c r="L954" s="56"/>
      <c r="M954" s="56"/>
      <c r="N954" s="56"/>
      <c r="O954" s="56"/>
    </row>
    <row r="955" spans="1:15">
      <c r="A955" s="536" t="s">
        <v>8</v>
      </c>
      <c r="B955" s="537" t="str">
        <f>VLOOKUP(A955,'Materiales '!$C$2:$F$1302,3,0)</f>
        <v>-</v>
      </c>
      <c r="C955" s="98" t="str">
        <f>VLOOKUP(A955,'Materiales '!$C$2:$F$1302,3,0)</f>
        <v>-</v>
      </c>
      <c r="D955" s="99">
        <f>VLOOKUP(A955,'Materiales '!$C$2:$F$1302,4,0)</f>
        <v>0</v>
      </c>
      <c r="E955" s="100"/>
      <c r="F955" s="538">
        <f>E955*D955</f>
        <v>0</v>
      </c>
      <c r="G955" s="539"/>
      <c r="H955" s="120"/>
      <c r="I955">
        <f>E955*G933</f>
        <v>0</v>
      </c>
      <c r="J955" s="68"/>
      <c r="K955" s="56"/>
      <c r="L955" s="56"/>
      <c r="M955" s="56"/>
      <c r="N955" s="56"/>
      <c r="O955" s="56"/>
    </row>
    <row r="956" spans="1:15" ht="16.5">
      <c r="A956" s="540" t="s">
        <v>4099</v>
      </c>
      <c r="B956" s="541"/>
      <c r="C956" s="541"/>
      <c r="D956" s="541"/>
      <c r="E956" s="541"/>
      <c r="F956" s="541"/>
      <c r="G956" s="542"/>
      <c r="H956" s="116">
        <f>SUM(F942:F955)</f>
        <v>1100058.9357330203</v>
      </c>
      <c r="J956" s="68"/>
      <c r="K956" s="56"/>
      <c r="L956" s="56"/>
      <c r="M956" s="56"/>
      <c r="N956" s="56"/>
      <c r="O956" s="56"/>
    </row>
    <row r="957" spans="1:15" ht="16.5">
      <c r="A957" s="543" t="s">
        <v>4231</v>
      </c>
      <c r="B957" s="544"/>
      <c r="C957" s="544"/>
      <c r="D957" s="544"/>
      <c r="E957" s="545"/>
      <c r="F957" s="544"/>
      <c r="G957" s="544"/>
      <c r="H957" s="546"/>
      <c r="J957" s="68"/>
      <c r="K957" s="56"/>
      <c r="L957" s="56"/>
      <c r="M957" s="56"/>
      <c r="N957" s="56"/>
      <c r="O957" s="56"/>
    </row>
    <row r="958" spans="1:15">
      <c r="A958" s="547" t="s">
        <v>7</v>
      </c>
      <c r="B958" s="548"/>
      <c r="C958" s="108" t="s">
        <v>4232</v>
      </c>
      <c r="D958" s="107" t="s">
        <v>4233</v>
      </c>
      <c r="E958" s="206" t="s">
        <v>4234</v>
      </c>
      <c r="F958" s="549" t="s">
        <v>4218</v>
      </c>
      <c r="G958" s="549"/>
      <c r="H958" s="119"/>
      <c r="K958" s="56"/>
      <c r="L958" s="56"/>
      <c r="M958" s="56"/>
      <c r="N958" s="56"/>
      <c r="O958" s="56"/>
    </row>
    <row r="959" spans="1:15">
      <c r="A959" s="550" t="s">
        <v>3928</v>
      </c>
      <c r="B959" s="551"/>
      <c r="C959" s="232">
        <v>1</v>
      </c>
      <c r="D959" s="102">
        <v>0.03</v>
      </c>
      <c r="E959" s="103">
        <f>VLOOKUP(A959,'Equip, Herr y Transp'!$B$2:$D$218,3,0)</f>
        <v>160000</v>
      </c>
      <c r="F959" s="552">
        <f>E959*D959*C959</f>
        <v>4800</v>
      </c>
      <c r="G959" s="553"/>
      <c r="H959" s="117"/>
      <c r="M959" s="56"/>
    </row>
    <row r="960" spans="1:15" ht="16.5">
      <c r="A960" s="554" t="s">
        <v>4216</v>
      </c>
      <c r="B960" s="555"/>
      <c r="C960" s="555"/>
      <c r="D960" s="555"/>
      <c r="E960" s="555"/>
      <c r="F960" s="555"/>
      <c r="G960" s="555"/>
      <c r="H960" s="105">
        <f>F959</f>
        <v>4800</v>
      </c>
    </row>
    <row r="961" spans="1:10" ht="16.5">
      <c r="A961" s="543" t="s">
        <v>4235</v>
      </c>
      <c r="B961" s="544"/>
      <c r="C961" s="544"/>
      <c r="D961" s="544"/>
      <c r="E961" s="544"/>
      <c r="F961" s="544"/>
      <c r="G961" s="544"/>
      <c r="H961" s="546"/>
    </row>
    <row r="962" spans="1:10">
      <c r="A962" s="547" t="s">
        <v>7</v>
      </c>
      <c r="B962" s="548"/>
      <c r="C962" s="106" t="s">
        <v>1</v>
      </c>
      <c r="D962" s="107" t="s">
        <v>4236</v>
      </c>
      <c r="E962" s="108" t="s">
        <v>4215</v>
      </c>
      <c r="F962" s="547" t="s">
        <v>5</v>
      </c>
      <c r="G962" s="556"/>
      <c r="H962" s="119"/>
    </row>
    <row r="963" spans="1:10">
      <c r="A963" s="550" t="s">
        <v>4196</v>
      </c>
      <c r="B963" s="551"/>
      <c r="C963" s="101">
        <v>1</v>
      </c>
      <c r="D963" s="104">
        <f>VLOOKUP(A963,'Mano Obra'!$B$2:$T$117,19,0)</f>
        <v>166624</v>
      </c>
      <c r="E963" s="246">
        <f>H926</f>
        <v>6.25E-2</v>
      </c>
      <c r="F963" s="538">
        <f>E963*D963*C963</f>
        <v>10414</v>
      </c>
      <c r="G963" s="557"/>
      <c r="H963" s="121"/>
      <c r="I963" s="69"/>
      <c r="J963" s="136">
        <f>((('Mano Obra'!$M$4/30)*F963)/D963)*G933</f>
        <v>0</v>
      </c>
    </row>
    <row r="964" spans="1:10">
      <c r="A964" s="558" t="s">
        <v>4197</v>
      </c>
      <c r="B964" s="559">
        <f>VLOOKUP(A964,'Mano Obra'!$B$3:$D$290,2,0)</f>
        <v>2090000.0000000002</v>
      </c>
      <c r="C964" s="101">
        <v>1</v>
      </c>
      <c r="D964" s="104">
        <f>VLOOKUP(A964,'Mano Obra'!$B$2:$T$117,19,0)</f>
        <v>120456</v>
      </c>
      <c r="E964" s="246">
        <f>H926</f>
        <v>6.25E-2</v>
      </c>
      <c r="F964" s="538">
        <f t="shared" ref="F964:F965" si="57">E964*D964*C964</f>
        <v>7528.5</v>
      </c>
      <c r="G964" s="557"/>
      <c r="H964" s="121"/>
      <c r="J964" s="136">
        <f>((('Mano Obra'!$M$5/30)*F964)/D964)*G933</f>
        <v>0</v>
      </c>
    </row>
    <row r="965" spans="1:10">
      <c r="A965" s="558" t="s">
        <v>4186</v>
      </c>
      <c r="B965" s="559">
        <f>VLOOKUP(A965,'Mano Obra'!$B$3:$D$290,2,0)</f>
        <v>1100000</v>
      </c>
      <c r="C965" s="101">
        <v>1</v>
      </c>
      <c r="D965" s="104">
        <f>VLOOKUP(A965,'Mano Obra'!$B$2:$T$117,19,0)</f>
        <v>72664</v>
      </c>
      <c r="E965" s="246">
        <f>H926</f>
        <v>6.25E-2</v>
      </c>
      <c r="F965" s="538">
        <f t="shared" si="57"/>
        <v>4541.5</v>
      </c>
      <c r="G965" s="557"/>
      <c r="H965" s="120"/>
      <c r="J965" s="136">
        <f>((('Mano Obra'!$M$6/30)*F965)/D965)*G933</f>
        <v>0</v>
      </c>
    </row>
    <row r="966" spans="1:10" ht="16.5">
      <c r="A966" s="560" t="s">
        <v>4101</v>
      </c>
      <c r="B966" s="560"/>
      <c r="C966" s="560"/>
      <c r="D966" s="560"/>
      <c r="E966" s="560"/>
      <c r="F966" s="560"/>
      <c r="G966" s="560"/>
      <c r="H966" s="105">
        <f>SUM(F963:F965)</f>
        <v>22484</v>
      </c>
      <c r="J966" s="136"/>
    </row>
    <row r="967" spans="1:10">
      <c r="A967" s="227" t="s">
        <v>4237</v>
      </c>
      <c r="B967" s="205"/>
      <c r="C967" s="205"/>
      <c r="D967" s="202"/>
      <c r="E967" s="203"/>
      <c r="F967" s="204"/>
      <c r="G967" s="203"/>
      <c r="H967" s="212"/>
    </row>
    <row r="968" spans="1:10">
      <c r="A968" s="561" t="s">
        <v>4224</v>
      </c>
      <c r="B968" s="562"/>
      <c r="C968" s="562"/>
      <c r="D968" s="562"/>
      <c r="E968" s="200"/>
      <c r="F968" s="201" t="s">
        <v>4238</v>
      </c>
      <c r="G968" s="200" t="s">
        <v>4239</v>
      </c>
      <c r="H968" s="213"/>
    </row>
    <row r="969" spans="1:10">
      <c r="A969" s="223" t="s">
        <v>4097</v>
      </c>
      <c r="B969" s="72"/>
      <c r="C969" s="72"/>
      <c r="D969" s="73"/>
      <c r="E969" s="78"/>
      <c r="F969" s="79">
        <v>0</v>
      </c>
      <c r="G969" s="80">
        <f>F969*H934</f>
        <v>0</v>
      </c>
      <c r="H969" s="212"/>
    </row>
    <row r="970" spans="1:10">
      <c r="A970" s="224" t="s">
        <v>4240</v>
      </c>
      <c r="B970" s="81"/>
      <c r="C970" s="81"/>
      <c r="D970" s="82"/>
      <c r="E970" s="78"/>
      <c r="F970" s="79">
        <v>0</v>
      </c>
      <c r="G970" s="80">
        <f>F970*H934</f>
        <v>0</v>
      </c>
      <c r="H970" s="212"/>
    </row>
    <row r="971" spans="1:10">
      <c r="A971" s="224" t="s">
        <v>4</v>
      </c>
      <c r="B971" s="81"/>
      <c r="C971" s="81"/>
      <c r="D971" s="82"/>
      <c r="E971" s="78"/>
      <c r="F971" s="79">
        <v>0</v>
      </c>
      <c r="G971" s="80">
        <f>F971*H934</f>
        <v>0</v>
      </c>
      <c r="H971" s="212"/>
    </row>
    <row r="972" spans="1:10">
      <c r="A972" s="225"/>
      <c r="B972" s="83"/>
      <c r="C972" s="75"/>
      <c r="D972" s="84"/>
      <c r="E972" s="85"/>
      <c r="F972" s="86"/>
      <c r="G972" s="87"/>
      <c r="H972" s="214"/>
    </row>
    <row r="973" spans="1:10">
      <c r="A973" s="226"/>
      <c r="B973" s="83"/>
      <c r="C973" s="83"/>
      <c r="D973" s="84"/>
      <c r="E973" s="88"/>
      <c r="F973" s="563" t="s">
        <v>4241</v>
      </c>
      <c r="G973" s="564"/>
      <c r="H973" s="233">
        <f>H934+G969+G970+G971</f>
        <v>1131377.4669830203</v>
      </c>
    </row>
    <row r="974" spans="1:10" ht="15.75" customHeight="1">
      <c r="A974" s="83"/>
      <c r="B974" s="83"/>
      <c r="C974" s="83"/>
      <c r="D974" s="84"/>
      <c r="E974" s="388"/>
      <c r="F974" s="389"/>
      <c r="G974" s="389"/>
      <c r="H974" s="390"/>
    </row>
    <row r="975" spans="1:10" ht="16.5">
      <c r="A975" s="90"/>
      <c r="B975" s="90"/>
      <c r="C975" s="90"/>
      <c r="D975" s="90"/>
      <c r="E975" s="90"/>
      <c r="F975" s="90"/>
      <c r="G975" s="90"/>
      <c r="H975" s="381"/>
    </row>
    <row r="976" spans="1:10">
      <c r="A976" s="579" t="s">
        <v>4225</v>
      </c>
      <c r="B976" s="580"/>
      <c r="C976" s="580"/>
      <c r="D976" s="580"/>
      <c r="E976" s="580"/>
      <c r="F976" s="580"/>
      <c r="G976" s="580"/>
      <c r="H976" s="581"/>
    </row>
    <row r="977" spans="1:15" ht="16.5">
      <c r="A977" s="91"/>
      <c r="B977" s="92"/>
      <c r="C977" s="92"/>
      <c r="D977" s="92"/>
      <c r="E977" s="92"/>
      <c r="F977" s="93"/>
      <c r="G977" s="94"/>
      <c r="H977" s="380">
        <f>ROUND((30/60)/8,4)</f>
        <v>6.25E-2</v>
      </c>
      <c r="I977" s="115"/>
    </row>
    <row r="978" spans="1:15">
      <c r="A978" s="582" t="s">
        <v>4220</v>
      </c>
      <c r="B978" s="584" t="str">
        <f>COSTOS!$C$14</f>
        <v>MODERNIZACION A TECNOLOGIA LED</v>
      </c>
      <c r="C978" s="584"/>
      <c r="D978" s="584"/>
      <c r="E978" s="584"/>
      <c r="F978" s="584"/>
      <c r="G978" s="584"/>
      <c r="H978" s="585" t="s">
        <v>4221</v>
      </c>
    </row>
    <row r="979" spans="1:15">
      <c r="A979" s="583"/>
      <c r="B979" s="584"/>
      <c r="C979" s="584"/>
      <c r="D979" s="584"/>
      <c r="E979" s="584"/>
      <c r="F979" s="584"/>
      <c r="G979" s="584"/>
      <c r="H979" s="585"/>
    </row>
    <row r="980" spans="1:15">
      <c r="A980" s="583"/>
      <c r="B980" s="584"/>
      <c r="C980" s="584"/>
      <c r="D980" s="584"/>
      <c r="E980" s="584"/>
      <c r="F980" s="584"/>
      <c r="G980" s="584"/>
      <c r="H980" s="585"/>
    </row>
    <row r="981" spans="1:15" ht="15" customHeight="1">
      <c r="A981" s="583"/>
      <c r="B981" s="584"/>
      <c r="C981" s="584"/>
      <c r="D981" s="584"/>
      <c r="E981" s="584"/>
      <c r="F981" s="584"/>
      <c r="G981" s="584"/>
      <c r="H981" s="216">
        <f ca="1">TODAY()</f>
        <v>44889</v>
      </c>
      <c r="K981" t="s">
        <v>4391</v>
      </c>
      <c r="L981" t="s">
        <v>4392</v>
      </c>
      <c r="M981" t="s">
        <v>4393</v>
      </c>
      <c r="N981" t="s">
        <v>4394</v>
      </c>
    </row>
    <row r="982" spans="1:15" ht="60.75" customHeight="1">
      <c r="A982" s="228" t="s">
        <v>4222</v>
      </c>
      <c r="B982" s="565" t="str">
        <f>COSTOS!$D$16</f>
        <v>Luminarias</v>
      </c>
      <c r="C982" s="565"/>
      <c r="D982" s="565"/>
      <c r="E982" s="565"/>
      <c r="F982" s="565"/>
      <c r="G982" s="70" t="s">
        <v>4223</v>
      </c>
      <c r="H982" s="391" t="s">
        <v>4688</v>
      </c>
      <c r="K982" s="62">
        <f>H1007</f>
        <v>1069068.3976973635</v>
      </c>
      <c r="L982" s="62">
        <f>H1017</f>
        <v>22484</v>
      </c>
      <c r="M982" s="62">
        <f>H990</f>
        <v>4034.53125</v>
      </c>
      <c r="N982" s="62">
        <f>H1011</f>
        <v>4800</v>
      </c>
    </row>
    <row r="983" spans="1:15" ht="43.15" customHeight="1">
      <c r="A983" s="229" t="s">
        <v>4224</v>
      </c>
      <c r="B983" s="566" t="str">
        <f>VLOOKUP(H982,COSTOS!C:M,2,0)</f>
        <v>Reflector Metal Halide 400w</v>
      </c>
      <c r="C983" s="567"/>
      <c r="D983" s="567"/>
      <c r="E983" s="568"/>
      <c r="F983" s="71" t="s">
        <v>0</v>
      </c>
      <c r="G983" s="356" t="str">
        <f>VLOOKUP(H982,COSTOS!C:M,8,0)</f>
        <v>Und</v>
      </c>
      <c r="H983" s="276"/>
      <c r="I983" s="306"/>
      <c r="J983" s="308"/>
      <c r="K983" s="308"/>
      <c r="L983" s="308"/>
    </row>
    <row r="984" spans="1:15">
      <c r="A984" s="230"/>
      <c r="B984" s="112"/>
      <c r="C984" s="112"/>
      <c r="D984" s="112"/>
      <c r="E984" s="113"/>
      <c r="F984" s="114" t="s">
        <v>1</v>
      </c>
      <c r="G984" s="356">
        <f>VLOOKUP(H982,COSTOS!C:M,9,0)</f>
        <v>0</v>
      </c>
      <c r="H984" s="357"/>
      <c r="I984" s="307"/>
    </row>
    <row r="985" spans="1:15" ht="16.5">
      <c r="A985" s="231" t="s">
        <v>4226</v>
      </c>
      <c r="B985" s="75"/>
      <c r="C985" s="75"/>
      <c r="D985" s="76"/>
      <c r="E985" s="209"/>
      <c r="F985" s="210"/>
      <c r="G985" s="211" t="s">
        <v>4227</v>
      </c>
      <c r="H985" s="217">
        <f>H990+H1007+H1011+H1017</f>
        <v>1100386.9289473635</v>
      </c>
    </row>
    <row r="986" spans="1:15" ht="39">
      <c r="A986" s="569" t="s">
        <v>4224</v>
      </c>
      <c r="B986" s="569"/>
      <c r="C986" s="569"/>
      <c r="D986" s="77" t="s">
        <v>0</v>
      </c>
      <c r="E986" s="207" t="s">
        <v>4228</v>
      </c>
      <c r="F986" s="208" t="s">
        <v>4215</v>
      </c>
      <c r="G986" s="74" t="s">
        <v>2</v>
      </c>
      <c r="H986" s="218" t="s">
        <v>4229</v>
      </c>
      <c r="K986" s="309"/>
    </row>
    <row r="987" spans="1:15">
      <c r="A987" s="536" t="s">
        <v>3946</v>
      </c>
      <c r="B987" s="570" t="str">
        <f>VLOOKUP(A987,'Equip, Herr y Transp'!$B$2:$D$739,2,0)</f>
        <v>EQU</v>
      </c>
      <c r="C987" s="570"/>
      <c r="D987" s="95" t="str">
        <f>VLOOKUP(A987,'Equip, Herr y Transp'!$B$2:$D$218,2,0)</f>
        <v>EQU</v>
      </c>
      <c r="E987" s="95">
        <f>VLOOKUP(A987,'Equip, Herr y Transp'!$B$2:$D$218,3,0)</f>
        <v>14130</v>
      </c>
      <c r="F987" s="96">
        <f>H977</f>
        <v>6.25E-2</v>
      </c>
      <c r="G987" s="122">
        <f>F987*E987</f>
        <v>883.125</v>
      </c>
      <c r="H987" s="118"/>
    </row>
    <row r="988" spans="1:15">
      <c r="A988" s="536" t="s">
        <v>3904</v>
      </c>
      <c r="B988" s="570" t="str">
        <f>VLOOKUP(A988,'Equip, Herr y Transp'!$B$2:$D$739,2,0)</f>
        <v>EQU</v>
      </c>
      <c r="C988" s="570"/>
      <c r="D988" s="95" t="str">
        <f>VLOOKUP(A988,'Equip, Herr y Transp'!$B$2:$D$218,2,0)</f>
        <v>EQU</v>
      </c>
      <c r="E988" s="95">
        <f>VLOOKUP(A988,'Equip, Herr y Transp'!$B$2:$D$218,3,0)</f>
        <v>26672.5</v>
      </c>
      <c r="F988" s="96">
        <f>H977</f>
        <v>6.25E-2</v>
      </c>
      <c r="G988" s="122">
        <f>F988*E988</f>
        <v>1667.03125</v>
      </c>
      <c r="H988" s="117"/>
    </row>
    <row r="989" spans="1:15">
      <c r="A989" s="536" t="s">
        <v>3937</v>
      </c>
      <c r="B989" s="570" t="str">
        <f>VLOOKUP(A989,'Equip, Herr y Transp'!$B$2:$D$739,2,0)</f>
        <v>EQU</v>
      </c>
      <c r="C989" s="570"/>
      <c r="D989" s="95" t="str">
        <f>VLOOKUP(A989,'Equip, Herr y Transp'!$B$2:$D$218,2,0)</f>
        <v>EQU</v>
      </c>
      <c r="E989" s="95">
        <f>VLOOKUP(A989,'Equip, Herr y Transp'!$B$2:$D$218,3,0)</f>
        <v>23750</v>
      </c>
      <c r="F989" s="96">
        <f>H977</f>
        <v>6.25E-2</v>
      </c>
      <c r="G989" s="122">
        <f>F989*E989</f>
        <v>1484.375</v>
      </c>
      <c r="H989" s="117"/>
    </row>
    <row r="990" spans="1:15" ht="16.5">
      <c r="A990" s="540" t="s">
        <v>4100</v>
      </c>
      <c r="B990" s="541"/>
      <c r="C990" s="541"/>
      <c r="D990" s="541"/>
      <c r="E990" s="541"/>
      <c r="F990" s="541"/>
      <c r="G990" s="541"/>
      <c r="H990" s="97">
        <f>SUM(G987:G989)</f>
        <v>4034.53125</v>
      </c>
    </row>
    <row r="991" spans="1:15" ht="16.5">
      <c r="A991" s="571" t="s">
        <v>4230</v>
      </c>
      <c r="B991" s="572"/>
      <c r="C991" s="572"/>
      <c r="D991" s="572"/>
      <c r="E991" s="572"/>
      <c r="F991" s="572"/>
      <c r="G991" s="572"/>
      <c r="H991" s="573"/>
      <c r="K991" s="56"/>
      <c r="L991" s="56"/>
      <c r="M991" s="56"/>
      <c r="N991" s="56"/>
      <c r="O991" s="56"/>
    </row>
    <row r="992" spans="1:15" ht="30" customHeight="1">
      <c r="A992" s="574" t="s">
        <v>7</v>
      </c>
      <c r="B992" s="575"/>
      <c r="C992" s="109" t="s">
        <v>0</v>
      </c>
      <c r="D992" s="110" t="s">
        <v>4098</v>
      </c>
      <c r="E992" s="111" t="s">
        <v>1</v>
      </c>
      <c r="F992" s="576" t="s">
        <v>4218</v>
      </c>
      <c r="G992" s="576"/>
      <c r="H992" s="215"/>
      <c r="K992" s="56"/>
      <c r="L992" s="56"/>
      <c r="M992" s="56"/>
      <c r="N992" s="56"/>
      <c r="O992" s="56"/>
    </row>
    <row r="993" spans="1:15">
      <c r="A993" s="577" t="s">
        <v>4672</v>
      </c>
      <c r="B993" s="578"/>
      <c r="C993" s="98" t="str">
        <f>VLOOKUP(A993,'Materiales '!$C$2:$F$1302,3,0)</f>
        <v>Und</v>
      </c>
      <c r="D993" s="99">
        <f>VLOOKUP(A993,'Materiales '!$C$2:$F$1302,4,0)</f>
        <v>905974.85169736343</v>
      </c>
      <c r="E993" s="100">
        <v>1</v>
      </c>
      <c r="F993" s="538">
        <f>E993*D993</f>
        <v>905974.85169736343</v>
      </c>
      <c r="G993" s="539"/>
      <c r="H993" s="121"/>
      <c r="I993">
        <f>E993*G984</f>
        <v>0</v>
      </c>
      <c r="J993" s="67"/>
      <c r="K993" s="56"/>
      <c r="L993" s="56"/>
      <c r="M993" s="56"/>
      <c r="N993" s="56"/>
      <c r="O993" s="56"/>
    </row>
    <row r="994" spans="1:15">
      <c r="A994" s="577" t="s">
        <v>4214</v>
      </c>
      <c r="B994" s="578"/>
      <c r="C994" s="98" t="str">
        <f>VLOOKUP(A994,'Materiales '!$C$2:$F$1302,3,0)</f>
        <v>Und</v>
      </c>
      <c r="D994" s="99">
        <f>VLOOKUP(A994,'Materiales '!$C$2:$F$1302,4,0)</f>
        <v>22848</v>
      </c>
      <c r="E994" s="100">
        <v>1</v>
      </c>
      <c r="F994" s="538">
        <f t="shared" ref="F994:F1000" si="58">E994*D994</f>
        <v>22848</v>
      </c>
      <c r="G994" s="539"/>
      <c r="H994" s="121"/>
      <c r="I994">
        <f>E994*G984</f>
        <v>0</v>
      </c>
      <c r="J994" s="67"/>
      <c r="K994" s="56"/>
      <c r="L994" s="56"/>
      <c r="M994" s="56"/>
      <c r="N994" s="56"/>
      <c r="O994" s="56"/>
    </row>
    <row r="995" spans="1:15">
      <c r="A995" s="536" t="s">
        <v>4484</v>
      </c>
      <c r="B995" s="537" t="str">
        <f>VLOOKUP(A995,'Materiales '!$C$2:$F$1302,3,0)</f>
        <v>Und</v>
      </c>
      <c r="C995" s="98" t="str">
        <f>VLOOKUP(A995,'Materiales '!$C$2:$F$1302,3,0)</f>
        <v>Und</v>
      </c>
      <c r="D995" s="99">
        <f>VLOOKUP(A995,'Materiales '!$C$2:$F$1302,4,0)</f>
        <v>21705.599999999999</v>
      </c>
      <c r="E995" s="100">
        <v>2</v>
      </c>
      <c r="F995" s="538">
        <f t="shared" si="58"/>
        <v>43411.199999999997</v>
      </c>
      <c r="G995" s="539"/>
      <c r="H995" s="121"/>
      <c r="I995">
        <f>E995*G984</f>
        <v>0</v>
      </c>
      <c r="J995" s="68"/>
      <c r="K995" s="56"/>
      <c r="L995" s="56"/>
      <c r="M995" s="56"/>
      <c r="N995" s="56"/>
      <c r="O995" s="56"/>
    </row>
    <row r="996" spans="1:15">
      <c r="A996" s="536" t="s">
        <v>4489</v>
      </c>
      <c r="B996" s="537" t="str">
        <f>VLOOKUP(A996,'Materiales '!$C$2:$F$1302,3,0)</f>
        <v>Und</v>
      </c>
      <c r="C996" s="98" t="str">
        <f>VLOOKUP(A996,'Materiales '!$C$2:$F$1302,3,0)</f>
        <v>Und</v>
      </c>
      <c r="D996" s="99">
        <f>VLOOKUP(A996,'Materiales '!$C$2:$F$1302,4,0)</f>
        <v>8039.6399999999994</v>
      </c>
      <c r="E996" s="100">
        <v>3</v>
      </c>
      <c r="F996" s="538">
        <f t="shared" si="58"/>
        <v>24118.92</v>
      </c>
      <c r="G996" s="539"/>
      <c r="H996" s="121"/>
      <c r="I996">
        <f>E996*G984</f>
        <v>0</v>
      </c>
      <c r="J996" s="68"/>
      <c r="K996" s="56"/>
      <c r="L996" s="56"/>
      <c r="M996" s="56"/>
      <c r="N996" s="56"/>
      <c r="O996" s="56"/>
    </row>
    <row r="997" spans="1:15">
      <c r="A997" s="536" t="s">
        <v>4554</v>
      </c>
      <c r="B997" s="537" t="str">
        <f>VLOOKUP(A997,'Materiales '!$C$2:$F$1302,3,0)</f>
        <v>Und</v>
      </c>
      <c r="C997" s="98" t="str">
        <f>VLOOKUP(A997,'Materiales '!$C$2:$F$1302,3,0)</f>
        <v>Und</v>
      </c>
      <c r="D997" s="99">
        <f>VLOOKUP(A997,'Materiales '!$C$2:$F$1302,4,0)</f>
        <v>2535.5329999999999</v>
      </c>
      <c r="E997" s="100">
        <v>2</v>
      </c>
      <c r="F997" s="538">
        <f t="shared" si="58"/>
        <v>5071.0659999999998</v>
      </c>
      <c r="G997" s="539"/>
      <c r="H997" s="121"/>
      <c r="I997">
        <f>E997*G984</f>
        <v>0</v>
      </c>
      <c r="J997" s="68"/>
      <c r="K997" s="56"/>
      <c r="L997" s="56"/>
      <c r="M997" s="56"/>
      <c r="N997" s="56"/>
      <c r="O997" s="56"/>
    </row>
    <row r="998" spans="1:15">
      <c r="A998" s="536" t="s">
        <v>4450</v>
      </c>
      <c r="B998" s="537" t="str">
        <f>VLOOKUP(A998,'Materiales '!$C$2:$F$1302,3,0)</f>
        <v>Ml</v>
      </c>
      <c r="C998" s="98" t="str">
        <f>VLOOKUP(A998,'Materiales '!$C$2:$F$1302,3,0)</f>
        <v>Ml</v>
      </c>
      <c r="D998" s="99">
        <f>VLOOKUP(A998,'Materiales '!$C$2:$F$1302,4,0)</f>
        <v>6791.5679999999993</v>
      </c>
      <c r="E998" s="100">
        <v>1</v>
      </c>
      <c r="F998" s="538">
        <f t="shared" si="58"/>
        <v>6791.5679999999993</v>
      </c>
      <c r="G998" s="539"/>
      <c r="H998" s="121"/>
      <c r="I998">
        <f>E998*G984</f>
        <v>0</v>
      </c>
      <c r="J998" s="68"/>
      <c r="K998" s="56"/>
      <c r="L998" s="56"/>
      <c r="M998" s="56"/>
      <c r="N998" s="56"/>
      <c r="O998" s="56"/>
    </row>
    <row r="999" spans="1:15">
      <c r="A999" s="536" t="s">
        <v>4493</v>
      </c>
      <c r="B999" s="537" t="str">
        <f>VLOOKUP(A999,'Materiales '!$C$2:$F$1302,3,0)</f>
        <v>Und</v>
      </c>
      <c r="C999" s="98" t="str">
        <f>VLOOKUP(A999,'Materiales '!$C$2:$F$1302,3,0)</f>
        <v>Und</v>
      </c>
      <c r="D999" s="99">
        <f>VLOOKUP(A999,'Materiales '!$C$2:$F$1302,4,0)</f>
        <v>232.76399999999998</v>
      </c>
      <c r="E999" s="100">
        <v>3</v>
      </c>
      <c r="F999" s="538">
        <f t="shared" si="58"/>
        <v>698.29199999999992</v>
      </c>
      <c r="G999" s="539"/>
      <c r="H999" s="121"/>
      <c r="I999">
        <f>E999*G984</f>
        <v>0</v>
      </c>
      <c r="J999" s="68"/>
      <c r="K999" s="56"/>
      <c r="L999" s="56"/>
      <c r="M999" s="56"/>
      <c r="N999" s="56"/>
      <c r="O999" s="56"/>
    </row>
    <row r="1000" spans="1:15" ht="21.75" customHeight="1">
      <c r="A1000" s="536" t="s">
        <v>4498</v>
      </c>
      <c r="B1000" s="537" t="str">
        <f>VLOOKUP(A1000,'Materiales '!$C$2:$F$1302,3,0)</f>
        <v>Und</v>
      </c>
      <c r="C1000" s="98" t="str">
        <f>VLOOKUP(A1000,'Materiales '!$C$2:$F$1302,3,0)</f>
        <v>Und</v>
      </c>
      <c r="D1000" s="99">
        <f>VLOOKUP(A1000,'Materiales '!$C$2:$F$1302,4,0)</f>
        <v>120309</v>
      </c>
      <c r="E1000" s="100">
        <v>0.5</v>
      </c>
      <c r="F1000" s="538">
        <f t="shared" si="58"/>
        <v>60154.5</v>
      </c>
      <c r="G1000" s="539"/>
      <c r="H1000" s="121"/>
      <c r="I1000">
        <f>E1000*G984</f>
        <v>0</v>
      </c>
      <c r="J1000" s="68"/>
      <c r="K1000" s="56"/>
      <c r="L1000" s="56"/>
      <c r="M1000" s="56"/>
      <c r="N1000" s="56"/>
      <c r="O1000" s="56"/>
    </row>
    <row r="1001" spans="1:15">
      <c r="A1001" s="536" t="s">
        <v>8</v>
      </c>
      <c r="B1001" s="537" t="str">
        <f>VLOOKUP(A1001,'Materiales '!$C$2:$F$1302,3,0)</f>
        <v>-</v>
      </c>
      <c r="C1001" s="98" t="str">
        <f>VLOOKUP(A1001,'Materiales '!$C$2:$F$1302,3,0)</f>
        <v>-</v>
      </c>
      <c r="D1001" s="99">
        <f>VLOOKUP(A1001,'Materiales '!$C$2:$F$1302,4,0)</f>
        <v>0</v>
      </c>
      <c r="E1001" s="100"/>
      <c r="F1001" s="538">
        <f>E1001*D1001</f>
        <v>0</v>
      </c>
      <c r="G1001" s="539"/>
      <c r="H1001" s="120"/>
      <c r="I1001">
        <f>E1001*G984</f>
        <v>0</v>
      </c>
      <c r="J1001" s="68"/>
      <c r="K1001" s="56"/>
      <c r="L1001" s="56"/>
      <c r="M1001" s="56"/>
      <c r="N1001" s="56"/>
      <c r="O1001" s="56"/>
    </row>
    <row r="1002" spans="1:15">
      <c r="A1002" s="536" t="s">
        <v>8</v>
      </c>
      <c r="B1002" s="537" t="str">
        <f>VLOOKUP(A1002,'Materiales '!$C$2:$F$1302,3,0)</f>
        <v>-</v>
      </c>
      <c r="C1002" s="98" t="str">
        <f>VLOOKUP(A1002,'Materiales '!$C$2:$F$1302,3,0)</f>
        <v>-</v>
      </c>
      <c r="D1002" s="99">
        <f>VLOOKUP(A1002,'Materiales '!$C$2:$F$1302,4,0)</f>
        <v>0</v>
      </c>
      <c r="E1002" s="100"/>
      <c r="F1002" s="538">
        <f t="shared" ref="F1002:F1005" si="59">E1002*D1002</f>
        <v>0</v>
      </c>
      <c r="G1002" s="539"/>
      <c r="H1002" s="121"/>
      <c r="I1002">
        <f>E1002*G984</f>
        <v>0</v>
      </c>
      <c r="J1002" s="68"/>
      <c r="K1002" s="56"/>
      <c r="L1002" s="56"/>
      <c r="M1002" s="56"/>
      <c r="N1002" s="56"/>
      <c r="O1002" s="56"/>
    </row>
    <row r="1003" spans="1:15">
      <c r="A1003" s="536" t="s">
        <v>8</v>
      </c>
      <c r="B1003" s="537" t="str">
        <f>VLOOKUP(A1003,'Materiales '!$C$2:$F$1302,3,0)</f>
        <v>-</v>
      </c>
      <c r="C1003" s="98" t="str">
        <f>VLOOKUP(A1003,'Materiales '!$C$2:$F$1302,3,0)</f>
        <v>-</v>
      </c>
      <c r="D1003" s="99">
        <f>VLOOKUP(A1003,'Materiales '!$C$2:$F$1302,4,0)</f>
        <v>0</v>
      </c>
      <c r="E1003" s="100"/>
      <c r="F1003" s="538">
        <f t="shared" si="59"/>
        <v>0</v>
      </c>
      <c r="G1003" s="539"/>
      <c r="H1003" s="121"/>
      <c r="I1003">
        <f>E1003*G984</f>
        <v>0</v>
      </c>
      <c r="J1003" s="68"/>
      <c r="K1003" s="56"/>
      <c r="L1003" s="56"/>
      <c r="M1003" s="56"/>
      <c r="N1003" s="56"/>
      <c r="O1003" s="56"/>
    </row>
    <row r="1004" spans="1:15">
      <c r="A1004" s="536" t="s">
        <v>8</v>
      </c>
      <c r="B1004" s="537" t="str">
        <f>VLOOKUP(A1004,'Materiales '!$C$2:$F$1302,3,0)</f>
        <v>-</v>
      </c>
      <c r="C1004" s="98" t="str">
        <f>VLOOKUP(A1004,'Materiales '!$C$2:$F$1302,3,0)</f>
        <v>-</v>
      </c>
      <c r="D1004" s="99">
        <f>VLOOKUP(A1004,'Materiales '!$C$2:$F$1302,4,0)</f>
        <v>0</v>
      </c>
      <c r="E1004" s="100"/>
      <c r="F1004" s="538">
        <f t="shared" si="59"/>
        <v>0</v>
      </c>
      <c r="G1004" s="539"/>
      <c r="H1004" s="121"/>
      <c r="I1004">
        <f>E1004*G984</f>
        <v>0</v>
      </c>
      <c r="J1004" s="68"/>
      <c r="K1004" s="56"/>
      <c r="L1004" s="56"/>
      <c r="M1004" s="56"/>
      <c r="N1004" s="56"/>
      <c r="O1004" s="56"/>
    </row>
    <row r="1005" spans="1:15">
      <c r="A1005" s="536" t="s">
        <v>8</v>
      </c>
      <c r="B1005" s="537" t="str">
        <f>VLOOKUP(A1005,'Materiales '!$C$2:$F$1302,3,0)</f>
        <v>-</v>
      </c>
      <c r="C1005" s="98" t="str">
        <f>VLOOKUP(A1005,'Materiales '!$C$2:$F$1302,3,0)</f>
        <v>-</v>
      </c>
      <c r="D1005" s="99">
        <f>VLOOKUP(A1005,'Materiales '!$C$2:$F$1302,4,0)</f>
        <v>0</v>
      </c>
      <c r="E1005" s="100"/>
      <c r="F1005" s="538">
        <f t="shared" si="59"/>
        <v>0</v>
      </c>
      <c r="G1005" s="539"/>
      <c r="H1005" s="121"/>
      <c r="I1005">
        <f>E1005*G984</f>
        <v>0</v>
      </c>
      <c r="J1005" s="68"/>
      <c r="K1005" s="56"/>
      <c r="L1005" s="56"/>
      <c r="M1005" s="56"/>
      <c r="N1005" s="56"/>
      <c r="O1005" s="56"/>
    </row>
    <row r="1006" spans="1:15">
      <c r="A1006" s="536" t="s">
        <v>8</v>
      </c>
      <c r="B1006" s="537" t="str">
        <f>VLOOKUP(A1006,'Materiales '!$C$2:$F$1302,3,0)</f>
        <v>-</v>
      </c>
      <c r="C1006" s="98" t="str">
        <f>VLOOKUP(A1006,'Materiales '!$C$2:$F$1302,3,0)</f>
        <v>-</v>
      </c>
      <c r="D1006" s="99">
        <f>VLOOKUP(A1006,'Materiales '!$C$2:$F$1302,4,0)</f>
        <v>0</v>
      </c>
      <c r="E1006" s="100"/>
      <c r="F1006" s="538">
        <f>E1006*D1006</f>
        <v>0</v>
      </c>
      <c r="G1006" s="539"/>
      <c r="H1006" s="120"/>
      <c r="I1006">
        <f>E1006*G984</f>
        <v>0</v>
      </c>
      <c r="J1006" s="68"/>
      <c r="K1006" s="56"/>
      <c r="L1006" s="56"/>
      <c r="M1006" s="56"/>
      <c r="N1006" s="56"/>
      <c r="O1006" s="56"/>
    </row>
    <row r="1007" spans="1:15" ht="16.5">
      <c r="A1007" s="540" t="s">
        <v>4099</v>
      </c>
      <c r="B1007" s="541"/>
      <c r="C1007" s="541"/>
      <c r="D1007" s="541"/>
      <c r="E1007" s="541"/>
      <c r="F1007" s="541"/>
      <c r="G1007" s="542"/>
      <c r="H1007" s="116">
        <f>SUM(F993:F1006)</f>
        <v>1069068.3976973635</v>
      </c>
      <c r="J1007" s="68"/>
      <c r="K1007" s="56"/>
      <c r="L1007" s="56"/>
      <c r="M1007" s="56"/>
      <c r="N1007" s="56"/>
      <c r="O1007" s="56"/>
    </row>
    <row r="1008" spans="1:15" ht="16.5">
      <c r="A1008" s="543" t="s">
        <v>4231</v>
      </c>
      <c r="B1008" s="544"/>
      <c r="C1008" s="544"/>
      <c r="D1008" s="544"/>
      <c r="E1008" s="545"/>
      <c r="F1008" s="544"/>
      <c r="G1008" s="544"/>
      <c r="H1008" s="546"/>
      <c r="J1008" s="68"/>
      <c r="K1008" s="56"/>
      <c r="L1008" s="56"/>
      <c r="M1008" s="56"/>
      <c r="N1008" s="56"/>
      <c r="O1008" s="56"/>
    </row>
    <row r="1009" spans="1:15">
      <c r="A1009" s="547" t="s">
        <v>7</v>
      </c>
      <c r="B1009" s="548"/>
      <c r="C1009" s="108" t="s">
        <v>4232</v>
      </c>
      <c r="D1009" s="107" t="s">
        <v>4233</v>
      </c>
      <c r="E1009" s="206" t="s">
        <v>4234</v>
      </c>
      <c r="F1009" s="549" t="s">
        <v>4218</v>
      </c>
      <c r="G1009" s="549"/>
      <c r="H1009" s="119"/>
      <c r="K1009" s="56"/>
      <c r="L1009" s="56"/>
      <c r="M1009" s="56"/>
      <c r="N1009" s="56"/>
      <c r="O1009" s="56"/>
    </row>
    <row r="1010" spans="1:15">
      <c r="A1010" s="550" t="s">
        <v>3928</v>
      </c>
      <c r="B1010" s="551"/>
      <c r="C1010" s="232">
        <v>1</v>
      </c>
      <c r="D1010" s="102">
        <v>0.03</v>
      </c>
      <c r="E1010" s="103">
        <f>VLOOKUP(A1010,'Equip, Herr y Transp'!$B$2:$D$218,3,0)</f>
        <v>160000</v>
      </c>
      <c r="F1010" s="552">
        <f>E1010*D1010*C1010</f>
        <v>4800</v>
      </c>
      <c r="G1010" s="553"/>
      <c r="H1010" s="117"/>
      <c r="M1010" s="56"/>
    </row>
    <row r="1011" spans="1:15" ht="16.5">
      <c r="A1011" s="554" t="s">
        <v>4216</v>
      </c>
      <c r="B1011" s="555"/>
      <c r="C1011" s="555"/>
      <c r="D1011" s="555"/>
      <c r="E1011" s="555"/>
      <c r="F1011" s="555"/>
      <c r="G1011" s="555"/>
      <c r="H1011" s="105">
        <f>F1010</f>
        <v>4800</v>
      </c>
    </row>
    <row r="1012" spans="1:15" ht="16.5">
      <c r="A1012" s="543" t="s">
        <v>4235</v>
      </c>
      <c r="B1012" s="544"/>
      <c r="C1012" s="544"/>
      <c r="D1012" s="544"/>
      <c r="E1012" s="544"/>
      <c r="F1012" s="544"/>
      <c r="G1012" s="544"/>
      <c r="H1012" s="546"/>
    </row>
    <row r="1013" spans="1:15">
      <c r="A1013" s="547" t="s">
        <v>7</v>
      </c>
      <c r="B1013" s="548"/>
      <c r="C1013" s="106" t="s">
        <v>1</v>
      </c>
      <c r="D1013" s="107" t="s">
        <v>4236</v>
      </c>
      <c r="E1013" s="108" t="s">
        <v>4215</v>
      </c>
      <c r="F1013" s="547" t="s">
        <v>5</v>
      </c>
      <c r="G1013" s="556"/>
      <c r="H1013" s="119"/>
    </row>
    <row r="1014" spans="1:15">
      <c r="A1014" s="550" t="s">
        <v>4196</v>
      </c>
      <c r="B1014" s="551"/>
      <c r="C1014" s="101">
        <v>1</v>
      </c>
      <c r="D1014" s="104">
        <f>VLOOKUP(A1014,'Mano Obra'!$B$2:$T$117,19,0)</f>
        <v>166624</v>
      </c>
      <c r="E1014" s="246">
        <f>H977</f>
        <v>6.25E-2</v>
      </c>
      <c r="F1014" s="538">
        <f>E1014*D1014*C1014</f>
        <v>10414</v>
      </c>
      <c r="G1014" s="557"/>
      <c r="H1014" s="121"/>
      <c r="I1014" s="69"/>
      <c r="J1014" s="136">
        <f>((('Mano Obra'!$M$4/30)*F1014)/D1014)*G984</f>
        <v>0</v>
      </c>
    </row>
    <row r="1015" spans="1:15">
      <c r="A1015" s="558" t="s">
        <v>4197</v>
      </c>
      <c r="B1015" s="559">
        <f>VLOOKUP(A1015,'Mano Obra'!$B$3:$D$290,2,0)</f>
        <v>2090000.0000000002</v>
      </c>
      <c r="C1015" s="101">
        <v>1</v>
      </c>
      <c r="D1015" s="104">
        <f>VLOOKUP(A1015,'Mano Obra'!$B$2:$T$117,19,0)</f>
        <v>120456</v>
      </c>
      <c r="E1015" s="246">
        <f>H977</f>
        <v>6.25E-2</v>
      </c>
      <c r="F1015" s="538">
        <f t="shared" ref="F1015:F1016" si="60">E1015*D1015*C1015</f>
        <v>7528.5</v>
      </c>
      <c r="G1015" s="557"/>
      <c r="H1015" s="121"/>
      <c r="J1015" s="136">
        <f>((('Mano Obra'!$M$5/30)*F1015)/D1015)*G984</f>
        <v>0</v>
      </c>
    </row>
    <row r="1016" spans="1:15">
      <c r="A1016" s="558" t="s">
        <v>4186</v>
      </c>
      <c r="B1016" s="559">
        <f>VLOOKUP(A1016,'Mano Obra'!$B$3:$D$290,2,0)</f>
        <v>1100000</v>
      </c>
      <c r="C1016" s="101">
        <v>1</v>
      </c>
      <c r="D1016" s="104">
        <f>VLOOKUP(A1016,'Mano Obra'!$B$2:$T$117,19,0)</f>
        <v>72664</v>
      </c>
      <c r="E1016" s="246">
        <f>H977</f>
        <v>6.25E-2</v>
      </c>
      <c r="F1016" s="538">
        <f t="shared" si="60"/>
        <v>4541.5</v>
      </c>
      <c r="G1016" s="557"/>
      <c r="H1016" s="120"/>
      <c r="J1016" s="136">
        <f>((('Mano Obra'!$M$6/30)*F1016)/D1016)*G984</f>
        <v>0</v>
      </c>
    </row>
    <row r="1017" spans="1:15" ht="16.5">
      <c r="A1017" s="560" t="s">
        <v>4101</v>
      </c>
      <c r="B1017" s="560"/>
      <c r="C1017" s="560"/>
      <c r="D1017" s="560"/>
      <c r="E1017" s="560"/>
      <c r="F1017" s="560"/>
      <c r="G1017" s="560"/>
      <c r="H1017" s="105">
        <f>SUM(F1014:F1016)</f>
        <v>22484</v>
      </c>
      <c r="J1017" s="136"/>
    </row>
    <row r="1018" spans="1:15">
      <c r="A1018" s="227" t="s">
        <v>4237</v>
      </c>
      <c r="B1018" s="205"/>
      <c r="C1018" s="205"/>
      <c r="D1018" s="202"/>
      <c r="E1018" s="203"/>
      <c r="F1018" s="204"/>
      <c r="G1018" s="203"/>
      <c r="H1018" s="212"/>
    </row>
    <row r="1019" spans="1:15">
      <c r="A1019" s="561" t="s">
        <v>4224</v>
      </c>
      <c r="B1019" s="562"/>
      <c r="C1019" s="562"/>
      <c r="D1019" s="562"/>
      <c r="E1019" s="200"/>
      <c r="F1019" s="201" t="s">
        <v>4238</v>
      </c>
      <c r="G1019" s="200" t="s">
        <v>4239</v>
      </c>
      <c r="H1019" s="213"/>
    </row>
    <row r="1020" spans="1:15">
      <c r="A1020" s="223" t="s">
        <v>4097</v>
      </c>
      <c r="B1020" s="72"/>
      <c r="C1020" s="72"/>
      <c r="D1020" s="73"/>
      <c r="E1020" s="78"/>
      <c r="F1020" s="79">
        <v>0</v>
      </c>
      <c r="G1020" s="80">
        <f>F1020*H985</f>
        <v>0</v>
      </c>
      <c r="H1020" s="212"/>
    </row>
    <row r="1021" spans="1:15">
      <c r="A1021" s="224" t="s">
        <v>4240</v>
      </c>
      <c r="B1021" s="81"/>
      <c r="C1021" s="81"/>
      <c r="D1021" s="82"/>
      <c r="E1021" s="78"/>
      <c r="F1021" s="79">
        <v>0</v>
      </c>
      <c r="G1021" s="80">
        <f>F1021*H985</f>
        <v>0</v>
      </c>
      <c r="H1021" s="212"/>
    </row>
    <row r="1022" spans="1:15">
      <c r="A1022" s="224" t="s">
        <v>4</v>
      </c>
      <c r="B1022" s="81"/>
      <c r="C1022" s="81"/>
      <c r="D1022" s="82"/>
      <c r="E1022" s="78"/>
      <c r="F1022" s="79">
        <v>0</v>
      </c>
      <c r="G1022" s="80">
        <f>F1022*H985</f>
        <v>0</v>
      </c>
      <c r="H1022" s="212"/>
    </row>
    <row r="1023" spans="1:15">
      <c r="A1023" s="225"/>
      <c r="B1023" s="83"/>
      <c r="C1023" s="75"/>
      <c r="D1023" s="84"/>
      <c r="E1023" s="85"/>
      <c r="F1023" s="86"/>
      <c r="G1023" s="87"/>
      <c r="H1023" s="214"/>
    </row>
    <row r="1024" spans="1:15">
      <c r="A1024" s="226"/>
      <c r="B1024" s="83"/>
      <c r="C1024" s="83"/>
      <c r="D1024" s="84"/>
      <c r="E1024" s="88"/>
      <c r="F1024" s="563" t="s">
        <v>4241</v>
      </c>
      <c r="G1024" s="564"/>
      <c r="H1024" s="233">
        <f>H985+G1020+G1021+G1022</f>
        <v>1100386.9289473635</v>
      </c>
    </row>
    <row r="1025" spans="1:14" ht="15.75" customHeight="1">
      <c r="A1025" s="83"/>
      <c r="B1025" s="83"/>
      <c r="C1025" s="83"/>
      <c r="D1025" s="84"/>
      <c r="E1025" s="388"/>
      <c r="F1025" s="389"/>
      <c r="G1025" s="389"/>
      <c r="H1025" s="390"/>
    </row>
    <row r="1026" spans="1:14" ht="16.5">
      <c r="A1026" s="90"/>
      <c r="B1026" s="90"/>
      <c r="C1026" s="90"/>
      <c r="D1026" s="90"/>
      <c r="E1026" s="90"/>
      <c r="F1026" s="90"/>
      <c r="G1026" s="90"/>
      <c r="H1026" s="381"/>
    </row>
    <row r="1027" spans="1:14">
      <c r="A1027" s="579" t="s">
        <v>4225</v>
      </c>
      <c r="B1027" s="580"/>
      <c r="C1027" s="580"/>
      <c r="D1027" s="580"/>
      <c r="E1027" s="580"/>
      <c r="F1027" s="580"/>
      <c r="G1027" s="580"/>
      <c r="H1027" s="581"/>
    </row>
    <row r="1028" spans="1:14" ht="16.5">
      <c r="A1028" s="91"/>
      <c r="B1028" s="92"/>
      <c r="C1028" s="92"/>
      <c r="D1028" s="92"/>
      <c r="E1028" s="92"/>
      <c r="F1028" s="93"/>
      <c r="G1028" s="94"/>
      <c r="H1028" s="380">
        <f>ROUND((30/60)/8,4)</f>
        <v>6.25E-2</v>
      </c>
      <c r="I1028" s="115"/>
    </row>
    <row r="1029" spans="1:14">
      <c r="A1029" s="582" t="s">
        <v>4220</v>
      </c>
      <c r="B1029" s="584" t="str">
        <f>COSTOS!$C$14</f>
        <v>MODERNIZACION A TECNOLOGIA LED</v>
      </c>
      <c r="C1029" s="584"/>
      <c r="D1029" s="584"/>
      <c r="E1029" s="584"/>
      <c r="F1029" s="584"/>
      <c r="G1029" s="584"/>
      <c r="H1029" s="585" t="s">
        <v>4221</v>
      </c>
    </row>
    <row r="1030" spans="1:14">
      <c r="A1030" s="583"/>
      <c r="B1030" s="584"/>
      <c r="C1030" s="584"/>
      <c r="D1030" s="584"/>
      <c r="E1030" s="584"/>
      <c r="F1030" s="584"/>
      <c r="G1030" s="584"/>
      <c r="H1030" s="585"/>
    </row>
    <row r="1031" spans="1:14">
      <c r="A1031" s="583"/>
      <c r="B1031" s="584"/>
      <c r="C1031" s="584"/>
      <c r="D1031" s="584"/>
      <c r="E1031" s="584"/>
      <c r="F1031" s="584"/>
      <c r="G1031" s="584"/>
      <c r="H1031" s="585"/>
    </row>
    <row r="1032" spans="1:14" ht="15" customHeight="1">
      <c r="A1032" s="583"/>
      <c r="B1032" s="584"/>
      <c r="C1032" s="584"/>
      <c r="D1032" s="584"/>
      <c r="E1032" s="584"/>
      <c r="F1032" s="584"/>
      <c r="G1032" s="584"/>
      <c r="H1032" s="216">
        <f ca="1">TODAY()</f>
        <v>44889</v>
      </c>
      <c r="K1032" t="s">
        <v>4391</v>
      </c>
      <c r="L1032" t="s">
        <v>4392</v>
      </c>
      <c r="M1032" t="s">
        <v>4393</v>
      </c>
      <c r="N1032" t="s">
        <v>4394</v>
      </c>
    </row>
    <row r="1033" spans="1:14" ht="60.75" customHeight="1">
      <c r="A1033" s="228" t="s">
        <v>4222</v>
      </c>
      <c r="B1033" s="565" t="str">
        <f>COSTOS!$D$16</f>
        <v>Luminarias</v>
      </c>
      <c r="C1033" s="565"/>
      <c r="D1033" s="565"/>
      <c r="E1033" s="565"/>
      <c r="F1033" s="565"/>
      <c r="G1033" s="70" t="s">
        <v>4223</v>
      </c>
      <c r="H1033" s="391">
        <v>1.21</v>
      </c>
      <c r="K1033" s="62">
        <f>H1058</f>
        <v>2047898.198461008</v>
      </c>
      <c r="L1033" s="62">
        <f>H1068</f>
        <v>22484</v>
      </c>
      <c r="M1033" s="62">
        <f>H1041</f>
        <v>4034.53125</v>
      </c>
      <c r="N1033" s="62">
        <f>H1062</f>
        <v>4800</v>
      </c>
    </row>
    <row r="1034" spans="1:14" ht="43.15" customHeight="1">
      <c r="A1034" s="229" t="s">
        <v>4224</v>
      </c>
      <c r="B1034" s="566" t="str">
        <f>VLOOKUP(H1033,COSTOS!C:M,2,0)</f>
        <v>Reflector Metal Halide 1000w</v>
      </c>
      <c r="C1034" s="567"/>
      <c r="D1034" s="567"/>
      <c r="E1034" s="568"/>
      <c r="F1034" s="71" t="s">
        <v>0</v>
      </c>
      <c r="G1034" s="356" t="str">
        <f>VLOOKUP(H1033,COSTOS!C:M,8,0)</f>
        <v>Und</v>
      </c>
      <c r="H1034" s="276"/>
      <c r="I1034" s="306"/>
      <c r="J1034" s="308"/>
      <c r="K1034" s="308"/>
      <c r="L1034" s="308"/>
    </row>
    <row r="1035" spans="1:14">
      <c r="A1035" s="230"/>
      <c r="B1035" s="112"/>
      <c r="C1035" s="112"/>
      <c r="D1035" s="112"/>
      <c r="E1035" s="113"/>
      <c r="F1035" s="114" t="s">
        <v>1</v>
      </c>
      <c r="G1035" s="356">
        <f>VLOOKUP(H1033,COSTOS!C:M,9,0)</f>
        <v>0</v>
      </c>
      <c r="H1035" s="357"/>
      <c r="I1035" s="307"/>
    </row>
    <row r="1036" spans="1:14" ht="16.5">
      <c r="A1036" s="231" t="s">
        <v>4226</v>
      </c>
      <c r="B1036" s="75"/>
      <c r="C1036" s="75"/>
      <c r="D1036" s="76"/>
      <c r="E1036" s="209"/>
      <c r="F1036" s="210"/>
      <c r="G1036" s="211" t="s">
        <v>4227</v>
      </c>
      <c r="H1036" s="217">
        <f>H1041+H1058+H1062+H1068</f>
        <v>2079216.729711008</v>
      </c>
    </row>
    <row r="1037" spans="1:14" ht="39">
      <c r="A1037" s="569" t="s">
        <v>4224</v>
      </c>
      <c r="B1037" s="569"/>
      <c r="C1037" s="569"/>
      <c r="D1037" s="77" t="s">
        <v>0</v>
      </c>
      <c r="E1037" s="207" t="s">
        <v>4228</v>
      </c>
      <c r="F1037" s="208" t="s">
        <v>4215</v>
      </c>
      <c r="G1037" s="74" t="s">
        <v>2</v>
      </c>
      <c r="H1037" s="218" t="s">
        <v>4229</v>
      </c>
      <c r="K1037" s="309"/>
    </row>
    <row r="1038" spans="1:14">
      <c r="A1038" s="536" t="s">
        <v>3946</v>
      </c>
      <c r="B1038" s="570" t="str">
        <f>VLOOKUP(A1038,'Equip, Herr y Transp'!$B$2:$D$739,2,0)</f>
        <v>EQU</v>
      </c>
      <c r="C1038" s="570"/>
      <c r="D1038" s="95" t="str">
        <f>VLOOKUP(A1038,'Equip, Herr y Transp'!$B$2:$D$218,2,0)</f>
        <v>EQU</v>
      </c>
      <c r="E1038" s="95">
        <f>VLOOKUP(A1038,'Equip, Herr y Transp'!$B$2:$D$218,3,0)</f>
        <v>14130</v>
      </c>
      <c r="F1038" s="96">
        <f>H1028</f>
        <v>6.25E-2</v>
      </c>
      <c r="G1038" s="122">
        <f>F1038*E1038</f>
        <v>883.125</v>
      </c>
      <c r="H1038" s="118"/>
    </row>
    <row r="1039" spans="1:14">
      <c r="A1039" s="536" t="s">
        <v>3904</v>
      </c>
      <c r="B1039" s="570" t="str">
        <f>VLOOKUP(A1039,'Equip, Herr y Transp'!$B$2:$D$739,2,0)</f>
        <v>EQU</v>
      </c>
      <c r="C1039" s="570"/>
      <c r="D1039" s="95" t="str">
        <f>VLOOKUP(A1039,'Equip, Herr y Transp'!$B$2:$D$218,2,0)</f>
        <v>EQU</v>
      </c>
      <c r="E1039" s="95">
        <f>VLOOKUP(A1039,'Equip, Herr y Transp'!$B$2:$D$218,3,0)</f>
        <v>26672.5</v>
      </c>
      <c r="F1039" s="96">
        <f>H1028</f>
        <v>6.25E-2</v>
      </c>
      <c r="G1039" s="122">
        <f>F1039*E1039</f>
        <v>1667.03125</v>
      </c>
      <c r="H1039" s="117"/>
    </row>
    <row r="1040" spans="1:14">
      <c r="A1040" s="536" t="s">
        <v>3937</v>
      </c>
      <c r="B1040" s="570" t="str">
        <f>VLOOKUP(A1040,'Equip, Herr y Transp'!$B$2:$D$739,2,0)</f>
        <v>EQU</v>
      </c>
      <c r="C1040" s="570"/>
      <c r="D1040" s="95" t="str">
        <f>VLOOKUP(A1040,'Equip, Herr y Transp'!$B$2:$D$218,2,0)</f>
        <v>EQU</v>
      </c>
      <c r="E1040" s="95">
        <f>VLOOKUP(A1040,'Equip, Herr y Transp'!$B$2:$D$218,3,0)</f>
        <v>23750</v>
      </c>
      <c r="F1040" s="96">
        <f>H1028</f>
        <v>6.25E-2</v>
      </c>
      <c r="G1040" s="122">
        <f>F1040*E1040</f>
        <v>1484.375</v>
      </c>
      <c r="H1040" s="117"/>
    </row>
    <row r="1041" spans="1:15" ht="16.5">
      <c r="A1041" s="540" t="s">
        <v>4100</v>
      </c>
      <c r="B1041" s="541"/>
      <c r="C1041" s="541"/>
      <c r="D1041" s="541"/>
      <c r="E1041" s="541"/>
      <c r="F1041" s="541"/>
      <c r="G1041" s="541"/>
      <c r="H1041" s="97">
        <f>SUM(G1038:G1040)</f>
        <v>4034.53125</v>
      </c>
    </row>
    <row r="1042" spans="1:15" ht="16.5">
      <c r="A1042" s="571" t="s">
        <v>4230</v>
      </c>
      <c r="B1042" s="572"/>
      <c r="C1042" s="572"/>
      <c r="D1042" s="572"/>
      <c r="E1042" s="572"/>
      <c r="F1042" s="572"/>
      <c r="G1042" s="572"/>
      <c r="H1042" s="573"/>
      <c r="K1042" s="56"/>
      <c r="L1042" s="56"/>
      <c r="M1042" s="56"/>
      <c r="N1042" s="56"/>
      <c r="O1042" s="56"/>
    </row>
    <row r="1043" spans="1:15" ht="30" customHeight="1">
      <c r="A1043" s="574" t="s">
        <v>7</v>
      </c>
      <c r="B1043" s="575"/>
      <c r="C1043" s="109" t="s">
        <v>0</v>
      </c>
      <c r="D1043" s="110" t="s">
        <v>4098</v>
      </c>
      <c r="E1043" s="111" t="s">
        <v>1</v>
      </c>
      <c r="F1043" s="576" t="s">
        <v>4218</v>
      </c>
      <c r="G1043" s="576"/>
      <c r="H1043" s="215"/>
      <c r="K1043" s="56"/>
      <c r="L1043" s="56"/>
      <c r="M1043" s="56"/>
      <c r="N1043" s="56"/>
      <c r="O1043" s="56"/>
    </row>
    <row r="1044" spans="1:15">
      <c r="A1044" s="577" t="s">
        <v>4673</v>
      </c>
      <c r="B1044" s="578"/>
      <c r="C1044" s="98" t="str">
        <f>VLOOKUP(A1044,'Materiales '!$C$2:$F$1302,3,0)</f>
        <v>Und</v>
      </c>
      <c r="D1044" s="99">
        <f>VLOOKUP(A1044,'Materiales '!$C$2:$F$1302,4,0)</f>
        <v>1884804.6524610082</v>
      </c>
      <c r="E1044" s="100">
        <v>1</v>
      </c>
      <c r="F1044" s="538">
        <f>E1044*D1044</f>
        <v>1884804.6524610082</v>
      </c>
      <c r="G1044" s="539"/>
      <c r="H1044" s="121"/>
      <c r="I1044">
        <f>E1044*G1035</f>
        <v>0</v>
      </c>
      <c r="J1044" s="67"/>
      <c r="K1044" s="56"/>
      <c r="L1044" s="56"/>
      <c r="M1044" s="56"/>
      <c r="N1044" s="56"/>
      <c r="O1044" s="56"/>
    </row>
    <row r="1045" spans="1:15">
      <c r="A1045" s="577" t="s">
        <v>4214</v>
      </c>
      <c r="B1045" s="578"/>
      <c r="C1045" s="98" t="str">
        <f>VLOOKUP(A1045,'Materiales '!$C$2:$F$1302,3,0)</f>
        <v>Und</v>
      </c>
      <c r="D1045" s="99">
        <f>VLOOKUP(A1045,'Materiales '!$C$2:$F$1302,4,0)</f>
        <v>22848</v>
      </c>
      <c r="E1045" s="100">
        <v>1</v>
      </c>
      <c r="F1045" s="538">
        <f t="shared" ref="F1045:F1051" si="61">E1045*D1045</f>
        <v>22848</v>
      </c>
      <c r="G1045" s="539"/>
      <c r="H1045" s="121"/>
      <c r="I1045">
        <f>E1045*G1035</f>
        <v>0</v>
      </c>
      <c r="J1045" s="67"/>
      <c r="K1045" s="56"/>
      <c r="L1045" s="56"/>
      <c r="M1045" s="56"/>
      <c r="N1045" s="56"/>
      <c r="O1045" s="56"/>
    </row>
    <row r="1046" spans="1:15">
      <c r="A1046" s="536" t="s">
        <v>4484</v>
      </c>
      <c r="B1046" s="537" t="str">
        <f>VLOOKUP(A1046,'Materiales '!$C$2:$F$1302,3,0)</f>
        <v>Und</v>
      </c>
      <c r="C1046" s="98" t="str">
        <f>VLOOKUP(A1046,'Materiales '!$C$2:$F$1302,3,0)</f>
        <v>Und</v>
      </c>
      <c r="D1046" s="99">
        <f>VLOOKUP(A1046,'Materiales '!$C$2:$F$1302,4,0)</f>
        <v>21705.599999999999</v>
      </c>
      <c r="E1046" s="100">
        <v>2</v>
      </c>
      <c r="F1046" s="538">
        <f t="shared" si="61"/>
        <v>43411.199999999997</v>
      </c>
      <c r="G1046" s="539"/>
      <c r="H1046" s="121"/>
      <c r="I1046">
        <f>E1046*G1035</f>
        <v>0</v>
      </c>
      <c r="J1046" s="68"/>
      <c r="K1046" s="56"/>
      <c r="L1046" s="56"/>
      <c r="M1046" s="56"/>
      <c r="N1046" s="56"/>
      <c r="O1046" s="56"/>
    </row>
    <row r="1047" spans="1:15">
      <c r="A1047" s="536" t="s">
        <v>4489</v>
      </c>
      <c r="B1047" s="537" t="str">
        <f>VLOOKUP(A1047,'Materiales '!$C$2:$F$1302,3,0)</f>
        <v>Und</v>
      </c>
      <c r="C1047" s="98" t="str">
        <f>VLOOKUP(A1047,'Materiales '!$C$2:$F$1302,3,0)</f>
        <v>Und</v>
      </c>
      <c r="D1047" s="99">
        <f>VLOOKUP(A1047,'Materiales '!$C$2:$F$1302,4,0)</f>
        <v>8039.6399999999994</v>
      </c>
      <c r="E1047" s="100">
        <v>3</v>
      </c>
      <c r="F1047" s="538">
        <f t="shared" si="61"/>
        <v>24118.92</v>
      </c>
      <c r="G1047" s="539"/>
      <c r="H1047" s="121"/>
      <c r="I1047">
        <f>E1047*G1035</f>
        <v>0</v>
      </c>
      <c r="J1047" s="68"/>
      <c r="K1047" s="56"/>
      <c r="L1047" s="56"/>
      <c r="M1047" s="56"/>
      <c r="N1047" s="56"/>
      <c r="O1047" s="56"/>
    </row>
    <row r="1048" spans="1:15">
      <c r="A1048" s="536" t="s">
        <v>4554</v>
      </c>
      <c r="B1048" s="537" t="str">
        <f>VLOOKUP(A1048,'Materiales '!$C$2:$F$1302,3,0)</f>
        <v>Und</v>
      </c>
      <c r="C1048" s="98" t="str">
        <f>VLOOKUP(A1048,'Materiales '!$C$2:$F$1302,3,0)</f>
        <v>Und</v>
      </c>
      <c r="D1048" s="99">
        <f>VLOOKUP(A1048,'Materiales '!$C$2:$F$1302,4,0)</f>
        <v>2535.5329999999999</v>
      </c>
      <c r="E1048" s="100">
        <v>2</v>
      </c>
      <c r="F1048" s="538">
        <f t="shared" si="61"/>
        <v>5071.0659999999998</v>
      </c>
      <c r="G1048" s="539"/>
      <c r="H1048" s="121"/>
      <c r="I1048">
        <f>E1048*G1035</f>
        <v>0</v>
      </c>
      <c r="J1048" s="68"/>
      <c r="K1048" s="56"/>
      <c r="L1048" s="56"/>
      <c r="M1048" s="56"/>
      <c r="N1048" s="56"/>
      <c r="O1048" s="56"/>
    </row>
    <row r="1049" spans="1:15">
      <c r="A1049" s="536" t="s">
        <v>4450</v>
      </c>
      <c r="B1049" s="537" t="str">
        <f>VLOOKUP(A1049,'Materiales '!$C$2:$F$1302,3,0)</f>
        <v>Ml</v>
      </c>
      <c r="C1049" s="98" t="str">
        <f>VLOOKUP(A1049,'Materiales '!$C$2:$F$1302,3,0)</f>
        <v>Ml</v>
      </c>
      <c r="D1049" s="99">
        <f>VLOOKUP(A1049,'Materiales '!$C$2:$F$1302,4,0)</f>
        <v>6791.5679999999993</v>
      </c>
      <c r="E1049" s="100">
        <v>1</v>
      </c>
      <c r="F1049" s="538">
        <f t="shared" si="61"/>
        <v>6791.5679999999993</v>
      </c>
      <c r="G1049" s="539"/>
      <c r="H1049" s="121"/>
      <c r="I1049">
        <f>E1049*G1035</f>
        <v>0</v>
      </c>
      <c r="J1049" s="68"/>
      <c r="K1049" s="56"/>
      <c r="L1049" s="56"/>
      <c r="M1049" s="56"/>
      <c r="N1049" s="56"/>
      <c r="O1049" s="56"/>
    </row>
    <row r="1050" spans="1:15">
      <c r="A1050" s="536" t="s">
        <v>4493</v>
      </c>
      <c r="B1050" s="537" t="str">
        <f>VLOOKUP(A1050,'Materiales '!$C$2:$F$1302,3,0)</f>
        <v>Und</v>
      </c>
      <c r="C1050" s="98" t="str">
        <f>VLOOKUP(A1050,'Materiales '!$C$2:$F$1302,3,0)</f>
        <v>Und</v>
      </c>
      <c r="D1050" s="99">
        <f>VLOOKUP(A1050,'Materiales '!$C$2:$F$1302,4,0)</f>
        <v>232.76399999999998</v>
      </c>
      <c r="E1050" s="100">
        <v>3</v>
      </c>
      <c r="F1050" s="538">
        <f t="shared" si="61"/>
        <v>698.29199999999992</v>
      </c>
      <c r="G1050" s="539"/>
      <c r="H1050" s="121"/>
      <c r="I1050">
        <f>E1050*G1035</f>
        <v>0</v>
      </c>
      <c r="J1050" s="68"/>
      <c r="K1050" s="56"/>
      <c r="L1050" s="56"/>
      <c r="M1050" s="56"/>
      <c r="N1050" s="56"/>
      <c r="O1050" s="56"/>
    </row>
    <row r="1051" spans="1:15" ht="21.75" customHeight="1">
      <c r="A1051" s="536" t="s">
        <v>4498</v>
      </c>
      <c r="B1051" s="537" t="str">
        <f>VLOOKUP(A1051,'Materiales '!$C$2:$F$1302,3,0)</f>
        <v>Und</v>
      </c>
      <c r="C1051" s="98" t="str">
        <f>VLOOKUP(A1051,'Materiales '!$C$2:$F$1302,3,0)</f>
        <v>Und</v>
      </c>
      <c r="D1051" s="99">
        <f>VLOOKUP(A1051,'Materiales '!$C$2:$F$1302,4,0)</f>
        <v>120309</v>
      </c>
      <c r="E1051" s="100">
        <v>0.5</v>
      </c>
      <c r="F1051" s="538">
        <f t="shared" si="61"/>
        <v>60154.5</v>
      </c>
      <c r="G1051" s="539"/>
      <c r="H1051" s="121"/>
      <c r="I1051">
        <f>E1051*G1035</f>
        <v>0</v>
      </c>
      <c r="J1051" s="68"/>
      <c r="K1051" s="56"/>
      <c r="L1051" s="56"/>
      <c r="M1051" s="56"/>
      <c r="N1051" s="56"/>
      <c r="O1051" s="56"/>
    </row>
    <row r="1052" spans="1:15">
      <c r="A1052" s="536" t="s">
        <v>8</v>
      </c>
      <c r="B1052" s="537" t="str">
        <f>VLOOKUP(A1052,'Materiales '!$C$2:$F$1302,3,0)</f>
        <v>-</v>
      </c>
      <c r="C1052" s="98" t="str">
        <f>VLOOKUP(A1052,'Materiales '!$C$2:$F$1302,3,0)</f>
        <v>-</v>
      </c>
      <c r="D1052" s="99">
        <f>VLOOKUP(A1052,'Materiales '!$C$2:$F$1302,4,0)</f>
        <v>0</v>
      </c>
      <c r="E1052" s="100"/>
      <c r="F1052" s="538">
        <f>E1052*D1052</f>
        <v>0</v>
      </c>
      <c r="G1052" s="539"/>
      <c r="H1052" s="120"/>
      <c r="I1052">
        <f>E1052*G1035</f>
        <v>0</v>
      </c>
      <c r="J1052" s="68"/>
      <c r="K1052" s="56"/>
      <c r="L1052" s="56"/>
      <c r="M1052" s="56"/>
      <c r="N1052" s="56"/>
      <c r="O1052" s="56"/>
    </row>
    <row r="1053" spans="1:15">
      <c r="A1053" s="536" t="s">
        <v>8</v>
      </c>
      <c r="B1053" s="537" t="str">
        <f>VLOOKUP(A1053,'Materiales '!$C$2:$F$1302,3,0)</f>
        <v>-</v>
      </c>
      <c r="C1053" s="98" t="str">
        <f>VLOOKUP(A1053,'Materiales '!$C$2:$F$1302,3,0)</f>
        <v>-</v>
      </c>
      <c r="D1053" s="99">
        <f>VLOOKUP(A1053,'Materiales '!$C$2:$F$1302,4,0)</f>
        <v>0</v>
      </c>
      <c r="E1053" s="100"/>
      <c r="F1053" s="538">
        <f t="shared" ref="F1053:F1056" si="62">E1053*D1053</f>
        <v>0</v>
      </c>
      <c r="G1053" s="539"/>
      <c r="H1053" s="121"/>
      <c r="I1053">
        <f>E1053*G1035</f>
        <v>0</v>
      </c>
      <c r="J1053" s="68"/>
      <c r="K1053" s="56"/>
      <c r="L1053" s="56"/>
      <c r="M1053" s="56"/>
      <c r="N1053" s="56"/>
      <c r="O1053" s="56"/>
    </row>
    <row r="1054" spans="1:15">
      <c r="A1054" s="536" t="s">
        <v>8</v>
      </c>
      <c r="B1054" s="537" t="str">
        <f>VLOOKUP(A1054,'Materiales '!$C$2:$F$1302,3,0)</f>
        <v>-</v>
      </c>
      <c r="C1054" s="98" t="str">
        <f>VLOOKUP(A1054,'Materiales '!$C$2:$F$1302,3,0)</f>
        <v>-</v>
      </c>
      <c r="D1054" s="99">
        <f>VLOOKUP(A1054,'Materiales '!$C$2:$F$1302,4,0)</f>
        <v>0</v>
      </c>
      <c r="E1054" s="100"/>
      <c r="F1054" s="538">
        <f t="shared" si="62"/>
        <v>0</v>
      </c>
      <c r="G1054" s="539"/>
      <c r="H1054" s="121"/>
      <c r="I1054">
        <f>E1054*G1035</f>
        <v>0</v>
      </c>
      <c r="J1054" s="68"/>
      <c r="K1054" s="56"/>
      <c r="L1054" s="56"/>
      <c r="M1054" s="56"/>
      <c r="N1054" s="56"/>
      <c r="O1054" s="56"/>
    </row>
    <row r="1055" spans="1:15">
      <c r="A1055" s="536" t="s">
        <v>8</v>
      </c>
      <c r="B1055" s="537" t="str">
        <f>VLOOKUP(A1055,'Materiales '!$C$2:$F$1302,3,0)</f>
        <v>-</v>
      </c>
      <c r="C1055" s="98" t="str">
        <f>VLOOKUP(A1055,'Materiales '!$C$2:$F$1302,3,0)</f>
        <v>-</v>
      </c>
      <c r="D1055" s="99">
        <f>VLOOKUP(A1055,'Materiales '!$C$2:$F$1302,4,0)</f>
        <v>0</v>
      </c>
      <c r="E1055" s="100"/>
      <c r="F1055" s="538">
        <f t="shared" si="62"/>
        <v>0</v>
      </c>
      <c r="G1055" s="539"/>
      <c r="H1055" s="121"/>
      <c r="I1055">
        <f>E1055*G1035</f>
        <v>0</v>
      </c>
      <c r="J1055" s="68"/>
      <c r="K1055" s="56"/>
      <c r="L1055" s="56"/>
      <c r="M1055" s="56"/>
      <c r="N1055" s="56"/>
      <c r="O1055" s="56"/>
    </row>
    <row r="1056" spans="1:15">
      <c r="A1056" s="536" t="s">
        <v>8</v>
      </c>
      <c r="B1056" s="537" t="str">
        <f>VLOOKUP(A1056,'Materiales '!$C$2:$F$1302,3,0)</f>
        <v>-</v>
      </c>
      <c r="C1056" s="98" t="str">
        <f>VLOOKUP(A1056,'Materiales '!$C$2:$F$1302,3,0)</f>
        <v>-</v>
      </c>
      <c r="D1056" s="99">
        <f>VLOOKUP(A1056,'Materiales '!$C$2:$F$1302,4,0)</f>
        <v>0</v>
      </c>
      <c r="E1056" s="100"/>
      <c r="F1056" s="538">
        <f t="shared" si="62"/>
        <v>0</v>
      </c>
      <c r="G1056" s="539"/>
      <c r="H1056" s="121"/>
      <c r="I1056">
        <f>E1056*G1035</f>
        <v>0</v>
      </c>
      <c r="J1056" s="68"/>
      <c r="K1056" s="56"/>
      <c r="L1056" s="56"/>
      <c r="M1056" s="56"/>
      <c r="N1056" s="56"/>
      <c r="O1056" s="56"/>
    </row>
    <row r="1057" spans="1:15">
      <c r="A1057" s="536" t="s">
        <v>8</v>
      </c>
      <c r="B1057" s="537" t="str">
        <f>VLOOKUP(A1057,'Materiales '!$C$2:$F$1302,3,0)</f>
        <v>-</v>
      </c>
      <c r="C1057" s="98" t="str">
        <f>VLOOKUP(A1057,'Materiales '!$C$2:$F$1302,3,0)</f>
        <v>-</v>
      </c>
      <c r="D1057" s="99">
        <f>VLOOKUP(A1057,'Materiales '!$C$2:$F$1302,4,0)</f>
        <v>0</v>
      </c>
      <c r="E1057" s="100"/>
      <c r="F1057" s="538">
        <f>E1057*D1057</f>
        <v>0</v>
      </c>
      <c r="G1057" s="539"/>
      <c r="H1057" s="120"/>
      <c r="I1057">
        <f>E1057*G1035</f>
        <v>0</v>
      </c>
      <c r="J1057" s="68"/>
      <c r="K1057" s="56"/>
      <c r="L1057" s="56"/>
      <c r="M1057" s="56"/>
      <c r="N1057" s="56"/>
      <c r="O1057" s="56"/>
    </row>
    <row r="1058" spans="1:15" ht="16.5">
      <c r="A1058" s="540" t="s">
        <v>4099</v>
      </c>
      <c r="B1058" s="541"/>
      <c r="C1058" s="541"/>
      <c r="D1058" s="541"/>
      <c r="E1058" s="541"/>
      <c r="F1058" s="541"/>
      <c r="G1058" s="542"/>
      <c r="H1058" s="116">
        <f>SUM(F1044:F1057)</f>
        <v>2047898.198461008</v>
      </c>
      <c r="J1058" s="68"/>
      <c r="K1058" s="56"/>
      <c r="L1058" s="56"/>
      <c r="M1058" s="56"/>
      <c r="N1058" s="56"/>
      <c r="O1058" s="56"/>
    </row>
    <row r="1059" spans="1:15" ht="16.5">
      <c r="A1059" s="543" t="s">
        <v>4231</v>
      </c>
      <c r="B1059" s="544"/>
      <c r="C1059" s="544"/>
      <c r="D1059" s="544"/>
      <c r="E1059" s="545"/>
      <c r="F1059" s="544"/>
      <c r="G1059" s="544"/>
      <c r="H1059" s="546"/>
      <c r="J1059" s="68"/>
      <c r="K1059" s="56"/>
      <c r="L1059" s="56"/>
      <c r="M1059" s="56"/>
      <c r="N1059" s="56"/>
      <c r="O1059" s="56"/>
    </row>
    <row r="1060" spans="1:15">
      <c r="A1060" s="547" t="s">
        <v>7</v>
      </c>
      <c r="B1060" s="548"/>
      <c r="C1060" s="108" t="s">
        <v>4232</v>
      </c>
      <c r="D1060" s="107" t="s">
        <v>4233</v>
      </c>
      <c r="E1060" s="206" t="s">
        <v>4234</v>
      </c>
      <c r="F1060" s="549" t="s">
        <v>4218</v>
      </c>
      <c r="G1060" s="549"/>
      <c r="H1060" s="119"/>
      <c r="K1060" s="56"/>
      <c r="L1060" s="56"/>
      <c r="M1060" s="56"/>
      <c r="N1060" s="56"/>
      <c r="O1060" s="56"/>
    </row>
    <row r="1061" spans="1:15">
      <c r="A1061" s="550" t="s">
        <v>3928</v>
      </c>
      <c r="B1061" s="551"/>
      <c r="C1061" s="232">
        <v>1</v>
      </c>
      <c r="D1061" s="102">
        <v>0.03</v>
      </c>
      <c r="E1061" s="103">
        <f>VLOOKUP(A1061,'Equip, Herr y Transp'!$B$2:$D$218,3,0)</f>
        <v>160000</v>
      </c>
      <c r="F1061" s="552">
        <f>E1061*D1061*C1061</f>
        <v>4800</v>
      </c>
      <c r="G1061" s="553"/>
      <c r="H1061" s="117"/>
      <c r="M1061" s="56"/>
    </row>
    <row r="1062" spans="1:15" ht="16.5">
      <c r="A1062" s="554" t="s">
        <v>4216</v>
      </c>
      <c r="B1062" s="555"/>
      <c r="C1062" s="555"/>
      <c r="D1062" s="555"/>
      <c r="E1062" s="555"/>
      <c r="F1062" s="555"/>
      <c r="G1062" s="555"/>
      <c r="H1062" s="105">
        <f>F1061</f>
        <v>4800</v>
      </c>
    </row>
    <row r="1063" spans="1:15" ht="16.5">
      <c r="A1063" s="543" t="s">
        <v>4235</v>
      </c>
      <c r="B1063" s="544"/>
      <c r="C1063" s="544"/>
      <c r="D1063" s="544"/>
      <c r="E1063" s="544"/>
      <c r="F1063" s="544"/>
      <c r="G1063" s="544"/>
      <c r="H1063" s="546"/>
    </row>
    <row r="1064" spans="1:15">
      <c r="A1064" s="547" t="s">
        <v>7</v>
      </c>
      <c r="B1064" s="548"/>
      <c r="C1064" s="106" t="s">
        <v>1</v>
      </c>
      <c r="D1064" s="107" t="s">
        <v>4236</v>
      </c>
      <c r="E1064" s="108" t="s">
        <v>4215</v>
      </c>
      <c r="F1064" s="547" t="s">
        <v>5</v>
      </c>
      <c r="G1064" s="556"/>
      <c r="H1064" s="119"/>
    </row>
    <row r="1065" spans="1:15">
      <c r="A1065" s="550" t="s">
        <v>4196</v>
      </c>
      <c r="B1065" s="551"/>
      <c r="C1065" s="101">
        <v>1</v>
      </c>
      <c r="D1065" s="104">
        <f>VLOOKUP(A1065,'Mano Obra'!$B$2:$T$117,19,0)</f>
        <v>166624</v>
      </c>
      <c r="E1065" s="246">
        <f>H1028</f>
        <v>6.25E-2</v>
      </c>
      <c r="F1065" s="538">
        <f>E1065*D1065*C1065</f>
        <v>10414</v>
      </c>
      <c r="G1065" s="557"/>
      <c r="H1065" s="121"/>
      <c r="I1065" s="69"/>
      <c r="J1065" s="136">
        <f>((('Mano Obra'!$M$4/30)*F1065)/D1065)*G1035</f>
        <v>0</v>
      </c>
    </row>
    <row r="1066" spans="1:15">
      <c r="A1066" s="558" t="s">
        <v>4197</v>
      </c>
      <c r="B1066" s="559">
        <f>VLOOKUP(A1066,'Mano Obra'!$B$3:$D$290,2,0)</f>
        <v>2090000.0000000002</v>
      </c>
      <c r="C1066" s="101">
        <v>1</v>
      </c>
      <c r="D1066" s="104">
        <f>VLOOKUP(A1066,'Mano Obra'!$B$2:$T$117,19,0)</f>
        <v>120456</v>
      </c>
      <c r="E1066" s="246">
        <f>H1028</f>
        <v>6.25E-2</v>
      </c>
      <c r="F1066" s="538">
        <f t="shared" ref="F1066:F1067" si="63">E1066*D1066*C1066</f>
        <v>7528.5</v>
      </c>
      <c r="G1066" s="557"/>
      <c r="H1066" s="121"/>
      <c r="J1066" s="136">
        <f>((('Mano Obra'!$M$5/30)*F1066)/D1066)*G1035</f>
        <v>0</v>
      </c>
    </row>
    <row r="1067" spans="1:15">
      <c r="A1067" s="558" t="s">
        <v>4186</v>
      </c>
      <c r="B1067" s="559">
        <f>VLOOKUP(A1067,'Mano Obra'!$B$3:$D$290,2,0)</f>
        <v>1100000</v>
      </c>
      <c r="C1067" s="101">
        <v>1</v>
      </c>
      <c r="D1067" s="104">
        <f>VLOOKUP(A1067,'Mano Obra'!$B$2:$T$117,19,0)</f>
        <v>72664</v>
      </c>
      <c r="E1067" s="246">
        <f>H1028</f>
        <v>6.25E-2</v>
      </c>
      <c r="F1067" s="538">
        <f t="shared" si="63"/>
        <v>4541.5</v>
      </c>
      <c r="G1067" s="557"/>
      <c r="H1067" s="120"/>
      <c r="J1067" s="136">
        <f>((('Mano Obra'!$M$6/30)*F1067)/D1067)*G1035</f>
        <v>0</v>
      </c>
    </row>
    <row r="1068" spans="1:15" ht="16.5">
      <c r="A1068" s="560" t="s">
        <v>4101</v>
      </c>
      <c r="B1068" s="560"/>
      <c r="C1068" s="560"/>
      <c r="D1068" s="560"/>
      <c r="E1068" s="560"/>
      <c r="F1068" s="560"/>
      <c r="G1068" s="560"/>
      <c r="H1068" s="105">
        <f>SUM(F1065:F1067)</f>
        <v>22484</v>
      </c>
      <c r="J1068" s="136"/>
    </row>
    <row r="1069" spans="1:15">
      <c r="A1069" s="227" t="s">
        <v>4237</v>
      </c>
      <c r="B1069" s="205"/>
      <c r="C1069" s="205"/>
      <c r="D1069" s="202"/>
      <c r="E1069" s="203"/>
      <c r="F1069" s="204"/>
      <c r="G1069" s="203"/>
      <c r="H1069" s="212"/>
    </row>
    <row r="1070" spans="1:15">
      <c r="A1070" s="561" t="s">
        <v>4224</v>
      </c>
      <c r="B1070" s="562"/>
      <c r="C1070" s="562"/>
      <c r="D1070" s="562"/>
      <c r="E1070" s="200"/>
      <c r="F1070" s="201" t="s">
        <v>4238</v>
      </c>
      <c r="G1070" s="200" t="s">
        <v>4239</v>
      </c>
      <c r="H1070" s="213"/>
    </row>
    <row r="1071" spans="1:15">
      <c r="A1071" s="223" t="s">
        <v>4097</v>
      </c>
      <c r="B1071" s="72"/>
      <c r="C1071" s="72"/>
      <c r="D1071" s="73"/>
      <c r="E1071" s="78"/>
      <c r="F1071" s="79">
        <v>0</v>
      </c>
      <c r="G1071" s="80">
        <f>F1071*H1036</f>
        <v>0</v>
      </c>
      <c r="H1071" s="212"/>
    </row>
    <row r="1072" spans="1:15">
      <c r="A1072" s="224" t="s">
        <v>4240</v>
      </c>
      <c r="B1072" s="81"/>
      <c r="C1072" s="81"/>
      <c r="D1072" s="82"/>
      <c r="E1072" s="78"/>
      <c r="F1072" s="79">
        <v>0</v>
      </c>
      <c r="G1072" s="80">
        <f>F1072*H1036</f>
        <v>0</v>
      </c>
      <c r="H1072" s="212"/>
    </row>
    <row r="1073" spans="1:14">
      <c r="A1073" s="224" t="s">
        <v>4</v>
      </c>
      <c r="B1073" s="81"/>
      <c r="C1073" s="81"/>
      <c r="D1073" s="82"/>
      <c r="E1073" s="78"/>
      <c r="F1073" s="79">
        <v>0</v>
      </c>
      <c r="G1073" s="80">
        <f>F1073*H1036</f>
        <v>0</v>
      </c>
      <c r="H1073" s="212"/>
    </row>
    <row r="1074" spans="1:14">
      <c r="A1074" s="225"/>
      <c r="B1074" s="83"/>
      <c r="C1074" s="75"/>
      <c r="D1074" s="84"/>
      <c r="E1074" s="85"/>
      <c r="F1074" s="86"/>
      <c r="G1074" s="87"/>
      <c r="H1074" s="214"/>
    </row>
    <row r="1075" spans="1:14">
      <c r="A1075" s="226"/>
      <c r="B1075" s="83"/>
      <c r="C1075" s="83"/>
      <c r="D1075" s="84"/>
      <c r="E1075" s="88"/>
      <c r="F1075" s="563" t="s">
        <v>4241</v>
      </c>
      <c r="G1075" s="564"/>
      <c r="H1075" s="233">
        <f>H1036+G1071+G1072+G1073</f>
        <v>2079216.729711008</v>
      </c>
    </row>
    <row r="1076" spans="1:14" ht="15.75" customHeight="1">
      <c r="A1076" s="83"/>
      <c r="B1076" s="83"/>
      <c r="C1076" s="83"/>
      <c r="D1076" s="84"/>
      <c r="E1076" s="388"/>
      <c r="F1076" s="389"/>
      <c r="G1076" s="389"/>
      <c r="H1076" s="390"/>
    </row>
    <row r="1077" spans="1:14" ht="15.75" customHeight="1">
      <c r="A1077" s="83"/>
      <c r="B1077" s="83"/>
      <c r="C1077" s="83"/>
      <c r="D1077" s="84"/>
      <c r="E1077" s="388"/>
      <c r="F1077" s="389"/>
      <c r="G1077" s="389"/>
      <c r="H1077" s="390"/>
    </row>
    <row r="1078" spans="1:14" ht="15.75" customHeight="1">
      <c r="A1078" s="83"/>
      <c r="B1078" s="83"/>
      <c r="C1078" s="83"/>
      <c r="D1078" s="84"/>
      <c r="E1078" s="388"/>
      <c r="F1078" s="389"/>
      <c r="G1078" s="389"/>
      <c r="H1078" s="390"/>
    </row>
    <row r="1079" spans="1:14" ht="15.75" customHeight="1">
      <c r="A1079" s="83"/>
      <c r="B1079" s="83"/>
      <c r="C1079" s="83"/>
      <c r="D1079" s="84"/>
      <c r="E1079" s="388"/>
      <c r="F1079" s="389"/>
      <c r="G1079" s="389"/>
      <c r="H1079" s="390"/>
    </row>
    <row r="1080" spans="1:14">
      <c r="A1080" s="83"/>
      <c r="B1080" s="83"/>
      <c r="C1080" s="83"/>
      <c r="D1080" s="84"/>
      <c r="E1080" s="388"/>
      <c r="F1080" s="389"/>
      <c r="G1080" s="389"/>
      <c r="H1080" s="390"/>
    </row>
    <row r="1081" spans="1:14" ht="16.5">
      <c r="A1081" s="90"/>
      <c r="B1081" s="90"/>
      <c r="C1081" s="90"/>
      <c r="D1081" s="90"/>
      <c r="E1081" s="90"/>
      <c r="F1081" s="90"/>
      <c r="G1081" s="90"/>
      <c r="H1081" s="381"/>
    </row>
    <row r="1082" spans="1:14">
      <c r="A1082" s="579" t="s">
        <v>4225</v>
      </c>
      <c r="B1082" s="580"/>
      <c r="C1082" s="580"/>
      <c r="D1082" s="580"/>
      <c r="E1082" s="580"/>
      <c r="F1082" s="580"/>
      <c r="G1082" s="580"/>
      <c r="H1082" s="581"/>
    </row>
    <row r="1083" spans="1:14" ht="16.5">
      <c r="A1083" s="91"/>
      <c r="B1083" s="92"/>
      <c r="C1083" s="92"/>
      <c r="D1083" s="92"/>
      <c r="E1083" s="92"/>
      <c r="F1083" s="93"/>
      <c r="G1083" s="94"/>
      <c r="H1083" s="380">
        <f>ROUND((25/60)/8,4)</f>
        <v>5.21E-2</v>
      </c>
      <c r="I1083" s="115"/>
    </row>
    <row r="1084" spans="1:14">
      <c r="A1084" s="582" t="s">
        <v>4220</v>
      </c>
      <c r="B1084" s="584" t="str">
        <f>COSTOS!$C$14</f>
        <v>MODERNIZACION A TECNOLOGIA LED</v>
      </c>
      <c r="C1084" s="584"/>
      <c r="D1084" s="584"/>
      <c r="E1084" s="584"/>
      <c r="F1084" s="584"/>
      <c r="G1084" s="584"/>
      <c r="H1084" s="585" t="s">
        <v>4221</v>
      </c>
    </row>
    <row r="1085" spans="1:14">
      <c r="A1085" s="583"/>
      <c r="B1085" s="584"/>
      <c r="C1085" s="584"/>
      <c r="D1085" s="584"/>
      <c r="E1085" s="584"/>
      <c r="F1085" s="584"/>
      <c r="G1085" s="584"/>
      <c r="H1085" s="585"/>
    </row>
    <row r="1086" spans="1:14">
      <c r="A1086" s="583"/>
      <c r="B1086" s="584"/>
      <c r="C1086" s="584"/>
      <c r="D1086" s="584"/>
      <c r="E1086" s="584"/>
      <c r="F1086" s="584"/>
      <c r="G1086" s="584"/>
      <c r="H1086" s="585"/>
    </row>
    <row r="1087" spans="1:14" ht="15" customHeight="1">
      <c r="A1087" s="583"/>
      <c r="B1087" s="584"/>
      <c r="C1087" s="584"/>
      <c r="D1087" s="584"/>
      <c r="E1087" s="584"/>
      <c r="F1087" s="584"/>
      <c r="G1087" s="584"/>
      <c r="H1087" s="216">
        <f ca="1">TODAY()</f>
        <v>44889</v>
      </c>
      <c r="K1087" t="s">
        <v>4391</v>
      </c>
      <c r="L1087" t="s">
        <v>4392</v>
      </c>
      <c r="M1087" t="s">
        <v>4393</v>
      </c>
      <c r="N1087" t="s">
        <v>4394</v>
      </c>
    </row>
    <row r="1088" spans="1:14" ht="60.75" customHeight="1">
      <c r="A1088" s="228" t="s">
        <v>4222</v>
      </c>
      <c r="B1088" s="565" t="str">
        <f>COSTOS!$D$16</f>
        <v>Luminarias</v>
      </c>
      <c r="C1088" s="565"/>
      <c r="D1088" s="565"/>
      <c r="E1088" s="565"/>
      <c r="F1088" s="565"/>
      <c r="G1088" s="70" t="s">
        <v>4223</v>
      </c>
      <c r="H1088" s="391">
        <v>1.22</v>
      </c>
      <c r="K1088" s="62">
        <f>H1113</f>
        <v>763278.8343845529</v>
      </c>
      <c r="L1088" s="62">
        <f>H1123</f>
        <v>18742.662399999997</v>
      </c>
      <c r="M1088" s="62">
        <f>H1096</f>
        <v>3363.18525</v>
      </c>
      <c r="N1088" s="62">
        <f>H1117</f>
        <v>4800</v>
      </c>
    </row>
    <row r="1089" spans="1:15" ht="43.15" customHeight="1">
      <c r="A1089" s="229" t="s">
        <v>4224</v>
      </c>
      <c r="B1089" s="566" t="str">
        <f>VLOOKUP(H1088,COSTOS!C:M,2,0)</f>
        <v>Luminaria Sodio 70w</v>
      </c>
      <c r="C1089" s="567"/>
      <c r="D1089" s="567"/>
      <c r="E1089" s="568"/>
      <c r="F1089" s="71" t="s">
        <v>0</v>
      </c>
      <c r="G1089" s="356" t="str">
        <f>VLOOKUP(H1088,COSTOS!C:M,8,0)</f>
        <v>Und</v>
      </c>
      <c r="H1089" s="276"/>
      <c r="I1089" s="306"/>
      <c r="J1089" s="308"/>
      <c r="K1089" s="308"/>
      <c r="L1089" s="308"/>
    </row>
    <row r="1090" spans="1:15">
      <c r="A1090" s="230"/>
      <c r="B1090" s="112"/>
      <c r="C1090" s="112"/>
      <c r="D1090" s="112"/>
      <c r="E1090" s="113"/>
      <c r="F1090" s="114" t="s">
        <v>1</v>
      </c>
      <c r="G1090" s="356">
        <f>VLOOKUP(H1088,COSTOS!C:M,9,0)</f>
        <v>0</v>
      </c>
      <c r="H1090" s="357"/>
      <c r="I1090" s="307"/>
    </row>
    <row r="1091" spans="1:15" ht="16.5">
      <c r="A1091" s="231" t="s">
        <v>4226</v>
      </c>
      <c r="B1091" s="75"/>
      <c r="C1091" s="75"/>
      <c r="D1091" s="76"/>
      <c r="E1091" s="209"/>
      <c r="F1091" s="210"/>
      <c r="G1091" s="211" t="s">
        <v>4227</v>
      </c>
      <c r="H1091" s="217">
        <f>H1096+H1113+H1117+H1123</f>
        <v>790184.68203455291</v>
      </c>
    </row>
    <row r="1092" spans="1:15" ht="39">
      <c r="A1092" s="569" t="s">
        <v>4224</v>
      </c>
      <c r="B1092" s="569"/>
      <c r="C1092" s="569"/>
      <c r="D1092" s="77" t="s">
        <v>0</v>
      </c>
      <c r="E1092" s="207" t="s">
        <v>4228</v>
      </c>
      <c r="F1092" s="208" t="s">
        <v>4215</v>
      </c>
      <c r="G1092" s="74" t="s">
        <v>2</v>
      </c>
      <c r="H1092" s="218" t="s">
        <v>4229</v>
      </c>
      <c r="K1092" s="309"/>
    </row>
    <row r="1093" spans="1:15">
      <c r="A1093" s="536" t="s">
        <v>3946</v>
      </c>
      <c r="B1093" s="570" t="str">
        <f>VLOOKUP(A1093,'Equip, Herr y Transp'!$B$2:$D$739,2,0)</f>
        <v>EQU</v>
      </c>
      <c r="C1093" s="570"/>
      <c r="D1093" s="95" t="str">
        <f>VLOOKUP(A1093,'Equip, Herr y Transp'!$B$2:$D$218,2,0)</f>
        <v>EQU</v>
      </c>
      <c r="E1093" s="95">
        <f>VLOOKUP(A1093,'Equip, Herr y Transp'!$B$2:$D$218,3,0)</f>
        <v>14130</v>
      </c>
      <c r="F1093" s="96">
        <f>H1083</f>
        <v>5.21E-2</v>
      </c>
      <c r="G1093" s="122">
        <f>F1093*E1093</f>
        <v>736.173</v>
      </c>
      <c r="H1093" s="118"/>
    </row>
    <row r="1094" spans="1:15">
      <c r="A1094" s="536" t="s">
        <v>3904</v>
      </c>
      <c r="B1094" s="570" t="str">
        <f>VLOOKUP(A1094,'Equip, Herr y Transp'!$B$2:$D$739,2,0)</f>
        <v>EQU</v>
      </c>
      <c r="C1094" s="570"/>
      <c r="D1094" s="95" t="str">
        <f>VLOOKUP(A1094,'Equip, Herr y Transp'!$B$2:$D$218,2,0)</f>
        <v>EQU</v>
      </c>
      <c r="E1094" s="95">
        <f>VLOOKUP(A1094,'Equip, Herr y Transp'!$B$2:$D$218,3,0)</f>
        <v>26672.5</v>
      </c>
      <c r="F1094" s="96">
        <f>H1083</f>
        <v>5.21E-2</v>
      </c>
      <c r="G1094" s="122">
        <f>F1094*E1094</f>
        <v>1389.63725</v>
      </c>
      <c r="H1094" s="117"/>
    </row>
    <row r="1095" spans="1:15">
      <c r="A1095" s="536" t="s">
        <v>3937</v>
      </c>
      <c r="B1095" s="570" t="str">
        <f>VLOOKUP(A1095,'Equip, Herr y Transp'!$B$2:$D$739,2,0)</f>
        <v>EQU</v>
      </c>
      <c r="C1095" s="570"/>
      <c r="D1095" s="95" t="str">
        <f>VLOOKUP(A1095,'Equip, Herr y Transp'!$B$2:$D$218,2,0)</f>
        <v>EQU</v>
      </c>
      <c r="E1095" s="95">
        <f>VLOOKUP(A1095,'Equip, Herr y Transp'!$B$2:$D$218,3,0)</f>
        <v>23750</v>
      </c>
      <c r="F1095" s="96">
        <f>H1083</f>
        <v>5.21E-2</v>
      </c>
      <c r="G1095" s="122">
        <f>F1095*E1095</f>
        <v>1237.375</v>
      </c>
      <c r="H1095" s="117"/>
    </row>
    <row r="1096" spans="1:15" ht="16.5">
      <c r="A1096" s="540" t="s">
        <v>4100</v>
      </c>
      <c r="B1096" s="541"/>
      <c r="C1096" s="541"/>
      <c r="D1096" s="541"/>
      <c r="E1096" s="541"/>
      <c r="F1096" s="541"/>
      <c r="G1096" s="541"/>
      <c r="H1096" s="97">
        <f>SUM(G1093:G1095)</f>
        <v>3363.18525</v>
      </c>
    </row>
    <row r="1097" spans="1:15" ht="16.5">
      <c r="A1097" s="571" t="s">
        <v>4230</v>
      </c>
      <c r="B1097" s="572"/>
      <c r="C1097" s="572"/>
      <c r="D1097" s="572"/>
      <c r="E1097" s="572"/>
      <c r="F1097" s="572"/>
      <c r="G1097" s="572"/>
      <c r="H1097" s="573"/>
      <c r="K1097" s="56"/>
      <c r="L1097" s="56"/>
      <c r="M1097" s="56"/>
      <c r="N1097" s="56"/>
      <c r="O1097" s="56"/>
    </row>
    <row r="1098" spans="1:15" ht="30" customHeight="1">
      <c r="A1098" s="574" t="s">
        <v>7</v>
      </c>
      <c r="B1098" s="575"/>
      <c r="C1098" s="109" t="s">
        <v>0</v>
      </c>
      <c r="D1098" s="110" t="s">
        <v>4098</v>
      </c>
      <c r="E1098" s="111" t="s">
        <v>1</v>
      </c>
      <c r="F1098" s="576" t="s">
        <v>4218</v>
      </c>
      <c r="G1098" s="576"/>
      <c r="H1098" s="215"/>
      <c r="K1098" s="56"/>
      <c r="L1098" s="56"/>
      <c r="M1098" s="56"/>
      <c r="N1098" s="56"/>
      <c r="O1098" s="56"/>
    </row>
    <row r="1099" spans="1:15">
      <c r="A1099" s="577" t="s">
        <v>4674</v>
      </c>
      <c r="B1099" s="578"/>
      <c r="C1099" s="98" t="str">
        <f>VLOOKUP(A1099,'Materiales '!$C$2:$F$1302,3,0)</f>
        <v>Und</v>
      </c>
      <c r="D1099" s="99">
        <f>VLOOKUP(A1099,'Materiales '!$C$2:$F$1302,4,0)</f>
        <v>537531.78838455293</v>
      </c>
      <c r="E1099" s="100">
        <v>1</v>
      </c>
      <c r="F1099" s="538">
        <f>E1099*D1099</f>
        <v>537531.78838455293</v>
      </c>
      <c r="G1099" s="539"/>
      <c r="H1099" s="121"/>
      <c r="I1099">
        <f>E1099*G1090</f>
        <v>0</v>
      </c>
      <c r="J1099" s="67"/>
      <c r="K1099" s="56"/>
      <c r="L1099" s="56"/>
      <c r="M1099" s="56"/>
      <c r="N1099" s="56"/>
      <c r="O1099" s="56"/>
    </row>
    <row r="1100" spans="1:15">
      <c r="A1100" s="577" t="s">
        <v>4214</v>
      </c>
      <c r="B1100" s="578"/>
      <c r="C1100" s="98" t="str">
        <f>VLOOKUP(A1100,'Materiales '!$C$2:$F$1302,3,0)</f>
        <v>Und</v>
      </c>
      <c r="D1100" s="99">
        <f>VLOOKUP(A1100,'Materiales '!$C$2:$F$1302,4,0)</f>
        <v>22848</v>
      </c>
      <c r="E1100" s="100">
        <v>1</v>
      </c>
      <c r="F1100" s="538">
        <f t="shared" ref="F1100:F1106" si="64">E1100*D1100</f>
        <v>22848</v>
      </c>
      <c r="G1100" s="539"/>
      <c r="H1100" s="121"/>
      <c r="I1100">
        <f>E1100*G1090</f>
        <v>0</v>
      </c>
      <c r="J1100" s="67"/>
      <c r="K1100" s="56"/>
      <c r="L1100" s="56"/>
      <c r="M1100" s="56"/>
      <c r="N1100" s="56"/>
      <c r="O1100" s="56"/>
    </row>
    <row r="1101" spans="1:15">
      <c r="A1101" s="536" t="s">
        <v>4484</v>
      </c>
      <c r="B1101" s="537" t="str">
        <f>VLOOKUP(A1101,'Materiales '!$C$2:$F$1302,3,0)</f>
        <v>Und</v>
      </c>
      <c r="C1101" s="98" t="str">
        <f>VLOOKUP(A1101,'Materiales '!$C$2:$F$1302,3,0)</f>
        <v>Und</v>
      </c>
      <c r="D1101" s="99">
        <f>VLOOKUP(A1101,'Materiales '!$C$2:$F$1302,4,0)</f>
        <v>21705.599999999999</v>
      </c>
      <c r="E1101" s="100">
        <v>2</v>
      </c>
      <c r="F1101" s="538">
        <f t="shared" si="64"/>
        <v>43411.199999999997</v>
      </c>
      <c r="G1101" s="539"/>
      <c r="H1101" s="121"/>
      <c r="I1101">
        <f>E1101*G1090</f>
        <v>0</v>
      </c>
      <c r="J1101" s="68"/>
      <c r="K1101" s="56"/>
      <c r="L1101" s="56"/>
      <c r="M1101" s="56"/>
      <c r="N1101" s="56"/>
      <c r="O1101" s="56"/>
    </row>
    <row r="1102" spans="1:15">
      <c r="A1102" s="536" t="s">
        <v>4489</v>
      </c>
      <c r="B1102" s="537" t="str">
        <f>VLOOKUP(A1102,'Materiales '!$C$2:$F$1302,3,0)</f>
        <v>Und</v>
      </c>
      <c r="C1102" s="98" t="str">
        <f>VLOOKUP(A1102,'Materiales '!$C$2:$F$1302,3,0)</f>
        <v>Und</v>
      </c>
      <c r="D1102" s="99">
        <f>VLOOKUP(A1102,'Materiales '!$C$2:$F$1302,4,0)</f>
        <v>8039.6399999999994</v>
      </c>
      <c r="E1102" s="100">
        <v>3</v>
      </c>
      <c r="F1102" s="538">
        <f t="shared" si="64"/>
        <v>24118.92</v>
      </c>
      <c r="G1102" s="539"/>
      <c r="H1102" s="121"/>
      <c r="I1102">
        <f>E1102*G1090</f>
        <v>0</v>
      </c>
      <c r="J1102" s="68"/>
      <c r="K1102" s="56"/>
      <c r="L1102" s="56"/>
      <c r="M1102" s="56"/>
      <c r="N1102" s="56"/>
      <c r="O1102" s="56"/>
    </row>
    <row r="1103" spans="1:15">
      <c r="A1103" s="536" t="s">
        <v>4554</v>
      </c>
      <c r="B1103" s="537" t="str">
        <f>VLOOKUP(A1103,'Materiales '!$C$2:$F$1302,3,0)</f>
        <v>Und</v>
      </c>
      <c r="C1103" s="98" t="str">
        <f>VLOOKUP(A1103,'Materiales '!$C$2:$F$1302,3,0)</f>
        <v>Und</v>
      </c>
      <c r="D1103" s="99">
        <f>VLOOKUP(A1103,'Materiales '!$C$2:$F$1302,4,0)</f>
        <v>2535.5329999999999</v>
      </c>
      <c r="E1103" s="100">
        <v>2</v>
      </c>
      <c r="F1103" s="538">
        <f t="shared" si="64"/>
        <v>5071.0659999999998</v>
      </c>
      <c r="G1103" s="539"/>
      <c r="H1103" s="121"/>
      <c r="I1103">
        <f>E1103*G1090</f>
        <v>0</v>
      </c>
      <c r="J1103" s="68"/>
      <c r="K1103" s="56"/>
      <c r="L1103" s="56"/>
      <c r="M1103" s="56"/>
      <c r="N1103" s="56"/>
      <c r="O1103" s="56"/>
    </row>
    <row r="1104" spans="1:15">
      <c r="A1104" s="536" t="s">
        <v>4450</v>
      </c>
      <c r="B1104" s="537" t="str">
        <f>VLOOKUP(A1104,'Materiales '!$C$2:$F$1302,3,0)</f>
        <v>Ml</v>
      </c>
      <c r="C1104" s="98" t="str">
        <f>VLOOKUP(A1104,'Materiales '!$C$2:$F$1302,3,0)</f>
        <v>Ml</v>
      </c>
      <c r="D1104" s="99">
        <f>VLOOKUP(A1104,'Materiales '!$C$2:$F$1302,4,0)</f>
        <v>6791.5679999999993</v>
      </c>
      <c r="E1104" s="100">
        <v>1</v>
      </c>
      <c r="F1104" s="538">
        <f t="shared" si="64"/>
        <v>6791.5679999999993</v>
      </c>
      <c r="G1104" s="539"/>
      <c r="H1104" s="121"/>
      <c r="I1104">
        <f>E1104*G1090</f>
        <v>0</v>
      </c>
      <c r="J1104" s="68"/>
      <c r="K1104" s="56"/>
      <c r="L1104" s="56"/>
      <c r="M1104" s="56"/>
      <c r="N1104" s="56"/>
      <c r="O1104" s="56"/>
    </row>
    <row r="1105" spans="1:15">
      <c r="A1105" s="536" t="s">
        <v>4493</v>
      </c>
      <c r="B1105" s="537" t="str">
        <f>VLOOKUP(A1105,'Materiales '!$C$2:$F$1302,3,0)</f>
        <v>Und</v>
      </c>
      <c r="C1105" s="98" t="str">
        <f>VLOOKUP(A1105,'Materiales '!$C$2:$F$1302,3,0)</f>
        <v>Und</v>
      </c>
      <c r="D1105" s="99">
        <f>VLOOKUP(A1105,'Materiales '!$C$2:$F$1302,4,0)</f>
        <v>232.76399999999998</v>
      </c>
      <c r="E1105" s="100">
        <v>3</v>
      </c>
      <c r="F1105" s="538">
        <f t="shared" si="64"/>
        <v>698.29199999999992</v>
      </c>
      <c r="G1105" s="539"/>
      <c r="H1105" s="121"/>
      <c r="I1105">
        <f>E1105*G1090</f>
        <v>0</v>
      </c>
      <c r="J1105" s="68"/>
      <c r="K1105" s="56"/>
      <c r="L1105" s="56"/>
      <c r="M1105" s="56"/>
      <c r="N1105" s="56"/>
      <c r="O1105" s="56"/>
    </row>
    <row r="1106" spans="1:15" ht="21.75" customHeight="1">
      <c r="A1106" s="536" t="s">
        <v>4435</v>
      </c>
      <c r="B1106" s="537" t="str">
        <f>VLOOKUP(A1106,'Materiales '!$C$2:$F$1302,3,0)</f>
        <v>Und</v>
      </c>
      <c r="C1106" s="98" t="str">
        <f>VLOOKUP(A1106,'Materiales '!$C$2:$F$1302,3,0)</f>
        <v>Und</v>
      </c>
      <c r="D1106" s="99">
        <f>VLOOKUP(A1106,'Materiales '!$C$2:$F$1302,4,0)</f>
        <v>122808</v>
      </c>
      <c r="E1106" s="100">
        <v>1</v>
      </c>
      <c r="F1106" s="538">
        <f t="shared" si="64"/>
        <v>122808</v>
      </c>
      <c r="G1106" s="539"/>
      <c r="H1106" s="121"/>
      <c r="I1106">
        <f>E1106*G1090</f>
        <v>0</v>
      </c>
      <c r="J1106" s="68"/>
      <c r="K1106" s="56"/>
      <c r="L1106" s="56"/>
      <c r="M1106" s="56"/>
      <c r="N1106" s="56"/>
      <c r="O1106" s="56"/>
    </row>
    <row r="1107" spans="1:15">
      <c r="A1107" s="536" t="s">
        <v>8</v>
      </c>
      <c r="B1107" s="537" t="str">
        <f>VLOOKUP(A1107,'Materiales '!$C$2:$F$1302,3,0)</f>
        <v>-</v>
      </c>
      <c r="C1107" s="98" t="str">
        <f>VLOOKUP(A1107,'Materiales '!$C$2:$F$1302,3,0)</f>
        <v>-</v>
      </c>
      <c r="D1107" s="99">
        <f>VLOOKUP(A1107,'Materiales '!$C$2:$F$1302,4,0)</f>
        <v>0</v>
      </c>
      <c r="E1107" s="100"/>
      <c r="F1107" s="538">
        <f>E1107*D1107</f>
        <v>0</v>
      </c>
      <c r="G1107" s="539"/>
      <c r="H1107" s="120"/>
      <c r="I1107">
        <f>E1107*G1090</f>
        <v>0</v>
      </c>
      <c r="J1107" s="68"/>
      <c r="K1107" s="56"/>
      <c r="L1107" s="56"/>
      <c r="M1107" s="56"/>
      <c r="N1107" s="56"/>
      <c r="O1107" s="56"/>
    </row>
    <row r="1108" spans="1:15">
      <c r="A1108" s="536" t="s">
        <v>8</v>
      </c>
      <c r="B1108" s="537" t="str">
        <f>VLOOKUP(A1108,'Materiales '!$C$2:$F$1302,3,0)</f>
        <v>-</v>
      </c>
      <c r="C1108" s="98" t="str">
        <f>VLOOKUP(A1108,'Materiales '!$C$2:$F$1302,3,0)</f>
        <v>-</v>
      </c>
      <c r="D1108" s="99">
        <f>VLOOKUP(A1108,'Materiales '!$C$2:$F$1302,4,0)</f>
        <v>0</v>
      </c>
      <c r="E1108" s="100"/>
      <c r="F1108" s="538">
        <f t="shared" ref="F1108:F1111" si="65">E1108*D1108</f>
        <v>0</v>
      </c>
      <c r="G1108" s="539"/>
      <c r="H1108" s="121"/>
      <c r="I1108">
        <f>E1108*G1090</f>
        <v>0</v>
      </c>
      <c r="J1108" s="68"/>
      <c r="K1108" s="56"/>
      <c r="L1108" s="56"/>
      <c r="M1108" s="56"/>
      <c r="N1108" s="56"/>
      <c r="O1108" s="56"/>
    </row>
    <row r="1109" spans="1:15">
      <c r="A1109" s="536" t="s">
        <v>8</v>
      </c>
      <c r="B1109" s="537" t="str">
        <f>VLOOKUP(A1109,'Materiales '!$C$2:$F$1302,3,0)</f>
        <v>-</v>
      </c>
      <c r="C1109" s="98" t="str">
        <f>VLOOKUP(A1109,'Materiales '!$C$2:$F$1302,3,0)</f>
        <v>-</v>
      </c>
      <c r="D1109" s="99">
        <f>VLOOKUP(A1109,'Materiales '!$C$2:$F$1302,4,0)</f>
        <v>0</v>
      </c>
      <c r="E1109" s="100"/>
      <c r="F1109" s="538">
        <f t="shared" si="65"/>
        <v>0</v>
      </c>
      <c r="G1109" s="539"/>
      <c r="H1109" s="121"/>
      <c r="I1109">
        <f>E1109*G1090</f>
        <v>0</v>
      </c>
      <c r="J1109" s="68"/>
      <c r="K1109" s="56"/>
      <c r="L1109" s="56"/>
      <c r="M1109" s="56"/>
      <c r="N1109" s="56"/>
      <c r="O1109" s="56"/>
    </row>
    <row r="1110" spans="1:15">
      <c r="A1110" s="536" t="s">
        <v>8</v>
      </c>
      <c r="B1110" s="537" t="str">
        <f>VLOOKUP(A1110,'Materiales '!$C$2:$F$1302,3,0)</f>
        <v>-</v>
      </c>
      <c r="C1110" s="98" t="str">
        <f>VLOOKUP(A1110,'Materiales '!$C$2:$F$1302,3,0)</f>
        <v>-</v>
      </c>
      <c r="D1110" s="99">
        <f>VLOOKUP(A1110,'Materiales '!$C$2:$F$1302,4,0)</f>
        <v>0</v>
      </c>
      <c r="E1110" s="100"/>
      <c r="F1110" s="538">
        <f t="shared" si="65"/>
        <v>0</v>
      </c>
      <c r="G1110" s="539"/>
      <c r="H1110" s="121"/>
      <c r="I1110">
        <f>E1110*G1090</f>
        <v>0</v>
      </c>
      <c r="J1110" s="68"/>
      <c r="K1110" s="56"/>
      <c r="L1110" s="56"/>
      <c r="M1110" s="56"/>
      <c r="N1110" s="56"/>
      <c r="O1110" s="56"/>
    </row>
    <row r="1111" spans="1:15">
      <c r="A1111" s="536" t="s">
        <v>8</v>
      </c>
      <c r="B1111" s="537" t="str">
        <f>VLOOKUP(A1111,'Materiales '!$C$2:$F$1302,3,0)</f>
        <v>-</v>
      </c>
      <c r="C1111" s="98" t="str">
        <f>VLOOKUP(A1111,'Materiales '!$C$2:$F$1302,3,0)</f>
        <v>-</v>
      </c>
      <c r="D1111" s="99">
        <f>VLOOKUP(A1111,'Materiales '!$C$2:$F$1302,4,0)</f>
        <v>0</v>
      </c>
      <c r="E1111" s="100"/>
      <c r="F1111" s="538">
        <f t="shared" si="65"/>
        <v>0</v>
      </c>
      <c r="G1111" s="539"/>
      <c r="H1111" s="121"/>
      <c r="I1111">
        <f>E1111*G1090</f>
        <v>0</v>
      </c>
      <c r="J1111" s="68"/>
      <c r="K1111" s="56"/>
      <c r="L1111" s="56"/>
      <c r="M1111" s="56"/>
      <c r="N1111" s="56"/>
      <c r="O1111" s="56"/>
    </row>
    <row r="1112" spans="1:15">
      <c r="A1112" s="536" t="s">
        <v>8</v>
      </c>
      <c r="B1112" s="537" t="str">
        <f>VLOOKUP(A1112,'Materiales '!$C$2:$F$1302,3,0)</f>
        <v>-</v>
      </c>
      <c r="C1112" s="98" t="str">
        <f>VLOOKUP(A1112,'Materiales '!$C$2:$F$1302,3,0)</f>
        <v>-</v>
      </c>
      <c r="D1112" s="99">
        <f>VLOOKUP(A1112,'Materiales '!$C$2:$F$1302,4,0)</f>
        <v>0</v>
      </c>
      <c r="E1112" s="100"/>
      <c r="F1112" s="538">
        <f>E1112*D1112</f>
        <v>0</v>
      </c>
      <c r="G1112" s="539"/>
      <c r="H1112" s="120"/>
      <c r="I1112">
        <f>E1112*G1090</f>
        <v>0</v>
      </c>
      <c r="J1112" s="68"/>
      <c r="K1112" s="56"/>
      <c r="L1112" s="56"/>
      <c r="M1112" s="56"/>
      <c r="N1112" s="56"/>
      <c r="O1112" s="56"/>
    </row>
    <row r="1113" spans="1:15" ht="16.5">
      <c r="A1113" s="540" t="s">
        <v>4099</v>
      </c>
      <c r="B1113" s="541"/>
      <c r="C1113" s="541"/>
      <c r="D1113" s="541"/>
      <c r="E1113" s="541"/>
      <c r="F1113" s="541"/>
      <c r="G1113" s="542"/>
      <c r="H1113" s="116">
        <f>SUM(F1099:F1112)</f>
        <v>763278.8343845529</v>
      </c>
      <c r="J1113" s="68"/>
      <c r="K1113" s="56"/>
      <c r="L1113" s="56"/>
      <c r="M1113" s="56"/>
      <c r="N1113" s="56"/>
      <c r="O1113" s="56"/>
    </row>
    <row r="1114" spans="1:15" ht="16.5">
      <c r="A1114" s="543" t="s">
        <v>4231</v>
      </c>
      <c r="B1114" s="544"/>
      <c r="C1114" s="544"/>
      <c r="D1114" s="544"/>
      <c r="E1114" s="545"/>
      <c r="F1114" s="544"/>
      <c r="G1114" s="544"/>
      <c r="H1114" s="546"/>
      <c r="J1114" s="68"/>
      <c r="K1114" s="56"/>
      <c r="L1114" s="56"/>
      <c r="M1114" s="56"/>
      <c r="N1114" s="56"/>
      <c r="O1114" s="56"/>
    </row>
    <row r="1115" spans="1:15">
      <c r="A1115" s="547" t="s">
        <v>7</v>
      </c>
      <c r="B1115" s="548"/>
      <c r="C1115" s="108" t="s">
        <v>4232</v>
      </c>
      <c r="D1115" s="107" t="s">
        <v>4233</v>
      </c>
      <c r="E1115" s="206" t="s">
        <v>4234</v>
      </c>
      <c r="F1115" s="549" t="s">
        <v>4218</v>
      </c>
      <c r="G1115" s="549"/>
      <c r="H1115" s="119"/>
      <c r="K1115" s="56"/>
      <c r="L1115" s="56"/>
      <c r="M1115" s="56"/>
      <c r="N1115" s="56"/>
      <c r="O1115" s="56"/>
    </row>
    <row r="1116" spans="1:15">
      <c r="A1116" s="550" t="s">
        <v>3928</v>
      </c>
      <c r="B1116" s="551"/>
      <c r="C1116" s="232">
        <v>1</v>
      </c>
      <c r="D1116" s="102">
        <v>0.03</v>
      </c>
      <c r="E1116" s="103">
        <f>VLOOKUP(A1116,'Equip, Herr y Transp'!$B$2:$D$218,3,0)</f>
        <v>160000</v>
      </c>
      <c r="F1116" s="552">
        <f>E1116*D1116*C1116</f>
        <v>4800</v>
      </c>
      <c r="G1116" s="553"/>
      <c r="H1116" s="117"/>
      <c r="M1116" s="56"/>
    </row>
    <row r="1117" spans="1:15" ht="16.5">
      <c r="A1117" s="554" t="s">
        <v>4216</v>
      </c>
      <c r="B1117" s="555"/>
      <c r="C1117" s="555"/>
      <c r="D1117" s="555"/>
      <c r="E1117" s="555"/>
      <c r="F1117" s="555"/>
      <c r="G1117" s="555"/>
      <c r="H1117" s="105">
        <f>F1116</f>
        <v>4800</v>
      </c>
    </row>
    <row r="1118" spans="1:15" ht="16.5">
      <c r="A1118" s="543" t="s">
        <v>4235</v>
      </c>
      <c r="B1118" s="544"/>
      <c r="C1118" s="544"/>
      <c r="D1118" s="544"/>
      <c r="E1118" s="544"/>
      <c r="F1118" s="544"/>
      <c r="G1118" s="544"/>
      <c r="H1118" s="546"/>
    </row>
    <row r="1119" spans="1:15">
      <c r="A1119" s="547" t="s">
        <v>7</v>
      </c>
      <c r="B1119" s="548"/>
      <c r="C1119" s="106" t="s">
        <v>1</v>
      </c>
      <c r="D1119" s="107" t="s">
        <v>4236</v>
      </c>
      <c r="E1119" s="108" t="s">
        <v>4215</v>
      </c>
      <c r="F1119" s="547" t="s">
        <v>5</v>
      </c>
      <c r="G1119" s="556"/>
      <c r="H1119" s="119"/>
    </row>
    <row r="1120" spans="1:15">
      <c r="A1120" s="550" t="s">
        <v>4196</v>
      </c>
      <c r="B1120" s="551"/>
      <c r="C1120" s="101">
        <v>1</v>
      </c>
      <c r="D1120" s="104">
        <f>VLOOKUP(A1120,'Mano Obra'!$B$2:$T$117,19,0)</f>
        <v>166624</v>
      </c>
      <c r="E1120" s="246">
        <f>H1083</f>
        <v>5.21E-2</v>
      </c>
      <c r="F1120" s="538">
        <f>E1120*D1120*C1120</f>
        <v>8681.1103999999996</v>
      </c>
      <c r="G1120" s="557"/>
      <c r="H1120" s="121"/>
      <c r="I1120" s="69"/>
      <c r="J1120" s="136">
        <f>((('Mano Obra'!$M$4/30)*F1120)/D1120)*G1090</f>
        <v>0</v>
      </c>
    </row>
    <row r="1121" spans="1:10">
      <c r="A1121" s="558" t="s">
        <v>4197</v>
      </c>
      <c r="B1121" s="559">
        <f>VLOOKUP(A1121,'Mano Obra'!$B$3:$D$290,2,0)</f>
        <v>2090000.0000000002</v>
      </c>
      <c r="C1121" s="101">
        <v>1</v>
      </c>
      <c r="D1121" s="104">
        <f>VLOOKUP(A1121,'Mano Obra'!$B$2:$T$117,19,0)</f>
        <v>120456</v>
      </c>
      <c r="E1121" s="246">
        <f>H1083</f>
        <v>5.21E-2</v>
      </c>
      <c r="F1121" s="538">
        <f t="shared" ref="F1121:F1122" si="66">E1121*D1121*C1121</f>
        <v>6275.7575999999999</v>
      </c>
      <c r="G1121" s="557"/>
      <c r="H1121" s="121"/>
      <c r="J1121" s="136">
        <f>((('Mano Obra'!$M$5/30)*F1121)/D1121)*G1090</f>
        <v>0</v>
      </c>
    </row>
    <row r="1122" spans="1:10">
      <c r="A1122" s="558" t="s">
        <v>4186</v>
      </c>
      <c r="B1122" s="559">
        <f>VLOOKUP(A1122,'Mano Obra'!$B$3:$D$290,2,0)</f>
        <v>1100000</v>
      </c>
      <c r="C1122" s="101">
        <v>1</v>
      </c>
      <c r="D1122" s="104">
        <f>VLOOKUP(A1122,'Mano Obra'!$B$2:$T$117,19,0)</f>
        <v>72664</v>
      </c>
      <c r="E1122" s="246">
        <f>H1083</f>
        <v>5.21E-2</v>
      </c>
      <c r="F1122" s="538">
        <f t="shared" si="66"/>
        <v>3785.7944000000002</v>
      </c>
      <c r="G1122" s="557"/>
      <c r="H1122" s="120"/>
      <c r="J1122" s="136">
        <f>((('Mano Obra'!$M$6/30)*F1122)/D1122)*G1090</f>
        <v>0</v>
      </c>
    </row>
    <row r="1123" spans="1:10" ht="16.5">
      <c r="A1123" s="560" t="s">
        <v>4101</v>
      </c>
      <c r="B1123" s="560"/>
      <c r="C1123" s="560"/>
      <c r="D1123" s="560"/>
      <c r="E1123" s="560"/>
      <c r="F1123" s="560"/>
      <c r="G1123" s="560"/>
      <c r="H1123" s="105">
        <f>SUM(F1120:F1122)</f>
        <v>18742.662399999997</v>
      </c>
      <c r="J1123" s="136"/>
    </row>
    <row r="1124" spans="1:10">
      <c r="A1124" s="227" t="s">
        <v>4237</v>
      </c>
      <c r="B1124" s="205"/>
      <c r="C1124" s="205"/>
      <c r="D1124" s="202"/>
      <c r="E1124" s="203"/>
      <c r="F1124" s="204"/>
      <c r="G1124" s="203"/>
      <c r="H1124" s="212"/>
    </row>
    <row r="1125" spans="1:10">
      <c r="A1125" s="561" t="s">
        <v>4224</v>
      </c>
      <c r="B1125" s="562"/>
      <c r="C1125" s="562"/>
      <c r="D1125" s="562"/>
      <c r="E1125" s="200"/>
      <c r="F1125" s="201" t="s">
        <v>4238</v>
      </c>
      <c r="G1125" s="200" t="s">
        <v>4239</v>
      </c>
      <c r="H1125" s="213"/>
    </row>
    <row r="1126" spans="1:10">
      <c r="A1126" s="223" t="s">
        <v>4097</v>
      </c>
      <c r="B1126" s="72"/>
      <c r="C1126" s="72"/>
      <c r="D1126" s="73"/>
      <c r="E1126" s="78"/>
      <c r="F1126" s="79">
        <v>0</v>
      </c>
      <c r="G1126" s="80">
        <f>F1126*H1091</f>
        <v>0</v>
      </c>
      <c r="H1126" s="212"/>
    </row>
    <row r="1127" spans="1:10">
      <c r="A1127" s="224" t="s">
        <v>4240</v>
      </c>
      <c r="B1127" s="81"/>
      <c r="C1127" s="81"/>
      <c r="D1127" s="82"/>
      <c r="E1127" s="78"/>
      <c r="F1127" s="79">
        <v>0</v>
      </c>
      <c r="G1127" s="80">
        <f>F1127*H1091</f>
        <v>0</v>
      </c>
      <c r="H1127" s="212"/>
    </row>
    <row r="1128" spans="1:10">
      <c r="A1128" s="224" t="s">
        <v>4</v>
      </c>
      <c r="B1128" s="81"/>
      <c r="C1128" s="81"/>
      <c r="D1128" s="82"/>
      <c r="E1128" s="78"/>
      <c r="F1128" s="79">
        <v>0</v>
      </c>
      <c r="G1128" s="80">
        <f>F1128*H1091</f>
        <v>0</v>
      </c>
      <c r="H1128" s="212"/>
    </row>
    <row r="1129" spans="1:10">
      <c r="A1129" s="225"/>
      <c r="B1129" s="83"/>
      <c r="C1129" s="75"/>
      <c r="D1129" s="84"/>
      <c r="E1129" s="85"/>
      <c r="F1129" s="86"/>
      <c r="G1129" s="87"/>
      <c r="H1129" s="214"/>
    </row>
    <row r="1130" spans="1:10">
      <c r="A1130" s="226"/>
      <c r="B1130" s="83"/>
      <c r="C1130" s="83"/>
      <c r="D1130" s="84"/>
      <c r="E1130" s="88"/>
      <c r="F1130" s="563" t="s">
        <v>4241</v>
      </c>
      <c r="G1130" s="564"/>
      <c r="H1130" s="233">
        <f>H1091+G1126+G1127+G1128</f>
        <v>790184.68203455291</v>
      </c>
    </row>
    <row r="1131" spans="1:10">
      <c r="A1131" s="83"/>
      <c r="B1131" s="83"/>
      <c r="C1131" s="83"/>
      <c r="D1131" s="84"/>
      <c r="E1131" s="388"/>
      <c r="F1131" s="389"/>
      <c r="G1131" s="389"/>
      <c r="H1131" s="390"/>
    </row>
    <row r="1132" spans="1:10" ht="16.5">
      <c r="A1132" s="90"/>
      <c r="B1132" s="90"/>
      <c r="C1132" s="90"/>
      <c r="D1132" s="90"/>
      <c r="E1132" s="90"/>
      <c r="F1132" s="90"/>
      <c r="G1132" s="90"/>
      <c r="H1132" s="381"/>
    </row>
    <row r="1133" spans="1:10">
      <c r="A1133" s="579" t="s">
        <v>4225</v>
      </c>
      <c r="B1133" s="580"/>
      <c r="C1133" s="580"/>
      <c r="D1133" s="580"/>
      <c r="E1133" s="580"/>
      <c r="F1133" s="580"/>
      <c r="G1133" s="580"/>
      <c r="H1133" s="581"/>
    </row>
    <row r="1134" spans="1:10" ht="16.5">
      <c r="A1134" s="91"/>
      <c r="B1134" s="92"/>
      <c r="C1134" s="92"/>
      <c r="D1134" s="92"/>
      <c r="E1134" s="92"/>
      <c r="F1134" s="93"/>
      <c r="G1134" s="94"/>
      <c r="H1134" s="380">
        <f>ROUND((25/60)/8,4)</f>
        <v>5.21E-2</v>
      </c>
      <c r="I1134" s="115"/>
    </row>
    <row r="1135" spans="1:10">
      <c r="A1135" s="582" t="s">
        <v>4220</v>
      </c>
      <c r="B1135" s="584" t="str">
        <f>COSTOS!$C$14</f>
        <v>MODERNIZACION A TECNOLOGIA LED</v>
      </c>
      <c r="C1135" s="584"/>
      <c r="D1135" s="584"/>
      <c r="E1135" s="584"/>
      <c r="F1135" s="584"/>
      <c r="G1135" s="584"/>
      <c r="H1135" s="585" t="s">
        <v>4221</v>
      </c>
    </row>
    <row r="1136" spans="1:10">
      <c r="A1136" s="583"/>
      <c r="B1136" s="584"/>
      <c r="C1136" s="584"/>
      <c r="D1136" s="584"/>
      <c r="E1136" s="584"/>
      <c r="F1136" s="584"/>
      <c r="G1136" s="584"/>
      <c r="H1136" s="585"/>
    </row>
    <row r="1137" spans="1:15">
      <c r="A1137" s="583"/>
      <c r="B1137" s="584"/>
      <c r="C1137" s="584"/>
      <c r="D1137" s="584"/>
      <c r="E1137" s="584"/>
      <c r="F1137" s="584"/>
      <c r="G1137" s="584"/>
      <c r="H1137" s="585"/>
    </row>
    <row r="1138" spans="1:15" ht="15" customHeight="1">
      <c r="A1138" s="583"/>
      <c r="B1138" s="584"/>
      <c r="C1138" s="584"/>
      <c r="D1138" s="584"/>
      <c r="E1138" s="584"/>
      <c r="F1138" s="584"/>
      <c r="G1138" s="584"/>
      <c r="H1138" s="216">
        <f ca="1">TODAY()</f>
        <v>44889</v>
      </c>
      <c r="K1138" t="s">
        <v>4391</v>
      </c>
      <c r="L1138" t="s">
        <v>4392</v>
      </c>
      <c r="M1138" t="s">
        <v>4393</v>
      </c>
      <c r="N1138" t="s">
        <v>4394</v>
      </c>
    </row>
    <row r="1139" spans="1:15" ht="60.75" customHeight="1">
      <c r="A1139" s="228" t="s">
        <v>4222</v>
      </c>
      <c r="B1139" s="565" t="str">
        <f>COSTOS!$D$16</f>
        <v>Luminarias</v>
      </c>
      <c r="C1139" s="565"/>
      <c r="D1139" s="565"/>
      <c r="E1139" s="565"/>
      <c r="F1139" s="565"/>
      <c r="G1139" s="70" t="s">
        <v>4223</v>
      </c>
      <c r="H1139" s="391">
        <v>1.23</v>
      </c>
      <c r="K1139" s="62">
        <f>H1164</f>
        <v>798437.69040161383</v>
      </c>
      <c r="L1139" s="62">
        <f>H1174</f>
        <v>18742.662399999997</v>
      </c>
      <c r="M1139" s="62">
        <f>H1147</f>
        <v>3363.18525</v>
      </c>
      <c r="N1139" s="62">
        <f>H1168</f>
        <v>4800</v>
      </c>
    </row>
    <row r="1140" spans="1:15" ht="43.15" customHeight="1">
      <c r="A1140" s="229" t="s">
        <v>4224</v>
      </c>
      <c r="B1140" s="566" t="str">
        <f>VLOOKUP(H1139,COSTOS!C:M,2,0)</f>
        <v>Luminaria Sodio 150w</v>
      </c>
      <c r="C1140" s="567"/>
      <c r="D1140" s="567"/>
      <c r="E1140" s="568"/>
      <c r="F1140" s="71" t="s">
        <v>0</v>
      </c>
      <c r="G1140" s="356" t="str">
        <f>VLOOKUP(H1139,COSTOS!C:M,8,0)</f>
        <v>Und</v>
      </c>
      <c r="H1140" s="276"/>
      <c r="I1140" s="306"/>
      <c r="J1140" s="308"/>
      <c r="K1140" s="308"/>
      <c r="L1140" s="308"/>
    </row>
    <row r="1141" spans="1:15">
      <c r="A1141" s="230"/>
      <c r="B1141" s="112"/>
      <c r="C1141" s="112"/>
      <c r="D1141" s="112"/>
      <c r="E1141" s="113"/>
      <c r="F1141" s="114" t="s">
        <v>1</v>
      </c>
      <c r="G1141" s="356">
        <f>VLOOKUP(H1139,COSTOS!C:M,9,0)</f>
        <v>0</v>
      </c>
      <c r="H1141" s="357"/>
      <c r="I1141" s="307"/>
    </row>
    <row r="1142" spans="1:15" ht="16.5">
      <c r="A1142" s="231" t="s">
        <v>4226</v>
      </c>
      <c r="B1142" s="75"/>
      <c r="C1142" s="75"/>
      <c r="D1142" s="76"/>
      <c r="E1142" s="209"/>
      <c r="F1142" s="210"/>
      <c r="G1142" s="211" t="s">
        <v>4227</v>
      </c>
      <c r="H1142" s="217">
        <f>H1147+H1164+H1168+H1174</f>
        <v>825343.53805161384</v>
      </c>
    </row>
    <row r="1143" spans="1:15" ht="39">
      <c r="A1143" s="569" t="s">
        <v>4224</v>
      </c>
      <c r="B1143" s="569"/>
      <c r="C1143" s="569"/>
      <c r="D1143" s="77" t="s">
        <v>0</v>
      </c>
      <c r="E1143" s="207" t="s">
        <v>4228</v>
      </c>
      <c r="F1143" s="208" t="s">
        <v>4215</v>
      </c>
      <c r="G1143" s="74" t="s">
        <v>2</v>
      </c>
      <c r="H1143" s="218" t="s">
        <v>4229</v>
      </c>
      <c r="K1143" s="309"/>
    </row>
    <row r="1144" spans="1:15">
      <c r="A1144" s="536" t="s">
        <v>3946</v>
      </c>
      <c r="B1144" s="570" t="str">
        <f>VLOOKUP(A1144,'Equip, Herr y Transp'!$B$2:$D$739,2,0)</f>
        <v>EQU</v>
      </c>
      <c r="C1144" s="570"/>
      <c r="D1144" s="95" t="str">
        <f>VLOOKUP(A1144,'Equip, Herr y Transp'!$B$2:$D$218,2,0)</f>
        <v>EQU</v>
      </c>
      <c r="E1144" s="95">
        <f>VLOOKUP(A1144,'Equip, Herr y Transp'!$B$2:$D$218,3,0)</f>
        <v>14130</v>
      </c>
      <c r="F1144" s="96">
        <f>H1134</f>
        <v>5.21E-2</v>
      </c>
      <c r="G1144" s="122">
        <f>F1144*E1144</f>
        <v>736.173</v>
      </c>
      <c r="H1144" s="118"/>
    </row>
    <row r="1145" spans="1:15">
      <c r="A1145" s="536" t="s">
        <v>3904</v>
      </c>
      <c r="B1145" s="570" t="str">
        <f>VLOOKUP(A1145,'Equip, Herr y Transp'!$B$2:$D$739,2,0)</f>
        <v>EQU</v>
      </c>
      <c r="C1145" s="570"/>
      <c r="D1145" s="95" t="str">
        <f>VLOOKUP(A1145,'Equip, Herr y Transp'!$B$2:$D$218,2,0)</f>
        <v>EQU</v>
      </c>
      <c r="E1145" s="95">
        <f>VLOOKUP(A1145,'Equip, Herr y Transp'!$B$2:$D$218,3,0)</f>
        <v>26672.5</v>
      </c>
      <c r="F1145" s="96">
        <f>H1134</f>
        <v>5.21E-2</v>
      </c>
      <c r="G1145" s="122">
        <f>F1145*E1145</f>
        <v>1389.63725</v>
      </c>
      <c r="H1145" s="117"/>
    </row>
    <row r="1146" spans="1:15">
      <c r="A1146" s="536" t="s">
        <v>3937</v>
      </c>
      <c r="B1146" s="570" t="str">
        <f>VLOOKUP(A1146,'Equip, Herr y Transp'!$B$2:$D$739,2,0)</f>
        <v>EQU</v>
      </c>
      <c r="C1146" s="570"/>
      <c r="D1146" s="95" t="str">
        <f>VLOOKUP(A1146,'Equip, Herr y Transp'!$B$2:$D$218,2,0)</f>
        <v>EQU</v>
      </c>
      <c r="E1146" s="95">
        <f>VLOOKUP(A1146,'Equip, Herr y Transp'!$B$2:$D$218,3,0)</f>
        <v>23750</v>
      </c>
      <c r="F1146" s="96">
        <f>H1134</f>
        <v>5.21E-2</v>
      </c>
      <c r="G1146" s="122">
        <f>F1146*E1146</f>
        <v>1237.375</v>
      </c>
      <c r="H1146" s="117"/>
    </row>
    <row r="1147" spans="1:15" ht="16.5">
      <c r="A1147" s="540" t="s">
        <v>4100</v>
      </c>
      <c r="B1147" s="541"/>
      <c r="C1147" s="541"/>
      <c r="D1147" s="541"/>
      <c r="E1147" s="541"/>
      <c r="F1147" s="541"/>
      <c r="G1147" s="541"/>
      <c r="H1147" s="97">
        <f>SUM(G1144:G1146)</f>
        <v>3363.18525</v>
      </c>
    </row>
    <row r="1148" spans="1:15" ht="16.5">
      <c r="A1148" s="571" t="s">
        <v>4230</v>
      </c>
      <c r="B1148" s="572"/>
      <c r="C1148" s="572"/>
      <c r="D1148" s="572"/>
      <c r="E1148" s="572"/>
      <c r="F1148" s="572"/>
      <c r="G1148" s="572"/>
      <c r="H1148" s="573"/>
      <c r="K1148" s="56"/>
      <c r="L1148" s="56"/>
      <c r="M1148" s="56"/>
      <c r="N1148" s="56"/>
      <c r="O1148" s="56"/>
    </row>
    <row r="1149" spans="1:15" ht="30" customHeight="1">
      <c r="A1149" s="574" t="s">
        <v>7</v>
      </c>
      <c r="B1149" s="575"/>
      <c r="C1149" s="109" t="s">
        <v>0</v>
      </c>
      <c r="D1149" s="110" t="s">
        <v>4098</v>
      </c>
      <c r="E1149" s="111" t="s">
        <v>1</v>
      </c>
      <c r="F1149" s="576" t="s">
        <v>4218</v>
      </c>
      <c r="G1149" s="576"/>
      <c r="H1149" s="215"/>
      <c r="K1149" s="56"/>
      <c r="L1149" s="56"/>
      <c r="M1149" s="56"/>
      <c r="N1149" s="56"/>
      <c r="O1149" s="56"/>
    </row>
    <row r="1150" spans="1:15">
      <c r="A1150" s="577" t="s">
        <v>4675</v>
      </c>
      <c r="B1150" s="578"/>
      <c r="C1150" s="98" t="str">
        <f>VLOOKUP(A1150,'Materiales '!$C$2:$F$1302,3,0)</f>
        <v>Und</v>
      </c>
      <c r="D1150" s="99">
        <f>VLOOKUP(A1150,'Materiales '!$C$2:$F$1302,4,0)</f>
        <v>572690.64440161386</v>
      </c>
      <c r="E1150" s="100">
        <v>1</v>
      </c>
      <c r="F1150" s="538">
        <f>E1150*D1150</f>
        <v>572690.64440161386</v>
      </c>
      <c r="G1150" s="539"/>
      <c r="H1150" s="121"/>
      <c r="I1150">
        <f>E1150*G1141</f>
        <v>0</v>
      </c>
      <c r="J1150" s="67"/>
      <c r="K1150" s="56"/>
      <c r="L1150" s="56"/>
      <c r="M1150" s="56"/>
      <c r="N1150" s="56"/>
      <c r="O1150" s="56"/>
    </row>
    <row r="1151" spans="1:15">
      <c r="A1151" s="577" t="s">
        <v>4214</v>
      </c>
      <c r="B1151" s="578"/>
      <c r="C1151" s="98" t="str">
        <f>VLOOKUP(A1151,'Materiales '!$C$2:$F$1302,3,0)</f>
        <v>Und</v>
      </c>
      <c r="D1151" s="99">
        <f>VLOOKUP(A1151,'Materiales '!$C$2:$F$1302,4,0)</f>
        <v>22848</v>
      </c>
      <c r="E1151" s="100">
        <v>1</v>
      </c>
      <c r="F1151" s="538">
        <f t="shared" ref="F1151:F1157" si="67">E1151*D1151</f>
        <v>22848</v>
      </c>
      <c r="G1151" s="539"/>
      <c r="H1151" s="121"/>
      <c r="I1151">
        <f>E1151*G1141</f>
        <v>0</v>
      </c>
      <c r="J1151" s="67"/>
      <c r="K1151" s="56"/>
      <c r="L1151" s="56"/>
      <c r="M1151" s="56"/>
      <c r="N1151" s="56"/>
      <c r="O1151" s="56"/>
    </row>
    <row r="1152" spans="1:15">
      <c r="A1152" s="536" t="s">
        <v>4484</v>
      </c>
      <c r="B1152" s="537" t="str">
        <f>VLOOKUP(A1152,'Materiales '!$C$2:$F$1302,3,0)</f>
        <v>Und</v>
      </c>
      <c r="C1152" s="98" t="str">
        <f>VLOOKUP(A1152,'Materiales '!$C$2:$F$1302,3,0)</f>
        <v>Und</v>
      </c>
      <c r="D1152" s="99">
        <f>VLOOKUP(A1152,'Materiales '!$C$2:$F$1302,4,0)</f>
        <v>21705.599999999999</v>
      </c>
      <c r="E1152" s="100">
        <v>2</v>
      </c>
      <c r="F1152" s="538">
        <f t="shared" si="67"/>
        <v>43411.199999999997</v>
      </c>
      <c r="G1152" s="539"/>
      <c r="H1152" s="121"/>
      <c r="I1152">
        <f>E1152*G1141</f>
        <v>0</v>
      </c>
      <c r="J1152" s="68"/>
      <c r="K1152" s="56"/>
      <c r="L1152" s="56"/>
      <c r="M1152" s="56"/>
      <c r="N1152" s="56"/>
      <c r="O1152" s="56"/>
    </row>
    <row r="1153" spans="1:15">
      <c r="A1153" s="536" t="s">
        <v>4489</v>
      </c>
      <c r="B1153" s="537" t="str">
        <f>VLOOKUP(A1153,'Materiales '!$C$2:$F$1302,3,0)</f>
        <v>Und</v>
      </c>
      <c r="C1153" s="98" t="str">
        <f>VLOOKUP(A1153,'Materiales '!$C$2:$F$1302,3,0)</f>
        <v>Und</v>
      </c>
      <c r="D1153" s="99">
        <f>VLOOKUP(A1153,'Materiales '!$C$2:$F$1302,4,0)</f>
        <v>8039.6399999999994</v>
      </c>
      <c r="E1153" s="100">
        <v>3</v>
      </c>
      <c r="F1153" s="538">
        <f t="shared" si="67"/>
        <v>24118.92</v>
      </c>
      <c r="G1153" s="539"/>
      <c r="H1153" s="121"/>
      <c r="I1153">
        <f>E1153*G1141</f>
        <v>0</v>
      </c>
      <c r="J1153" s="68"/>
      <c r="K1153" s="56"/>
      <c r="L1153" s="56"/>
      <c r="M1153" s="56"/>
      <c r="N1153" s="56"/>
      <c r="O1153" s="56"/>
    </row>
    <row r="1154" spans="1:15">
      <c r="A1154" s="536" t="s">
        <v>4554</v>
      </c>
      <c r="B1154" s="537" t="str">
        <f>VLOOKUP(A1154,'Materiales '!$C$2:$F$1302,3,0)</f>
        <v>Und</v>
      </c>
      <c r="C1154" s="98" t="str">
        <f>VLOOKUP(A1154,'Materiales '!$C$2:$F$1302,3,0)</f>
        <v>Und</v>
      </c>
      <c r="D1154" s="99">
        <f>VLOOKUP(A1154,'Materiales '!$C$2:$F$1302,4,0)</f>
        <v>2535.5329999999999</v>
      </c>
      <c r="E1154" s="100">
        <v>2</v>
      </c>
      <c r="F1154" s="538">
        <f t="shared" si="67"/>
        <v>5071.0659999999998</v>
      </c>
      <c r="G1154" s="539"/>
      <c r="H1154" s="121"/>
      <c r="I1154">
        <f>E1154*G1141</f>
        <v>0</v>
      </c>
      <c r="J1154" s="68"/>
      <c r="K1154" s="56"/>
      <c r="L1154" s="56"/>
      <c r="M1154" s="56"/>
      <c r="N1154" s="56"/>
      <c r="O1154" s="56"/>
    </row>
    <row r="1155" spans="1:15">
      <c r="A1155" s="536" t="s">
        <v>4450</v>
      </c>
      <c r="B1155" s="537" t="str">
        <f>VLOOKUP(A1155,'Materiales '!$C$2:$F$1302,3,0)</f>
        <v>Ml</v>
      </c>
      <c r="C1155" s="98" t="str">
        <f>VLOOKUP(A1155,'Materiales '!$C$2:$F$1302,3,0)</f>
        <v>Ml</v>
      </c>
      <c r="D1155" s="99">
        <f>VLOOKUP(A1155,'Materiales '!$C$2:$F$1302,4,0)</f>
        <v>6791.5679999999993</v>
      </c>
      <c r="E1155" s="100">
        <v>1</v>
      </c>
      <c r="F1155" s="538">
        <f t="shared" si="67"/>
        <v>6791.5679999999993</v>
      </c>
      <c r="G1155" s="539"/>
      <c r="H1155" s="121"/>
      <c r="I1155">
        <f>E1155*G1141</f>
        <v>0</v>
      </c>
      <c r="J1155" s="68"/>
      <c r="K1155" s="56"/>
      <c r="L1155" s="56"/>
      <c r="M1155" s="56"/>
      <c r="N1155" s="56"/>
      <c r="O1155" s="56"/>
    </row>
    <row r="1156" spans="1:15">
      <c r="A1156" s="536" t="s">
        <v>4493</v>
      </c>
      <c r="B1156" s="537" t="str">
        <f>VLOOKUP(A1156,'Materiales '!$C$2:$F$1302,3,0)</f>
        <v>Und</v>
      </c>
      <c r="C1156" s="98" t="str">
        <f>VLOOKUP(A1156,'Materiales '!$C$2:$F$1302,3,0)</f>
        <v>Und</v>
      </c>
      <c r="D1156" s="99">
        <f>VLOOKUP(A1156,'Materiales '!$C$2:$F$1302,4,0)</f>
        <v>232.76399999999998</v>
      </c>
      <c r="E1156" s="100">
        <v>3</v>
      </c>
      <c r="F1156" s="538">
        <f t="shared" si="67"/>
        <v>698.29199999999992</v>
      </c>
      <c r="G1156" s="539"/>
      <c r="H1156" s="121"/>
      <c r="I1156">
        <f>E1156*G1141</f>
        <v>0</v>
      </c>
      <c r="J1156" s="68"/>
      <c r="K1156" s="56"/>
      <c r="L1156" s="56"/>
      <c r="M1156" s="56"/>
      <c r="N1156" s="56"/>
      <c r="O1156" s="56"/>
    </row>
    <row r="1157" spans="1:15" ht="21.75" customHeight="1">
      <c r="A1157" s="536" t="s">
        <v>4435</v>
      </c>
      <c r="B1157" s="537" t="str">
        <f>VLOOKUP(A1157,'Materiales '!$C$2:$F$1302,3,0)</f>
        <v>Und</v>
      </c>
      <c r="C1157" s="98" t="str">
        <f>VLOOKUP(A1157,'Materiales '!$C$2:$F$1302,3,0)</f>
        <v>Und</v>
      </c>
      <c r="D1157" s="99">
        <f>VLOOKUP(A1157,'Materiales '!$C$2:$F$1302,4,0)</f>
        <v>122808</v>
      </c>
      <c r="E1157" s="100">
        <v>1</v>
      </c>
      <c r="F1157" s="538">
        <f t="shared" si="67"/>
        <v>122808</v>
      </c>
      <c r="G1157" s="539"/>
      <c r="H1157" s="121"/>
      <c r="I1157">
        <f>E1157*G1141</f>
        <v>0</v>
      </c>
      <c r="J1157" s="68"/>
      <c r="K1157" s="56"/>
      <c r="L1157" s="56"/>
      <c r="M1157" s="56"/>
      <c r="N1157" s="56"/>
      <c r="O1157" s="56"/>
    </row>
    <row r="1158" spans="1:15">
      <c r="A1158" s="536" t="s">
        <v>8</v>
      </c>
      <c r="B1158" s="537" t="str">
        <f>VLOOKUP(A1158,'Materiales '!$C$2:$F$1302,3,0)</f>
        <v>-</v>
      </c>
      <c r="C1158" s="98" t="str">
        <f>VLOOKUP(A1158,'Materiales '!$C$2:$F$1302,3,0)</f>
        <v>-</v>
      </c>
      <c r="D1158" s="99">
        <f>VLOOKUP(A1158,'Materiales '!$C$2:$F$1302,4,0)</f>
        <v>0</v>
      </c>
      <c r="E1158" s="100"/>
      <c r="F1158" s="538">
        <f>E1158*D1158</f>
        <v>0</v>
      </c>
      <c r="G1158" s="539"/>
      <c r="H1158" s="120"/>
      <c r="I1158">
        <f>E1158*G1141</f>
        <v>0</v>
      </c>
      <c r="J1158" s="68"/>
      <c r="K1158" s="56"/>
      <c r="L1158" s="56"/>
      <c r="M1158" s="56"/>
      <c r="N1158" s="56"/>
      <c r="O1158" s="56"/>
    </row>
    <row r="1159" spans="1:15">
      <c r="A1159" s="536" t="s">
        <v>8</v>
      </c>
      <c r="B1159" s="537" t="str">
        <f>VLOOKUP(A1159,'Materiales '!$C$2:$F$1302,3,0)</f>
        <v>-</v>
      </c>
      <c r="C1159" s="98" t="str">
        <f>VLOOKUP(A1159,'Materiales '!$C$2:$F$1302,3,0)</f>
        <v>-</v>
      </c>
      <c r="D1159" s="99">
        <f>VLOOKUP(A1159,'Materiales '!$C$2:$F$1302,4,0)</f>
        <v>0</v>
      </c>
      <c r="E1159" s="100"/>
      <c r="F1159" s="538">
        <f t="shared" ref="F1159:F1162" si="68">E1159*D1159</f>
        <v>0</v>
      </c>
      <c r="G1159" s="539"/>
      <c r="H1159" s="121"/>
      <c r="I1159">
        <f>E1159*G1141</f>
        <v>0</v>
      </c>
      <c r="J1159" s="68"/>
      <c r="K1159" s="56"/>
      <c r="L1159" s="56"/>
      <c r="M1159" s="56"/>
      <c r="N1159" s="56"/>
      <c r="O1159" s="56"/>
    </row>
    <row r="1160" spans="1:15">
      <c r="A1160" s="536" t="s">
        <v>8</v>
      </c>
      <c r="B1160" s="537" t="str">
        <f>VLOOKUP(A1160,'Materiales '!$C$2:$F$1302,3,0)</f>
        <v>-</v>
      </c>
      <c r="C1160" s="98" t="str">
        <f>VLOOKUP(A1160,'Materiales '!$C$2:$F$1302,3,0)</f>
        <v>-</v>
      </c>
      <c r="D1160" s="99">
        <f>VLOOKUP(A1160,'Materiales '!$C$2:$F$1302,4,0)</f>
        <v>0</v>
      </c>
      <c r="E1160" s="100"/>
      <c r="F1160" s="538">
        <f t="shared" si="68"/>
        <v>0</v>
      </c>
      <c r="G1160" s="539"/>
      <c r="H1160" s="121"/>
      <c r="I1160">
        <f>E1160*G1141</f>
        <v>0</v>
      </c>
      <c r="J1160" s="68"/>
      <c r="K1160" s="56"/>
      <c r="L1160" s="56"/>
      <c r="M1160" s="56"/>
      <c r="N1160" s="56"/>
      <c r="O1160" s="56"/>
    </row>
    <row r="1161" spans="1:15">
      <c r="A1161" s="536" t="s">
        <v>8</v>
      </c>
      <c r="B1161" s="537" t="str">
        <f>VLOOKUP(A1161,'Materiales '!$C$2:$F$1302,3,0)</f>
        <v>-</v>
      </c>
      <c r="C1161" s="98" t="str">
        <f>VLOOKUP(A1161,'Materiales '!$C$2:$F$1302,3,0)</f>
        <v>-</v>
      </c>
      <c r="D1161" s="99">
        <f>VLOOKUP(A1161,'Materiales '!$C$2:$F$1302,4,0)</f>
        <v>0</v>
      </c>
      <c r="E1161" s="100"/>
      <c r="F1161" s="538">
        <f t="shared" si="68"/>
        <v>0</v>
      </c>
      <c r="G1161" s="539"/>
      <c r="H1161" s="121"/>
      <c r="I1161">
        <f>E1161*G1141</f>
        <v>0</v>
      </c>
      <c r="J1161" s="68"/>
      <c r="K1161" s="56"/>
      <c r="L1161" s="56"/>
      <c r="M1161" s="56"/>
      <c r="N1161" s="56"/>
      <c r="O1161" s="56"/>
    </row>
    <row r="1162" spans="1:15">
      <c r="A1162" s="536" t="s">
        <v>8</v>
      </c>
      <c r="B1162" s="537" t="str">
        <f>VLOOKUP(A1162,'Materiales '!$C$2:$F$1302,3,0)</f>
        <v>-</v>
      </c>
      <c r="C1162" s="98" t="str">
        <f>VLOOKUP(A1162,'Materiales '!$C$2:$F$1302,3,0)</f>
        <v>-</v>
      </c>
      <c r="D1162" s="99">
        <f>VLOOKUP(A1162,'Materiales '!$C$2:$F$1302,4,0)</f>
        <v>0</v>
      </c>
      <c r="E1162" s="100"/>
      <c r="F1162" s="538">
        <f t="shared" si="68"/>
        <v>0</v>
      </c>
      <c r="G1162" s="539"/>
      <c r="H1162" s="121"/>
      <c r="I1162">
        <f>E1162*G1141</f>
        <v>0</v>
      </c>
      <c r="J1162" s="68"/>
      <c r="K1162" s="56"/>
      <c r="L1162" s="56"/>
      <c r="M1162" s="56"/>
      <c r="N1162" s="56"/>
      <c r="O1162" s="56"/>
    </row>
    <row r="1163" spans="1:15">
      <c r="A1163" s="536" t="s">
        <v>8</v>
      </c>
      <c r="B1163" s="537" t="str">
        <f>VLOOKUP(A1163,'Materiales '!$C$2:$F$1302,3,0)</f>
        <v>-</v>
      </c>
      <c r="C1163" s="98" t="str">
        <f>VLOOKUP(A1163,'Materiales '!$C$2:$F$1302,3,0)</f>
        <v>-</v>
      </c>
      <c r="D1163" s="99">
        <f>VLOOKUP(A1163,'Materiales '!$C$2:$F$1302,4,0)</f>
        <v>0</v>
      </c>
      <c r="E1163" s="100"/>
      <c r="F1163" s="538">
        <f>E1163*D1163</f>
        <v>0</v>
      </c>
      <c r="G1163" s="539"/>
      <c r="H1163" s="120"/>
      <c r="I1163">
        <f>E1163*G1141</f>
        <v>0</v>
      </c>
      <c r="J1163" s="68"/>
      <c r="K1163" s="56"/>
      <c r="L1163" s="56"/>
      <c r="M1163" s="56"/>
      <c r="N1163" s="56"/>
      <c r="O1163" s="56"/>
    </row>
    <row r="1164" spans="1:15" ht="16.5">
      <c r="A1164" s="540" t="s">
        <v>4099</v>
      </c>
      <c r="B1164" s="541"/>
      <c r="C1164" s="541"/>
      <c r="D1164" s="541"/>
      <c r="E1164" s="541"/>
      <c r="F1164" s="541"/>
      <c r="G1164" s="542"/>
      <c r="H1164" s="116">
        <f>SUM(F1150:F1163)</f>
        <v>798437.69040161383</v>
      </c>
      <c r="J1164" s="68"/>
      <c r="K1164" s="56"/>
      <c r="L1164" s="56"/>
      <c r="M1164" s="56"/>
      <c r="N1164" s="56"/>
      <c r="O1164" s="56"/>
    </row>
    <row r="1165" spans="1:15" ht="16.5">
      <c r="A1165" s="543" t="s">
        <v>4231</v>
      </c>
      <c r="B1165" s="544"/>
      <c r="C1165" s="544"/>
      <c r="D1165" s="544"/>
      <c r="E1165" s="545"/>
      <c r="F1165" s="544"/>
      <c r="G1165" s="544"/>
      <c r="H1165" s="546"/>
      <c r="J1165" s="68"/>
      <c r="K1165" s="56"/>
      <c r="L1165" s="56"/>
      <c r="M1165" s="56"/>
      <c r="N1165" s="56"/>
      <c r="O1165" s="56"/>
    </row>
    <row r="1166" spans="1:15">
      <c r="A1166" s="547" t="s">
        <v>7</v>
      </c>
      <c r="B1166" s="548"/>
      <c r="C1166" s="108" t="s">
        <v>4232</v>
      </c>
      <c r="D1166" s="107" t="s">
        <v>4233</v>
      </c>
      <c r="E1166" s="206" t="s">
        <v>4234</v>
      </c>
      <c r="F1166" s="549" t="s">
        <v>4218</v>
      </c>
      <c r="G1166" s="549"/>
      <c r="H1166" s="119"/>
      <c r="K1166" s="56"/>
      <c r="L1166" s="56"/>
      <c r="M1166" s="56"/>
      <c r="N1166" s="56"/>
      <c r="O1166" s="56"/>
    </row>
    <row r="1167" spans="1:15">
      <c r="A1167" s="550" t="s">
        <v>3928</v>
      </c>
      <c r="B1167" s="551"/>
      <c r="C1167" s="232">
        <v>1</v>
      </c>
      <c r="D1167" s="102">
        <v>0.03</v>
      </c>
      <c r="E1167" s="103">
        <f>VLOOKUP(A1167,'Equip, Herr y Transp'!$B$2:$D$218,3,0)</f>
        <v>160000</v>
      </c>
      <c r="F1167" s="552">
        <f>E1167*D1167*C1167</f>
        <v>4800</v>
      </c>
      <c r="G1167" s="553"/>
      <c r="H1167" s="117"/>
      <c r="M1167" s="56"/>
    </row>
    <row r="1168" spans="1:15" ht="16.5">
      <c r="A1168" s="554" t="s">
        <v>4216</v>
      </c>
      <c r="B1168" s="555"/>
      <c r="C1168" s="555"/>
      <c r="D1168" s="555"/>
      <c r="E1168" s="555"/>
      <c r="F1168" s="555"/>
      <c r="G1168" s="555"/>
      <c r="H1168" s="105">
        <f>F1167</f>
        <v>4800</v>
      </c>
    </row>
    <row r="1169" spans="1:10" ht="16.5">
      <c r="A1169" s="543" t="s">
        <v>4235</v>
      </c>
      <c r="B1169" s="544"/>
      <c r="C1169" s="544"/>
      <c r="D1169" s="544"/>
      <c r="E1169" s="544"/>
      <c r="F1169" s="544"/>
      <c r="G1169" s="544"/>
      <c r="H1169" s="546"/>
    </row>
    <row r="1170" spans="1:10">
      <c r="A1170" s="547" t="s">
        <v>7</v>
      </c>
      <c r="B1170" s="548"/>
      <c r="C1170" s="106" t="s">
        <v>1</v>
      </c>
      <c r="D1170" s="107" t="s">
        <v>4236</v>
      </c>
      <c r="E1170" s="108" t="s">
        <v>4215</v>
      </c>
      <c r="F1170" s="547" t="s">
        <v>5</v>
      </c>
      <c r="G1170" s="556"/>
      <c r="H1170" s="119"/>
    </row>
    <row r="1171" spans="1:10">
      <c r="A1171" s="550" t="s">
        <v>4196</v>
      </c>
      <c r="B1171" s="551"/>
      <c r="C1171" s="101">
        <v>1</v>
      </c>
      <c r="D1171" s="104">
        <f>VLOOKUP(A1171,'Mano Obra'!$B$2:$T$117,19,0)</f>
        <v>166624</v>
      </c>
      <c r="E1171" s="246">
        <f>H1134</f>
        <v>5.21E-2</v>
      </c>
      <c r="F1171" s="538">
        <f>E1171*D1171*C1171</f>
        <v>8681.1103999999996</v>
      </c>
      <c r="G1171" s="557"/>
      <c r="H1171" s="121"/>
      <c r="I1171" s="69"/>
      <c r="J1171" s="136">
        <f>((('Mano Obra'!$M$4/30)*F1171)/D1171)*G1141</f>
        <v>0</v>
      </c>
    </row>
    <row r="1172" spans="1:10">
      <c r="A1172" s="558" t="s">
        <v>4197</v>
      </c>
      <c r="B1172" s="559">
        <f>VLOOKUP(A1172,'Mano Obra'!$B$3:$D$290,2,0)</f>
        <v>2090000.0000000002</v>
      </c>
      <c r="C1172" s="101">
        <v>1</v>
      </c>
      <c r="D1172" s="104">
        <f>VLOOKUP(A1172,'Mano Obra'!$B$2:$T$117,19,0)</f>
        <v>120456</v>
      </c>
      <c r="E1172" s="246">
        <f>H1134</f>
        <v>5.21E-2</v>
      </c>
      <c r="F1172" s="538">
        <f t="shared" ref="F1172:F1173" si="69">E1172*D1172*C1172</f>
        <v>6275.7575999999999</v>
      </c>
      <c r="G1172" s="557"/>
      <c r="H1172" s="121"/>
      <c r="J1172" s="136">
        <f>((('Mano Obra'!$M$5/30)*F1172)/D1172)*G1141</f>
        <v>0</v>
      </c>
    </row>
    <row r="1173" spans="1:10">
      <c r="A1173" s="558" t="s">
        <v>4186</v>
      </c>
      <c r="B1173" s="559">
        <f>VLOOKUP(A1173,'Mano Obra'!$B$3:$D$290,2,0)</f>
        <v>1100000</v>
      </c>
      <c r="C1173" s="101">
        <v>1</v>
      </c>
      <c r="D1173" s="104">
        <f>VLOOKUP(A1173,'Mano Obra'!$B$2:$T$117,19,0)</f>
        <v>72664</v>
      </c>
      <c r="E1173" s="246">
        <f>H1134</f>
        <v>5.21E-2</v>
      </c>
      <c r="F1173" s="538">
        <f t="shared" si="69"/>
        <v>3785.7944000000002</v>
      </c>
      <c r="G1173" s="557"/>
      <c r="H1173" s="120"/>
      <c r="J1173" s="136">
        <f>((('Mano Obra'!$M$6/30)*F1173)/D1173)*G1141</f>
        <v>0</v>
      </c>
    </row>
    <row r="1174" spans="1:10" ht="16.5">
      <c r="A1174" s="560" t="s">
        <v>4101</v>
      </c>
      <c r="B1174" s="560"/>
      <c r="C1174" s="560"/>
      <c r="D1174" s="560"/>
      <c r="E1174" s="560"/>
      <c r="F1174" s="560"/>
      <c r="G1174" s="560"/>
      <c r="H1174" s="105">
        <f>SUM(F1171:F1173)</f>
        <v>18742.662399999997</v>
      </c>
      <c r="J1174" s="136"/>
    </row>
    <row r="1175" spans="1:10">
      <c r="A1175" s="227" t="s">
        <v>4237</v>
      </c>
      <c r="B1175" s="205"/>
      <c r="C1175" s="205"/>
      <c r="D1175" s="202"/>
      <c r="E1175" s="203"/>
      <c r="F1175" s="204"/>
      <c r="G1175" s="203"/>
      <c r="H1175" s="212"/>
    </row>
    <row r="1176" spans="1:10">
      <c r="A1176" s="561" t="s">
        <v>4224</v>
      </c>
      <c r="B1176" s="562"/>
      <c r="C1176" s="562"/>
      <c r="D1176" s="562"/>
      <c r="E1176" s="200"/>
      <c r="F1176" s="201" t="s">
        <v>4238</v>
      </c>
      <c r="G1176" s="200" t="s">
        <v>4239</v>
      </c>
      <c r="H1176" s="213"/>
    </row>
    <row r="1177" spans="1:10">
      <c r="A1177" s="223" t="s">
        <v>4097</v>
      </c>
      <c r="B1177" s="72"/>
      <c r="C1177" s="72"/>
      <c r="D1177" s="73"/>
      <c r="E1177" s="78"/>
      <c r="F1177" s="79">
        <v>0</v>
      </c>
      <c r="G1177" s="80">
        <f>F1177*H1142</f>
        <v>0</v>
      </c>
      <c r="H1177" s="212"/>
    </row>
    <row r="1178" spans="1:10">
      <c r="A1178" s="224" t="s">
        <v>4240</v>
      </c>
      <c r="B1178" s="81"/>
      <c r="C1178" s="81"/>
      <c r="D1178" s="82"/>
      <c r="E1178" s="78"/>
      <c r="F1178" s="79">
        <v>0</v>
      </c>
      <c r="G1178" s="80">
        <f>F1178*H1142</f>
        <v>0</v>
      </c>
      <c r="H1178" s="212"/>
    </row>
    <row r="1179" spans="1:10">
      <c r="A1179" s="224" t="s">
        <v>4</v>
      </c>
      <c r="B1179" s="81"/>
      <c r="C1179" s="81"/>
      <c r="D1179" s="82"/>
      <c r="E1179" s="78"/>
      <c r="F1179" s="79">
        <v>0</v>
      </c>
      <c r="G1179" s="80">
        <f>F1179*H1142</f>
        <v>0</v>
      </c>
      <c r="H1179" s="212"/>
    </row>
    <row r="1180" spans="1:10">
      <c r="A1180" s="225"/>
      <c r="B1180" s="83"/>
      <c r="C1180" s="75"/>
      <c r="D1180" s="84"/>
      <c r="E1180" s="85"/>
      <c r="F1180" s="86"/>
      <c r="G1180" s="87"/>
      <c r="H1180" s="214"/>
    </row>
    <row r="1181" spans="1:10">
      <c r="A1181" s="226"/>
      <c r="B1181" s="83"/>
      <c r="C1181" s="83"/>
      <c r="D1181" s="84"/>
      <c r="E1181" s="88"/>
      <c r="F1181" s="563" t="s">
        <v>4241</v>
      </c>
      <c r="G1181" s="564"/>
      <c r="H1181" s="233">
        <f>H1142+G1177+G1178+G1179</f>
        <v>825343.53805161384</v>
      </c>
    </row>
    <row r="1182" spans="1:10">
      <c r="A1182" s="83"/>
      <c r="B1182" s="83"/>
      <c r="C1182" s="83"/>
      <c r="D1182" s="84"/>
      <c r="E1182" s="388"/>
      <c r="F1182" s="389"/>
      <c r="G1182" s="389"/>
      <c r="H1182" s="390"/>
    </row>
    <row r="1183" spans="1:10" ht="16.5">
      <c r="A1183" s="90"/>
      <c r="B1183" s="90"/>
      <c r="C1183" s="90"/>
      <c r="D1183" s="90"/>
      <c r="E1183" s="90"/>
      <c r="F1183" s="90"/>
      <c r="G1183" s="90"/>
      <c r="H1183" s="381"/>
    </row>
    <row r="1184" spans="1:10">
      <c r="A1184" s="579" t="s">
        <v>4225</v>
      </c>
      <c r="B1184" s="580"/>
      <c r="C1184" s="580"/>
      <c r="D1184" s="580"/>
      <c r="E1184" s="580"/>
      <c r="F1184" s="580"/>
      <c r="G1184" s="580"/>
      <c r="H1184" s="581"/>
    </row>
    <row r="1185" spans="1:15" ht="16.5">
      <c r="A1185" s="91"/>
      <c r="B1185" s="92"/>
      <c r="C1185" s="92"/>
      <c r="D1185" s="92"/>
      <c r="E1185" s="92"/>
      <c r="F1185" s="93"/>
      <c r="G1185" s="94"/>
      <c r="H1185" s="380">
        <f>ROUND((25/60)/8,4)</f>
        <v>5.21E-2</v>
      </c>
      <c r="I1185" s="115"/>
    </row>
    <row r="1186" spans="1:15">
      <c r="A1186" s="582" t="s">
        <v>4220</v>
      </c>
      <c r="B1186" s="584" t="str">
        <f>COSTOS!$C$14</f>
        <v>MODERNIZACION A TECNOLOGIA LED</v>
      </c>
      <c r="C1186" s="584"/>
      <c r="D1186" s="584"/>
      <c r="E1186" s="584"/>
      <c r="F1186" s="584"/>
      <c r="G1186" s="584"/>
      <c r="H1186" s="585" t="s">
        <v>4221</v>
      </c>
    </row>
    <row r="1187" spans="1:15">
      <c r="A1187" s="583"/>
      <c r="B1187" s="584"/>
      <c r="C1187" s="584"/>
      <c r="D1187" s="584"/>
      <c r="E1187" s="584"/>
      <c r="F1187" s="584"/>
      <c r="G1187" s="584"/>
      <c r="H1187" s="585"/>
    </row>
    <row r="1188" spans="1:15">
      <c r="A1188" s="583"/>
      <c r="B1188" s="584"/>
      <c r="C1188" s="584"/>
      <c r="D1188" s="584"/>
      <c r="E1188" s="584"/>
      <c r="F1188" s="584"/>
      <c r="G1188" s="584"/>
      <c r="H1188" s="585"/>
    </row>
    <row r="1189" spans="1:15" ht="15" customHeight="1">
      <c r="A1189" s="583"/>
      <c r="B1189" s="584"/>
      <c r="C1189" s="584"/>
      <c r="D1189" s="584"/>
      <c r="E1189" s="584"/>
      <c r="F1189" s="584"/>
      <c r="G1189" s="584"/>
      <c r="H1189" s="216">
        <f ca="1">TODAY()</f>
        <v>44889</v>
      </c>
      <c r="K1189" t="s">
        <v>4391</v>
      </c>
      <c r="L1189" t="s">
        <v>4392</v>
      </c>
      <c r="M1189" t="s">
        <v>4393</v>
      </c>
      <c r="N1189" t="s">
        <v>4394</v>
      </c>
    </row>
    <row r="1190" spans="1:15" ht="60.75" customHeight="1">
      <c r="A1190" s="228" t="s">
        <v>4222</v>
      </c>
      <c r="B1190" s="565" t="str">
        <f>COSTOS!$D$16</f>
        <v>Luminarias</v>
      </c>
      <c r="C1190" s="565"/>
      <c r="D1190" s="565"/>
      <c r="E1190" s="565"/>
      <c r="F1190" s="565"/>
      <c r="G1190" s="70" t="s">
        <v>4223</v>
      </c>
      <c r="H1190" s="391">
        <v>1.24</v>
      </c>
      <c r="K1190" s="62">
        <f>H1215</f>
        <v>878179.42569804122</v>
      </c>
      <c r="L1190" s="62">
        <f>H1225</f>
        <v>18742.662399999997</v>
      </c>
      <c r="M1190" s="62">
        <f>H1198</f>
        <v>3363.18525</v>
      </c>
      <c r="N1190" s="62">
        <f>H1219</f>
        <v>4800</v>
      </c>
    </row>
    <row r="1191" spans="1:15" ht="43.15" customHeight="1">
      <c r="A1191" s="229" t="s">
        <v>4224</v>
      </c>
      <c r="B1191" s="566" t="str">
        <f>VLOOKUP(H1190,COSTOS!C:M,2,0)</f>
        <v>Luminaria Sodio 250w</v>
      </c>
      <c r="C1191" s="567"/>
      <c r="D1191" s="567"/>
      <c r="E1191" s="568"/>
      <c r="F1191" s="71" t="s">
        <v>0</v>
      </c>
      <c r="G1191" s="356" t="str">
        <f>VLOOKUP(H1190,COSTOS!C:M,8,0)</f>
        <v>Und</v>
      </c>
      <c r="H1191" s="276"/>
      <c r="I1191" s="306"/>
      <c r="J1191" s="308"/>
      <c r="K1191" s="308"/>
      <c r="L1191" s="308"/>
    </row>
    <row r="1192" spans="1:15">
      <c r="A1192" s="230"/>
      <c r="B1192" s="112"/>
      <c r="C1192" s="112"/>
      <c r="D1192" s="112"/>
      <c r="E1192" s="113"/>
      <c r="F1192" s="114" t="s">
        <v>1</v>
      </c>
      <c r="G1192" s="356">
        <f>VLOOKUP(H1190,COSTOS!C:M,9,0)</f>
        <v>0</v>
      </c>
      <c r="H1192" s="357"/>
      <c r="I1192" s="307"/>
    </row>
    <row r="1193" spans="1:15" ht="16.5">
      <c r="A1193" s="231" t="s">
        <v>4226</v>
      </c>
      <c r="B1193" s="75"/>
      <c r="C1193" s="75"/>
      <c r="D1193" s="76"/>
      <c r="E1193" s="209"/>
      <c r="F1193" s="210"/>
      <c r="G1193" s="211" t="s">
        <v>4227</v>
      </c>
      <c r="H1193" s="217">
        <f>H1198+H1215+H1219+H1225</f>
        <v>905085.27334804123</v>
      </c>
    </row>
    <row r="1194" spans="1:15" ht="39">
      <c r="A1194" s="569" t="s">
        <v>4224</v>
      </c>
      <c r="B1194" s="569"/>
      <c r="C1194" s="569"/>
      <c r="D1194" s="77" t="s">
        <v>0</v>
      </c>
      <c r="E1194" s="207" t="s">
        <v>4228</v>
      </c>
      <c r="F1194" s="208" t="s">
        <v>4215</v>
      </c>
      <c r="G1194" s="74" t="s">
        <v>2</v>
      </c>
      <c r="H1194" s="218" t="s">
        <v>4229</v>
      </c>
      <c r="K1194" s="309"/>
    </row>
    <row r="1195" spans="1:15">
      <c r="A1195" s="536" t="s">
        <v>3946</v>
      </c>
      <c r="B1195" s="570" t="str">
        <f>VLOOKUP(A1195,'Equip, Herr y Transp'!$B$2:$D$739,2,0)</f>
        <v>EQU</v>
      </c>
      <c r="C1195" s="570"/>
      <c r="D1195" s="95" t="str">
        <f>VLOOKUP(A1195,'Equip, Herr y Transp'!$B$2:$D$218,2,0)</f>
        <v>EQU</v>
      </c>
      <c r="E1195" s="95">
        <f>VLOOKUP(A1195,'Equip, Herr y Transp'!$B$2:$D$218,3,0)</f>
        <v>14130</v>
      </c>
      <c r="F1195" s="96">
        <f>H1185</f>
        <v>5.21E-2</v>
      </c>
      <c r="G1195" s="122">
        <f>F1195*E1195</f>
        <v>736.173</v>
      </c>
      <c r="H1195" s="118"/>
    </row>
    <row r="1196" spans="1:15">
      <c r="A1196" s="536" t="s">
        <v>3904</v>
      </c>
      <c r="B1196" s="570" t="str">
        <f>VLOOKUP(A1196,'Equip, Herr y Transp'!$B$2:$D$739,2,0)</f>
        <v>EQU</v>
      </c>
      <c r="C1196" s="570"/>
      <c r="D1196" s="95" t="str">
        <f>VLOOKUP(A1196,'Equip, Herr y Transp'!$B$2:$D$218,2,0)</f>
        <v>EQU</v>
      </c>
      <c r="E1196" s="95">
        <f>VLOOKUP(A1196,'Equip, Herr y Transp'!$B$2:$D$218,3,0)</f>
        <v>26672.5</v>
      </c>
      <c r="F1196" s="96">
        <f>H1185</f>
        <v>5.21E-2</v>
      </c>
      <c r="G1196" s="122">
        <f>F1196*E1196</f>
        <v>1389.63725</v>
      </c>
      <c r="H1196" s="117"/>
    </row>
    <row r="1197" spans="1:15">
      <c r="A1197" s="536" t="s">
        <v>3937</v>
      </c>
      <c r="B1197" s="570" t="str">
        <f>VLOOKUP(A1197,'Equip, Herr y Transp'!$B$2:$D$739,2,0)</f>
        <v>EQU</v>
      </c>
      <c r="C1197" s="570"/>
      <c r="D1197" s="95" t="str">
        <f>VLOOKUP(A1197,'Equip, Herr y Transp'!$B$2:$D$218,2,0)</f>
        <v>EQU</v>
      </c>
      <c r="E1197" s="95">
        <f>VLOOKUP(A1197,'Equip, Herr y Transp'!$B$2:$D$218,3,0)</f>
        <v>23750</v>
      </c>
      <c r="F1197" s="96">
        <f>H1185</f>
        <v>5.21E-2</v>
      </c>
      <c r="G1197" s="122">
        <f>F1197*E1197</f>
        <v>1237.375</v>
      </c>
      <c r="H1197" s="117"/>
    </row>
    <row r="1198" spans="1:15" ht="16.5">
      <c r="A1198" s="540" t="s">
        <v>4100</v>
      </c>
      <c r="B1198" s="541"/>
      <c r="C1198" s="541"/>
      <c r="D1198" s="541"/>
      <c r="E1198" s="541"/>
      <c r="F1198" s="541"/>
      <c r="G1198" s="541"/>
      <c r="H1198" s="97">
        <f>SUM(G1195:G1197)</f>
        <v>3363.18525</v>
      </c>
    </row>
    <row r="1199" spans="1:15" ht="16.5">
      <c r="A1199" s="571" t="s">
        <v>4230</v>
      </c>
      <c r="B1199" s="572"/>
      <c r="C1199" s="572"/>
      <c r="D1199" s="572"/>
      <c r="E1199" s="572"/>
      <c r="F1199" s="572"/>
      <c r="G1199" s="572"/>
      <c r="H1199" s="573"/>
      <c r="K1199" s="56"/>
      <c r="L1199" s="56"/>
      <c r="M1199" s="56"/>
      <c r="N1199" s="56"/>
      <c r="O1199" s="56"/>
    </row>
    <row r="1200" spans="1:15" ht="30" customHeight="1">
      <c r="A1200" s="574" t="s">
        <v>7</v>
      </c>
      <c r="B1200" s="575"/>
      <c r="C1200" s="109" t="s">
        <v>0</v>
      </c>
      <c r="D1200" s="110" t="s">
        <v>4098</v>
      </c>
      <c r="E1200" s="111" t="s">
        <v>1</v>
      </c>
      <c r="F1200" s="576" t="s">
        <v>4218</v>
      </c>
      <c r="G1200" s="576"/>
      <c r="H1200" s="215"/>
      <c r="K1200" s="56"/>
      <c r="L1200" s="56"/>
      <c r="M1200" s="56"/>
      <c r="N1200" s="56"/>
      <c r="O1200" s="56"/>
    </row>
    <row r="1201" spans="1:15">
      <c r="A1201" s="577" t="s">
        <v>4676</v>
      </c>
      <c r="B1201" s="578"/>
      <c r="C1201" s="98" t="str">
        <f>VLOOKUP(A1201,'Materiales '!$C$2:$F$1302,3,0)</f>
        <v>Und</v>
      </c>
      <c r="D1201" s="99">
        <f>VLOOKUP(A1201,'Materiales '!$C$2:$F$1302,4,0)</f>
        <v>652432.37969804124</v>
      </c>
      <c r="E1201" s="100">
        <v>1</v>
      </c>
      <c r="F1201" s="538">
        <f>E1201*D1201</f>
        <v>652432.37969804124</v>
      </c>
      <c r="G1201" s="539"/>
      <c r="H1201" s="121"/>
      <c r="I1201">
        <f>E1201*G1192</f>
        <v>0</v>
      </c>
      <c r="J1201" s="67"/>
      <c r="K1201" s="56"/>
      <c r="L1201" s="56"/>
      <c r="M1201" s="56"/>
      <c r="N1201" s="56"/>
      <c r="O1201" s="56"/>
    </row>
    <row r="1202" spans="1:15">
      <c r="A1202" s="577" t="s">
        <v>4214</v>
      </c>
      <c r="B1202" s="578"/>
      <c r="C1202" s="98" t="str">
        <f>VLOOKUP(A1202,'Materiales '!$C$2:$F$1302,3,0)</f>
        <v>Und</v>
      </c>
      <c r="D1202" s="99">
        <f>VLOOKUP(A1202,'Materiales '!$C$2:$F$1302,4,0)</f>
        <v>22848</v>
      </c>
      <c r="E1202" s="100">
        <v>1</v>
      </c>
      <c r="F1202" s="538">
        <f t="shared" ref="F1202:F1208" si="70">E1202*D1202</f>
        <v>22848</v>
      </c>
      <c r="G1202" s="539"/>
      <c r="H1202" s="121"/>
      <c r="I1202">
        <f>E1202*G1192</f>
        <v>0</v>
      </c>
      <c r="J1202" s="67"/>
      <c r="K1202" s="56"/>
      <c r="L1202" s="56"/>
      <c r="M1202" s="56"/>
      <c r="N1202" s="56"/>
      <c r="O1202" s="56"/>
    </row>
    <row r="1203" spans="1:15">
      <c r="A1203" s="536" t="s">
        <v>4484</v>
      </c>
      <c r="B1203" s="537" t="str">
        <f>VLOOKUP(A1203,'Materiales '!$C$2:$F$1302,3,0)</f>
        <v>Und</v>
      </c>
      <c r="C1203" s="98" t="str">
        <f>VLOOKUP(A1203,'Materiales '!$C$2:$F$1302,3,0)</f>
        <v>Und</v>
      </c>
      <c r="D1203" s="99">
        <f>VLOOKUP(A1203,'Materiales '!$C$2:$F$1302,4,0)</f>
        <v>21705.599999999999</v>
      </c>
      <c r="E1203" s="100">
        <v>2</v>
      </c>
      <c r="F1203" s="538">
        <f t="shared" si="70"/>
        <v>43411.199999999997</v>
      </c>
      <c r="G1203" s="539"/>
      <c r="H1203" s="121"/>
      <c r="I1203">
        <f>E1203*G1192</f>
        <v>0</v>
      </c>
      <c r="J1203" s="68"/>
      <c r="K1203" s="56"/>
      <c r="L1203" s="56"/>
      <c r="M1203" s="56"/>
      <c r="N1203" s="56"/>
      <c r="O1203" s="56"/>
    </row>
    <row r="1204" spans="1:15">
      <c r="A1204" s="536" t="s">
        <v>4489</v>
      </c>
      <c r="B1204" s="537" t="str">
        <f>VLOOKUP(A1204,'Materiales '!$C$2:$F$1302,3,0)</f>
        <v>Und</v>
      </c>
      <c r="C1204" s="98" t="str">
        <f>VLOOKUP(A1204,'Materiales '!$C$2:$F$1302,3,0)</f>
        <v>Und</v>
      </c>
      <c r="D1204" s="99">
        <f>VLOOKUP(A1204,'Materiales '!$C$2:$F$1302,4,0)</f>
        <v>8039.6399999999994</v>
      </c>
      <c r="E1204" s="100">
        <v>3</v>
      </c>
      <c r="F1204" s="538">
        <f t="shared" si="70"/>
        <v>24118.92</v>
      </c>
      <c r="G1204" s="539"/>
      <c r="H1204" s="121"/>
      <c r="I1204">
        <f>E1204*G1192</f>
        <v>0</v>
      </c>
      <c r="J1204" s="68"/>
      <c r="K1204" s="56"/>
      <c r="L1204" s="56"/>
      <c r="M1204" s="56"/>
      <c r="N1204" s="56"/>
      <c r="O1204" s="56"/>
    </row>
    <row r="1205" spans="1:15">
      <c r="A1205" s="536" t="s">
        <v>4554</v>
      </c>
      <c r="B1205" s="537" t="str">
        <f>VLOOKUP(A1205,'Materiales '!$C$2:$F$1302,3,0)</f>
        <v>Und</v>
      </c>
      <c r="C1205" s="98" t="str">
        <f>VLOOKUP(A1205,'Materiales '!$C$2:$F$1302,3,0)</f>
        <v>Und</v>
      </c>
      <c r="D1205" s="99">
        <f>VLOOKUP(A1205,'Materiales '!$C$2:$F$1302,4,0)</f>
        <v>2535.5329999999999</v>
      </c>
      <c r="E1205" s="100">
        <v>2</v>
      </c>
      <c r="F1205" s="538">
        <f t="shared" si="70"/>
        <v>5071.0659999999998</v>
      </c>
      <c r="G1205" s="539"/>
      <c r="H1205" s="121"/>
      <c r="I1205">
        <f>E1205*G1192</f>
        <v>0</v>
      </c>
      <c r="J1205" s="68"/>
      <c r="K1205" s="56"/>
      <c r="L1205" s="56"/>
      <c r="M1205" s="56"/>
      <c r="N1205" s="56"/>
      <c r="O1205" s="56"/>
    </row>
    <row r="1206" spans="1:15">
      <c r="A1206" s="536" t="s">
        <v>4450</v>
      </c>
      <c r="B1206" s="537" t="str">
        <f>VLOOKUP(A1206,'Materiales '!$C$2:$F$1302,3,0)</f>
        <v>Ml</v>
      </c>
      <c r="C1206" s="98" t="str">
        <f>VLOOKUP(A1206,'Materiales '!$C$2:$F$1302,3,0)</f>
        <v>Ml</v>
      </c>
      <c r="D1206" s="99">
        <f>VLOOKUP(A1206,'Materiales '!$C$2:$F$1302,4,0)</f>
        <v>6791.5679999999993</v>
      </c>
      <c r="E1206" s="100">
        <v>1</v>
      </c>
      <c r="F1206" s="538">
        <f t="shared" si="70"/>
        <v>6791.5679999999993</v>
      </c>
      <c r="G1206" s="539"/>
      <c r="H1206" s="121"/>
      <c r="I1206">
        <f>E1206*G1192</f>
        <v>0</v>
      </c>
      <c r="J1206" s="68"/>
      <c r="K1206" s="56"/>
      <c r="L1206" s="56"/>
      <c r="M1206" s="56"/>
      <c r="N1206" s="56"/>
      <c r="O1206" s="56"/>
    </row>
    <row r="1207" spans="1:15">
      <c r="A1207" s="536" t="s">
        <v>4493</v>
      </c>
      <c r="B1207" s="537" t="str">
        <f>VLOOKUP(A1207,'Materiales '!$C$2:$F$1302,3,0)</f>
        <v>Und</v>
      </c>
      <c r="C1207" s="98" t="str">
        <f>VLOOKUP(A1207,'Materiales '!$C$2:$F$1302,3,0)</f>
        <v>Und</v>
      </c>
      <c r="D1207" s="99">
        <f>VLOOKUP(A1207,'Materiales '!$C$2:$F$1302,4,0)</f>
        <v>232.76399999999998</v>
      </c>
      <c r="E1207" s="100">
        <v>3</v>
      </c>
      <c r="F1207" s="538">
        <f t="shared" si="70"/>
        <v>698.29199999999992</v>
      </c>
      <c r="G1207" s="539"/>
      <c r="H1207" s="121"/>
      <c r="I1207">
        <f>E1207*G1192</f>
        <v>0</v>
      </c>
      <c r="J1207" s="68"/>
      <c r="K1207" s="56"/>
      <c r="L1207" s="56"/>
      <c r="M1207" s="56"/>
      <c r="N1207" s="56"/>
      <c r="O1207" s="56"/>
    </row>
    <row r="1208" spans="1:15" ht="21.75" customHeight="1">
      <c r="A1208" s="536" t="s">
        <v>4435</v>
      </c>
      <c r="B1208" s="537" t="str">
        <f>VLOOKUP(A1208,'Materiales '!$C$2:$F$1302,3,0)</f>
        <v>Und</v>
      </c>
      <c r="C1208" s="98" t="str">
        <f>VLOOKUP(A1208,'Materiales '!$C$2:$F$1302,3,0)</f>
        <v>Und</v>
      </c>
      <c r="D1208" s="99">
        <f>VLOOKUP(A1208,'Materiales '!$C$2:$F$1302,4,0)</f>
        <v>122808</v>
      </c>
      <c r="E1208" s="100">
        <v>1</v>
      </c>
      <c r="F1208" s="538">
        <f t="shared" si="70"/>
        <v>122808</v>
      </c>
      <c r="G1208" s="539"/>
      <c r="H1208" s="121"/>
      <c r="I1208">
        <f>E1208*G1192</f>
        <v>0</v>
      </c>
      <c r="J1208" s="68"/>
      <c r="K1208" s="56"/>
      <c r="L1208" s="56"/>
      <c r="M1208" s="56"/>
      <c r="N1208" s="56"/>
      <c r="O1208" s="56"/>
    </row>
    <row r="1209" spans="1:15">
      <c r="A1209" s="536" t="s">
        <v>8</v>
      </c>
      <c r="B1209" s="537" t="str">
        <f>VLOOKUP(A1209,'Materiales '!$C$2:$F$1302,3,0)</f>
        <v>-</v>
      </c>
      <c r="C1209" s="98" t="str">
        <f>VLOOKUP(A1209,'Materiales '!$C$2:$F$1302,3,0)</f>
        <v>-</v>
      </c>
      <c r="D1209" s="99">
        <f>VLOOKUP(A1209,'Materiales '!$C$2:$F$1302,4,0)</f>
        <v>0</v>
      </c>
      <c r="E1209" s="100"/>
      <c r="F1209" s="538">
        <f>E1209*D1209</f>
        <v>0</v>
      </c>
      <c r="G1209" s="539"/>
      <c r="H1209" s="120"/>
      <c r="I1209">
        <f>E1209*G1192</f>
        <v>0</v>
      </c>
      <c r="J1209" s="68"/>
      <c r="K1209" s="56"/>
      <c r="L1209" s="56"/>
      <c r="M1209" s="56"/>
      <c r="N1209" s="56"/>
      <c r="O1209" s="56"/>
    </row>
    <row r="1210" spans="1:15">
      <c r="A1210" s="536" t="s">
        <v>8</v>
      </c>
      <c r="B1210" s="537" t="str">
        <f>VLOOKUP(A1210,'Materiales '!$C$2:$F$1302,3,0)</f>
        <v>-</v>
      </c>
      <c r="C1210" s="98" t="str">
        <f>VLOOKUP(A1210,'Materiales '!$C$2:$F$1302,3,0)</f>
        <v>-</v>
      </c>
      <c r="D1210" s="99">
        <f>VLOOKUP(A1210,'Materiales '!$C$2:$F$1302,4,0)</f>
        <v>0</v>
      </c>
      <c r="E1210" s="100"/>
      <c r="F1210" s="538">
        <f t="shared" ref="F1210:F1213" si="71">E1210*D1210</f>
        <v>0</v>
      </c>
      <c r="G1210" s="539"/>
      <c r="H1210" s="121"/>
      <c r="I1210">
        <f>E1210*G1192</f>
        <v>0</v>
      </c>
      <c r="J1210" s="68"/>
      <c r="K1210" s="56"/>
      <c r="L1210" s="56"/>
      <c r="M1210" s="56"/>
      <c r="N1210" s="56"/>
      <c r="O1210" s="56"/>
    </row>
    <row r="1211" spans="1:15">
      <c r="A1211" s="536" t="s">
        <v>8</v>
      </c>
      <c r="B1211" s="537" t="str">
        <f>VLOOKUP(A1211,'Materiales '!$C$2:$F$1302,3,0)</f>
        <v>-</v>
      </c>
      <c r="C1211" s="98" t="str">
        <f>VLOOKUP(A1211,'Materiales '!$C$2:$F$1302,3,0)</f>
        <v>-</v>
      </c>
      <c r="D1211" s="99">
        <f>VLOOKUP(A1211,'Materiales '!$C$2:$F$1302,4,0)</f>
        <v>0</v>
      </c>
      <c r="E1211" s="100"/>
      <c r="F1211" s="538">
        <f t="shared" si="71"/>
        <v>0</v>
      </c>
      <c r="G1211" s="539"/>
      <c r="H1211" s="121"/>
      <c r="I1211">
        <f>E1211*G1192</f>
        <v>0</v>
      </c>
      <c r="J1211" s="68"/>
      <c r="K1211" s="56"/>
      <c r="L1211" s="56"/>
      <c r="M1211" s="56"/>
      <c r="N1211" s="56"/>
      <c r="O1211" s="56"/>
    </row>
    <row r="1212" spans="1:15">
      <c r="A1212" s="536" t="s">
        <v>8</v>
      </c>
      <c r="B1212" s="537" t="str">
        <f>VLOOKUP(A1212,'Materiales '!$C$2:$F$1302,3,0)</f>
        <v>-</v>
      </c>
      <c r="C1212" s="98" t="str">
        <f>VLOOKUP(A1212,'Materiales '!$C$2:$F$1302,3,0)</f>
        <v>-</v>
      </c>
      <c r="D1212" s="99">
        <f>VLOOKUP(A1212,'Materiales '!$C$2:$F$1302,4,0)</f>
        <v>0</v>
      </c>
      <c r="E1212" s="100"/>
      <c r="F1212" s="538">
        <f t="shared" si="71"/>
        <v>0</v>
      </c>
      <c r="G1212" s="539"/>
      <c r="H1212" s="121"/>
      <c r="I1212">
        <f>E1212*G1192</f>
        <v>0</v>
      </c>
      <c r="J1212" s="68"/>
      <c r="K1212" s="56"/>
      <c r="L1212" s="56"/>
      <c r="M1212" s="56"/>
      <c r="N1212" s="56"/>
      <c r="O1212" s="56"/>
    </row>
    <row r="1213" spans="1:15">
      <c r="A1213" s="536" t="s">
        <v>8</v>
      </c>
      <c r="B1213" s="537" t="str">
        <f>VLOOKUP(A1213,'Materiales '!$C$2:$F$1302,3,0)</f>
        <v>-</v>
      </c>
      <c r="C1213" s="98" t="str">
        <f>VLOOKUP(A1213,'Materiales '!$C$2:$F$1302,3,0)</f>
        <v>-</v>
      </c>
      <c r="D1213" s="99">
        <f>VLOOKUP(A1213,'Materiales '!$C$2:$F$1302,4,0)</f>
        <v>0</v>
      </c>
      <c r="E1213" s="100"/>
      <c r="F1213" s="538">
        <f t="shared" si="71"/>
        <v>0</v>
      </c>
      <c r="G1213" s="539"/>
      <c r="H1213" s="121"/>
      <c r="I1213">
        <f>E1213*G1192</f>
        <v>0</v>
      </c>
      <c r="J1213" s="68"/>
      <c r="K1213" s="56"/>
      <c r="L1213" s="56"/>
      <c r="M1213" s="56"/>
      <c r="N1213" s="56"/>
      <c r="O1213" s="56"/>
    </row>
    <row r="1214" spans="1:15">
      <c r="A1214" s="536" t="s">
        <v>8</v>
      </c>
      <c r="B1214" s="537" t="str">
        <f>VLOOKUP(A1214,'Materiales '!$C$2:$F$1302,3,0)</f>
        <v>-</v>
      </c>
      <c r="C1214" s="98" t="str">
        <f>VLOOKUP(A1214,'Materiales '!$C$2:$F$1302,3,0)</f>
        <v>-</v>
      </c>
      <c r="D1214" s="99">
        <f>VLOOKUP(A1214,'Materiales '!$C$2:$F$1302,4,0)</f>
        <v>0</v>
      </c>
      <c r="E1214" s="100"/>
      <c r="F1214" s="538">
        <f>E1214*D1214</f>
        <v>0</v>
      </c>
      <c r="G1214" s="539"/>
      <c r="H1214" s="120"/>
      <c r="I1214">
        <f>E1214*G1192</f>
        <v>0</v>
      </c>
      <c r="J1214" s="68"/>
      <c r="K1214" s="56"/>
      <c r="L1214" s="56"/>
      <c r="M1214" s="56"/>
      <c r="N1214" s="56"/>
      <c r="O1214" s="56"/>
    </row>
    <row r="1215" spans="1:15" ht="16.5">
      <c r="A1215" s="540" t="s">
        <v>4099</v>
      </c>
      <c r="B1215" s="541"/>
      <c r="C1215" s="541"/>
      <c r="D1215" s="541"/>
      <c r="E1215" s="541"/>
      <c r="F1215" s="541"/>
      <c r="G1215" s="542"/>
      <c r="H1215" s="116">
        <f>SUM(F1201:F1214)</f>
        <v>878179.42569804122</v>
      </c>
      <c r="J1215" s="68"/>
      <c r="K1215" s="56"/>
      <c r="L1215" s="56"/>
      <c r="M1215" s="56"/>
      <c r="N1215" s="56"/>
      <c r="O1215" s="56"/>
    </row>
    <row r="1216" spans="1:15" ht="16.5">
      <c r="A1216" s="543" t="s">
        <v>4231</v>
      </c>
      <c r="B1216" s="544"/>
      <c r="C1216" s="544"/>
      <c r="D1216" s="544"/>
      <c r="E1216" s="545"/>
      <c r="F1216" s="544"/>
      <c r="G1216" s="544"/>
      <c r="H1216" s="546"/>
      <c r="J1216" s="68"/>
      <c r="K1216" s="56"/>
      <c r="L1216" s="56"/>
      <c r="M1216" s="56"/>
      <c r="N1216" s="56"/>
      <c r="O1216" s="56"/>
    </row>
    <row r="1217" spans="1:15">
      <c r="A1217" s="547" t="s">
        <v>7</v>
      </c>
      <c r="B1217" s="548"/>
      <c r="C1217" s="108" t="s">
        <v>4232</v>
      </c>
      <c r="D1217" s="107" t="s">
        <v>4233</v>
      </c>
      <c r="E1217" s="206" t="s">
        <v>4234</v>
      </c>
      <c r="F1217" s="549" t="s">
        <v>4218</v>
      </c>
      <c r="G1217" s="549"/>
      <c r="H1217" s="119"/>
      <c r="K1217" s="56"/>
      <c r="L1217" s="56"/>
      <c r="M1217" s="56"/>
      <c r="N1217" s="56"/>
      <c r="O1217" s="56"/>
    </row>
    <row r="1218" spans="1:15">
      <c r="A1218" s="550" t="s">
        <v>3928</v>
      </c>
      <c r="B1218" s="551"/>
      <c r="C1218" s="232">
        <v>1</v>
      </c>
      <c r="D1218" s="102">
        <v>0.03</v>
      </c>
      <c r="E1218" s="103">
        <f>VLOOKUP(A1218,'Equip, Herr y Transp'!$B$2:$D$218,3,0)</f>
        <v>160000</v>
      </c>
      <c r="F1218" s="552">
        <f>E1218*D1218*C1218</f>
        <v>4800</v>
      </c>
      <c r="G1218" s="553"/>
      <c r="H1218" s="117"/>
      <c r="M1218" s="56"/>
    </row>
    <row r="1219" spans="1:15" ht="16.5">
      <c r="A1219" s="554" t="s">
        <v>4216</v>
      </c>
      <c r="B1219" s="555"/>
      <c r="C1219" s="555"/>
      <c r="D1219" s="555"/>
      <c r="E1219" s="555"/>
      <c r="F1219" s="555"/>
      <c r="G1219" s="555"/>
      <c r="H1219" s="105">
        <f>F1218</f>
        <v>4800</v>
      </c>
    </row>
    <row r="1220" spans="1:15" ht="16.5">
      <c r="A1220" s="543" t="s">
        <v>4235</v>
      </c>
      <c r="B1220" s="544"/>
      <c r="C1220" s="544"/>
      <c r="D1220" s="544"/>
      <c r="E1220" s="544"/>
      <c r="F1220" s="544"/>
      <c r="G1220" s="544"/>
      <c r="H1220" s="546"/>
    </row>
    <row r="1221" spans="1:15">
      <c r="A1221" s="547" t="s">
        <v>7</v>
      </c>
      <c r="B1221" s="548"/>
      <c r="C1221" s="106" t="s">
        <v>1</v>
      </c>
      <c r="D1221" s="107" t="s">
        <v>4236</v>
      </c>
      <c r="E1221" s="108" t="s">
        <v>4215</v>
      </c>
      <c r="F1221" s="547" t="s">
        <v>5</v>
      </c>
      <c r="G1221" s="556"/>
      <c r="H1221" s="119"/>
    </row>
    <row r="1222" spans="1:15">
      <c r="A1222" s="550" t="s">
        <v>4196</v>
      </c>
      <c r="B1222" s="551"/>
      <c r="C1222" s="101">
        <v>1</v>
      </c>
      <c r="D1222" s="104">
        <f>VLOOKUP(A1222,'Mano Obra'!$B$2:$T$117,19,0)</f>
        <v>166624</v>
      </c>
      <c r="E1222" s="246">
        <f>H1185</f>
        <v>5.21E-2</v>
      </c>
      <c r="F1222" s="538">
        <f>E1222*D1222*C1222</f>
        <v>8681.1103999999996</v>
      </c>
      <c r="G1222" s="557"/>
      <c r="H1222" s="121"/>
      <c r="I1222" s="69"/>
      <c r="J1222" s="136">
        <f>((('Mano Obra'!$M$4/30)*F1222)/D1222)*G1192</f>
        <v>0</v>
      </c>
    </row>
    <row r="1223" spans="1:15">
      <c r="A1223" s="558" t="s">
        <v>4197</v>
      </c>
      <c r="B1223" s="559">
        <f>VLOOKUP(A1223,'Mano Obra'!$B$3:$D$290,2,0)</f>
        <v>2090000.0000000002</v>
      </c>
      <c r="C1223" s="101">
        <v>1</v>
      </c>
      <c r="D1223" s="104">
        <f>VLOOKUP(A1223,'Mano Obra'!$B$2:$T$117,19,0)</f>
        <v>120456</v>
      </c>
      <c r="E1223" s="246">
        <f>H1185</f>
        <v>5.21E-2</v>
      </c>
      <c r="F1223" s="538">
        <f t="shared" ref="F1223:F1224" si="72">E1223*D1223*C1223</f>
        <v>6275.7575999999999</v>
      </c>
      <c r="G1223" s="557"/>
      <c r="H1223" s="121"/>
      <c r="J1223" s="136">
        <f>((('Mano Obra'!$M$5/30)*F1223)/D1223)*G1192</f>
        <v>0</v>
      </c>
    </row>
    <row r="1224" spans="1:15">
      <c r="A1224" s="558" t="s">
        <v>4186</v>
      </c>
      <c r="B1224" s="559">
        <f>VLOOKUP(A1224,'Mano Obra'!$B$3:$D$290,2,0)</f>
        <v>1100000</v>
      </c>
      <c r="C1224" s="101">
        <v>1</v>
      </c>
      <c r="D1224" s="104">
        <f>VLOOKUP(A1224,'Mano Obra'!$B$2:$T$117,19,0)</f>
        <v>72664</v>
      </c>
      <c r="E1224" s="246">
        <f>H1185</f>
        <v>5.21E-2</v>
      </c>
      <c r="F1224" s="538">
        <f t="shared" si="72"/>
        <v>3785.7944000000002</v>
      </c>
      <c r="G1224" s="557"/>
      <c r="H1224" s="120"/>
      <c r="J1224" s="136">
        <f>((('Mano Obra'!$M$6/30)*F1224)/D1224)*G1192</f>
        <v>0</v>
      </c>
    </row>
    <row r="1225" spans="1:15" ht="16.5">
      <c r="A1225" s="560" t="s">
        <v>4101</v>
      </c>
      <c r="B1225" s="560"/>
      <c r="C1225" s="560"/>
      <c r="D1225" s="560"/>
      <c r="E1225" s="560"/>
      <c r="F1225" s="560"/>
      <c r="G1225" s="560"/>
      <c r="H1225" s="105">
        <f>SUM(F1222:F1224)</f>
        <v>18742.662399999997</v>
      </c>
      <c r="J1225" s="136"/>
    </row>
    <row r="1226" spans="1:15">
      <c r="A1226" s="227" t="s">
        <v>4237</v>
      </c>
      <c r="B1226" s="205"/>
      <c r="C1226" s="205"/>
      <c r="D1226" s="202"/>
      <c r="E1226" s="203"/>
      <c r="F1226" s="204"/>
      <c r="G1226" s="203"/>
      <c r="H1226" s="212"/>
    </row>
    <row r="1227" spans="1:15">
      <c r="A1227" s="561" t="s">
        <v>4224</v>
      </c>
      <c r="B1227" s="562"/>
      <c r="C1227" s="562"/>
      <c r="D1227" s="562"/>
      <c r="E1227" s="200"/>
      <c r="F1227" s="201" t="s">
        <v>4238</v>
      </c>
      <c r="G1227" s="200" t="s">
        <v>4239</v>
      </c>
      <c r="H1227" s="213"/>
    </row>
    <row r="1228" spans="1:15">
      <c r="A1228" s="223" t="s">
        <v>4097</v>
      </c>
      <c r="B1228" s="72"/>
      <c r="C1228" s="72"/>
      <c r="D1228" s="73"/>
      <c r="E1228" s="78"/>
      <c r="F1228" s="79">
        <v>0</v>
      </c>
      <c r="G1228" s="80">
        <f>F1228*H1193</f>
        <v>0</v>
      </c>
      <c r="H1228" s="212"/>
    </row>
    <row r="1229" spans="1:15">
      <c r="A1229" s="224" t="s">
        <v>4240</v>
      </c>
      <c r="B1229" s="81"/>
      <c r="C1229" s="81"/>
      <c r="D1229" s="82"/>
      <c r="E1229" s="78"/>
      <c r="F1229" s="79">
        <v>0</v>
      </c>
      <c r="G1229" s="80">
        <f>F1229*H1193</f>
        <v>0</v>
      </c>
      <c r="H1229" s="212"/>
    </row>
    <row r="1230" spans="1:15">
      <c r="A1230" s="224" t="s">
        <v>4</v>
      </c>
      <c r="B1230" s="81"/>
      <c r="C1230" s="81"/>
      <c r="D1230" s="82"/>
      <c r="E1230" s="78"/>
      <c r="F1230" s="79">
        <v>0</v>
      </c>
      <c r="G1230" s="80">
        <f>F1230*H1193</f>
        <v>0</v>
      </c>
      <c r="H1230" s="212"/>
    </row>
    <row r="1231" spans="1:15">
      <c r="A1231" s="225"/>
      <c r="B1231" s="83"/>
      <c r="C1231" s="75"/>
      <c r="D1231" s="84"/>
      <c r="E1231" s="85"/>
      <c r="F1231" s="86"/>
      <c r="G1231" s="87"/>
      <c r="H1231" s="214"/>
    </row>
    <row r="1232" spans="1:15">
      <c r="A1232" s="226"/>
      <c r="B1232" s="83"/>
      <c r="C1232" s="83"/>
      <c r="D1232" s="84"/>
      <c r="E1232" s="88"/>
      <c r="F1232" s="563" t="s">
        <v>4241</v>
      </c>
      <c r="G1232" s="564"/>
      <c r="H1232" s="233">
        <f>H1193+G1228+G1229+G1230</f>
        <v>905085.27334804123</v>
      </c>
    </row>
    <row r="1233" spans="1:14">
      <c r="A1233" s="83"/>
      <c r="B1233" s="83"/>
      <c r="C1233" s="83"/>
      <c r="D1233" s="84"/>
      <c r="E1233" s="388"/>
      <c r="F1233" s="389"/>
      <c r="G1233" s="389"/>
      <c r="H1233" s="390"/>
    </row>
    <row r="1234" spans="1:14" ht="16.5">
      <c r="A1234" s="90"/>
      <c r="B1234" s="90"/>
      <c r="C1234" s="90"/>
      <c r="D1234" s="90"/>
      <c r="E1234" s="90"/>
      <c r="F1234" s="90"/>
      <c r="G1234" s="90"/>
      <c r="H1234" s="381"/>
    </row>
    <row r="1235" spans="1:14">
      <c r="A1235" s="579" t="s">
        <v>4225</v>
      </c>
      <c r="B1235" s="580"/>
      <c r="C1235" s="580"/>
      <c r="D1235" s="580"/>
      <c r="E1235" s="580"/>
      <c r="F1235" s="580"/>
      <c r="G1235" s="580"/>
      <c r="H1235" s="581"/>
    </row>
    <row r="1236" spans="1:14" ht="16.5">
      <c r="A1236" s="91"/>
      <c r="B1236" s="92"/>
      <c r="C1236" s="92"/>
      <c r="D1236" s="92"/>
      <c r="E1236" s="92"/>
      <c r="F1236" s="93"/>
      <c r="G1236" s="94"/>
      <c r="H1236" s="380">
        <f>ROUND((25/60)/8,4)</f>
        <v>5.21E-2</v>
      </c>
      <c r="I1236" s="115"/>
    </row>
    <row r="1237" spans="1:14">
      <c r="A1237" s="582" t="s">
        <v>4220</v>
      </c>
      <c r="B1237" s="584" t="str">
        <f>COSTOS!$C$14</f>
        <v>MODERNIZACION A TECNOLOGIA LED</v>
      </c>
      <c r="C1237" s="584"/>
      <c r="D1237" s="584"/>
      <c r="E1237" s="584"/>
      <c r="F1237" s="584"/>
      <c r="G1237" s="584"/>
      <c r="H1237" s="585" t="s">
        <v>4221</v>
      </c>
    </row>
    <row r="1238" spans="1:14">
      <c r="A1238" s="583"/>
      <c r="B1238" s="584"/>
      <c r="C1238" s="584"/>
      <c r="D1238" s="584"/>
      <c r="E1238" s="584"/>
      <c r="F1238" s="584"/>
      <c r="G1238" s="584"/>
      <c r="H1238" s="585"/>
    </row>
    <row r="1239" spans="1:14">
      <c r="A1239" s="583"/>
      <c r="B1239" s="584"/>
      <c r="C1239" s="584"/>
      <c r="D1239" s="584"/>
      <c r="E1239" s="584"/>
      <c r="F1239" s="584"/>
      <c r="G1239" s="584"/>
      <c r="H1239" s="585"/>
    </row>
    <row r="1240" spans="1:14" ht="15" customHeight="1">
      <c r="A1240" s="583"/>
      <c r="B1240" s="584"/>
      <c r="C1240" s="584"/>
      <c r="D1240" s="584"/>
      <c r="E1240" s="584"/>
      <c r="F1240" s="584"/>
      <c r="G1240" s="584"/>
      <c r="H1240" s="216">
        <f ca="1">TODAY()</f>
        <v>44889</v>
      </c>
      <c r="K1240" t="s">
        <v>4391</v>
      </c>
      <c r="L1240" t="s">
        <v>4392</v>
      </c>
      <c r="M1240" t="s">
        <v>4393</v>
      </c>
      <c r="N1240" t="s">
        <v>4394</v>
      </c>
    </row>
    <row r="1241" spans="1:14" ht="60.75" customHeight="1">
      <c r="A1241" s="228" t="s">
        <v>4222</v>
      </c>
      <c r="B1241" s="565" t="str">
        <f>COSTOS!$D$16</f>
        <v>Luminarias</v>
      </c>
      <c r="C1241" s="565"/>
      <c r="D1241" s="565"/>
      <c r="E1241" s="565"/>
      <c r="F1241" s="565"/>
      <c r="G1241" s="70" t="s">
        <v>4223</v>
      </c>
      <c r="H1241" s="391">
        <v>1.25</v>
      </c>
      <c r="K1241" s="62">
        <f>H1266</f>
        <v>954296.53666281269</v>
      </c>
      <c r="L1241" s="62">
        <f>H1276</f>
        <v>18742.662399999997</v>
      </c>
      <c r="M1241" s="62">
        <f>H1249</f>
        <v>3363.18525</v>
      </c>
      <c r="N1241" s="62">
        <f>H1270</f>
        <v>4800</v>
      </c>
    </row>
    <row r="1242" spans="1:14" ht="43.15" customHeight="1">
      <c r="A1242" s="229" t="s">
        <v>4224</v>
      </c>
      <c r="B1242" s="566" t="str">
        <f>VLOOKUP(H1241,COSTOS!C:M,2,0)</f>
        <v>Luminaria Sodio 400w</v>
      </c>
      <c r="C1242" s="567"/>
      <c r="D1242" s="567"/>
      <c r="E1242" s="568"/>
      <c r="F1242" s="71" t="s">
        <v>0</v>
      </c>
      <c r="G1242" s="356" t="str">
        <f>VLOOKUP(H1241,COSTOS!C:M,8,0)</f>
        <v>Und</v>
      </c>
      <c r="H1242" s="276"/>
      <c r="I1242" s="306"/>
      <c r="J1242" s="308"/>
      <c r="K1242" s="308"/>
      <c r="L1242" s="308"/>
    </row>
    <row r="1243" spans="1:14">
      <c r="A1243" s="230"/>
      <c r="B1243" s="112"/>
      <c r="C1243" s="112"/>
      <c r="D1243" s="112"/>
      <c r="E1243" s="113"/>
      <c r="F1243" s="114" t="s">
        <v>1</v>
      </c>
      <c r="G1243" s="356">
        <f>VLOOKUP(H1241,COSTOS!C:M,9,0)</f>
        <v>0</v>
      </c>
      <c r="H1243" s="357"/>
      <c r="I1243" s="307"/>
    </row>
    <row r="1244" spans="1:14" ht="16.5">
      <c r="A1244" s="231" t="s">
        <v>4226</v>
      </c>
      <c r="B1244" s="75"/>
      <c r="C1244" s="75"/>
      <c r="D1244" s="76"/>
      <c r="E1244" s="209"/>
      <c r="F1244" s="210"/>
      <c r="G1244" s="211" t="s">
        <v>4227</v>
      </c>
      <c r="H1244" s="217">
        <f>H1249+H1266+H1270+H1276</f>
        <v>981202.3843128127</v>
      </c>
    </row>
    <row r="1245" spans="1:14" ht="39">
      <c r="A1245" s="569" t="s">
        <v>4224</v>
      </c>
      <c r="B1245" s="569"/>
      <c r="C1245" s="569"/>
      <c r="D1245" s="77" t="s">
        <v>0</v>
      </c>
      <c r="E1245" s="207" t="s">
        <v>4228</v>
      </c>
      <c r="F1245" s="208" t="s">
        <v>4215</v>
      </c>
      <c r="G1245" s="74" t="s">
        <v>2</v>
      </c>
      <c r="H1245" s="218" t="s">
        <v>4229</v>
      </c>
      <c r="K1245" s="309"/>
    </row>
    <row r="1246" spans="1:14">
      <c r="A1246" s="536" t="s">
        <v>3946</v>
      </c>
      <c r="B1246" s="570" t="str">
        <f>VLOOKUP(A1246,'Equip, Herr y Transp'!$B$2:$D$739,2,0)</f>
        <v>EQU</v>
      </c>
      <c r="C1246" s="570"/>
      <c r="D1246" s="95" t="str">
        <f>VLOOKUP(A1246,'Equip, Herr y Transp'!$B$2:$D$218,2,0)</f>
        <v>EQU</v>
      </c>
      <c r="E1246" s="95">
        <f>VLOOKUP(A1246,'Equip, Herr y Transp'!$B$2:$D$218,3,0)</f>
        <v>14130</v>
      </c>
      <c r="F1246" s="96">
        <f>H1236</f>
        <v>5.21E-2</v>
      </c>
      <c r="G1246" s="122">
        <f>F1246*E1246</f>
        <v>736.173</v>
      </c>
      <c r="H1246" s="118"/>
    </row>
    <row r="1247" spans="1:14">
      <c r="A1247" s="536" t="s">
        <v>3904</v>
      </c>
      <c r="B1247" s="570" t="str">
        <f>VLOOKUP(A1247,'Equip, Herr y Transp'!$B$2:$D$739,2,0)</f>
        <v>EQU</v>
      </c>
      <c r="C1247" s="570"/>
      <c r="D1247" s="95" t="str">
        <f>VLOOKUP(A1247,'Equip, Herr y Transp'!$B$2:$D$218,2,0)</f>
        <v>EQU</v>
      </c>
      <c r="E1247" s="95">
        <f>VLOOKUP(A1247,'Equip, Herr y Transp'!$B$2:$D$218,3,0)</f>
        <v>26672.5</v>
      </c>
      <c r="F1247" s="96">
        <f>H1236</f>
        <v>5.21E-2</v>
      </c>
      <c r="G1247" s="122">
        <f>F1247*E1247</f>
        <v>1389.63725</v>
      </c>
      <c r="H1247" s="117"/>
    </row>
    <row r="1248" spans="1:14">
      <c r="A1248" s="536" t="s">
        <v>3937</v>
      </c>
      <c r="B1248" s="570" t="str">
        <f>VLOOKUP(A1248,'Equip, Herr y Transp'!$B$2:$D$739,2,0)</f>
        <v>EQU</v>
      </c>
      <c r="C1248" s="570"/>
      <c r="D1248" s="95" t="str">
        <f>VLOOKUP(A1248,'Equip, Herr y Transp'!$B$2:$D$218,2,0)</f>
        <v>EQU</v>
      </c>
      <c r="E1248" s="95">
        <f>VLOOKUP(A1248,'Equip, Herr y Transp'!$B$2:$D$218,3,0)</f>
        <v>23750</v>
      </c>
      <c r="F1248" s="96">
        <f>H1236</f>
        <v>5.21E-2</v>
      </c>
      <c r="G1248" s="122">
        <f>F1248*E1248</f>
        <v>1237.375</v>
      </c>
      <c r="H1248" s="117"/>
    </row>
    <row r="1249" spans="1:15" ht="16.5">
      <c r="A1249" s="540" t="s">
        <v>4100</v>
      </c>
      <c r="B1249" s="541"/>
      <c r="C1249" s="541"/>
      <c r="D1249" s="541"/>
      <c r="E1249" s="541"/>
      <c r="F1249" s="541"/>
      <c r="G1249" s="541"/>
      <c r="H1249" s="97">
        <f>SUM(G1246:G1248)</f>
        <v>3363.18525</v>
      </c>
    </row>
    <row r="1250" spans="1:15" ht="16.5">
      <c r="A1250" s="571" t="s">
        <v>4230</v>
      </c>
      <c r="B1250" s="572"/>
      <c r="C1250" s="572"/>
      <c r="D1250" s="572"/>
      <c r="E1250" s="572"/>
      <c r="F1250" s="572"/>
      <c r="G1250" s="572"/>
      <c r="H1250" s="573"/>
      <c r="K1250" s="56"/>
      <c r="L1250" s="56"/>
      <c r="M1250" s="56"/>
      <c r="N1250" s="56"/>
      <c r="O1250" s="56"/>
    </row>
    <row r="1251" spans="1:15" ht="30" customHeight="1">
      <c r="A1251" s="574" t="s">
        <v>7</v>
      </c>
      <c r="B1251" s="575"/>
      <c r="C1251" s="109" t="s">
        <v>0</v>
      </c>
      <c r="D1251" s="110" t="s">
        <v>4098</v>
      </c>
      <c r="E1251" s="111" t="s">
        <v>1</v>
      </c>
      <c r="F1251" s="576" t="s">
        <v>4218</v>
      </c>
      <c r="G1251" s="576"/>
      <c r="H1251" s="215"/>
      <c r="K1251" s="56"/>
      <c r="L1251" s="56"/>
      <c r="M1251" s="56"/>
      <c r="N1251" s="56"/>
      <c r="O1251" s="56"/>
    </row>
    <row r="1252" spans="1:15">
      <c r="A1252" s="577" t="s">
        <v>4677</v>
      </c>
      <c r="B1252" s="578"/>
      <c r="C1252" s="98" t="str">
        <f>VLOOKUP(A1252,'Materiales '!$C$2:$F$1302,3,0)</f>
        <v>Und</v>
      </c>
      <c r="D1252" s="99">
        <f>VLOOKUP(A1252,'Materiales '!$C$2:$F$1302,4,0)</f>
        <v>728549.49066281272</v>
      </c>
      <c r="E1252" s="100">
        <v>1</v>
      </c>
      <c r="F1252" s="538">
        <f>E1252*D1252</f>
        <v>728549.49066281272</v>
      </c>
      <c r="G1252" s="539"/>
      <c r="H1252" s="121"/>
      <c r="I1252">
        <f>E1252*G1243</f>
        <v>0</v>
      </c>
      <c r="J1252" s="67"/>
      <c r="K1252" s="56"/>
      <c r="L1252" s="56"/>
      <c r="M1252" s="56"/>
      <c r="N1252" s="56"/>
      <c r="O1252" s="56"/>
    </row>
    <row r="1253" spans="1:15">
      <c r="A1253" s="577" t="s">
        <v>4214</v>
      </c>
      <c r="B1253" s="578"/>
      <c r="C1253" s="98" t="str">
        <f>VLOOKUP(A1253,'Materiales '!$C$2:$F$1302,3,0)</f>
        <v>Und</v>
      </c>
      <c r="D1253" s="99">
        <f>VLOOKUP(A1253,'Materiales '!$C$2:$F$1302,4,0)</f>
        <v>22848</v>
      </c>
      <c r="E1253" s="100">
        <v>1</v>
      </c>
      <c r="F1253" s="538">
        <f t="shared" ref="F1253:F1259" si="73">E1253*D1253</f>
        <v>22848</v>
      </c>
      <c r="G1253" s="539"/>
      <c r="H1253" s="121"/>
      <c r="I1253">
        <f>E1253*G1243</f>
        <v>0</v>
      </c>
      <c r="J1253" s="67"/>
      <c r="K1253" s="56"/>
      <c r="L1253" s="56"/>
      <c r="M1253" s="56"/>
      <c r="N1253" s="56"/>
      <c r="O1253" s="56"/>
    </row>
    <row r="1254" spans="1:15">
      <c r="A1254" s="536" t="s">
        <v>4484</v>
      </c>
      <c r="B1254" s="537" t="str">
        <f>VLOOKUP(A1254,'Materiales '!$C$2:$F$1302,3,0)</f>
        <v>Und</v>
      </c>
      <c r="C1254" s="98" t="str">
        <f>VLOOKUP(A1254,'Materiales '!$C$2:$F$1302,3,0)</f>
        <v>Und</v>
      </c>
      <c r="D1254" s="99">
        <f>VLOOKUP(A1254,'Materiales '!$C$2:$F$1302,4,0)</f>
        <v>21705.599999999999</v>
      </c>
      <c r="E1254" s="100">
        <v>2</v>
      </c>
      <c r="F1254" s="538">
        <f t="shared" si="73"/>
        <v>43411.199999999997</v>
      </c>
      <c r="G1254" s="539"/>
      <c r="H1254" s="121"/>
      <c r="I1254">
        <f>E1254*G1243</f>
        <v>0</v>
      </c>
      <c r="J1254" s="68"/>
      <c r="K1254" s="56"/>
      <c r="L1254" s="56"/>
      <c r="M1254" s="56"/>
      <c r="N1254" s="56"/>
      <c r="O1254" s="56"/>
    </row>
    <row r="1255" spans="1:15">
      <c r="A1255" s="536" t="s">
        <v>4489</v>
      </c>
      <c r="B1255" s="537" t="str">
        <f>VLOOKUP(A1255,'Materiales '!$C$2:$F$1302,3,0)</f>
        <v>Und</v>
      </c>
      <c r="C1255" s="98" t="str">
        <f>VLOOKUP(A1255,'Materiales '!$C$2:$F$1302,3,0)</f>
        <v>Und</v>
      </c>
      <c r="D1255" s="99">
        <f>VLOOKUP(A1255,'Materiales '!$C$2:$F$1302,4,0)</f>
        <v>8039.6399999999994</v>
      </c>
      <c r="E1255" s="100">
        <v>3</v>
      </c>
      <c r="F1255" s="538">
        <f t="shared" si="73"/>
        <v>24118.92</v>
      </c>
      <c r="G1255" s="539"/>
      <c r="H1255" s="121"/>
      <c r="I1255">
        <f>E1255*G1243</f>
        <v>0</v>
      </c>
      <c r="J1255" s="68"/>
      <c r="K1255" s="56"/>
      <c r="L1255" s="56"/>
      <c r="M1255" s="56"/>
      <c r="N1255" s="56"/>
      <c r="O1255" s="56"/>
    </row>
    <row r="1256" spans="1:15">
      <c r="A1256" s="536" t="s">
        <v>4554</v>
      </c>
      <c r="B1256" s="537" t="str">
        <f>VLOOKUP(A1256,'Materiales '!$C$2:$F$1302,3,0)</f>
        <v>Und</v>
      </c>
      <c r="C1256" s="98" t="str">
        <f>VLOOKUP(A1256,'Materiales '!$C$2:$F$1302,3,0)</f>
        <v>Und</v>
      </c>
      <c r="D1256" s="99">
        <f>VLOOKUP(A1256,'Materiales '!$C$2:$F$1302,4,0)</f>
        <v>2535.5329999999999</v>
      </c>
      <c r="E1256" s="100">
        <v>2</v>
      </c>
      <c r="F1256" s="538">
        <f t="shared" si="73"/>
        <v>5071.0659999999998</v>
      </c>
      <c r="G1256" s="539"/>
      <c r="H1256" s="121"/>
      <c r="I1256">
        <f>E1256*G1243</f>
        <v>0</v>
      </c>
      <c r="J1256" s="68"/>
      <c r="K1256" s="56"/>
      <c r="L1256" s="56"/>
      <c r="M1256" s="56"/>
      <c r="N1256" s="56"/>
      <c r="O1256" s="56"/>
    </row>
    <row r="1257" spans="1:15">
      <c r="A1257" s="536" t="s">
        <v>4450</v>
      </c>
      <c r="B1257" s="537" t="str">
        <f>VLOOKUP(A1257,'Materiales '!$C$2:$F$1302,3,0)</f>
        <v>Ml</v>
      </c>
      <c r="C1257" s="98" t="str">
        <f>VLOOKUP(A1257,'Materiales '!$C$2:$F$1302,3,0)</f>
        <v>Ml</v>
      </c>
      <c r="D1257" s="99">
        <f>VLOOKUP(A1257,'Materiales '!$C$2:$F$1302,4,0)</f>
        <v>6791.5679999999993</v>
      </c>
      <c r="E1257" s="100">
        <v>1</v>
      </c>
      <c r="F1257" s="538">
        <f t="shared" si="73"/>
        <v>6791.5679999999993</v>
      </c>
      <c r="G1257" s="539"/>
      <c r="H1257" s="121"/>
      <c r="I1257">
        <f>E1257*G1243</f>
        <v>0</v>
      </c>
      <c r="J1257" s="68"/>
      <c r="K1257" s="56"/>
      <c r="L1257" s="56"/>
      <c r="M1257" s="56"/>
      <c r="N1257" s="56"/>
      <c r="O1257" s="56"/>
    </row>
    <row r="1258" spans="1:15">
      <c r="A1258" s="536" t="s">
        <v>4493</v>
      </c>
      <c r="B1258" s="537" t="str">
        <f>VLOOKUP(A1258,'Materiales '!$C$2:$F$1302,3,0)</f>
        <v>Und</v>
      </c>
      <c r="C1258" s="98" t="str">
        <f>VLOOKUP(A1258,'Materiales '!$C$2:$F$1302,3,0)</f>
        <v>Und</v>
      </c>
      <c r="D1258" s="99">
        <f>VLOOKUP(A1258,'Materiales '!$C$2:$F$1302,4,0)</f>
        <v>232.76399999999998</v>
      </c>
      <c r="E1258" s="100">
        <v>3</v>
      </c>
      <c r="F1258" s="538">
        <f t="shared" si="73"/>
        <v>698.29199999999992</v>
      </c>
      <c r="G1258" s="539"/>
      <c r="H1258" s="121"/>
      <c r="I1258">
        <f>E1258*G1243</f>
        <v>0</v>
      </c>
      <c r="J1258" s="68"/>
      <c r="K1258" s="56"/>
      <c r="L1258" s="56"/>
      <c r="M1258" s="56"/>
      <c r="N1258" s="56"/>
      <c r="O1258" s="56"/>
    </row>
    <row r="1259" spans="1:15" ht="21.75" customHeight="1">
      <c r="A1259" s="536" t="s">
        <v>4435</v>
      </c>
      <c r="B1259" s="537" t="str">
        <f>VLOOKUP(A1259,'Materiales '!$C$2:$F$1302,3,0)</f>
        <v>Und</v>
      </c>
      <c r="C1259" s="98" t="str">
        <f>VLOOKUP(A1259,'Materiales '!$C$2:$F$1302,3,0)</f>
        <v>Und</v>
      </c>
      <c r="D1259" s="99">
        <f>VLOOKUP(A1259,'Materiales '!$C$2:$F$1302,4,0)</f>
        <v>122808</v>
      </c>
      <c r="E1259" s="100">
        <v>1</v>
      </c>
      <c r="F1259" s="538">
        <f t="shared" si="73"/>
        <v>122808</v>
      </c>
      <c r="G1259" s="539"/>
      <c r="H1259" s="121"/>
      <c r="I1259">
        <f>E1259*G1243</f>
        <v>0</v>
      </c>
      <c r="J1259" s="68"/>
      <c r="K1259" s="56"/>
      <c r="L1259" s="56"/>
      <c r="M1259" s="56"/>
      <c r="N1259" s="56"/>
      <c r="O1259" s="56"/>
    </row>
    <row r="1260" spans="1:15">
      <c r="A1260" s="536" t="s">
        <v>8</v>
      </c>
      <c r="B1260" s="537" t="str">
        <f>VLOOKUP(A1260,'Materiales '!$C$2:$F$1302,3,0)</f>
        <v>-</v>
      </c>
      <c r="C1260" s="98" t="str">
        <f>VLOOKUP(A1260,'Materiales '!$C$2:$F$1302,3,0)</f>
        <v>-</v>
      </c>
      <c r="D1260" s="99">
        <f>VLOOKUP(A1260,'Materiales '!$C$2:$F$1302,4,0)</f>
        <v>0</v>
      </c>
      <c r="E1260" s="100"/>
      <c r="F1260" s="538">
        <f>E1260*D1260</f>
        <v>0</v>
      </c>
      <c r="G1260" s="539"/>
      <c r="H1260" s="120"/>
      <c r="I1260">
        <f>E1260*G1243</f>
        <v>0</v>
      </c>
      <c r="J1260" s="68"/>
      <c r="K1260" s="56"/>
      <c r="L1260" s="56"/>
      <c r="M1260" s="56"/>
      <c r="N1260" s="56"/>
      <c r="O1260" s="56"/>
    </row>
    <row r="1261" spans="1:15">
      <c r="A1261" s="536" t="s">
        <v>8</v>
      </c>
      <c r="B1261" s="537" t="str">
        <f>VLOOKUP(A1261,'Materiales '!$C$2:$F$1302,3,0)</f>
        <v>-</v>
      </c>
      <c r="C1261" s="98" t="str">
        <f>VLOOKUP(A1261,'Materiales '!$C$2:$F$1302,3,0)</f>
        <v>-</v>
      </c>
      <c r="D1261" s="99">
        <f>VLOOKUP(A1261,'Materiales '!$C$2:$F$1302,4,0)</f>
        <v>0</v>
      </c>
      <c r="E1261" s="100"/>
      <c r="F1261" s="538">
        <f t="shared" ref="F1261:F1264" si="74">E1261*D1261</f>
        <v>0</v>
      </c>
      <c r="G1261" s="539"/>
      <c r="H1261" s="121"/>
      <c r="I1261">
        <f>E1261*G1243</f>
        <v>0</v>
      </c>
      <c r="J1261" s="68"/>
      <c r="K1261" s="56"/>
      <c r="L1261" s="56"/>
      <c r="M1261" s="56"/>
      <c r="N1261" s="56"/>
      <c r="O1261" s="56"/>
    </row>
    <row r="1262" spans="1:15">
      <c r="A1262" s="536" t="s">
        <v>8</v>
      </c>
      <c r="B1262" s="537" t="str">
        <f>VLOOKUP(A1262,'Materiales '!$C$2:$F$1302,3,0)</f>
        <v>-</v>
      </c>
      <c r="C1262" s="98" t="str">
        <f>VLOOKUP(A1262,'Materiales '!$C$2:$F$1302,3,0)</f>
        <v>-</v>
      </c>
      <c r="D1262" s="99">
        <f>VLOOKUP(A1262,'Materiales '!$C$2:$F$1302,4,0)</f>
        <v>0</v>
      </c>
      <c r="E1262" s="100"/>
      <c r="F1262" s="538">
        <f t="shared" si="74"/>
        <v>0</v>
      </c>
      <c r="G1262" s="539"/>
      <c r="H1262" s="121"/>
      <c r="I1262">
        <f>E1262*G1243</f>
        <v>0</v>
      </c>
      <c r="J1262" s="68"/>
      <c r="K1262" s="56"/>
      <c r="L1262" s="56"/>
      <c r="M1262" s="56"/>
      <c r="N1262" s="56"/>
      <c r="O1262" s="56"/>
    </row>
    <row r="1263" spans="1:15">
      <c r="A1263" s="536" t="s">
        <v>8</v>
      </c>
      <c r="B1263" s="537" t="str">
        <f>VLOOKUP(A1263,'Materiales '!$C$2:$F$1302,3,0)</f>
        <v>-</v>
      </c>
      <c r="C1263" s="98" t="str">
        <f>VLOOKUP(A1263,'Materiales '!$C$2:$F$1302,3,0)</f>
        <v>-</v>
      </c>
      <c r="D1263" s="99">
        <f>VLOOKUP(A1263,'Materiales '!$C$2:$F$1302,4,0)</f>
        <v>0</v>
      </c>
      <c r="E1263" s="100"/>
      <c r="F1263" s="538">
        <f t="shared" si="74"/>
        <v>0</v>
      </c>
      <c r="G1263" s="539"/>
      <c r="H1263" s="121"/>
      <c r="I1263">
        <f>E1263*G1243</f>
        <v>0</v>
      </c>
      <c r="J1263" s="68"/>
      <c r="K1263" s="56"/>
      <c r="L1263" s="56"/>
      <c r="M1263" s="56"/>
      <c r="N1263" s="56"/>
      <c r="O1263" s="56"/>
    </row>
    <row r="1264" spans="1:15">
      <c r="A1264" s="536" t="s">
        <v>8</v>
      </c>
      <c r="B1264" s="537" t="str">
        <f>VLOOKUP(A1264,'Materiales '!$C$2:$F$1302,3,0)</f>
        <v>-</v>
      </c>
      <c r="C1264" s="98" t="str">
        <f>VLOOKUP(A1264,'Materiales '!$C$2:$F$1302,3,0)</f>
        <v>-</v>
      </c>
      <c r="D1264" s="99">
        <f>VLOOKUP(A1264,'Materiales '!$C$2:$F$1302,4,0)</f>
        <v>0</v>
      </c>
      <c r="E1264" s="100"/>
      <c r="F1264" s="538">
        <f t="shared" si="74"/>
        <v>0</v>
      </c>
      <c r="G1264" s="539"/>
      <c r="H1264" s="121"/>
      <c r="I1264">
        <f>E1264*G1243</f>
        <v>0</v>
      </c>
      <c r="J1264" s="68"/>
      <c r="K1264" s="56"/>
      <c r="L1264" s="56"/>
      <c r="M1264" s="56"/>
      <c r="N1264" s="56"/>
      <c r="O1264" s="56"/>
    </row>
    <row r="1265" spans="1:15">
      <c r="A1265" s="536" t="s">
        <v>8</v>
      </c>
      <c r="B1265" s="537" t="str">
        <f>VLOOKUP(A1265,'Materiales '!$C$2:$F$1302,3,0)</f>
        <v>-</v>
      </c>
      <c r="C1265" s="98" t="str">
        <f>VLOOKUP(A1265,'Materiales '!$C$2:$F$1302,3,0)</f>
        <v>-</v>
      </c>
      <c r="D1265" s="99">
        <f>VLOOKUP(A1265,'Materiales '!$C$2:$F$1302,4,0)</f>
        <v>0</v>
      </c>
      <c r="E1265" s="100"/>
      <c r="F1265" s="538">
        <f>E1265*D1265</f>
        <v>0</v>
      </c>
      <c r="G1265" s="539"/>
      <c r="H1265" s="120"/>
      <c r="I1265">
        <f>E1265*G1243</f>
        <v>0</v>
      </c>
      <c r="J1265" s="68"/>
      <c r="K1265" s="56"/>
      <c r="L1265" s="56"/>
      <c r="M1265" s="56"/>
      <c r="N1265" s="56"/>
      <c r="O1265" s="56"/>
    </row>
    <row r="1266" spans="1:15" ht="16.5">
      <c r="A1266" s="540" t="s">
        <v>4099</v>
      </c>
      <c r="B1266" s="541"/>
      <c r="C1266" s="541"/>
      <c r="D1266" s="541"/>
      <c r="E1266" s="541"/>
      <c r="F1266" s="541"/>
      <c r="G1266" s="542"/>
      <c r="H1266" s="116">
        <f>SUM(F1252:F1265)</f>
        <v>954296.53666281269</v>
      </c>
      <c r="J1266" s="68"/>
      <c r="K1266" s="56"/>
      <c r="L1266" s="56"/>
      <c r="M1266" s="56"/>
      <c r="N1266" s="56"/>
      <c r="O1266" s="56"/>
    </row>
    <row r="1267" spans="1:15" ht="16.5">
      <c r="A1267" s="543" t="s">
        <v>4231</v>
      </c>
      <c r="B1267" s="544"/>
      <c r="C1267" s="544"/>
      <c r="D1267" s="544"/>
      <c r="E1267" s="545"/>
      <c r="F1267" s="544"/>
      <c r="G1267" s="544"/>
      <c r="H1267" s="546"/>
      <c r="J1267" s="68"/>
      <c r="K1267" s="56"/>
      <c r="L1267" s="56"/>
      <c r="M1267" s="56"/>
      <c r="N1267" s="56"/>
      <c r="O1267" s="56"/>
    </row>
    <row r="1268" spans="1:15">
      <c r="A1268" s="547" t="s">
        <v>7</v>
      </c>
      <c r="B1268" s="548"/>
      <c r="C1268" s="108" t="s">
        <v>4232</v>
      </c>
      <c r="D1268" s="107" t="s">
        <v>4233</v>
      </c>
      <c r="E1268" s="206" t="s">
        <v>4234</v>
      </c>
      <c r="F1268" s="549" t="s">
        <v>4218</v>
      </c>
      <c r="G1268" s="549"/>
      <c r="H1268" s="119"/>
      <c r="K1268" s="56"/>
      <c r="L1268" s="56"/>
      <c r="M1268" s="56"/>
      <c r="N1268" s="56"/>
      <c r="O1268" s="56"/>
    </row>
    <row r="1269" spans="1:15">
      <c r="A1269" s="550" t="s">
        <v>3928</v>
      </c>
      <c r="B1269" s="551"/>
      <c r="C1269" s="232">
        <v>1</v>
      </c>
      <c r="D1269" s="102">
        <v>0.03</v>
      </c>
      <c r="E1269" s="103">
        <f>VLOOKUP(A1269,'Equip, Herr y Transp'!$B$2:$D$218,3,0)</f>
        <v>160000</v>
      </c>
      <c r="F1269" s="552">
        <f>E1269*D1269*C1269</f>
        <v>4800</v>
      </c>
      <c r="G1269" s="553"/>
      <c r="H1269" s="117"/>
      <c r="M1269" s="56"/>
    </row>
    <row r="1270" spans="1:15" ht="16.5">
      <c r="A1270" s="554" t="s">
        <v>4216</v>
      </c>
      <c r="B1270" s="555"/>
      <c r="C1270" s="555"/>
      <c r="D1270" s="555"/>
      <c r="E1270" s="555"/>
      <c r="F1270" s="555"/>
      <c r="G1270" s="555"/>
      <c r="H1270" s="105">
        <f>F1269</f>
        <v>4800</v>
      </c>
    </row>
    <row r="1271" spans="1:15" ht="16.5">
      <c r="A1271" s="543" t="s">
        <v>4235</v>
      </c>
      <c r="B1271" s="544"/>
      <c r="C1271" s="544"/>
      <c r="D1271" s="544"/>
      <c r="E1271" s="544"/>
      <c r="F1271" s="544"/>
      <c r="G1271" s="544"/>
      <c r="H1271" s="546"/>
    </row>
    <row r="1272" spans="1:15">
      <c r="A1272" s="547" t="s">
        <v>7</v>
      </c>
      <c r="B1272" s="548"/>
      <c r="C1272" s="106" t="s">
        <v>1</v>
      </c>
      <c r="D1272" s="107" t="s">
        <v>4236</v>
      </c>
      <c r="E1272" s="108" t="s">
        <v>4215</v>
      </c>
      <c r="F1272" s="547" t="s">
        <v>5</v>
      </c>
      <c r="G1272" s="556"/>
      <c r="H1272" s="119"/>
    </row>
    <row r="1273" spans="1:15">
      <c r="A1273" s="550" t="s">
        <v>4196</v>
      </c>
      <c r="B1273" s="551"/>
      <c r="C1273" s="101">
        <v>1</v>
      </c>
      <c r="D1273" s="104">
        <f>VLOOKUP(A1273,'Mano Obra'!$B$2:$T$117,19,0)</f>
        <v>166624</v>
      </c>
      <c r="E1273" s="246">
        <f>H1236</f>
        <v>5.21E-2</v>
      </c>
      <c r="F1273" s="538">
        <f>E1273*D1273*C1273</f>
        <v>8681.1103999999996</v>
      </c>
      <c r="G1273" s="557"/>
      <c r="H1273" s="121"/>
      <c r="I1273" s="69"/>
      <c r="J1273" s="136">
        <f>((('Mano Obra'!$M$4/30)*F1273)/D1273)*G1243</f>
        <v>0</v>
      </c>
    </row>
    <row r="1274" spans="1:15">
      <c r="A1274" s="558" t="s">
        <v>4197</v>
      </c>
      <c r="B1274" s="559">
        <f>VLOOKUP(A1274,'Mano Obra'!$B$3:$D$290,2,0)</f>
        <v>2090000.0000000002</v>
      </c>
      <c r="C1274" s="101">
        <v>1</v>
      </c>
      <c r="D1274" s="104">
        <f>VLOOKUP(A1274,'Mano Obra'!$B$2:$T$117,19,0)</f>
        <v>120456</v>
      </c>
      <c r="E1274" s="246">
        <f>H1236</f>
        <v>5.21E-2</v>
      </c>
      <c r="F1274" s="538">
        <f t="shared" ref="F1274:F1275" si="75">E1274*D1274*C1274</f>
        <v>6275.7575999999999</v>
      </c>
      <c r="G1274" s="557"/>
      <c r="H1274" s="121"/>
      <c r="J1274" s="136">
        <f>((('Mano Obra'!$M$5/30)*F1274)/D1274)*G1243</f>
        <v>0</v>
      </c>
    </row>
    <row r="1275" spans="1:15">
      <c r="A1275" s="558" t="s">
        <v>4186</v>
      </c>
      <c r="B1275" s="559">
        <f>VLOOKUP(A1275,'Mano Obra'!$B$3:$D$290,2,0)</f>
        <v>1100000</v>
      </c>
      <c r="C1275" s="101">
        <v>1</v>
      </c>
      <c r="D1275" s="104">
        <f>VLOOKUP(A1275,'Mano Obra'!$B$2:$T$117,19,0)</f>
        <v>72664</v>
      </c>
      <c r="E1275" s="246">
        <f>H1236</f>
        <v>5.21E-2</v>
      </c>
      <c r="F1275" s="538">
        <f t="shared" si="75"/>
        <v>3785.7944000000002</v>
      </c>
      <c r="G1275" s="557"/>
      <c r="H1275" s="120"/>
      <c r="J1275" s="136">
        <f>((('Mano Obra'!$M$6/30)*F1275)/D1275)*G1243</f>
        <v>0</v>
      </c>
    </row>
    <row r="1276" spans="1:15" ht="16.5">
      <c r="A1276" s="560" t="s">
        <v>4101</v>
      </c>
      <c r="B1276" s="560"/>
      <c r="C1276" s="560"/>
      <c r="D1276" s="560"/>
      <c r="E1276" s="560"/>
      <c r="F1276" s="560"/>
      <c r="G1276" s="560"/>
      <c r="H1276" s="105">
        <f>SUM(F1273:F1275)</f>
        <v>18742.662399999997</v>
      </c>
      <c r="J1276" s="136"/>
    </row>
    <row r="1277" spans="1:15">
      <c r="A1277" s="227" t="s">
        <v>4237</v>
      </c>
      <c r="B1277" s="205"/>
      <c r="C1277" s="205"/>
      <c r="D1277" s="202"/>
      <c r="E1277" s="203"/>
      <c r="F1277" s="204"/>
      <c r="G1277" s="203"/>
      <c r="H1277" s="212"/>
    </row>
    <row r="1278" spans="1:15">
      <c r="A1278" s="561" t="s">
        <v>4224</v>
      </c>
      <c r="B1278" s="562"/>
      <c r="C1278" s="562"/>
      <c r="D1278" s="562"/>
      <c r="E1278" s="200"/>
      <c r="F1278" s="201" t="s">
        <v>4238</v>
      </c>
      <c r="G1278" s="200" t="s">
        <v>4239</v>
      </c>
      <c r="H1278" s="213"/>
    </row>
    <row r="1279" spans="1:15">
      <c r="A1279" s="223" t="s">
        <v>4097</v>
      </c>
      <c r="B1279" s="72"/>
      <c r="C1279" s="72"/>
      <c r="D1279" s="73"/>
      <c r="E1279" s="78"/>
      <c r="F1279" s="79">
        <v>0</v>
      </c>
      <c r="G1279" s="80">
        <f>F1279*H1244</f>
        <v>0</v>
      </c>
      <c r="H1279" s="212"/>
    </row>
    <row r="1280" spans="1:15">
      <c r="A1280" s="224" t="s">
        <v>4240</v>
      </c>
      <c r="B1280" s="81"/>
      <c r="C1280" s="81"/>
      <c r="D1280" s="82"/>
      <c r="E1280" s="78"/>
      <c r="F1280" s="79">
        <v>0</v>
      </c>
      <c r="G1280" s="80">
        <f>F1280*H1244</f>
        <v>0</v>
      </c>
      <c r="H1280" s="212"/>
    </row>
    <row r="1281" spans="1:14">
      <c r="A1281" s="224" t="s">
        <v>4</v>
      </c>
      <c r="B1281" s="81"/>
      <c r="C1281" s="81"/>
      <c r="D1281" s="82"/>
      <c r="E1281" s="78"/>
      <c r="F1281" s="79">
        <v>0</v>
      </c>
      <c r="G1281" s="80">
        <f>F1281*H1244</f>
        <v>0</v>
      </c>
      <c r="H1281" s="212"/>
    </row>
    <row r="1282" spans="1:14">
      <c r="A1282" s="225"/>
      <c r="B1282" s="83"/>
      <c r="C1282" s="75"/>
      <c r="D1282" s="84"/>
      <c r="E1282" s="85"/>
      <c r="F1282" s="86"/>
      <c r="G1282" s="87"/>
      <c r="H1282" s="214"/>
    </row>
    <row r="1283" spans="1:14">
      <c r="A1283" s="226"/>
      <c r="B1283" s="83"/>
      <c r="C1283" s="83"/>
      <c r="D1283" s="84"/>
      <c r="E1283" s="88"/>
      <c r="F1283" s="563" t="s">
        <v>4241</v>
      </c>
      <c r="G1283" s="564"/>
      <c r="H1283" s="233">
        <f>H1244+G1279+G1280+G1281</f>
        <v>981202.3843128127</v>
      </c>
    </row>
    <row r="1284" spans="1:14">
      <c r="A1284" s="83"/>
      <c r="B1284" s="83"/>
      <c r="C1284" s="83"/>
      <c r="D1284" s="84"/>
      <c r="E1284" s="388"/>
      <c r="F1284" s="389"/>
      <c r="G1284" s="389"/>
      <c r="H1284" s="390"/>
    </row>
    <row r="1285" spans="1:14" ht="16.5">
      <c r="A1285" s="90"/>
      <c r="B1285" s="90"/>
      <c r="C1285" s="90"/>
      <c r="D1285" s="90"/>
      <c r="E1285" s="90"/>
      <c r="F1285" s="90"/>
      <c r="G1285" s="90"/>
      <c r="H1285" s="381"/>
    </row>
    <row r="1286" spans="1:14">
      <c r="A1286" s="579" t="s">
        <v>4225</v>
      </c>
      <c r="B1286" s="580"/>
      <c r="C1286" s="580"/>
      <c r="D1286" s="580"/>
      <c r="E1286" s="580"/>
      <c r="F1286" s="580"/>
      <c r="G1286" s="580"/>
      <c r="H1286" s="581"/>
    </row>
    <row r="1287" spans="1:14" ht="16.5">
      <c r="A1287" s="91"/>
      <c r="B1287" s="92"/>
      <c r="C1287" s="92"/>
      <c r="D1287" s="92"/>
      <c r="E1287" s="92"/>
      <c r="F1287" s="93"/>
      <c r="G1287" s="94"/>
      <c r="H1287" s="380">
        <f>ROUND((45/60)/8,4)</f>
        <v>9.3799999999999994E-2</v>
      </c>
      <c r="I1287" s="115"/>
    </row>
    <row r="1288" spans="1:14">
      <c r="A1288" s="582" t="s">
        <v>4220</v>
      </c>
      <c r="B1288" s="584" t="str">
        <f>COSTOS!$C$14</f>
        <v>MODERNIZACION A TECNOLOGIA LED</v>
      </c>
      <c r="C1288" s="584"/>
      <c r="D1288" s="584"/>
      <c r="E1288" s="584"/>
      <c r="F1288" s="584"/>
      <c r="G1288" s="584"/>
      <c r="H1288" s="585" t="s">
        <v>4221</v>
      </c>
    </row>
    <row r="1289" spans="1:14">
      <c r="A1289" s="583"/>
      <c r="B1289" s="584"/>
      <c r="C1289" s="584"/>
      <c r="D1289" s="584"/>
      <c r="E1289" s="584"/>
      <c r="F1289" s="584"/>
      <c r="G1289" s="584"/>
      <c r="H1289" s="585"/>
    </row>
    <row r="1290" spans="1:14">
      <c r="A1290" s="583"/>
      <c r="B1290" s="584"/>
      <c r="C1290" s="584"/>
      <c r="D1290" s="584"/>
      <c r="E1290" s="584"/>
      <c r="F1290" s="584"/>
      <c r="G1290" s="584"/>
      <c r="H1290" s="585"/>
    </row>
    <row r="1291" spans="1:14" ht="15" customHeight="1">
      <c r="A1291" s="583"/>
      <c r="B1291" s="584"/>
      <c r="C1291" s="584"/>
      <c r="D1291" s="584"/>
      <c r="E1291" s="584"/>
      <c r="F1291" s="584"/>
      <c r="G1291" s="584"/>
      <c r="H1291" s="216">
        <f ca="1">TODAY()</f>
        <v>44889</v>
      </c>
      <c r="K1291" t="s">
        <v>4391</v>
      </c>
      <c r="L1291" t="s">
        <v>4392</v>
      </c>
      <c r="M1291" t="s">
        <v>4393</v>
      </c>
      <c r="N1291" t="s">
        <v>4394</v>
      </c>
    </row>
    <row r="1292" spans="1:14" ht="60.75" customHeight="1">
      <c r="A1292" s="228" t="s">
        <v>4222</v>
      </c>
      <c r="B1292" s="565" t="str">
        <f>COSTOS!$D$16</f>
        <v>Luminarias</v>
      </c>
      <c r="C1292" s="565"/>
      <c r="D1292" s="565"/>
      <c r="E1292" s="565"/>
      <c r="F1292" s="565"/>
      <c r="G1292" s="70" t="s">
        <v>4223</v>
      </c>
      <c r="H1292" s="391">
        <v>1.26</v>
      </c>
      <c r="K1292" s="62">
        <f>H1317</f>
        <v>1281886.8478291864</v>
      </c>
      <c r="L1292" s="62">
        <f>H1327</f>
        <v>33743.987199999996</v>
      </c>
      <c r="M1292" s="62">
        <f>H1300</f>
        <v>6055.0244999999995</v>
      </c>
      <c r="N1292" s="62">
        <f>H1321</f>
        <v>4800</v>
      </c>
    </row>
    <row r="1293" spans="1:14" ht="43.15" customHeight="1">
      <c r="A1293" s="229" t="s">
        <v>4224</v>
      </c>
      <c r="B1293" s="566" t="str">
        <f>VLOOKUP(H1292,COSTOS!C:M,2,0)</f>
        <v>Farol con luminaria sodio 70w</v>
      </c>
      <c r="C1293" s="567"/>
      <c r="D1293" s="567"/>
      <c r="E1293" s="568"/>
      <c r="F1293" s="71" t="s">
        <v>0</v>
      </c>
      <c r="G1293" s="356" t="str">
        <f>VLOOKUP(H1292,COSTOS!C:M,8,0)</f>
        <v>Und</v>
      </c>
      <c r="H1293" s="276"/>
      <c r="I1293" s="306"/>
      <c r="J1293" s="308"/>
      <c r="K1293" s="308"/>
      <c r="L1293" s="308"/>
    </row>
    <row r="1294" spans="1:14">
      <c r="A1294" s="230"/>
      <c r="B1294" s="112"/>
      <c r="C1294" s="112"/>
      <c r="D1294" s="112"/>
      <c r="E1294" s="113"/>
      <c r="F1294" s="114" t="s">
        <v>1</v>
      </c>
      <c r="G1294" s="356">
        <f>VLOOKUP(H1292,COSTOS!C:M,9,0)</f>
        <v>0</v>
      </c>
      <c r="H1294" s="357"/>
      <c r="I1294" s="307"/>
    </row>
    <row r="1295" spans="1:14" ht="16.5">
      <c r="A1295" s="231" t="s">
        <v>4226</v>
      </c>
      <c r="B1295" s="75"/>
      <c r="C1295" s="75"/>
      <c r="D1295" s="76"/>
      <c r="E1295" s="209"/>
      <c r="F1295" s="210"/>
      <c r="G1295" s="211" t="s">
        <v>4227</v>
      </c>
      <c r="H1295" s="217">
        <f>H1300+H1317+H1321+H1327</f>
        <v>1326485.8595291865</v>
      </c>
    </row>
    <row r="1296" spans="1:14" ht="39">
      <c r="A1296" s="569" t="s">
        <v>4224</v>
      </c>
      <c r="B1296" s="569"/>
      <c r="C1296" s="569"/>
      <c r="D1296" s="77" t="s">
        <v>0</v>
      </c>
      <c r="E1296" s="207" t="s">
        <v>4228</v>
      </c>
      <c r="F1296" s="208" t="s">
        <v>4215</v>
      </c>
      <c r="G1296" s="74" t="s">
        <v>2</v>
      </c>
      <c r="H1296" s="218" t="s">
        <v>4229</v>
      </c>
      <c r="K1296" s="309"/>
    </row>
    <row r="1297" spans="1:15">
      <c r="A1297" s="536" t="s">
        <v>3946</v>
      </c>
      <c r="B1297" s="570" t="str">
        <f>VLOOKUP(A1297,'Equip, Herr y Transp'!$B$2:$D$739,2,0)</f>
        <v>EQU</v>
      </c>
      <c r="C1297" s="570"/>
      <c r="D1297" s="95" t="str">
        <f>VLOOKUP(A1297,'Equip, Herr y Transp'!$B$2:$D$218,2,0)</f>
        <v>EQU</v>
      </c>
      <c r="E1297" s="95">
        <f>VLOOKUP(A1297,'Equip, Herr y Transp'!$B$2:$D$218,3,0)</f>
        <v>14130</v>
      </c>
      <c r="F1297" s="96">
        <f>H1287</f>
        <v>9.3799999999999994E-2</v>
      </c>
      <c r="G1297" s="122">
        <f>F1297*E1297</f>
        <v>1325.394</v>
      </c>
      <c r="H1297" s="118"/>
    </row>
    <row r="1298" spans="1:15">
      <c r="A1298" s="536" t="s">
        <v>3904</v>
      </c>
      <c r="B1298" s="570" t="str">
        <f>VLOOKUP(A1298,'Equip, Herr y Transp'!$B$2:$D$739,2,0)</f>
        <v>EQU</v>
      </c>
      <c r="C1298" s="570"/>
      <c r="D1298" s="95" t="str">
        <f>VLOOKUP(A1298,'Equip, Herr y Transp'!$B$2:$D$218,2,0)</f>
        <v>EQU</v>
      </c>
      <c r="E1298" s="95">
        <f>VLOOKUP(A1298,'Equip, Herr y Transp'!$B$2:$D$218,3,0)</f>
        <v>26672.5</v>
      </c>
      <c r="F1298" s="96">
        <f>H1287</f>
        <v>9.3799999999999994E-2</v>
      </c>
      <c r="G1298" s="122">
        <f>F1298*E1298</f>
        <v>2501.8804999999998</v>
      </c>
      <c r="H1298" s="117"/>
    </row>
    <row r="1299" spans="1:15">
      <c r="A1299" s="536" t="s">
        <v>3937</v>
      </c>
      <c r="B1299" s="570" t="str">
        <f>VLOOKUP(A1299,'Equip, Herr y Transp'!$B$2:$D$739,2,0)</f>
        <v>EQU</v>
      </c>
      <c r="C1299" s="570"/>
      <c r="D1299" s="95" t="str">
        <f>VLOOKUP(A1299,'Equip, Herr y Transp'!$B$2:$D$218,2,0)</f>
        <v>EQU</v>
      </c>
      <c r="E1299" s="95">
        <f>VLOOKUP(A1299,'Equip, Herr y Transp'!$B$2:$D$218,3,0)</f>
        <v>23750</v>
      </c>
      <c r="F1299" s="96">
        <f>H1287</f>
        <v>9.3799999999999994E-2</v>
      </c>
      <c r="G1299" s="122">
        <f>F1299*E1299</f>
        <v>2227.75</v>
      </c>
      <c r="H1299" s="117"/>
    </row>
    <row r="1300" spans="1:15" ht="16.5">
      <c r="A1300" s="540" t="s">
        <v>4100</v>
      </c>
      <c r="B1300" s="541"/>
      <c r="C1300" s="541"/>
      <c r="D1300" s="541"/>
      <c r="E1300" s="541"/>
      <c r="F1300" s="541"/>
      <c r="G1300" s="541"/>
      <c r="H1300" s="97">
        <f>SUM(G1297:G1299)</f>
        <v>6055.0244999999995</v>
      </c>
    </row>
    <row r="1301" spans="1:15" ht="16.5">
      <c r="A1301" s="571" t="s">
        <v>4230</v>
      </c>
      <c r="B1301" s="572"/>
      <c r="C1301" s="572"/>
      <c r="D1301" s="572"/>
      <c r="E1301" s="572"/>
      <c r="F1301" s="572"/>
      <c r="G1301" s="572"/>
      <c r="H1301" s="573"/>
      <c r="K1301" s="56"/>
      <c r="L1301" s="56"/>
      <c r="M1301" s="56"/>
      <c r="N1301" s="56"/>
      <c r="O1301" s="56"/>
    </row>
    <row r="1302" spans="1:15" ht="30" customHeight="1">
      <c r="A1302" s="574" t="s">
        <v>7</v>
      </c>
      <c r="B1302" s="575"/>
      <c r="C1302" s="109" t="s">
        <v>0</v>
      </c>
      <c r="D1302" s="110" t="s">
        <v>4098</v>
      </c>
      <c r="E1302" s="111" t="s">
        <v>1</v>
      </c>
      <c r="F1302" s="576" t="s">
        <v>4218</v>
      </c>
      <c r="G1302" s="576"/>
      <c r="H1302" s="215"/>
      <c r="K1302" s="56"/>
      <c r="L1302" s="56"/>
      <c r="M1302" s="56"/>
      <c r="N1302" s="56"/>
      <c r="O1302" s="56"/>
    </row>
    <row r="1303" spans="1:15">
      <c r="A1303" s="577" t="s">
        <v>4678</v>
      </c>
      <c r="B1303" s="578"/>
      <c r="C1303" s="98" t="str">
        <f>VLOOKUP(A1303,'Materiales '!$C$2:$F$1302,3,0)</f>
        <v>Und</v>
      </c>
      <c r="D1303" s="99">
        <f>VLOOKUP(A1303,'Materiales '!$C$2:$F$1302,4,0)</f>
        <v>1103698.1089891864</v>
      </c>
      <c r="E1303" s="100">
        <v>1</v>
      </c>
      <c r="F1303" s="538">
        <f>E1303*D1303</f>
        <v>1103698.1089891864</v>
      </c>
      <c r="G1303" s="539"/>
      <c r="H1303" s="121"/>
      <c r="I1303">
        <f>E1303*G1294</f>
        <v>0</v>
      </c>
      <c r="J1303" s="67"/>
      <c r="K1303" s="56"/>
      <c r="L1303" s="56"/>
      <c r="M1303" s="56"/>
      <c r="N1303" s="56"/>
      <c r="O1303" s="56"/>
    </row>
    <row r="1304" spans="1:15">
      <c r="A1304" s="577" t="s">
        <v>4214</v>
      </c>
      <c r="B1304" s="578"/>
      <c r="C1304" s="98" t="str">
        <f>VLOOKUP(A1304,'Materiales '!$C$2:$F$1302,3,0)</f>
        <v>Und</v>
      </c>
      <c r="D1304" s="99">
        <f>VLOOKUP(A1304,'Materiales '!$C$2:$F$1302,4,0)</f>
        <v>22848</v>
      </c>
      <c r="E1304" s="100">
        <v>1</v>
      </c>
      <c r="F1304" s="538">
        <f t="shared" ref="F1304:F1310" si="76">E1304*D1304</f>
        <v>22848</v>
      </c>
      <c r="G1304" s="539"/>
      <c r="H1304" s="121"/>
      <c r="I1304">
        <f>E1304*G1294</f>
        <v>0</v>
      </c>
      <c r="J1304" s="67"/>
      <c r="K1304" s="56"/>
      <c r="L1304" s="56"/>
      <c r="M1304" s="56"/>
      <c r="N1304" s="56"/>
      <c r="O1304" s="56"/>
    </row>
    <row r="1305" spans="1:15">
      <c r="A1305" s="536" t="s">
        <v>4474</v>
      </c>
      <c r="B1305" s="537" t="str">
        <f>VLOOKUP(A1305,'Materiales '!$C$2:$F$1302,3,0)</f>
        <v>Ml</v>
      </c>
      <c r="C1305" s="98" t="str">
        <f>VLOOKUP(A1305,'Materiales '!$C$2:$F$1302,3,0)</f>
        <v>Ml</v>
      </c>
      <c r="D1305" s="99">
        <f>VLOOKUP(A1305,'Materiales '!$C$2:$F$1302,4,0)</f>
        <v>2064.93084</v>
      </c>
      <c r="E1305" s="100">
        <v>1</v>
      </c>
      <c r="F1305" s="538">
        <f t="shared" si="76"/>
        <v>2064.93084</v>
      </c>
      <c r="G1305" s="539"/>
      <c r="H1305" s="121"/>
      <c r="I1305">
        <f>E1305*G1294</f>
        <v>0</v>
      </c>
      <c r="J1305" s="68"/>
      <c r="K1305" s="56"/>
      <c r="L1305" s="56"/>
      <c r="M1305" s="56"/>
      <c r="N1305" s="56"/>
      <c r="O1305" s="56"/>
    </row>
    <row r="1306" spans="1:15">
      <c r="A1306" s="536" t="s">
        <v>4492</v>
      </c>
      <c r="B1306" s="537" t="str">
        <f>VLOOKUP(A1306,'Materiales '!$C$2:$F$1302,3,0)</f>
        <v>Und</v>
      </c>
      <c r="C1306" s="98" t="str">
        <f>VLOOKUP(A1306,'Materiales '!$C$2:$F$1302,3,0)</f>
        <v>Und</v>
      </c>
      <c r="D1306" s="99">
        <f>VLOOKUP(A1306,'Materiales '!$C$2:$F$1302,4,0)</f>
        <v>32411.315999999999</v>
      </c>
      <c r="E1306" s="100">
        <v>3</v>
      </c>
      <c r="F1306" s="538">
        <f t="shared" si="76"/>
        <v>97233.948000000004</v>
      </c>
      <c r="G1306" s="539"/>
      <c r="H1306" s="121"/>
      <c r="I1306">
        <f>E1306*G1294</f>
        <v>0</v>
      </c>
      <c r="J1306" s="68"/>
      <c r="K1306" s="56"/>
      <c r="L1306" s="56"/>
      <c r="M1306" s="56"/>
      <c r="N1306" s="56"/>
      <c r="O1306" s="56"/>
    </row>
    <row r="1307" spans="1:15">
      <c r="A1307" s="536" t="s">
        <v>4539</v>
      </c>
      <c r="B1307" s="537" t="str">
        <f>VLOOKUP(A1307,'Materiales '!$C$2:$F$1302,3,0)</f>
        <v>Und</v>
      </c>
      <c r="C1307" s="98" t="str">
        <f>VLOOKUP(A1307,'Materiales '!$C$2:$F$1302,3,0)</f>
        <v>Und</v>
      </c>
      <c r="D1307" s="99">
        <f>VLOOKUP(A1307,'Materiales '!$C$2:$F$1302,4,0)</f>
        <v>505.51199999999994</v>
      </c>
      <c r="E1307" s="100">
        <v>2</v>
      </c>
      <c r="F1307" s="538">
        <f t="shared" si="76"/>
        <v>1011.0239999999999</v>
      </c>
      <c r="G1307" s="539"/>
      <c r="H1307" s="121"/>
      <c r="I1307">
        <f>E1307*G1294</f>
        <v>0</v>
      </c>
      <c r="J1307" s="68"/>
      <c r="K1307" s="56"/>
      <c r="L1307" s="56"/>
      <c r="M1307" s="56"/>
      <c r="N1307" s="56"/>
      <c r="O1307" s="56"/>
    </row>
    <row r="1308" spans="1:15">
      <c r="A1308" s="536" t="s">
        <v>4450</v>
      </c>
      <c r="B1308" s="537" t="str">
        <f>VLOOKUP(A1308,'Materiales '!$C$2:$F$1302,3,0)</f>
        <v>Ml</v>
      </c>
      <c r="C1308" s="98" t="str">
        <f>VLOOKUP(A1308,'Materiales '!$C$2:$F$1302,3,0)</f>
        <v>Ml</v>
      </c>
      <c r="D1308" s="99">
        <f>VLOOKUP(A1308,'Materiales '!$C$2:$F$1302,4,0)</f>
        <v>6791.5679999999993</v>
      </c>
      <c r="E1308" s="100">
        <v>8</v>
      </c>
      <c r="F1308" s="538">
        <f t="shared" si="76"/>
        <v>54332.543999999994</v>
      </c>
      <c r="G1308" s="539"/>
      <c r="H1308" s="121"/>
      <c r="I1308">
        <f>E1308*G1294</f>
        <v>0</v>
      </c>
      <c r="J1308" s="68"/>
      <c r="K1308" s="56"/>
      <c r="L1308" s="56"/>
      <c r="M1308" s="56"/>
      <c r="N1308" s="56"/>
      <c r="O1308" s="56"/>
    </row>
    <row r="1309" spans="1:15">
      <c r="A1309" s="536" t="s">
        <v>4493</v>
      </c>
      <c r="B1309" s="537" t="str">
        <f>VLOOKUP(A1309,'Materiales '!$C$2:$F$1302,3,0)</f>
        <v>Und</v>
      </c>
      <c r="C1309" s="98" t="str">
        <f>VLOOKUP(A1309,'Materiales '!$C$2:$F$1302,3,0)</f>
        <v>Und</v>
      </c>
      <c r="D1309" s="99">
        <f>VLOOKUP(A1309,'Materiales '!$C$2:$F$1302,4,0)</f>
        <v>232.76399999999998</v>
      </c>
      <c r="E1309" s="100">
        <v>3</v>
      </c>
      <c r="F1309" s="538">
        <f t="shared" si="76"/>
        <v>698.29199999999992</v>
      </c>
      <c r="G1309" s="539"/>
      <c r="H1309" s="121"/>
      <c r="I1309">
        <f>E1309*G1294</f>
        <v>0</v>
      </c>
      <c r="J1309" s="68"/>
      <c r="K1309" s="56"/>
      <c r="L1309" s="56"/>
      <c r="M1309" s="56"/>
      <c r="N1309" s="56"/>
      <c r="O1309" s="56"/>
    </row>
    <row r="1310" spans="1:15" ht="21.75" customHeight="1">
      <c r="A1310" s="536" t="s">
        <v>8</v>
      </c>
      <c r="B1310" s="537" t="str">
        <f>VLOOKUP(A1310,'Materiales '!$C$2:$F$1302,3,0)</f>
        <v>-</v>
      </c>
      <c r="C1310" s="98" t="str">
        <f>VLOOKUP(A1310,'Materiales '!$C$2:$F$1302,3,0)</f>
        <v>-</v>
      </c>
      <c r="D1310" s="99">
        <f>VLOOKUP(A1310,'Materiales '!$C$2:$F$1302,4,0)</f>
        <v>0</v>
      </c>
      <c r="E1310" s="100">
        <v>0.5</v>
      </c>
      <c r="F1310" s="538">
        <f t="shared" si="76"/>
        <v>0</v>
      </c>
      <c r="G1310" s="539"/>
      <c r="H1310" s="121"/>
      <c r="I1310">
        <f>E1310*G1294</f>
        <v>0</v>
      </c>
      <c r="J1310" s="68"/>
      <c r="K1310" s="56"/>
      <c r="L1310" s="56"/>
      <c r="M1310" s="56"/>
      <c r="N1310" s="56"/>
      <c r="O1310" s="56"/>
    </row>
    <row r="1311" spans="1:15">
      <c r="A1311" s="536" t="s">
        <v>8</v>
      </c>
      <c r="B1311" s="537" t="str">
        <f>VLOOKUP(A1311,'Materiales '!$C$2:$F$1302,3,0)</f>
        <v>-</v>
      </c>
      <c r="C1311" s="98" t="str">
        <f>VLOOKUP(A1311,'Materiales '!$C$2:$F$1302,3,0)</f>
        <v>-</v>
      </c>
      <c r="D1311" s="99">
        <f>VLOOKUP(A1311,'Materiales '!$C$2:$F$1302,4,0)</f>
        <v>0</v>
      </c>
      <c r="E1311" s="100"/>
      <c r="F1311" s="538">
        <f>E1311*D1311</f>
        <v>0</v>
      </c>
      <c r="G1311" s="539"/>
      <c r="H1311" s="120"/>
      <c r="I1311">
        <f>E1311*G1294</f>
        <v>0</v>
      </c>
      <c r="J1311" s="68"/>
      <c r="K1311" s="56"/>
      <c r="L1311" s="56"/>
      <c r="M1311" s="56"/>
      <c r="N1311" s="56"/>
      <c r="O1311" s="56"/>
    </row>
    <row r="1312" spans="1:15">
      <c r="A1312" s="536" t="s">
        <v>8</v>
      </c>
      <c r="B1312" s="537" t="str">
        <f>VLOOKUP(A1312,'Materiales '!$C$2:$F$1302,3,0)</f>
        <v>-</v>
      </c>
      <c r="C1312" s="98" t="str">
        <f>VLOOKUP(A1312,'Materiales '!$C$2:$F$1302,3,0)</f>
        <v>-</v>
      </c>
      <c r="D1312" s="99">
        <f>VLOOKUP(A1312,'Materiales '!$C$2:$F$1302,4,0)</f>
        <v>0</v>
      </c>
      <c r="E1312" s="100"/>
      <c r="F1312" s="538">
        <f t="shared" ref="F1312:F1315" si="77">E1312*D1312</f>
        <v>0</v>
      </c>
      <c r="G1312" s="539"/>
      <c r="H1312" s="121"/>
      <c r="I1312">
        <f>E1312*G1294</f>
        <v>0</v>
      </c>
      <c r="J1312" s="68"/>
      <c r="K1312" s="56"/>
      <c r="L1312" s="56"/>
      <c r="M1312" s="56"/>
      <c r="N1312" s="56"/>
      <c r="O1312" s="56"/>
    </row>
    <row r="1313" spans="1:15">
      <c r="A1313" s="536" t="s">
        <v>8</v>
      </c>
      <c r="B1313" s="537" t="str">
        <f>VLOOKUP(A1313,'Materiales '!$C$2:$F$1302,3,0)</f>
        <v>-</v>
      </c>
      <c r="C1313" s="98" t="str">
        <f>VLOOKUP(A1313,'Materiales '!$C$2:$F$1302,3,0)</f>
        <v>-</v>
      </c>
      <c r="D1313" s="99">
        <f>VLOOKUP(A1313,'Materiales '!$C$2:$F$1302,4,0)</f>
        <v>0</v>
      </c>
      <c r="E1313" s="100"/>
      <c r="F1313" s="538">
        <f t="shared" si="77"/>
        <v>0</v>
      </c>
      <c r="G1313" s="539"/>
      <c r="H1313" s="121"/>
      <c r="I1313">
        <f>E1313*G1294</f>
        <v>0</v>
      </c>
      <c r="J1313" s="68"/>
      <c r="K1313" s="56"/>
      <c r="L1313" s="56"/>
      <c r="M1313" s="56"/>
      <c r="N1313" s="56"/>
      <c r="O1313" s="56"/>
    </row>
    <row r="1314" spans="1:15">
      <c r="A1314" s="536" t="s">
        <v>8</v>
      </c>
      <c r="B1314" s="537" t="str">
        <f>VLOOKUP(A1314,'Materiales '!$C$2:$F$1302,3,0)</f>
        <v>-</v>
      </c>
      <c r="C1314" s="98" t="str">
        <f>VLOOKUP(A1314,'Materiales '!$C$2:$F$1302,3,0)</f>
        <v>-</v>
      </c>
      <c r="D1314" s="99">
        <f>VLOOKUP(A1314,'Materiales '!$C$2:$F$1302,4,0)</f>
        <v>0</v>
      </c>
      <c r="E1314" s="100"/>
      <c r="F1314" s="538">
        <f t="shared" si="77"/>
        <v>0</v>
      </c>
      <c r="G1314" s="539"/>
      <c r="H1314" s="121"/>
      <c r="I1314">
        <f>E1314*G1294</f>
        <v>0</v>
      </c>
      <c r="J1314" s="68"/>
      <c r="K1314" s="56"/>
      <c r="L1314" s="56"/>
      <c r="M1314" s="56"/>
      <c r="N1314" s="56"/>
      <c r="O1314" s="56"/>
    </row>
    <row r="1315" spans="1:15">
      <c r="A1315" s="536" t="s">
        <v>8</v>
      </c>
      <c r="B1315" s="537" t="str">
        <f>VLOOKUP(A1315,'Materiales '!$C$2:$F$1302,3,0)</f>
        <v>-</v>
      </c>
      <c r="C1315" s="98" t="str">
        <f>VLOOKUP(A1315,'Materiales '!$C$2:$F$1302,3,0)</f>
        <v>-</v>
      </c>
      <c r="D1315" s="99">
        <f>VLOOKUP(A1315,'Materiales '!$C$2:$F$1302,4,0)</f>
        <v>0</v>
      </c>
      <c r="E1315" s="100"/>
      <c r="F1315" s="538">
        <f t="shared" si="77"/>
        <v>0</v>
      </c>
      <c r="G1315" s="539"/>
      <c r="H1315" s="121"/>
      <c r="I1315">
        <f>E1315*G1294</f>
        <v>0</v>
      </c>
      <c r="J1315" s="68"/>
      <c r="K1315" s="56"/>
      <c r="L1315" s="56"/>
      <c r="M1315" s="56"/>
      <c r="N1315" s="56"/>
      <c r="O1315" s="56"/>
    </row>
    <row r="1316" spans="1:15">
      <c r="A1316" s="536" t="s">
        <v>8</v>
      </c>
      <c r="B1316" s="537" t="str">
        <f>VLOOKUP(A1316,'Materiales '!$C$2:$F$1302,3,0)</f>
        <v>-</v>
      </c>
      <c r="C1316" s="98" t="str">
        <f>VLOOKUP(A1316,'Materiales '!$C$2:$F$1302,3,0)</f>
        <v>-</v>
      </c>
      <c r="D1316" s="99">
        <f>VLOOKUP(A1316,'Materiales '!$C$2:$F$1302,4,0)</f>
        <v>0</v>
      </c>
      <c r="E1316" s="100"/>
      <c r="F1316" s="538">
        <f>E1316*D1316</f>
        <v>0</v>
      </c>
      <c r="G1316" s="539"/>
      <c r="H1316" s="120"/>
      <c r="I1316">
        <f>E1316*G1294</f>
        <v>0</v>
      </c>
      <c r="J1316" s="68"/>
      <c r="K1316" s="56"/>
      <c r="L1316" s="56"/>
      <c r="M1316" s="56"/>
      <c r="N1316" s="56"/>
      <c r="O1316" s="56"/>
    </row>
    <row r="1317" spans="1:15" ht="16.5">
      <c r="A1317" s="540" t="s">
        <v>4099</v>
      </c>
      <c r="B1317" s="541"/>
      <c r="C1317" s="541"/>
      <c r="D1317" s="541"/>
      <c r="E1317" s="541"/>
      <c r="F1317" s="541"/>
      <c r="G1317" s="542"/>
      <c r="H1317" s="116">
        <f>SUM(F1303:F1316)</f>
        <v>1281886.8478291864</v>
      </c>
      <c r="J1317" s="68"/>
      <c r="K1317" s="56"/>
      <c r="L1317" s="56"/>
      <c r="M1317" s="56"/>
      <c r="N1317" s="56"/>
      <c r="O1317" s="56"/>
    </row>
    <row r="1318" spans="1:15" ht="16.5">
      <c r="A1318" s="543" t="s">
        <v>4231</v>
      </c>
      <c r="B1318" s="544"/>
      <c r="C1318" s="544"/>
      <c r="D1318" s="544"/>
      <c r="E1318" s="545"/>
      <c r="F1318" s="544"/>
      <c r="G1318" s="544"/>
      <c r="H1318" s="546"/>
      <c r="J1318" s="68"/>
      <c r="K1318" s="56"/>
      <c r="L1318" s="56"/>
      <c r="M1318" s="56"/>
      <c r="N1318" s="56"/>
      <c r="O1318" s="56"/>
    </row>
    <row r="1319" spans="1:15">
      <c r="A1319" s="547" t="s">
        <v>7</v>
      </c>
      <c r="B1319" s="548"/>
      <c r="C1319" s="108" t="s">
        <v>4232</v>
      </c>
      <c r="D1319" s="107" t="s">
        <v>4233</v>
      </c>
      <c r="E1319" s="206" t="s">
        <v>4234</v>
      </c>
      <c r="F1319" s="549" t="s">
        <v>4218</v>
      </c>
      <c r="G1319" s="549"/>
      <c r="H1319" s="119"/>
      <c r="K1319" s="56"/>
      <c r="L1319" s="56"/>
      <c r="M1319" s="56"/>
      <c r="N1319" s="56"/>
      <c r="O1319" s="56"/>
    </row>
    <row r="1320" spans="1:15">
      <c r="A1320" s="550" t="s">
        <v>3928</v>
      </c>
      <c r="B1320" s="551"/>
      <c r="C1320" s="232">
        <v>1</v>
      </c>
      <c r="D1320" s="102">
        <v>0.03</v>
      </c>
      <c r="E1320" s="103">
        <f>VLOOKUP(A1320,'Equip, Herr y Transp'!$B$2:$D$218,3,0)</f>
        <v>160000</v>
      </c>
      <c r="F1320" s="552">
        <f>E1320*D1320*C1320</f>
        <v>4800</v>
      </c>
      <c r="G1320" s="553"/>
      <c r="H1320" s="117"/>
      <c r="M1320" s="56"/>
    </row>
    <row r="1321" spans="1:15" ht="16.5">
      <c r="A1321" s="554" t="s">
        <v>4216</v>
      </c>
      <c r="B1321" s="555"/>
      <c r="C1321" s="555"/>
      <c r="D1321" s="555"/>
      <c r="E1321" s="555"/>
      <c r="F1321" s="555"/>
      <c r="G1321" s="555"/>
      <c r="H1321" s="105">
        <f>F1320</f>
        <v>4800</v>
      </c>
    </row>
    <row r="1322" spans="1:15" ht="16.5">
      <c r="A1322" s="543" t="s">
        <v>4235</v>
      </c>
      <c r="B1322" s="544"/>
      <c r="C1322" s="544"/>
      <c r="D1322" s="544"/>
      <c r="E1322" s="544"/>
      <c r="F1322" s="544"/>
      <c r="G1322" s="544"/>
      <c r="H1322" s="546"/>
    </row>
    <row r="1323" spans="1:15">
      <c r="A1323" s="547" t="s">
        <v>7</v>
      </c>
      <c r="B1323" s="548"/>
      <c r="C1323" s="106" t="s">
        <v>1</v>
      </c>
      <c r="D1323" s="107" t="s">
        <v>4236</v>
      </c>
      <c r="E1323" s="108" t="s">
        <v>4215</v>
      </c>
      <c r="F1323" s="547" t="s">
        <v>5</v>
      </c>
      <c r="G1323" s="556"/>
      <c r="H1323" s="119"/>
    </row>
    <row r="1324" spans="1:15">
      <c r="A1324" s="550" t="s">
        <v>4196</v>
      </c>
      <c r="B1324" s="551"/>
      <c r="C1324" s="101">
        <v>1</v>
      </c>
      <c r="D1324" s="104">
        <f>VLOOKUP(A1324,'Mano Obra'!$B$2:$T$117,19,0)</f>
        <v>166624</v>
      </c>
      <c r="E1324" s="246">
        <f>H1287</f>
        <v>9.3799999999999994E-2</v>
      </c>
      <c r="F1324" s="538">
        <f>E1324*D1324*C1324</f>
        <v>15629.331199999999</v>
      </c>
      <c r="G1324" s="557"/>
      <c r="H1324" s="121"/>
      <c r="I1324" s="69"/>
      <c r="J1324" s="136">
        <f>((('Mano Obra'!$M$4/30)*F1324)/D1324)*G1294</f>
        <v>0</v>
      </c>
    </row>
    <row r="1325" spans="1:15">
      <c r="A1325" s="558" t="s">
        <v>4197</v>
      </c>
      <c r="B1325" s="559">
        <f>VLOOKUP(A1325,'Mano Obra'!$B$3:$D$290,2,0)</f>
        <v>2090000.0000000002</v>
      </c>
      <c r="C1325" s="101">
        <v>1</v>
      </c>
      <c r="D1325" s="104">
        <f>VLOOKUP(A1325,'Mano Obra'!$B$2:$T$117,19,0)</f>
        <v>120456</v>
      </c>
      <c r="E1325" s="246">
        <f>H1287</f>
        <v>9.3799999999999994E-2</v>
      </c>
      <c r="F1325" s="538">
        <f t="shared" ref="F1325:F1326" si="78">E1325*D1325*C1325</f>
        <v>11298.772799999999</v>
      </c>
      <c r="G1325" s="557"/>
      <c r="H1325" s="121"/>
      <c r="J1325" s="136">
        <f>((('Mano Obra'!$M$5/30)*F1325)/D1325)*G1294</f>
        <v>0</v>
      </c>
    </row>
    <row r="1326" spans="1:15">
      <c r="A1326" s="558" t="s">
        <v>4186</v>
      </c>
      <c r="B1326" s="559">
        <f>VLOOKUP(A1326,'Mano Obra'!$B$3:$D$290,2,0)</f>
        <v>1100000</v>
      </c>
      <c r="C1326" s="101">
        <v>1</v>
      </c>
      <c r="D1326" s="104">
        <f>VLOOKUP(A1326,'Mano Obra'!$B$2:$T$117,19,0)</f>
        <v>72664</v>
      </c>
      <c r="E1326" s="246">
        <f>H1287</f>
        <v>9.3799999999999994E-2</v>
      </c>
      <c r="F1326" s="538">
        <f t="shared" si="78"/>
        <v>6815.8831999999993</v>
      </c>
      <c r="G1326" s="557"/>
      <c r="H1326" s="120"/>
      <c r="J1326" s="136">
        <f>((('Mano Obra'!$M$6/30)*F1326)/D1326)*G1294</f>
        <v>0</v>
      </c>
    </row>
    <row r="1327" spans="1:15" ht="16.5">
      <c r="A1327" s="560" t="s">
        <v>4101</v>
      </c>
      <c r="B1327" s="560"/>
      <c r="C1327" s="560"/>
      <c r="D1327" s="560"/>
      <c r="E1327" s="560"/>
      <c r="F1327" s="560"/>
      <c r="G1327" s="560"/>
      <c r="H1327" s="105">
        <f>SUM(F1324:F1326)</f>
        <v>33743.987199999996</v>
      </c>
      <c r="J1327" s="136"/>
    </row>
    <row r="1328" spans="1:15">
      <c r="A1328" s="227" t="s">
        <v>4237</v>
      </c>
      <c r="B1328" s="205"/>
      <c r="C1328" s="205"/>
      <c r="D1328" s="202"/>
      <c r="E1328" s="203"/>
      <c r="F1328" s="204"/>
      <c r="G1328" s="203"/>
      <c r="H1328" s="212"/>
    </row>
    <row r="1329" spans="1:14">
      <c r="A1329" s="561" t="s">
        <v>4224</v>
      </c>
      <c r="B1329" s="562"/>
      <c r="C1329" s="562"/>
      <c r="D1329" s="562"/>
      <c r="E1329" s="200"/>
      <c r="F1329" s="201" t="s">
        <v>4238</v>
      </c>
      <c r="G1329" s="200" t="s">
        <v>4239</v>
      </c>
      <c r="H1329" s="213"/>
    </row>
    <row r="1330" spans="1:14">
      <c r="A1330" s="223" t="s">
        <v>4097</v>
      </c>
      <c r="B1330" s="72"/>
      <c r="C1330" s="72"/>
      <c r="D1330" s="73"/>
      <c r="E1330" s="78"/>
      <c r="F1330" s="79">
        <v>0</v>
      </c>
      <c r="G1330" s="80">
        <f>F1330*H1295</f>
        <v>0</v>
      </c>
      <c r="H1330" s="212"/>
    </row>
    <row r="1331" spans="1:14">
      <c r="A1331" s="224" t="s">
        <v>4240</v>
      </c>
      <c r="B1331" s="81"/>
      <c r="C1331" s="81"/>
      <c r="D1331" s="82"/>
      <c r="E1331" s="78"/>
      <c r="F1331" s="79">
        <v>0</v>
      </c>
      <c r="G1331" s="80">
        <f>F1331*H1295</f>
        <v>0</v>
      </c>
      <c r="H1331" s="212"/>
    </row>
    <row r="1332" spans="1:14">
      <c r="A1332" s="224" t="s">
        <v>4</v>
      </c>
      <c r="B1332" s="81"/>
      <c r="C1332" s="81"/>
      <c r="D1332" s="82"/>
      <c r="E1332" s="78"/>
      <c r="F1332" s="79">
        <v>0</v>
      </c>
      <c r="G1332" s="80">
        <f>F1332*H1295</f>
        <v>0</v>
      </c>
      <c r="H1332" s="212"/>
    </row>
    <row r="1333" spans="1:14">
      <c r="A1333" s="225"/>
      <c r="B1333" s="83"/>
      <c r="C1333" s="75"/>
      <c r="D1333" s="84"/>
      <c r="E1333" s="85"/>
      <c r="F1333" s="86"/>
      <c r="G1333" s="87"/>
      <c r="H1333" s="214"/>
    </row>
    <row r="1334" spans="1:14">
      <c r="A1334" s="226"/>
      <c r="B1334" s="83"/>
      <c r="C1334" s="83"/>
      <c r="D1334" s="84"/>
      <c r="E1334" s="88"/>
      <c r="F1334" s="563" t="s">
        <v>4241</v>
      </c>
      <c r="G1334" s="564"/>
      <c r="H1334" s="233">
        <f>H1295+G1330+G1331+G1332</f>
        <v>1326485.8595291865</v>
      </c>
    </row>
    <row r="1335" spans="1:14">
      <c r="A1335" s="83"/>
      <c r="B1335" s="83"/>
      <c r="C1335" s="83"/>
      <c r="D1335" s="84"/>
      <c r="E1335" s="388"/>
      <c r="F1335" s="389"/>
      <c r="G1335" s="389"/>
      <c r="H1335" s="390"/>
    </row>
    <row r="1336" spans="1:14" ht="16.5">
      <c r="A1336" s="90"/>
      <c r="B1336" s="90"/>
      <c r="C1336" s="90"/>
      <c r="D1336" s="90"/>
      <c r="E1336" s="90"/>
      <c r="F1336" s="90"/>
      <c r="G1336" s="90"/>
      <c r="H1336" s="381"/>
    </row>
    <row r="1337" spans="1:14">
      <c r="A1337" s="579" t="s">
        <v>4225</v>
      </c>
      <c r="B1337" s="580"/>
      <c r="C1337" s="580"/>
      <c r="D1337" s="580"/>
      <c r="E1337" s="580"/>
      <c r="F1337" s="580"/>
      <c r="G1337" s="580"/>
      <c r="H1337" s="581"/>
    </row>
    <row r="1338" spans="1:14" ht="16.5">
      <c r="A1338" s="91"/>
      <c r="B1338" s="92"/>
      <c r="C1338" s="92"/>
      <c r="D1338" s="92"/>
      <c r="E1338" s="92"/>
      <c r="F1338" s="93"/>
      <c r="G1338" s="94"/>
      <c r="H1338" s="380">
        <f>ROUND((45/60)/8,4)</f>
        <v>9.3799999999999994E-2</v>
      </c>
      <c r="I1338" s="115"/>
    </row>
    <row r="1339" spans="1:14">
      <c r="A1339" s="582" t="s">
        <v>4220</v>
      </c>
      <c r="B1339" s="584" t="str">
        <f>COSTOS!$C$14</f>
        <v>MODERNIZACION A TECNOLOGIA LED</v>
      </c>
      <c r="C1339" s="584"/>
      <c r="D1339" s="584"/>
      <c r="E1339" s="584"/>
      <c r="F1339" s="584"/>
      <c r="G1339" s="584"/>
      <c r="H1339" s="585" t="s">
        <v>4221</v>
      </c>
    </row>
    <row r="1340" spans="1:14">
      <c r="A1340" s="583"/>
      <c r="B1340" s="584"/>
      <c r="C1340" s="584"/>
      <c r="D1340" s="584"/>
      <c r="E1340" s="584"/>
      <c r="F1340" s="584"/>
      <c r="G1340" s="584"/>
      <c r="H1340" s="585"/>
    </row>
    <row r="1341" spans="1:14">
      <c r="A1341" s="583"/>
      <c r="B1341" s="584"/>
      <c r="C1341" s="584"/>
      <c r="D1341" s="584"/>
      <c r="E1341" s="584"/>
      <c r="F1341" s="584"/>
      <c r="G1341" s="584"/>
      <c r="H1341" s="585"/>
    </row>
    <row r="1342" spans="1:14" ht="15" customHeight="1">
      <c r="A1342" s="583"/>
      <c r="B1342" s="584"/>
      <c r="C1342" s="584"/>
      <c r="D1342" s="584"/>
      <c r="E1342" s="584"/>
      <c r="F1342" s="584"/>
      <c r="G1342" s="584"/>
      <c r="H1342" s="216">
        <f ca="1">TODAY()</f>
        <v>44889</v>
      </c>
      <c r="K1342" t="s">
        <v>4391</v>
      </c>
      <c r="L1342" t="s">
        <v>4392</v>
      </c>
      <c r="M1342" t="s">
        <v>4393</v>
      </c>
      <c r="N1342" t="s">
        <v>4394</v>
      </c>
    </row>
    <row r="1343" spans="1:14" ht="60.75" customHeight="1">
      <c r="A1343" s="228" t="s">
        <v>4222</v>
      </c>
      <c r="B1343" s="565" t="str">
        <f>COSTOS!$D$16</f>
        <v>Luminarias</v>
      </c>
      <c r="C1343" s="565"/>
      <c r="D1343" s="565"/>
      <c r="E1343" s="565"/>
      <c r="F1343" s="565"/>
      <c r="G1343" s="70" t="s">
        <v>4223</v>
      </c>
      <c r="H1343" s="391">
        <v>1.27</v>
      </c>
      <c r="K1343" s="62">
        <f>H1368</f>
        <v>1356191.6466281298</v>
      </c>
      <c r="L1343" s="62">
        <f>H1378</f>
        <v>33743.987199999996</v>
      </c>
      <c r="M1343" s="62">
        <f>H1351</f>
        <v>6055.0244999999995</v>
      </c>
      <c r="N1343" s="62">
        <f>H1372</f>
        <v>4800</v>
      </c>
    </row>
    <row r="1344" spans="1:14" ht="43.15" customHeight="1">
      <c r="A1344" s="229" t="s">
        <v>4224</v>
      </c>
      <c r="B1344" s="566" t="str">
        <f>VLOOKUP(H1343,COSTOS!C:M,2,0)</f>
        <v>Farol con luminaria sodio 150w</v>
      </c>
      <c r="C1344" s="567"/>
      <c r="D1344" s="567"/>
      <c r="E1344" s="568"/>
      <c r="F1344" s="71" t="s">
        <v>0</v>
      </c>
      <c r="G1344" s="356" t="str">
        <f>VLOOKUP(H1343,COSTOS!C:M,8,0)</f>
        <v>Und</v>
      </c>
      <c r="H1344" s="276"/>
      <c r="I1344" s="306"/>
      <c r="J1344" s="308"/>
      <c r="K1344" s="308"/>
      <c r="L1344" s="308"/>
    </row>
    <row r="1345" spans="1:15">
      <c r="A1345" s="230"/>
      <c r="B1345" s="112"/>
      <c r="C1345" s="112"/>
      <c r="D1345" s="112"/>
      <c r="E1345" s="113"/>
      <c r="F1345" s="114" t="s">
        <v>1</v>
      </c>
      <c r="G1345" s="356">
        <f>VLOOKUP(H1343,COSTOS!C:M,9,0)</f>
        <v>0</v>
      </c>
      <c r="H1345" s="357"/>
      <c r="I1345" s="307"/>
    </row>
    <row r="1346" spans="1:15" ht="16.5">
      <c r="A1346" s="231" t="s">
        <v>4226</v>
      </c>
      <c r="B1346" s="75"/>
      <c r="C1346" s="75"/>
      <c r="D1346" s="76"/>
      <c r="E1346" s="209"/>
      <c r="F1346" s="210"/>
      <c r="G1346" s="211" t="s">
        <v>4227</v>
      </c>
      <c r="H1346" s="217">
        <f>H1351+H1368+H1372+H1378</f>
        <v>1400790.6583281299</v>
      </c>
    </row>
    <row r="1347" spans="1:15" ht="39">
      <c r="A1347" s="569" t="s">
        <v>4224</v>
      </c>
      <c r="B1347" s="569"/>
      <c r="C1347" s="569"/>
      <c r="D1347" s="77" t="s">
        <v>0</v>
      </c>
      <c r="E1347" s="207" t="s">
        <v>4228</v>
      </c>
      <c r="F1347" s="208" t="s">
        <v>4215</v>
      </c>
      <c r="G1347" s="74" t="s">
        <v>2</v>
      </c>
      <c r="H1347" s="218" t="s">
        <v>4229</v>
      </c>
      <c r="K1347" s="309"/>
    </row>
    <row r="1348" spans="1:15">
      <c r="A1348" s="536" t="s">
        <v>3946</v>
      </c>
      <c r="B1348" s="570" t="str">
        <f>VLOOKUP(A1348,'Equip, Herr y Transp'!$B$2:$D$739,2,0)</f>
        <v>EQU</v>
      </c>
      <c r="C1348" s="570"/>
      <c r="D1348" s="95" t="str">
        <f>VLOOKUP(A1348,'Equip, Herr y Transp'!$B$2:$D$218,2,0)</f>
        <v>EQU</v>
      </c>
      <c r="E1348" s="95">
        <f>VLOOKUP(A1348,'Equip, Herr y Transp'!$B$2:$D$218,3,0)</f>
        <v>14130</v>
      </c>
      <c r="F1348" s="96">
        <f>H1338</f>
        <v>9.3799999999999994E-2</v>
      </c>
      <c r="G1348" s="122">
        <f>F1348*E1348</f>
        <v>1325.394</v>
      </c>
      <c r="H1348" s="118"/>
    </row>
    <row r="1349" spans="1:15">
      <c r="A1349" s="536" t="s">
        <v>3904</v>
      </c>
      <c r="B1349" s="570" t="str">
        <f>VLOOKUP(A1349,'Equip, Herr y Transp'!$B$2:$D$739,2,0)</f>
        <v>EQU</v>
      </c>
      <c r="C1349" s="570"/>
      <c r="D1349" s="95" t="str">
        <f>VLOOKUP(A1349,'Equip, Herr y Transp'!$B$2:$D$218,2,0)</f>
        <v>EQU</v>
      </c>
      <c r="E1349" s="95">
        <f>VLOOKUP(A1349,'Equip, Herr y Transp'!$B$2:$D$218,3,0)</f>
        <v>26672.5</v>
      </c>
      <c r="F1349" s="96">
        <f>H1338</f>
        <v>9.3799999999999994E-2</v>
      </c>
      <c r="G1349" s="122">
        <f>F1349*E1349</f>
        <v>2501.8804999999998</v>
      </c>
      <c r="H1349" s="117"/>
    </row>
    <row r="1350" spans="1:15">
      <c r="A1350" s="536" t="s">
        <v>3937</v>
      </c>
      <c r="B1350" s="570" t="str">
        <f>VLOOKUP(A1350,'Equip, Herr y Transp'!$B$2:$D$739,2,0)</f>
        <v>EQU</v>
      </c>
      <c r="C1350" s="570"/>
      <c r="D1350" s="95" t="str">
        <f>VLOOKUP(A1350,'Equip, Herr y Transp'!$B$2:$D$218,2,0)</f>
        <v>EQU</v>
      </c>
      <c r="E1350" s="95">
        <f>VLOOKUP(A1350,'Equip, Herr y Transp'!$B$2:$D$218,3,0)</f>
        <v>23750</v>
      </c>
      <c r="F1350" s="96">
        <f>H1338</f>
        <v>9.3799999999999994E-2</v>
      </c>
      <c r="G1350" s="122">
        <f>F1350*E1350</f>
        <v>2227.75</v>
      </c>
      <c r="H1350" s="117"/>
    </row>
    <row r="1351" spans="1:15" ht="16.5">
      <c r="A1351" s="540" t="s">
        <v>4100</v>
      </c>
      <c r="B1351" s="541"/>
      <c r="C1351" s="541"/>
      <c r="D1351" s="541"/>
      <c r="E1351" s="541"/>
      <c r="F1351" s="541"/>
      <c r="G1351" s="541"/>
      <c r="H1351" s="97">
        <f>SUM(G1348:G1350)</f>
        <v>6055.0244999999995</v>
      </c>
    </row>
    <row r="1352" spans="1:15" ht="16.5">
      <c r="A1352" s="571" t="s">
        <v>4230</v>
      </c>
      <c r="B1352" s="572"/>
      <c r="C1352" s="572"/>
      <c r="D1352" s="572"/>
      <c r="E1352" s="572"/>
      <c r="F1352" s="572"/>
      <c r="G1352" s="572"/>
      <c r="H1352" s="573"/>
      <c r="K1352" s="56"/>
      <c r="L1352" s="56"/>
      <c r="M1352" s="56"/>
      <c r="N1352" s="56"/>
      <c r="O1352" s="56"/>
    </row>
    <row r="1353" spans="1:15" ht="30" customHeight="1">
      <c r="A1353" s="574" t="s">
        <v>7</v>
      </c>
      <c r="B1353" s="575"/>
      <c r="C1353" s="109" t="s">
        <v>0</v>
      </c>
      <c r="D1353" s="110" t="s">
        <v>4098</v>
      </c>
      <c r="E1353" s="111" t="s">
        <v>1</v>
      </c>
      <c r="F1353" s="576" t="s">
        <v>4218</v>
      </c>
      <c r="G1353" s="576"/>
      <c r="H1353" s="215"/>
      <c r="K1353" s="56"/>
      <c r="L1353" s="56"/>
      <c r="M1353" s="56"/>
      <c r="N1353" s="56"/>
      <c r="O1353" s="56"/>
    </row>
    <row r="1354" spans="1:15">
      <c r="A1354" s="577" t="s">
        <v>4679</v>
      </c>
      <c r="B1354" s="578"/>
      <c r="C1354" s="98" t="str">
        <f>VLOOKUP(A1354,'Materiales '!$C$2:$F$1302,3,0)</f>
        <v>Und</v>
      </c>
      <c r="D1354" s="99">
        <f>VLOOKUP(A1354,'Materiales '!$C$2:$F$1302,4,0)</f>
        <v>1178002.9077881298</v>
      </c>
      <c r="E1354" s="100">
        <v>1</v>
      </c>
      <c r="F1354" s="538">
        <f>E1354*D1354</f>
        <v>1178002.9077881298</v>
      </c>
      <c r="G1354" s="539"/>
      <c r="H1354" s="121"/>
      <c r="I1354">
        <f>E1354*G1345</f>
        <v>0</v>
      </c>
      <c r="J1354" s="67"/>
      <c r="K1354" s="56"/>
      <c r="L1354" s="56"/>
      <c r="M1354" s="56"/>
      <c r="N1354" s="56"/>
      <c r="O1354" s="56"/>
    </row>
    <row r="1355" spans="1:15">
      <c r="A1355" s="577" t="s">
        <v>4214</v>
      </c>
      <c r="B1355" s="578"/>
      <c r="C1355" s="98" t="str">
        <f>VLOOKUP(A1355,'Materiales '!$C$2:$F$1302,3,0)</f>
        <v>Und</v>
      </c>
      <c r="D1355" s="99">
        <f>VLOOKUP(A1355,'Materiales '!$C$2:$F$1302,4,0)</f>
        <v>22848</v>
      </c>
      <c r="E1355" s="100">
        <v>1</v>
      </c>
      <c r="F1355" s="538">
        <f t="shared" ref="F1355:F1361" si="79">E1355*D1355</f>
        <v>22848</v>
      </c>
      <c r="G1355" s="539"/>
      <c r="H1355" s="121"/>
      <c r="I1355">
        <f>E1355*G1345</f>
        <v>0</v>
      </c>
      <c r="J1355" s="67"/>
      <c r="K1355" s="56"/>
      <c r="L1355" s="56"/>
      <c r="M1355" s="56"/>
      <c r="N1355" s="56"/>
      <c r="O1355" s="56"/>
    </row>
    <row r="1356" spans="1:15">
      <c r="A1356" s="536" t="s">
        <v>4474</v>
      </c>
      <c r="B1356" s="537" t="str">
        <f>VLOOKUP(A1356,'Materiales '!$C$2:$F$1302,3,0)</f>
        <v>Ml</v>
      </c>
      <c r="C1356" s="98" t="str">
        <f>VLOOKUP(A1356,'Materiales '!$C$2:$F$1302,3,0)</f>
        <v>Ml</v>
      </c>
      <c r="D1356" s="99">
        <f>VLOOKUP(A1356,'Materiales '!$C$2:$F$1302,4,0)</f>
        <v>2064.93084</v>
      </c>
      <c r="E1356" s="100">
        <v>1</v>
      </c>
      <c r="F1356" s="538">
        <f t="shared" si="79"/>
        <v>2064.93084</v>
      </c>
      <c r="G1356" s="539"/>
      <c r="H1356" s="121"/>
      <c r="I1356">
        <f>E1356*G1345</f>
        <v>0</v>
      </c>
      <c r="J1356" s="68"/>
      <c r="K1356" s="56"/>
      <c r="L1356" s="56"/>
      <c r="M1356" s="56"/>
      <c r="N1356" s="56"/>
      <c r="O1356" s="56"/>
    </row>
    <row r="1357" spans="1:15">
      <c r="A1357" s="536" t="s">
        <v>4492</v>
      </c>
      <c r="B1357" s="537" t="str">
        <f>VLOOKUP(A1357,'Materiales '!$C$2:$F$1302,3,0)</f>
        <v>Und</v>
      </c>
      <c r="C1357" s="98" t="str">
        <f>VLOOKUP(A1357,'Materiales '!$C$2:$F$1302,3,0)</f>
        <v>Und</v>
      </c>
      <c r="D1357" s="99">
        <f>VLOOKUP(A1357,'Materiales '!$C$2:$F$1302,4,0)</f>
        <v>32411.315999999999</v>
      </c>
      <c r="E1357" s="100">
        <v>3</v>
      </c>
      <c r="F1357" s="538">
        <f t="shared" si="79"/>
        <v>97233.948000000004</v>
      </c>
      <c r="G1357" s="539"/>
      <c r="H1357" s="121"/>
      <c r="I1357">
        <f>E1357*G1345</f>
        <v>0</v>
      </c>
      <c r="J1357" s="68"/>
      <c r="K1357" s="56"/>
      <c r="L1357" s="56"/>
      <c r="M1357" s="56"/>
      <c r="N1357" s="56"/>
      <c r="O1357" s="56"/>
    </row>
    <row r="1358" spans="1:15">
      <c r="A1358" s="536" t="s">
        <v>4539</v>
      </c>
      <c r="B1358" s="537" t="str">
        <f>VLOOKUP(A1358,'Materiales '!$C$2:$F$1302,3,0)</f>
        <v>Und</v>
      </c>
      <c r="C1358" s="98" t="str">
        <f>VLOOKUP(A1358,'Materiales '!$C$2:$F$1302,3,0)</f>
        <v>Und</v>
      </c>
      <c r="D1358" s="99">
        <f>VLOOKUP(A1358,'Materiales '!$C$2:$F$1302,4,0)</f>
        <v>505.51199999999994</v>
      </c>
      <c r="E1358" s="100">
        <v>2</v>
      </c>
      <c r="F1358" s="538">
        <f t="shared" si="79"/>
        <v>1011.0239999999999</v>
      </c>
      <c r="G1358" s="539"/>
      <c r="H1358" s="121"/>
      <c r="I1358">
        <f>E1358*G1345</f>
        <v>0</v>
      </c>
      <c r="J1358" s="68"/>
      <c r="K1358" s="56"/>
      <c r="L1358" s="56"/>
      <c r="M1358" s="56"/>
      <c r="N1358" s="56"/>
      <c r="O1358" s="56"/>
    </row>
    <row r="1359" spans="1:15">
      <c r="A1359" s="536" t="s">
        <v>4450</v>
      </c>
      <c r="B1359" s="537" t="str">
        <f>VLOOKUP(A1359,'Materiales '!$C$2:$F$1302,3,0)</f>
        <v>Ml</v>
      </c>
      <c r="C1359" s="98" t="str">
        <f>VLOOKUP(A1359,'Materiales '!$C$2:$F$1302,3,0)</f>
        <v>Ml</v>
      </c>
      <c r="D1359" s="99">
        <f>VLOOKUP(A1359,'Materiales '!$C$2:$F$1302,4,0)</f>
        <v>6791.5679999999993</v>
      </c>
      <c r="E1359" s="100">
        <v>8</v>
      </c>
      <c r="F1359" s="538">
        <f t="shared" si="79"/>
        <v>54332.543999999994</v>
      </c>
      <c r="G1359" s="539"/>
      <c r="H1359" s="121"/>
      <c r="I1359">
        <f>E1359*G1345</f>
        <v>0</v>
      </c>
      <c r="J1359" s="68"/>
      <c r="K1359" s="56"/>
      <c r="L1359" s="56"/>
      <c r="M1359" s="56"/>
      <c r="N1359" s="56"/>
      <c r="O1359" s="56"/>
    </row>
    <row r="1360" spans="1:15">
      <c r="A1360" s="536" t="s">
        <v>4493</v>
      </c>
      <c r="B1360" s="537" t="str">
        <f>VLOOKUP(A1360,'Materiales '!$C$2:$F$1302,3,0)</f>
        <v>Und</v>
      </c>
      <c r="C1360" s="98" t="str">
        <f>VLOOKUP(A1360,'Materiales '!$C$2:$F$1302,3,0)</f>
        <v>Und</v>
      </c>
      <c r="D1360" s="99">
        <f>VLOOKUP(A1360,'Materiales '!$C$2:$F$1302,4,0)</f>
        <v>232.76399999999998</v>
      </c>
      <c r="E1360" s="100">
        <v>3</v>
      </c>
      <c r="F1360" s="538">
        <f t="shared" si="79"/>
        <v>698.29199999999992</v>
      </c>
      <c r="G1360" s="539"/>
      <c r="H1360" s="121"/>
      <c r="I1360">
        <f>E1360*G1345</f>
        <v>0</v>
      </c>
      <c r="J1360" s="68"/>
      <c r="K1360" s="56"/>
      <c r="L1360" s="56"/>
      <c r="M1360" s="56"/>
      <c r="N1360" s="56"/>
      <c r="O1360" s="56"/>
    </row>
    <row r="1361" spans="1:15" ht="21.75" customHeight="1">
      <c r="A1361" s="536" t="s">
        <v>8</v>
      </c>
      <c r="B1361" s="537" t="str">
        <f>VLOOKUP(A1361,'Materiales '!$C$2:$F$1302,3,0)</f>
        <v>-</v>
      </c>
      <c r="C1361" s="98" t="str">
        <f>VLOOKUP(A1361,'Materiales '!$C$2:$F$1302,3,0)</f>
        <v>-</v>
      </c>
      <c r="D1361" s="99">
        <f>VLOOKUP(A1361,'Materiales '!$C$2:$F$1302,4,0)</f>
        <v>0</v>
      </c>
      <c r="E1361" s="100">
        <v>0.5</v>
      </c>
      <c r="F1361" s="538">
        <f t="shared" si="79"/>
        <v>0</v>
      </c>
      <c r="G1361" s="539"/>
      <c r="H1361" s="121"/>
      <c r="I1361">
        <f>E1361*G1345</f>
        <v>0</v>
      </c>
      <c r="J1361" s="68"/>
      <c r="K1361" s="56"/>
      <c r="L1361" s="56"/>
      <c r="M1361" s="56"/>
      <c r="N1361" s="56"/>
      <c r="O1361" s="56"/>
    </row>
    <row r="1362" spans="1:15">
      <c r="A1362" s="536" t="s">
        <v>8</v>
      </c>
      <c r="B1362" s="537" t="str">
        <f>VLOOKUP(A1362,'Materiales '!$C$2:$F$1302,3,0)</f>
        <v>-</v>
      </c>
      <c r="C1362" s="98" t="str">
        <f>VLOOKUP(A1362,'Materiales '!$C$2:$F$1302,3,0)</f>
        <v>-</v>
      </c>
      <c r="D1362" s="99">
        <f>VLOOKUP(A1362,'Materiales '!$C$2:$F$1302,4,0)</f>
        <v>0</v>
      </c>
      <c r="E1362" s="100"/>
      <c r="F1362" s="538">
        <f>E1362*D1362</f>
        <v>0</v>
      </c>
      <c r="G1362" s="539"/>
      <c r="H1362" s="120"/>
      <c r="I1362">
        <f>E1362*G1345</f>
        <v>0</v>
      </c>
      <c r="J1362" s="68"/>
      <c r="K1362" s="56"/>
      <c r="L1362" s="56"/>
      <c r="M1362" s="56"/>
      <c r="N1362" s="56"/>
      <c r="O1362" s="56"/>
    </row>
    <row r="1363" spans="1:15">
      <c r="A1363" s="536" t="s">
        <v>8</v>
      </c>
      <c r="B1363" s="537" t="str">
        <f>VLOOKUP(A1363,'Materiales '!$C$2:$F$1302,3,0)</f>
        <v>-</v>
      </c>
      <c r="C1363" s="98" t="str">
        <f>VLOOKUP(A1363,'Materiales '!$C$2:$F$1302,3,0)</f>
        <v>-</v>
      </c>
      <c r="D1363" s="99">
        <f>VLOOKUP(A1363,'Materiales '!$C$2:$F$1302,4,0)</f>
        <v>0</v>
      </c>
      <c r="E1363" s="100"/>
      <c r="F1363" s="538">
        <f t="shared" ref="F1363:F1366" si="80">E1363*D1363</f>
        <v>0</v>
      </c>
      <c r="G1363" s="539"/>
      <c r="H1363" s="121"/>
      <c r="I1363">
        <f>E1363*G1345</f>
        <v>0</v>
      </c>
      <c r="J1363" s="68"/>
      <c r="K1363" s="56"/>
      <c r="L1363" s="56"/>
      <c r="M1363" s="56"/>
      <c r="N1363" s="56"/>
      <c r="O1363" s="56"/>
    </row>
    <row r="1364" spans="1:15">
      <c r="A1364" s="536" t="s">
        <v>8</v>
      </c>
      <c r="B1364" s="537" t="str">
        <f>VLOOKUP(A1364,'Materiales '!$C$2:$F$1302,3,0)</f>
        <v>-</v>
      </c>
      <c r="C1364" s="98" t="str">
        <f>VLOOKUP(A1364,'Materiales '!$C$2:$F$1302,3,0)</f>
        <v>-</v>
      </c>
      <c r="D1364" s="99">
        <f>VLOOKUP(A1364,'Materiales '!$C$2:$F$1302,4,0)</f>
        <v>0</v>
      </c>
      <c r="E1364" s="100"/>
      <c r="F1364" s="538">
        <f t="shared" si="80"/>
        <v>0</v>
      </c>
      <c r="G1364" s="539"/>
      <c r="H1364" s="121"/>
      <c r="I1364">
        <f>E1364*G1345</f>
        <v>0</v>
      </c>
      <c r="J1364" s="68"/>
      <c r="K1364" s="56"/>
      <c r="L1364" s="56"/>
      <c r="M1364" s="56"/>
      <c r="N1364" s="56"/>
      <c r="O1364" s="56"/>
    </row>
    <row r="1365" spans="1:15">
      <c r="A1365" s="536" t="s">
        <v>8</v>
      </c>
      <c r="B1365" s="537" t="str">
        <f>VLOOKUP(A1365,'Materiales '!$C$2:$F$1302,3,0)</f>
        <v>-</v>
      </c>
      <c r="C1365" s="98" t="str">
        <f>VLOOKUP(A1365,'Materiales '!$C$2:$F$1302,3,0)</f>
        <v>-</v>
      </c>
      <c r="D1365" s="99">
        <f>VLOOKUP(A1365,'Materiales '!$C$2:$F$1302,4,0)</f>
        <v>0</v>
      </c>
      <c r="E1365" s="100"/>
      <c r="F1365" s="538">
        <f t="shared" si="80"/>
        <v>0</v>
      </c>
      <c r="G1365" s="539"/>
      <c r="H1365" s="121"/>
      <c r="I1365">
        <f>E1365*G1345</f>
        <v>0</v>
      </c>
      <c r="J1365" s="68"/>
      <c r="K1365" s="56"/>
      <c r="L1365" s="56"/>
      <c r="M1365" s="56"/>
      <c r="N1365" s="56"/>
      <c r="O1365" s="56"/>
    </row>
    <row r="1366" spans="1:15">
      <c r="A1366" s="536" t="s">
        <v>8</v>
      </c>
      <c r="B1366" s="537" t="str">
        <f>VLOOKUP(A1366,'Materiales '!$C$2:$F$1302,3,0)</f>
        <v>-</v>
      </c>
      <c r="C1366" s="98" t="str">
        <f>VLOOKUP(A1366,'Materiales '!$C$2:$F$1302,3,0)</f>
        <v>-</v>
      </c>
      <c r="D1366" s="99">
        <f>VLOOKUP(A1366,'Materiales '!$C$2:$F$1302,4,0)</f>
        <v>0</v>
      </c>
      <c r="E1366" s="100"/>
      <c r="F1366" s="538">
        <f t="shared" si="80"/>
        <v>0</v>
      </c>
      <c r="G1366" s="539"/>
      <c r="H1366" s="121"/>
      <c r="I1366">
        <f>E1366*G1345</f>
        <v>0</v>
      </c>
      <c r="J1366" s="68"/>
      <c r="K1366" s="56"/>
      <c r="L1366" s="56"/>
      <c r="M1366" s="56"/>
      <c r="N1366" s="56"/>
      <c r="O1366" s="56"/>
    </row>
    <row r="1367" spans="1:15">
      <c r="A1367" s="536" t="s">
        <v>8</v>
      </c>
      <c r="B1367" s="537" t="str">
        <f>VLOOKUP(A1367,'Materiales '!$C$2:$F$1302,3,0)</f>
        <v>-</v>
      </c>
      <c r="C1367" s="98" t="str">
        <f>VLOOKUP(A1367,'Materiales '!$C$2:$F$1302,3,0)</f>
        <v>-</v>
      </c>
      <c r="D1367" s="99">
        <f>VLOOKUP(A1367,'Materiales '!$C$2:$F$1302,4,0)</f>
        <v>0</v>
      </c>
      <c r="E1367" s="100"/>
      <c r="F1367" s="538">
        <f>E1367*D1367</f>
        <v>0</v>
      </c>
      <c r="G1367" s="539"/>
      <c r="H1367" s="120"/>
      <c r="I1367">
        <f>E1367*G1345</f>
        <v>0</v>
      </c>
      <c r="J1367" s="68"/>
      <c r="K1367" s="56"/>
      <c r="L1367" s="56"/>
      <c r="M1367" s="56"/>
      <c r="N1367" s="56"/>
      <c r="O1367" s="56"/>
    </row>
    <row r="1368" spans="1:15" ht="16.5">
      <c r="A1368" s="540" t="s">
        <v>4099</v>
      </c>
      <c r="B1368" s="541"/>
      <c r="C1368" s="541"/>
      <c r="D1368" s="541"/>
      <c r="E1368" s="541"/>
      <c r="F1368" s="541"/>
      <c r="G1368" s="542"/>
      <c r="H1368" s="116">
        <f>SUM(F1354:F1367)</f>
        <v>1356191.6466281298</v>
      </c>
      <c r="J1368" s="68"/>
      <c r="K1368" s="56"/>
      <c r="L1368" s="56"/>
      <c r="M1368" s="56"/>
      <c r="N1368" s="56"/>
      <c r="O1368" s="56"/>
    </row>
    <row r="1369" spans="1:15" ht="16.5">
      <c r="A1369" s="543" t="s">
        <v>4231</v>
      </c>
      <c r="B1369" s="544"/>
      <c r="C1369" s="544"/>
      <c r="D1369" s="544"/>
      <c r="E1369" s="545"/>
      <c r="F1369" s="544"/>
      <c r="G1369" s="544"/>
      <c r="H1369" s="546"/>
      <c r="J1369" s="68"/>
      <c r="K1369" s="56"/>
      <c r="L1369" s="56"/>
      <c r="M1369" s="56"/>
      <c r="N1369" s="56"/>
      <c r="O1369" s="56"/>
    </row>
    <row r="1370" spans="1:15">
      <c r="A1370" s="547" t="s">
        <v>7</v>
      </c>
      <c r="B1370" s="548"/>
      <c r="C1370" s="108" t="s">
        <v>4232</v>
      </c>
      <c r="D1370" s="107" t="s">
        <v>4233</v>
      </c>
      <c r="E1370" s="206" t="s">
        <v>4234</v>
      </c>
      <c r="F1370" s="549" t="s">
        <v>4218</v>
      </c>
      <c r="G1370" s="549"/>
      <c r="H1370" s="119"/>
      <c r="K1370" s="56"/>
      <c r="L1370" s="56"/>
      <c r="M1370" s="56"/>
      <c r="N1370" s="56"/>
      <c r="O1370" s="56"/>
    </row>
    <row r="1371" spans="1:15">
      <c r="A1371" s="550" t="s">
        <v>3928</v>
      </c>
      <c r="B1371" s="551"/>
      <c r="C1371" s="232">
        <v>1</v>
      </c>
      <c r="D1371" s="102">
        <v>0.03</v>
      </c>
      <c r="E1371" s="103">
        <f>VLOOKUP(A1371,'Equip, Herr y Transp'!$B$2:$D$218,3,0)</f>
        <v>160000</v>
      </c>
      <c r="F1371" s="552">
        <f>E1371*D1371*C1371</f>
        <v>4800</v>
      </c>
      <c r="G1371" s="553"/>
      <c r="H1371" s="117"/>
      <c r="M1371" s="56"/>
    </row>
    <row r="1372" spans="1:15" ht="16.5">
      <c r="A1372" s="554" t="s">
        <v>4216</v>
      </c>
      <c r="B1372" s="555"/>
      <c r="C1372" s="555"/>
      <c r="D1372" s="555"/>
      <c r="E1372" s="555"/>
      <c r="F1372" s="555"/>
      <c r="G1372" s="555"/>
      <c r="H1372" s="105">
        <f>F1371</f>
        <v>4800</v>
      </c>
    </row>
    <row r="1373" spans="1:15" ht="16.5">
      <c r="A1373" s="543" t="s">
        <v>4235</v>
      </c>
      <c r="B1373" s="544"/>
      <c r="C1373" s="544"/>
      <c r="D1373" s="544"/>
      <c r="E1373" s="544"/>
      <c r="F1373" s="544"/>
      <c r="G1373" s="544"/>
      <c r="H1373" s="546"/>
    </row>
    <row r="1374" spans="1:15">
      <c r="A1374" s="547" t="s">
        <v>7</v>
      </c>
      <c r="B1374" s="548"/>
      <c r="C1374" s="106" t="s">
        <v>1</v>
      </c>
      <c r="D1374" s="107" t="s">
        <v>4236</v>
      </c>
      <c r="E1374" s="108" t="s">
        <v>4215</v>
      </c>
      <c r="F1374" s="547" t="s">
        <v>5</v>
      </c>
      <c r="G1374" s="556"/>
      <c r="H1374" s="119"/>
    </row>
    <row r="1375" spans="1:15">
      <c r="A1375" s="550" t="s">
        <v>4196</v>
      </c>
      <c r="B1375" s="551"/>
      <c r="C1375" s="101">
        <v>1</v>
      </c>
      <c r="D1375" s="104">
        <f>VLOOKUP(A1375,'Mano Obra'!$B$2:$T$117,19,0)</f>
        <v>166624</v>
      </c>
      <c r="E1375" s="246">
        <f>H1338</f>
        <v>9.3799999999999994E-2</v>
      </c>
      <c r="F1375" s="538">
        <f>E1375*D1375*C1375</f>
        <v>15629.331199999999</v>
      </c>
      <c r="G1375" s="557"/>
      <c r="H1375" s="121"/>
      <c r="I1375" s="69"/>
      <c r="J1375" s="136">
        <f>((('Mano Obra'!$M$4/30)*F1375)/D1375)*G1345</f>
        <v>0</v>
      </c>
    </row>
    <row r="1376" spans="1:15">
      <c r="A1376" s="558" t="s">
        <v>4197</v>
      </c>
      <c r="B1376" s="559">
        <f>VLOOKUP(A1376,'Mano Obra'!$B$3:$D$290,2,0)</f>
        <v>2090000.0000000002</v>
      </c>
      <c r="C1376" s="101">
        <v>1</v>
      </c>
      <c r="D1376" s="104">
        <f>VLOOKUP(A1376,'Mano Obra'!$B$2:$T$117,19,0)</f>
        <v>120456</v>
      </c>
      <c r="E1376" s="246">
        <f>H1338</f>
        <v>9.3799999999999994E-2</v>
      </c>
      <c r="F1376" s="538">
        <f t="shared" ref="F1376:F1377" si="81">E1376*D1376*C1376</f>
        <v>11298.772799999999</v>
      </c>
      <c r="G1376" s="557"/>
      <c r="H1376" s="121"/>
      <c r="J1376" s="136">
        <f>((('Mano Obra'!$M$5/30)*F1376)/D1376)*G1345</f>
        <v>0</v>
      </c>
    </row>
    <row r="1377" spans="1:10">
      <c r="A1377" s="558" t="s">
        <v>4186</v>
      </c>
      <c r="B1377" s="559">
        <f>VLOOKUP(A1377,'Mano Obra'!$B$3:$D$290,2,0)</f>
        <v>1100000</v>
      </c>
      <c r="C1377" s="101">
        <v>1</v>
      </c>
      <c r="D1377" s="104">
        <f>VLOOKUP(A1377,'Mano Obra'!$B$2:$T$117,19,0)</f>
        <v>72664</v>
      </c>
      <c r="E1377" s="246">
        <f>H1338</f>
        <v>9.3799999999999994E-2</v>
      </c>
      <c r="F1377" s="538">
        <f t="shared" si="81"/>
        <v>6815.8831999999993</v>
      </c>
      <c r="G1377" s="557"/>
      <c r="H1377" s="120"/>
      <c r="J1377" s="136">
        <f>((('Mano Obra'!$M$6/30)*F1377)/D1377)*G1345</f>
        <v>0</v>
      </c>
    </row>
    <row r="1378" spans="1:10" ht="16.5">
      <c r="A1378" s="560" t="s">
        <v>4101</v>
      </c>
      <c r="B1378" s="560"/>
      <c r="C1378" s="560"/>
      <c r="D1378" s="560"/>
      <c r="E1378" s="560"/>
      <c r="F1378" s="560"/>
      <c r="G1378" s="560"/>
      <c r="H1378" s="105">
        <f>SUM(F1375:F1377)</f>
        <v>33743.987199999996</v>
      </c>
      <c r="J1378" s="136"/>
    </row>
    <row r="1379" spans="1:10">
      <c r="A1379" s="227" t="s">
        <v>4237</v>
      </c>
      <c r="B1379" s="205"/>
      <c r="C1379" s="205"/>
      <c r="D1379" s="202"/>
      <c r="E1379" s="203"/>
      <c r="F1379" s="204"/>
      <c r="G1379" s="203"/>
      <c r="H1379" s="212"/>
    </row>
    <row r="1380" spans="1:10">
      <c r="A1380" s="561" t="s">
        <v>4224</v>
      </c>
      <c r="B1380" s="562"/>
      <c r="C1380" s="562"/>
      <c r="D1380" s="562"/>
      <c r="E1380" s="200"/>
      <c r="F1380" s="201" t="s">
        <v>4238</v>
      </c>
      <c r="G1380" s="200" t="s">
        <v>4239</v>
      </c>
      <c r="H1380" s="213"/>
    </row>
    <row r="1381" spans="1:10">
      <c r="A1381" s="223" t="s">
        <v>4097</v>
      </c>
      <c r="B1381" s="72"/>
      <c r="C1381" s="72"/>
      <c r="D1381" s="73"/>
      <c r="E1381" s="78"/>
      <c r="F1381" s="79">
        <v>0</v>
      </c>
      <c r="G1381" s="80">
        <f>F1381*H1346</f>
        <v>0</v>
      </c>
      <c r="H1381" s="212"/>
    </row>
    <row r="1382" spans="1:10">
      <c r="A1382" s="224" t="s">
        <v>4240</v>
      </c>
      <c r="B1382" s="81"/>
      <c r="C1382" s="81"/>
      <c r="D1382" s="82"/>
      <c r="E1382" s="78"/>
      <c r="F1382" s="79">
        <v>0</v>
      </c>
      <c r="G1382" s="80">
        <f>F1382*H1346</f>
        <v>0</v>
      </c>
      <c r="H1382" s="212"/>
    </row>
    <row r="1383" spans="1:10">
      <c r="A1383" s="224" t="s">
        <v>4</v>
      </c>
      <c r="B1383" s="81"/>
      <c r="C1383" s="81"/>
      <c r="D1383" s="82"/>
      <c r="E1383" s="78"/>
      <c r="F1383" s="79">
        <v>0</v>
      </c>
      <c r="G1383" s="80">
        <f>F1383*H1346</f>
        <v>0</v>
      </c>
      <c r="H1383" s="212"/>
    </row>
    <row r="1384" spans="1:10">
      <c r="A1384" s="225"/>
      <c r="B1384" s="83"/>
      <c r="C1384" s="75"/>
      <c r="D1384" s="84"/>
      <c r="E1384" s="85"/>
      <c r="F1384" s="86"/>
      <c r="G1384" s="87"/>
      <c r="H1384" s="214"/>
    </row>
    <row r="1385" spans="1:10">
      <c r="A1385" s="226"/>
      <c r="B1385" s="83"/>
      <c r="C1385" s="83"/>
      <c r="D1385" s="84"/>
      <c r="E1385" s="88"/>
      <c r="F1385" s="563" t="s">
        <v>4241</v>
      </c>
      <c r="G1385" s="564"/>
      <c r="H1385" s="233">
        <f>H1346+G1381+G1382+G1383</f>
        <v>1400790.6583281299</v>
      </c>
    </row>
    <row r="1386" spans="1:10">
      <c r="A1386" s="83"/>
      <c r="B1386" s="83"/>
      <c r="C1386" s="83"/>
      <c r="D1386" s="84"/>
      <c r="E1386" s="388"/>
      <c r="F1386" s="389"/>
      <c r="G1386" s="389"/>
      <c r="H1386" s="390"/>
    </row>
    <row r="1387" spans="1:10" ht="16.5">
      <c r="A1387" s="90"/>
      <c r="B1387" s="90"/>
      <c r="C1387" s="90"/>
      <c r="D1387" s="90"/>
      <c r="E1387" s="90"/>
      <c r="F1387" s="90"/>
      <c r="G1387" s="90"/>
      <c r="H1387" s="381"/>
    </row>
    <row r="1388" spans="1:10">
      <c r="A1388" s="579" t="s">
        <v>4225</v>
      </c>
      <c r="B1388" s="580"/>
      <c r="C1388" s="580"/>
      <c r="D1388" s="580"/>
      <c r="E1388" s="580"/>
      <c r="F1388" s="580"/>
      <c r="G1388" s="580"/>
      <c r="H1388" s="581"/>
    </row>
    <row r="1389" spans="1:10" ht="16.5">
      <c r="A1389" s="91"/>
      <c r="B1389" s="92"/>
      <c r="C1389" s="92"/>
      <c r="D1389" s="92"/>
      <c r="E1389" s="92"/>
      <c r="F1389" s="93"/>
      <c r="G1389" s="94"/>
      <c r="H1389" s="380">
        <f>ROUND((45/60)/8,4)</f>
        <v>9.3799999999999994E-2</v>
      </c>
      <c r="I1389" s="115"/>
    </row>
    <row r="1390" spans="1:10">
      <c r="A1390" s="582" t="s">
        <v>4220</v>
      </c>
      <c r="B1390" s="584" t="str">
        <f>COSTOS!$C$14</f>
        <v>MODERNIZACION A TECNOLOGIA LED</v>
      </c>
      <c r="C1390" s="584"/>
      <c r="D1390" s="584"/>
      <c r="E1390" s="584"/>
      <c r="F1390" s="584"/>
      <c r="G1390" s="584"/>
      <c r="H1390" s="585" t="s">
        <v>4221</v>
      </c>
    </row>
    <row r="1391" spans="1:10">
      <c r="A1391" s="583"/>
      <c r="B1391" s="584"/>
      <c r="C1391" s="584"/>
      <c r="D1391" s="584"/>
      <c r="E1391" s="584"/>
      <c r="F1391" s="584"/>
      <c r="G1391" s="584"/>
      <c r="H1391" s="585"/>
    </row>
    <row r="1392" spans="1:10">
      <c r="A1392" s="583"/>
      <c r="B1392" s="584"/>
      <c r="C1392" s="584"/>
      <c r="D1392" s="584"/>
      <c r="E1392" s="584"/>
      <c r="F1392" s="584"/>
      <c r="G1392" s="584"/>
      <c r="H1392" s="585"/>
    </row>
    <row r="1393" spans="1:15" ht="15" customHeight="1">
      <c r="A1393" s="583"/>
      <c r="B1393" s="584"/>
      <c r="C1393" s="584"/>
      <c r="D1393" s="584"/>
      <c r="E1393" s="584"/>
      <c r="F1393" s="584"/>
      <c r="G1393" s="584"/>
      <c r="H1393" s="216">
        <f ca="1">TODAY()</f>
        <v>44889</v>
      </c>
      <c r="K1393" t="s">
        <v>4391</v>
      </c>
      <c r="L1393" t="s">
        <v>4392</v>
      </c>
      <c r="M1393" t="s">
        <v>4393</v>
      </c>
      <c r="N1393" t="s">
        <v>4394</v>
      </c>
    </row>
    <row r="1394" spans="1:15" ht="60.75" customHeight="1">
      <c r="A1394" s="228" t="s">
        <v>4222</v>
      </c>
      <c r="B1394" s="565" t="str">
        <f>COSTOS!$D$16</f>
        <v>Luminarias</v>
      </c>
      <c r="C1394" s="565"/>
      <c r="D1394" s="565"/>
      <c r="E1394" s="565"/>
      <c r="F1394" s="565"/>
      <c r="G1394" s="70" t="s">
        <v>4223</v>
      </c>
      <c r="H1394" s="391">
        <v>1.28</v>
      </c>
      <c r="K1394" s="62">
        <f>H1419</f>
        <v>1261951.41400508</v>
      </c>
      <c r="L1394" s="62">
        <f>H1429</f>
        <v>33743.987199999996</v>
      </c>
      <c r="M1394" s="62">
        <f>H1402</f>
        <v>6055.0244999999995</v>
      </c>
      <c r="N1394" s="62">
        <f>H1423</f>
        <v>4800</v>
      </c>
    </row>
    <row r="1395" spans="1:15" ht="43.15" customHeight="1">
      <c r="A1395" s="229" t="s">
        <v>4224</v>
      </c>
      <c r="B1395" s="566" t="str">
        <f>VLOOKUP(H1394,COSTOS!C:M,2,0)</f>
        <v>Farol con luminaria incandescente 100w</v>
      </c>
      <c r="C1395" s="567"/>
      <c r="D1395" s="567"/>
      <c r="E1395" s="568"/>
      <c r="F1395" s="71" t="s">
        <v>0</v>
      </c>
      <c r="G1395" s="356" t="str">
        <f>VLOOKUP(H1394,COSTOS!C:M,8,0)</f>
        <v>Und</v>
      </c>
      <c r="H1395" s="276"/>
      <c r="I1395" s="306"/>
      <c r="J1395" s="308"/>
      <c r="K1395" s="308"/>
      <c r="L1395" s="308"/>
    </row>
    <row r="1396" spans="1:15">
      <c r="A1396" s="230"/>
      <c r="B1396" s="112"/>
      <c r="C1396" s="112"/>
      <c r="D1396" s="112"/>
      <c r="E1396" s="113"/>
      <c r="F1396" s="114" t="s">
        <v>1</v>
      </c>
      <c r="G1396" s="356">
        <f>VLOOKUP(H1394,COSTOS!C:M,9,0)</f>
        <v>0</v>
      </c>
      <c r="H1396" s="357"/>
      <c r="I1396" s="307"/>
    </row>
    <row r="1397" spans="1:15" ht="16.5">
      <c r="A1397" s="231" t="s">
        <v>4226</v>
      </c>
      <c r="B1397" s="75"/>
      <c r="C1397" s="75"/>
      <c r="D1397" s="76"/>
      <c r="E1397" s="209"/>
      <c r="F1397" s="210"/>
      <c r="G1397" s="211" t="s">
        <v>4227</v>
      </c>
      <c r="H1397" s="217">
        <f>H1402+H1419+H1423+H1429</f>
        <v>1306550.4257050802</v>
      </c>
    </row>
    <row r="1398" spans="1:15" ht="39">
      <c r="A1398" s="569" t="s">
        <v>4224</v>
      </c>
      <c r="B1398" s="569"/>
      <c r="C1398" s="569"/>
      <c r="D1398" s="77" t="s">
        <v>0</v>
      </c>
      <c r="E1398" s="207" t="s">
        <v>4228</v>
      </c>
      <c r="F1398" s="208" t="s">
        <v>4215</v>
      </c>
      <c r="G1398" s="74" t="s">
        <v>2</v>
      </c>
      <c r="H1398" s="218" t="s">
        <v>4229</v>
      </c>
      <c r="K1398" s="309"/>
    </row>
    <row r="1399" spans="1:15">
      <c r="A1399" s="536" t="s">
        <v>3946</v>
      </c>
      <c r="B1399" s="570" t="str">
        <f>VLOOKUP(A1399,'Equip, Herr y Transp'!$B$2:$D$739,2,0)</f>
        <v>EQU</v>
      </c>
      <c r="C1399" s="570"/>
      <c r="D1399" s="95" t="str">
        <f>VLOOKUP(A1399,'Equip, Herr y Transp'!$B$2:$D$218,2,0)</f>
        <v>EQU</v>
      </c>
      <c r="E1399" s="95">
        <f>VLOOKUP(A1399,'Equip, Herr y Transp'!$B$2:$D$218,3,0)</f>
        <v>14130</v>
      </c>
      <c r="F1399" s="96">
        <f>H1389</f>
        <v>9.3799999999999994E-2</v>
      </c>
      <c r="G1399" s="122">
        <f>F1399*E1399</f>
        <v>1325.394</v>
      </c>
      <c r="H1399" s="118"/>
    </row>
    <row r="1400" spans="1:15">
      <c r="A1400" s="536" t="s">
        <v>3904</v>
      </c>
      <c r="B1400" s="570" t="str">
        <f>VLOOKUP(A1400,'Equip, Herr y Transp'!$B$2:$D$739,2,0)</f>
        <v>EQU</v>
      </c>
      <c r="C1400" s="570"/>
      <c r="D1400" s="95" t="str">
        <f>VLOOKUP(A1400,'Equip, Herr y Transp'!$B$2:$D$218,2,0)</f>
        <v>EQU</v>
      </c>
      <c r="E1400" s="95">
        <f>VLOOKUP(A1400,'Equip, Herr y Transp'!$B$2:$D$218,3,0)</f>
        <v>26672.5</v>
      </c>
      <c r="F1400" s="96">
        <f>H1389</f>
        <v>9.3799999999999994E-2</v>
      </c>
      <c r="G1400" s="122">
        <f>F1400*E1400</f>
        <v>2501.8804999999998</v>
      </c>
      <c r="H1400" s="117"/>
    </row>
    <row r="1401" spans="1:15">
      <c r="A1401" s="536" t="s">
        <v>3937</v>
      </c>
      <c r="B1401" s="570" t="str">
        <f>VLOOKUP(A1401,'Equip, Herr y Transp'!$B$2:$D$739,2,0)</f>
        <v>EQU</v>
      </c>
      <c r="C1401" s="570"/>
      <c r="D1401" s="95" t="str">
        <f>VLOOKUP(A1401,'Equip, Herr y Transp'!$B$2:$D$218,2,0)</f>
        <v>EQU</v>
      </c>
      <c r="E1401" s="95">
        <f>VLOOKUP(A1401,'Equip, Herr y Transp'!$B$2:$D$218,3,0)</f>
        <v>23750</v>
      </c>
      <c r="F1401" s="96">
        <f>H1389</f>
        <v>9.3799999999999994E-2</v>
      </c>
      <c r="G1401" s="122">
        <f>F1401*E1401</f>
        <v>2227.75</v>
      </c>
      <c r="H1401" s="117"/>
    </row>
    <row r="1402" spans="1:15" ht="16.5">
      <c r="A1402" s="540" t="s">
        <v>4100</v>
      </c>
      <c r="B1402" s="541"/>
      <c r="C1402" s="541"/>
      <c r="D1402" s="541"/>
      <c r="E1402" s="541"/>
      <c r="F1402" s="541"/>
      <c r="G1402" s="541"/>
      <c r="H1402" s="97">
        <f>SUM(G1399:G1401)</f>
        <v>6055.0244999999995</v>
      </c>
    </row>
    <row r="1403" spans="1:15" ht="16.5">
      <c r="A1403" s="571" t="s">
        <v>4230</v>
      </c>
      <c r="B1403" s="572"/>
      <c r="C1403" s="572"/>
      <c r="D1403" s="572"/>
      <c r="E1403" s="572"/>
      <c r="F1403" s="572"/>
      <c r="G1403" s="572"/>
      <c r="H1403" s="573"/>
      <c r="K1403" s="56"/>
      <c r="L1403" s="56"/>
      <c r="M1403" s="56"/>
      <c r="N1403" s="56"/>
      <c r="O1403" s="56"/>
    </row>
    <row r="1404" spans="1:15" ht="30" customHeight="1">
      <c r="A1404" s="574" t="s">
        <v>7</v>
      </c>
      <c r="B1404" s="575"/>
      <c r="C1404" s="109" t="s">
        <v>0</v>
      </c>
      <c r="D1404" s="110" t="s">
        <v>4098</v>
      </c>
      <c r="E1404" s="111" t="s">
        <v>1</v>
      </c>
      <c r="F1404" s="576" t="s">
        <v>4218</v>
      </c>
      <c r="G1404" s="576"/>
      <c r="H1404" s="215"/>
      <c r="K1404" s="56"/>
      <c r="L1404" s="56"/>
      <c r="M1404" s="56"/>
      <c r="N1404" s="56"/>
      <c r="O1404" s="56"/>
    </row>
    <row r="1405" spans="1:15">
      <c r="A1405" s="577" t="s">
        <v>4680</v>
      </c>
      <c r="B1405" s="578"/>
      <c r="C1405" s="98" t="str">
        <f>VLOOKUP(A1405,'Materiales '!$C$2:$F$1302,3,0)</f>
        <v>Und</v>
      </c>
      <c r="D1405" s="99">
        <f>VLOOKUP(A1405,'Materiales '!$C$2:$F$1302,4,0)</f>
        <v>1083762.67516508</v>
      </c>
      <c r="E1405" s="100">
        <v>1</v>
      </c>
      <c r="F1405" s="538">
        <f>E1405*D1405</f>
        <v>1083762.67516508</v>
      </c>
      <c r="G1405" s="539"/>
      <c r="H1405" s="121"/>
      <c r="I1405">
        <f>E1405*G1396</f>
        <v>0</v>
      </c>
      <c r="J1405" s="67"/>
      <c r="K1405" s="56"/>
      <c r="L1405" s="56"/>
      <c r="M1405" s="56"/>
      <c r="N1405" s="56"/>
      <c r="O1405" s="56"/>
    </row>
    <row r="1406" spans="1:15">
      <c r="A1406" s="577" t="s">
        <v>4214</v>
      </c>
      <c r="B1406" s="578"/>
      <c r="C1406" s="98" t="str">
        <f>VLOOKUP(A1406,'Materiales '!$C$2:$F$1302,3,0)</f>
        <v>Und</v>
      </c>
      <c r="D1406" s="99">
        <f>VLOOKUP(A1406,'Materiales '!$C$2:$F$1302,4,0)</f>
        <v>22848</v>
      </c>
      <c r="E1406" s="100">
        <v>1</v>
      </c>
      <c r="F1406" s="538">
        <f t="shared" ref="F1406:F1412" si="82">E1406*D1406</f>
        <v>22848</v>
      </c>
      <c r="G1406" s="539"/>
      <c r="H1406" s="121"/>
      <c r="I1406">
        <f>E1406*G1396</f>
        <v>0</v>
      </c>
      <c r="J1406" s="67"/>
      <c r="K1406" s="56"/>
      <c r="L1406" s="56"/>
      <c r="M1406" s="56"/>
      <c r="N1406" s="56"/>
      <c r="O1406" s="56"/>
    </row>
    <row r="1407" spans="1:15">
      <c r="A1407" s="536" t="s">
        <v>4474</v>
      </c>
      <c r="B1407" s="537" t="str">
        <f>VLOOKUP(A1407,'Materiales '!$C$2:$F$1302,3,0)</f>
        <v>Ml</v>
      </c>
      <c r="C1407" s="98" t="str">
        <f>VLOOKUP(A1407,'Materiales '!$C$2:$F$1302,3,0)</f>
        <v>Ml</v>
      </c>
      <c r="D1407" s="99">
        <f>VLOOKUP(A1407,'Materiales '!$C$2:$F$1302,4,0)</f>
        <v>2064.93084</v>
      </c>
      <c r="E1407" s="100">
        <v>1</v>
      </c>
      <c r="F1407" s="538">
        <f t="shared" si="82"/>
        <v>2064.93084</v>
      </c>
      <c r="G1407" s="539"/>
      <c r="H1407" s="121"/>
      <c r="I1407">
        <f>E1407*G1396</f>
        <v>0</v>
      </c>
      <c r="J1407" s="68"/>
      <c r="K1407" s="56"/>
      <c r="L1407" s="56"/>
      <c r="M1407" s="56"/>
      <c r="N1407" s="56"/>
      <c r="O1407" s="56"/>
    </row>
    <row r="1408" spans="1:15">
      <c r="A1408" s="536" t="s">
        <v>4492</v>
      </c>
      <c r="B1408" s="537" t="str">
        <f>VLOOKUP(A1408,'Materiales '!$C$2:$F$1302,3,0)</f>
        <v>Und</v>
      </c>
      <c r="C1408" s="98" t="str">
        <f>VLOOKUP(A1408,'Materiales '!$C$2:$F$1302,3,0)</f>
        <v>Und</v>
      </c>
      <c r="D1408" s="99">
        <f>VLOOKUP(A1408,'Materiales '!$C$2:$F$1302,4,0)</f>
        <v>32411.315999999999</v>
      </c>
      <c r="E1408" s="100">
        <v>3</v>
      </c>
      <c r="F1408" s="538">
        <f t="shared" si="82"/>
        <v>97233.948000000004</v>
      </c>
      <c r="G1408" s="539"/>
      <c r="H1408" s="121"/>
      <c r="I1408">
        <f>E1408*G1396</f>
        <v>0</v>
      </c>
      <c r="J1408" s="68"/>
      <c r="K1408" s="56"/>
      <c r="L1408" s="56"/>
      <c r="M1408" s="56"/>
      <c r="N1408" s="56"/>
      <c r="O1408" s="56"/>
    </row>
    <row r="1409" spans="1:15">
      <c r="A1409" s="536" t="s">
        <v>4539</v>
      </c>
      <c r="B1409" s="537" t="str">
        <f>VLOOKUP(A1409,'Materiales '!$C$2:$F$1302,3,0)</f>
        <v>Und</v>
      </c>
      <c r="C1409" s="98" t="str">
        <f>VLOOKUP(A1409,'Materiales '!$C$2:$F$1302,3,0)</f>
        <v>Und</v>
      </c>
      <c r="D1409" s="99">
        <f>VLOOKUP(A1409,'Materiales '!$C$2:$F$1302,4,0)</f>
        <v>505.51199999999994</v>
      </c>
      <c r="E1409" s="100">
        <v>2</v>
      </c>
      <c r="F1409" s="538">
        <f t="shared" si="82"/>
        <v>1011.0239999999999</v>
      </c>
      <c r="G1409" s="539"/>
      <c r="H1409" s="121"/>
      <c r="I1409">
        <f>E1409*G1396</f>
        <v>0</v>
      </c>
      <c r="J1409" s="68"/>
      <c r="K1409" s="56"/>
      <c r="L1409" s="56"/>
      <c r="M1409" s="56"/>
      <c r="N1409" s="56"/>
      <c r="O1409" s="56"/>
    </row>
    <row r="1410" spans="1:15">
      <c r="A1410" s="536" t="s">
        <v>4450</v>
      </c>
      <c r="B1410" s="537" t="str">
        <f>VLOOKUP(A1410,'Materiales '!$C$2:$F$1302,3,0)</f>
        <v>Ml</v>
      </c>
      <c r="C1410" s="98" t="str">
        <f>VLOOKUP(A1410,'Materiales '!$C$2:$F$1302,3,0)</f>
        <v>Ml</v>
      </c>
      <c r="D1410" s="99">
        <f>VLOOKUP(A1410,'Materiales '!$C$2:$F$1302,4,0)</f>
        <v>6791.5679999999993</v>
      </c>
      <c r="E1410" s="100">
        <v>8</v>
      </c>
      <c r="F1410" s="538">
        <f t="shared" si="82"/>
        <v>54332.543999999994</v>
      </c>
      <c r="G1410" s="539"/>
      <c r="H1410" s="121"/>
      <c r="I1410">
        <f>E1410*G1396</f>
        <v>0</v>
      </c>
      <c r="J1410" s="68"/>
      <c r="K1410" s="56"/>
      <c r="L1410" s="56"/>
      <c r="M1410" s="56"/>
      <c r="N1410" s="56"/>
      <c r="O1410" s="56"/>
    </row>
    <row r="1411" spans="1:15">
      <c r="A1411" s="536" t="s">
        <v>4493</v>
      </c>
      <c r="B1411" s="537" t="str">
        <f>VLOOKUP(A1411,'Materiales '!$C$2:$F$1302,3,0)</f>
        <v>Und</v>
      </c>
      <c r="C1411" s="98" t="str">
        <f>VLOOKUP(A1411,'Materiales '!$C$2:$F$1302,3,0)</f>
        <v>Und</v>
      </c>
      <c r="D1411" s="99">
        <f>VLOOKUP(A1411,'Materiales '!$C$2:$F$1302,4,0)</f>
        <v>232.76399999999998</v>
      </c>
      <c r="E1411" s="100">
        <v>3</v>
      </c>
      <c r="F1411" s="538">
        <f t="shared" si="82"/>
        <v>698.29199999999992</v>
      </c>
      <c r="G1411" s="539"/>
      <c r="H1411" s="121"/>
      <c r="I1411">
        <f>E1411*G1396</f>
        <v>0</v>
      </c>
      <c r="J1411" s="68"/>
      <c r="K1411" s="56"/>
      <c r="L1411" s="56"/>
      <c r="M1411" s="56"/>
      <c r="N1411" s="56"/>
      <c r="O1411" s="56"/>
    </row>
    <row r="1412" spans="1:15" ht="21.75" customHeight="1">
      <c r="A1412" s="536" t="s">
        <v>8</v>
      </c>
      <c r="B1412" s="537" t="str">
        <f>VLOOKUP(A1412,'Materiales '!$C$2:$F$1302,3,0)</f>
        <v>-</v>
      </c>
      <c r="C1412" s="98" t="str">
        <f>VLOOKUP(A1412,'Materiales '!$C$2:$F$1302,3,0)</f>
        <v>-</v>
      </c>
      <c r="D1412" s="99">
        <f>VLOOKUP(A1412,'Materiales '!$C$2:$F$1302,4,0)</f>
        <v>0</v>
      </c>
      <c r="E1412" s="100">
        <v>0.5</v>
      </c>
      <c r="F1412" s="538">
        <f t="shared" si="82"/>
        <v>0</v>
      </c>
      <c r="G1412" s="539"/>
      <c r="H1412" s="121"/>
      <c r="I1412">
        <f>E1412*G1396</f>
        <v>0</v>
      </c>
      <c r="J1412" s="68"/>
      <c r="K1412" s="56"/>
      <c r="L1412" s="56"/>
      <c r="M1412" s="56"/>
      <c r="N1412" s="56"/>
      <c r="O1412" s="56"/>
    </row>
    <row r="1413" spans="1:15">
      <c r="A1413" s="536" t="s">
        <v>8</v>
      </c>
      <c r="B1413" s="537" t="str">
        <f>VLOOKUP(A1413,'Materiales '!$C$2:$F$1302,3,0)</f>
        <v>-</v>
      </c>
      <c r="C1413" s="98" t="str">
        <f>VLOOKUP(A1413,'Materiales '!$C$2:$F$1302,3,0)</f>
        <v>-</v>
      </c>
      <c r="D1413" s="99">
        <f>VLOOKUP(A1413,'Materiales '!$C$2:$F$1302,4,0)</f>
        <v>0</v>
      </c>
      <c r="E1413" s="100"/>
      <c r="F1413" s="538">
        <f>E1413*D1413</f>
        <v>0</v>
      </c>
      <c r="G1413" s="539"/>
      <c r="H1413" s="120"/>
      <c r="I1413">
        <f>E1413*G1396</f>
        <v>0</v>
      </c>
      <c r="J1413" s="68"/>
      <c r="K1413" s="56"/>
      <c r="L1413" s="56"/>
      <c r="M1413" s="56"/>
      <c r="N1413" s="56"/>
      <c r="O1413" s="56"/>
    </row>
    <row r="1414" spans="1:15">
      <c r="A1414" s="536" t="s">
        <v>8</v>
      </c>
      <c r="B1414" s="537" t="str">
        <f>VLOOKUP(A1414,'Materiales '!$C$2:$F$1302,3,0)</f>
        <v>-</v>
      </c>
      <c r="C1414" s="98" t="str">
        <f>VLOOKUP(A1414,'Materiales '!$C$2:$F$1302,3,0)</f>
        <v>-</v>
      </c>
      <c r="D1414" s="99">
        <f>VLOOKUP(A1414,'Materiales '!$C$2:$F$1302,4,0)</f>
        <v>0</v>
      </c>
      <c r="E1414" s="100"/>
      <c r="F1414" s="538">
        <f t="shared" ref="F1414:F1417" si="83">E1414*D1414</f>
        <v>0</v>
      </c>
      <c r="G1414" s="539"/>
      <c r="H1414" s="121"/>
      <c r="I1414">
        <f>E1414*G1396</f>
        <v>0</v>
      </c>
      <c r="J1414" s="68"/>
      <c r="K1414" s="56"/>
      <c r="L1414" s="56"/>
      <c r="M1414" s="56"/>
      <c r="N1414" s="56"/>
      <c r="O1414" s="56"/>
    </row>
    <row r="1415" spans="1:15">
      <c r="A1415" s="536" t="s">
        <v>8</v>
      </c>
      <c r="B1415" s="537" t="str">
        <f>VLOOKUP(A1415,'Materiales '!$C$2:$F$1302,3,0)</f>
        <v>-</v>
      </c>
      <c r="C1415" s="98" t="str">
        <f>VLOOKUP(A1415,'Materiales '!$C$2:$F$1302,3,0)</f>
        <v>-</v>
      </c>
      <c r="D1415" s="99">
        <f>VLOOKUP(A1415,'Materiales '!$C$2:$F$1302,4,0)</f>
        <v>0</v>
      </c>
      <c r="E1415" s="100"/>
      <c r="F1415" s="538">
        <f t="shared" si="83"/>
        <v>0</v>
      </c>
      <c r="G1415" s="539"/>
      <c r="H1415" s="121"/>
      <c r="I1415">
        <f>E1415*G1396</f>
        <v>0</v>
      </c>
      <c r="J1415" s="68"/>
      <c r="K1415" s="56"/>
      <c r="L1415" s="56"/>
      <c r="M1415" s="56"/>
      <c r="N1415" s="56"/>
      <c r="O1415" s="56"/>
    </row>
    <row r="1416" spans="1:15">
      <c r="A1416" s="536" t="s">
        <v>8</v>
      </c>
      <c r="B1416" s="537" t="str">
        <f>VLOOKUP(A1416,'Materiales '!$C$2:$F$1302,3,0)</f>
        <v>-</v>
      </c>
      <c r="C1416" s="98" t="str">
        <f>VLOOKUP(A1416,'Materiales '!$C$2:$F$1302,3,0)</f>
        <v>-</v>
      </c>
      <c r="D1416" s="99">
        <f>VLOOKUP(A1416,'Materiales '!$C$2:$F$1302,4,0)</f>
        <v>0</v>
      </c>
      <c r="E1416" s="100"/>
      <c r="F1416" s="538">
        <f t="shared" si="83"/>
        <v>0</v>
      </c>
      <c r="G1416" s="539"/>
      <c r="H1416" s="121"/>
      <c r="I1416">
        <f>E1416*G1396</f>
        <v>0</v>
      </c>
      <c r="J1416" s="68"/>
      <c r="K1416" s="56"/>
      <c r="L1416" s="56"/>
      <c r="M1416" s="56"/>
      <c r="N1416" s="56"/>
      <c r="O1416" s="56"/>
    </row>
    <row r="1417" spans="1:15">
      <c r="A1417" s="536" t="s">
        <v>8</v>
      </c>
      <c r="B1417" s="537" t="str">
        <f>VLOOKUP(A1417,'Materiales '!$C$2:$F$1302,3,0)</f>
        <v>-</v>
      </c>
      <c r="C1417" s="98" t="str">
        <f>VLOOKUP(A1417,'Materiales '!$C$2:$F$1302,3,0)</f>
        <v>-</v>
      </c>
      <c r="D1417" s="99">
        <f>VLOOKUP(A1417,'Materiales '!$C$2:$F$1302,4,0)</f>
        <v>0</v>
      </c>
      <c r="E1417" s="100"/>
      <c r="F1417" s="538">
        <f t="shared" si="83"/>
        <v>0</v>
      </c>
      <c r="G1417" s="539"/>
      <c r="H1417" s="121"/>
      <c r="I1417">
        <f>E1417*G1396</f>
        <v>0</v>
      </c>
      <c r="J1417" s="68"/>
      <c r="K1417" s="56"/>
      <c r="L1417" s="56"/>
      <c r="M1417" s="56"/>
      <c r="N1417" s="56"/>
      <c r="O1417" s="56"/>
    </row>
    <row r="1418" spans="1:15">
      <c r="A1418" s="536" t="s">
        <v>8</v>
      </c>
      <c r="B1418" s="537" t="str">
        <f>VLOOKUP(A1418,'Materiales '!$C$2:$F$1302,3,0)</f>
        <v>-</v>
      </c>
      <c r="C1418" s="98" t="str">
        <f>VLOOKUP(A1418,'Materiales '!$C$2:$F$1302,3,0)</f>
        <v>-</v>
      </c>
      <c r="D1418" s="99">
        <f>VLOOKUP(A1418,'Materiales '!$C$2:$F$1302,4,0)</f>
        <v>0</v>
      </c>
      <c r="E1418" s="100"/>
      <c r="F1418" s="538">
        <f>E1418*D1418</f>
        <v>0</v>
      </c>
      <c r="G1418" s="539"/>
      <c r="H1418" s="120"/>
      <c r="I1418">
        <f>E1418*G1396</f>
        <v>0</v>
      </c>
      <c r="J1418" s="68"/>
      <c r="K1418" s="56"/>
      <c r="L1418" s="56"/>
      <c r="M1418" s="56"/>
      <c r="N1418" s="56"/>
      <c r="O1418" s="56"/>
    </row>
    <row r="1419" spans="1:15" ht="16.5">
      <c r="A1419" s="540" t="s">
        <v>4099</v>
      </c>
      <c r="B1419" s="541"/>
      <c r="C1419" s="541"/>
      <c r="D1419" s="541"/>
      <c r="E1419" s="541"/>
      <c r="F1419" s="541"/>
      <c r="G1419" s="542"/>
      <c r="H1419" s="116">
        <f>SUM(F1405:F1418)</f>
        <v>1261951.41400508</v>
      </c>
      <c r="J1419" s="68"/>
      <c r="K1419" s="56"/>
      <c r="L1419" s="56"/>
      <c r="M1419" s="56"/>
      <c r="N1419" s="56"/>
      <c r="O1419" s="56"/>
    </row>
    <row r="1420" spans="1:15" ht="16.5">
      <c r="A1420" s="543" t="s">
        <v>4231</v>
      </c>
      <c r="B1420" s="544"/>
      <c r="C1420" s="544"/>
      <c r="D1420" s="544"/>
      <c r="E1420" s="545"/>
      <c r="F1420" s="544"/>
      <c r="G1420" s="544"/>
      <c r="H1420" s="546"/>
      <c r="J1420" s="68"/>
      <c r="K1420" s="56"/>
      <c r="L1420" s="56"/>
      <c r="M1420" s="56"/>
      <c r="N1420" s="56"/>
      <c r="O1420" s="56"/>
    </row>
    <row r="1421" spans="1:15">
      <c r="A1421" s="547" t="s">
        <v>7</v>
      </c>
      <c r="B1421" s="548"/>
      <c r="C1421" s="108" t="s">
        <v>4232</v>
      </c>
      <c r="D1421" s="107" t="s">
        <v>4233</v>
      </c>
      <c r="E1421" s="206" t="s">
        <v>4234</v>
      </c>
      <c r="F1421" s="549" t="s">
        <v>4218</v>
      </c>
      <c r="G1421" s="549"/>
      <c r="H1421" s="119"/>
      <c r="K1421" s="56"/>
      <c r="L1421" s="56"/>
      <c r="M1421" s="56"/>
      <c r="N1421" s="56"/>
      <c r="O1421" s="56"/>
    </row>
    <row r="1422" spans="1:15">
      <c r="A1422" s="550" t="s">
        <v>3928</v>
      </c>
      <c r="B1422" s="551"/>
      <c r="C1422" s="232">
        <v>1</v>
      </c>
      <c r="D1422" s="102">
        <v>0.03</v>
      </c>
      <c r="E1422" s="103">
        <f>VLOOKUP(A1422,'Equip, Herr y Transp'!$B$2:$D$218,3,0)</f>
        <v>160000</v>
      </c>
      <c r="F1422" s="552">
        <f>E1422*D1422*C1422</f>
        <v>4800</v>
      </c>
      <c r="G1422" s="553"/>
      <c r="H1422" s="117"/>
      <c r="M1422" s="56"/>
    </row>
    <row r="1423" spans="1:15" ht="16.5">
      <c r="A1423" s="554" t="s">
        <v>4216</v>
      </c>
      <c r="B1423" s="555"/>
      <c r="C1423" s="555"/>
      <c r="D1423" s="555"/>
      <c r="E1423" s="555"/>
      <c r="F1423" s="555"/>
      <c r="G1423" s="555"/>
      <c r="H1423" s="105">
        <f>F1422</f>
        <v>4800</v>
      </c>
    </row>
    <row r="1424" spans="1:15" ht="16.5">
      <c r="A1424" s="543" t="s">
        <v>4235</v>
      </c>
      <c r="B1424" s="544"/>
      <c r="C1424" s="544"/>
      <c r="D1424" s="544"/>
      <c r="E1424" s="544"/>
      <c r="F1424" s="544"/>
      <c r="G1424" s="544"/>
      <c r="H1424" s="546"/>
    </row>
    <row r="1425" spans="1:10">
      <c r="A1425" s="547" t="s">
        <v>7</v>
      </c>
      <c r="B1425" s="548"/>
      <c r="C1425" s="106" t="s">
        <v>1</v>
      </c>
      <c r="D1425" s="107" t="s">
        <v>4236</v>
      </c>
      <c r="E1425" s="108" t="s">
        <v>4215</v>
      </c>
      <c r="F1425" s="547" t="s">
        <v>5</v>
      </c>
      <c r="G1425" s="556"/>
      <c r="H1425" s="119"/>
    </row>
    <row r="1426" spans="1:10">
      <c r="A1426" s="550" t="s">
        <v>4196</v>
      </c>
      <c r="B1426" s="551"/>
      <c r="C1426" s="101">
        <v>1</v>
      </c>
      <c r="D1426" s="104">
        <f>VLOOKUP(A1426,'Mano Obra'!$B$2:$T$117,19,0)</f>
        <v>166624</v>
      </c>
      <c r="E1426" s="246">
        <f>H1389</f>
        <v>9.3799999999999994E-2</v>
      </c>
      <c r="F1426" s="538">
        <f>E1426*D1426*C1426</f>
        <v>15629.331199999999</v>
      </c>
      <c r="G1426" s="557"/>
      <c r="H1426" s="121"/>
      <c r="I1426" s="69"/>
      <c r="J1426" s="136">
        <f>((('Mano Obra'!$M$4/30)*F1426)/D1426)*G1396</f>
        <v>0</v>
      </c>
    </row>
    <row r="1427" spans="1:10">
      <c r="A1427" s="558" t="s">
        <v>4197</v>
      </c>
      <c r="B1427" s="559">
        <f>VLOOKUP(A1427,'Mano Obra'!$B$3:$D$290,2,0)</f>
        <v>2090000.0000000002</v>
      </c>
      <c r="C1427" s="101">
        <v>1</v>
      </c>
      <c r="D1427" s="104">
        <f>VLOOKUP(A1427,'Mano Obra'!$B$2:$T$117,19,0)</f>
        <v>120456</v>
      </c>
      <c r="E1427" s="246">
        <f>H1389</f>
        <v>9.3799999999999994E-2</v>
      </c>
      <c r="F1427" s="538">
        <f t="shared" ref="F1427:F1428" si="84">E1427*D1427*C1427</f>
        <v>11298.772799999999</v>
      </c>
      <c r="G1427" s="557"/>
      <c r="H1427" s="121"/>
      <c r="J1427" s="136">
        <f>((('Mano Obra'!$M$5/30)*F1427)/D1427)*G1396</f>
        <v>0</v>
      </c>
    </row>
    <row r="1428" spans="1:10">
      <c r="A1428" s="558" t="s">
        <v>4186</v>
      </c>
      <c r="B1428" s="559">
        <f>VLOOKUP(A1428,'Mano Obra'!$B$3:$D$290,2,0)</f>
        <v>1100000</v>
      </c>
      <c r="C1428" s="101">
        <v>1</v>
      </c>
      <c r="D1428" s="104">
        <f>VLOOKUP(A1428,'Mano Obra'!$B$2:$T$117,19,0)</f>
        <v>72664</v>
      </c>
      <c r="E1428" s="246">
        <f>H1389</f>
        <v>9.3799999999999994E-2</v>
      </c>
      <c r="F1428" s="538">
        <f t="shared" si="84"/>
        <v>6815.8831999999993</v>
      </c>
      <c r="G1428" s="557"/>
      <c r="H1428" s="120"/>
      <c r="J1428" s="136">
        <f>((('Mano Obra'!$M$6/30)*F1428)/D1428)*G1396</f>
        <v>0</v>
      </c>
    </row>
    <row r="1429" spans="1:10" ht="16.5">
      <c r="A1429" s="560" t="s">
        <v>4101</v>
      </c>
      <c r="B1429" s="560"/>
      <c r="C1429" s="560"/>
      <c r="D1429" s="560"/>
      <c r="E1429" s="560"/>
      <c r="F1429" s="560"/>
      <c r="G1429" s="560"/>
      <c r="H1429" s="105">
        <f>SUM(F1426:F1428)</f>
        <v>33743.987199999996</v>
      </c>
      <c r="J1429" s="136"/>
    </row>
    <row r="1430" spans="1:10">
      <c r="A1430" s="227" t="s">
        <v>4237</v>
      </c>
      <c r="B1430" s="205"/>
      <c r="C1430" s="205"/>
      <c r="D1430" s="202"/>
      <c r="E1430" s="203"/>
      <c r="F1430" s="204"/>
      <c r="G1430" s="203"/>
      <c r="H1430" s="212"/>
    </row>
    <row r="1431" spans="1:10">
      <c r="A1431" s="561" t="s">
        <v>4224</v>
      </c>
      <c r="B1431" s="562"/>
      <c r="C1431" s="562"/>
      <c r="D1431" s="562"/>
      <c r="E1431" s="200"/>
      <c r="F1431" s="201" t="s">
        <v>4238</v>
      </c>
      <c r="G1431" s="200" t="s">
        <v>4239</v>
      </c>
      <c r="H1431" s="213"/>
    </row>
    <row r="1432" spans="1:10">
      <c r="A1432" s="223" t="s">
        <v>4097</v>
      </c>
      <c r="B1432" s="72"/>
      <c r="C1432" s="72"/>
      <c r="D1432" s="73"/>
      <c r="E1432" s="78"/>
      <c r="F1432" s="79">
        <v>0</v>
      </c>
      <c r="G1432" s="80">
        <f>F1432*H1397</f>
        <v>0</v>
      </c>
      <c r="H1432" s="212"/>
    </row>
    <row r="1433" spans="1:10">
      <c r="A1433" s="224" t="s">
        <v>4240</v>
      </c>
      <c r="B1433" s="81"/>
      <c r="C1433" s="81"/>
      <c r="D1433" s="82"/>
      <c r="E1433" s="78"/>
      <c r="F1433" s="79">
        <v>0</v>
      </c>
      <c r="G1433" s="80">
        <f>F1433*H1397</f>
        <v>0</v>
      </c>
      <c r="H1433" s="212"/>
    </row>
    <row r="1434" spans="1:10">
      <c r="A1434" s="224" t="s">
        <v>4</v>
      </c>
      <c r="B1434" s="81"/>
      <c r="C1434" s="81"/>
      <c r="D1434" s="82"/>
      <c r="E1434" s="78"/>
      <c r="F1434" s="79">
        <v>0</v>
      </c>
      <c r="G1434" s="80">
        <f>F1434*H1397</f>
        <v>0</v>
      </c>
      <c r="H1434" s="212"/>
    </row>
    <row r="1435" spans="1:10">
      <c r="A1435" s="225"/>
      <c r="B1435" s="83"/>
      <c r="C1435" s="75"/>
      <c r="D1435" s="84"/>
      <c r="E1435" s="85"/>
      <c r="F1435" s="86"/>
      <c r="G1435" s="87"/>
      <c r="H1435" s="214"/>
    </row>
    <row r="1436" spans="1:10">
      <c r="A1436" s="226"/>
      <c r="B1436" s="83"/>
      <c r="C1436" s="83"/>
      <c r="D1436" s="84"/>
      <c r="E1436" s="88"/>
      <c r="F1436" s="563" t="s">
        <v>4241</v>
      </c>
      <c r="G1436" s="564"/>
      <c r="H1436" s="233">
        <f>H1397+G1432+G1433+G1434</f>
        <v>1306550.4257050802</v>
      </c>
    </row>
    <row r="1437" spans="1:10">
      <c r="A1437" s="83"/>
      <c r="B1437" s="83"/>
      <c r="C1437" s="83"/>
      <c r="D1437" s="84"/>
      <c r="E1437" s="388"/>
      <c r="F1437" s="389"/>
      <c r="G1437" s="389"/>
      <c r="H1437" s="390"/>
    </row>
    <row r="1438" spans="1:10" ht="16.5">
      <c r="A1438" s="90"/>
      <c r="B1438" s="90"/>
      <c r="C1438" s="90"/>
      <c r="D1438" s="90"/>
      <c r="E1438" s="90"/>
      <c r="F1438" s="90"/>
      <c r="G1438" s="90"/>
      <c r="H1438" s="381"/>
    </row>
    <row r="1439" spans="1:10">
      <c r="A1439" s="579" t="s">
        <v>4225</v>
      </c>
      <c r="B1439" s="580"/>
      <c r="C1439" s="580"/>
      <c r="D1439" s="580"/>
      <c r="E1439" s="580"/>
      <c r="F1439" s="580"/>
      <c r="G1439" s="580"/>
      <c r="H1439" s="581"/>
    </row>
    <row r="1440" spans="1:10" ht="16.5">
      <c r="A1440" s="91"/>
      <c r="B1440" s="92"/>
      <c r="C1440" s="92"/>
      <c r="D1440" s="92"/>
      <c r="E1440" s="92"/>
      <c r="F1440" s="93"/>
      <c r="G1440" s="94"/>
      <c r="H1440" s="380">
        <f>ROUND((25/60)/8,4)</f>
        <v>5.21E-2</v>
      </c>
      <c r="I1440" s="115"/>
    </row>
    <row r="1441" spans="1:15">
      <c r="A1441" s="582" t="s">
        <v>4220</v>
      </c>
      <c r="B1441" s="584" t="str">
        <f>COSTOS!$C$14</f>
        <v>MODERNIZACION A TECNOLOGIA LED</v>
      </c>
      <c r="C1441" s="584"/>
      <c r="D1441" s="584"/>
      <c r="E1441" s="584"/>
      <c r="F1441" s="584"/>
      <c r="G1441" s="584"/>
      <c r="H1441" s="585" t="s">
        <v>4221</v>
      </c>
    </row>
    <row r="1442" spans="1:15">
      <c r="A1442" s="583"/>
      <c r="B1442" s="584"/>
      <c r="C1442" s="584"/>
      <c r="D1442" s="584"/>
      <c r="E1442" s="584"/>
      <c r="F1442" s="584"/>
      <c r="G1442" s="584"/>
      <c r="H1442" s="585"/>
    </row>
    <row r="1443" spans="1:15">
      <c r="A1443" s="583"/>
      <c r="B1443" s="584"/>
      <c r="C1443" s="584"/>
      <c r="D1443" s="584"/>
      <c r="E1443" s="584"/>
      <c r="F1443" s="584"/>
      <c r="G1443" s="584"/>
      <c r="H1443" s="585"/>
    </row>
    <row r="1444" spans="1:15" ht="15" customHeight="1">
      <c r="A1444" s="583"/>
      <c r="B1444" s="584"/>
      <c r="C1444" s="584"/>
      <c r="D1444" s="584"/>
      <c r="E1444" s="584"/>
      <c r="F1444" s="584"/>
      <c r="G1444" s="584"/>
      <c r="H1444" s="216">
        <f ca="1">TODAY()</f>
        <v>44889</v>
      </c>
      <c r="K1444" t="s">
        <v>4391</v>
      </c>
      <c r="L1444" t="s">
        <v>4392</v>
      </c>
      <c r="M1444" t="s">
        <v>4393</v>
      </c>
      <c r="N1444" t="s">
        <v>4394</v>
      </c>
    </row>
    <row r="1445" spans="1:15" ht="60.75" customHeight="1">
      <c r="A1445" s="228" t="s">
        <v>4222</v>
      </c>
      <c r="B1445" s="565" t="str">
        <f>COSTOS!$D$16</f>
        <v>Luminarias</v>
      </c>
      <c r="C1445" s="565"/>
      <c r="D1445" s="565"/>
      <c r="E1445" s="565"/>
      <c r="F1445" s="565"/>
      <c r="G1445" s="70" t="s">
        <v>4223</v>
      </c>
      <c r="H1445" s="391">
        <v>1.29</v>
      </c>
      <c r="K1445" s="62">
        <f>H1470</f>
        <v>568274.04534147168</v>
      </c>
      <c r="L1445" s="62">
        <f>H1480</f>
        <v>18742.662399999997</v>
      </c>
      <c r="M1445" s="62">
        <f>H1453</f>
        <v>3363.18525</v>
      </c>
      <c r="N1445" s="62">
        <f>H1474</f>
        <v>4800</v>
      </c>
    </row>
    <row r="1446" spans="1:15" ht="43.15" customHeight="1">
      <c r="A1446" s="229" t="s">
        <v>4224</v>
      </c>
      <c r="B1446" s="566" t="str">
        <f>VLOOKUP(H1445,COSTOS!C:M,2,0)</f>
        <v>Luminaria con bombillo incandescente 100w</v>
      </c>
      <c r="C1446" s="567"/>
      <c r="D1446" s="567"/>
      <c r="E1446" s="568"/>
      <c r="F1446" s="71" t="s">
        <v>0</v>
      </c>
      <c r="G1446" s="356" t="str">
        <f>VLOOKUP(H1445,COSTOS!C:M,8,0)</f>
        <v>Und</v>
      </c>
      <c r="H1446" s="276"/>
      <c r="I1446" s="306"/>
      <c r="J1446" s="308"/>
      <c r="K1446" s="308"/>
      <c r="L1446" s="308"/>
    </row>
    <row r="1447" spans="1:15">
      <c r="A1447" s="230"/>
      <c r="B1447" s="112"/>
      <c r="C1447" s="112"/>
      <c r="D1447" s="112"/>
      <c r="E1447" s="113"/>
      <c r="F1447" s="114" t="s">
        <v>1</v>
      </c>
      <c r="G1447" s="356">
        <f>VLOOKUP(H1445,COSTOS!C:M,9,0)</f>
        <v>0</v>
      </c>
      <c r="H1447" s="357"/>
      <c r="I1447" s="307"/>
    </row>
    <row r="1448" spans="1:15" ht="16.5">
      <c r="A1448" s="231" t="s">
        <v>4226</v>
      </c>
      <c r="B1448" s="75"/>
      <c r="C1448" s="75"/>
      <c r="D1448" s="76"/>
      <c r="E1448" s="209"/>
      <c r="F1448" s="210"/>
      <c r="G1448" s="211" t="s">
        <v>4227</v>
      </c>
      <c r="H1448" s="217">
        <f>H1453+H1470+H1474+H1480</f>
        <v>595179.89299147169</v>
      </c>
    </row>
    <row r="1449" spans="1:15" ht="39">
      <c r="A1449" s="569" t="s">
        <v>4224</v>
      </c>
      <c r="B1449" s="569"/>
      <c r="C1449" s="569"/>
      <c r="D1449" s="77" t="s">
        <v>0</v>
      </c>
      <c r="E1449" s="207" t="s">
        <v>4228</v>
      </c>
      <c r="F1449" s="208" t="s">
        <v>4215</v>
      </c>
      <c r="G1449" s="74" t="s">
        <v>2</v>
      </c>
      <c r="H1449" s="218" t="s">
        <v>4229</v>
      </c>
      <c r="K1449" s="309"/>
    </row>
    <row r="1450" spans="1:15">
      <c r="A1450" s="536" t="s">
        <v>3946</v>
      </c>
      <c r="B1450" s="570" t="str">
        <f>VLOOKUP(A1450,'Equip, Herr y Transp'!$B$2:$D$739,2,0)</f>
        <v>EQU</v>
      </c>
      <c r="C1450" s="570"/>
      <c r="D1450" s="95" t="str">
        <f>VLOOKUP(A1450,'Equip, Herr y Transp'!$B$2:$D$218,2,0)</f>
        <v>EQU</v>
      </c>
      <c r="E1450" s="95">
        <f>VLOOKUP(A1450,'Equip, Herr y Transp'!$B$2:$D$218,3,0)</f>
        <v>14130</v>
      </c>
      <c r="F1450" s="96">
        <f>H1440</f>
        <v>5.21E-2</v>
      </c>
      <c r="G1450" s="122">
        <f>F1450*E1450</f>
        <v>736.173</v>
      </c>
      <c r="H1450" s="118"/>
    </row>
    <row r="1451" spans="1:15">
      <c r="A1451" s="536" t="s">
        <v>3904</v>
      </c>
      <c r="B1451" s="570" t="str">
        <f>VLOOKUP(A1451,'Equip, Herr y Transp'!$B$2:$D$739,2,0)</f>
        <v>EQU</v>
      </c>
      <c r="C1451" s="570"/>
      <c r="D1451" s="95" t="str">
        <f>VLOOKUP(A1451,'Equip, Herr y Transp'!$B$2:$D$218,2,0)</f>
        <v>EQU</v>
      </c>
      <c r="E1451" s="95">
        <f>VLOOKUP(A1451,'Equip, Herr y Transp'!$B$2:$D$218,3,0)</f>
        <v>26672.5</v>
      </c>
      <c r="F1451" s="96">
        <f>H1440</f>
        <v>5.21E-2</v>
      </c>
      <c r="G1451" s="122">
        <f>F1451*E1451</f>
        <v>1389.63725</v>
      </c>
      <c r="H1451" s="117"/>
    </row>
    <row r="1452" spans="1:15">
      <c r="A1452" s="536" t="s">
        <v>3937</v>
      </c>
      <c r="B1452" s="570" t="str">
        <f>VLOOKUP(A1452,'Equip, Herr y Transp'!$B$2:$D$739,2,0)</f>
        <v>EQU</v>
      </c>
      <c r="C1452" s="570"/>
      <c r="D1452" s="95" t="str">
        <f>VLOOKUP(A1452,'Equip, Herr y Transp'!$B$2:$D$218,2,0)</f>
        <v>EQU</v>
      </c>
      <c r="E1452" s="95">
        <f>VLOOKUP(A1452,'Equip, Herr y Transp'!$B$2:$D$218,3,0)</f>
        <v>23750</v>
      </c>
      <c r="F1452" s="96">
        <f>H1440</f>
        <v>5.21E-2</v>
      </c>
      <c r="G1452" s="122">
        <f>F1452*E1452</f>
        <v>1237.375</v>
      </c>
      <c r="H1452" s="117"/>
    </row>
    <row r="1453" spans="1:15" ht="16.5">
      <c r="A1453" s="540" t="s">
        <v>4100</v>
      </c>
      <c r="B1453" s="541"/>
      <c r="C1453" s="541"/>
      <c r="D1453" s="541"/>
      <c r="E1453" s="541"/>
      <c r="F1453" s="541"/>
      <c r="G1453" s="541"/>
      <c r="H1453" s="97">
        <f>SUM(G1450:G1452)</f>
        <v>3363.18525</v>
      </c>
    </row>
    <row r="1454" spans="1:15" ht="16.5">
      <c r="A1454" s="571" t="s">
        <v>4230</v>
      </c>
      <c r="B1454" s="572"/>
      <c r="C1454" s="572"/>
      <c r="D1454" s="572"/>
      <c r="E1454" s="572"/>
      <c r="F1454" s="572"/>
      <c r="G1454" s="572"/>
      <c r="H1454" s="573"/>
      <c r="K1454" s="56"/>
      <c r="L1454" s="56"/>
      <c r="M1454" s="56"/>
      <c r="N1454" s="56"/>
      <c r="O1454" s="56"/>
    </row>
    <row r="1455" spans="1:15" ht="30" customHeight="1">
      <c r="A1455" s="574" t="s">
        <v>7</v>
      </c>
      <c r="B1455" s="575"/>
      <c r="C1455" s="109" t="s">
        <v>0</v>
      </c>
      <c r="D1455" s="110" t="s">
        <v>4098</v>
      </c>
      <c r="E1455" s="111" t="s">
        <v>1</v>
      </c>
      <c r="F1455" s="576" t="s">
        <v>4218</v>
      </c>
      <c r="G1455" s="576"/>
      <c r="H1455" s="215"/>
      <c r="K1455" s="56"/>
      <c r="L1455" s="56"/>
      <c r="M1455" s="56"/>
      <c r="N1455" s="56"/>
      <c r="O1455" s="56"/>
    </row>
    <row r="1456" spans="1:15">
      <c r="A1456" s="577" t="s">
        <v>4681</v>
      </c>
      <c r="B1456" s="578"/>
      <c r="C1456" s="98" t="str">
        <f>VLOOKUP(A1456,'Materiales '!$C$2:$F$1302,3,0)</f>
        <v>Und</v>
      </c>
      <c r="D1456" s="99">
        <f>VLOOKUP(A1456,'Materiales '!$C$2:$F$1302,4,0)</f>
        <v>342526.99934147164</v>
      </c>
      <c r="E1456" s="100">
        <v>1</v>
      </c>
      <c r="F1456" s="538">
        <f>E1456*D1456</f>
        <v>342526.99934147164</v>
      </c>
      <c r="G1456" s="539"/>
      <c r="H1456" s="121"/>
      <c r="I1456">
        <f>E1456*G1447</f>
        <v>0</v>
      </c>
      <c r="J1456" s="67"/>
      <c r="K1456" s="56"/>
      <c r="L1456" s="56"/>
      <c r="M1456" s="56"/>
      <c r="N1456" s="56"/>
      <c r="O1456" s="56"/>
    </row>
    <row r="1457" spans="1:15">
      <c r="A1457" s="577" t="s">
        <v>4214</v>
      </c>
      <c r="B1457" s="578"/>
      <c r="C1457" s="98" t="str">
        <f>VLOOKUP(A1457,'Materiales '!$C$2:$F$1302,3,0)</f>
        <v>Und</v>
      </c>
      <c r="D1457" s="99">
        <f>VLOOKUP(A1457,'Materiales '!$C$2:$F$1302,4,0)</f>
        <v>22848</v>
      </c>
      <c r="E1457" s="100">
        <v>1</v>
      </c>
      <c r="F1457" s="538">
        <f t="shared" ref="F1457:F1463" si="85">E1457*D1457</f>
        <v>22848</v>
      </c>
      <c r="G1457" s="539"/>
      <c r="H1457" s="121"/>
      <c r="I1457">
        <f>E1457*G1447</f>
        <v>0</v>
      </c>
      <c r="J1457" s="67"/>
      <c r="K1457" s="56"/>
      <c r="L1457" s="56"/>
      <c r="M1457" s="56"/>
      <c r="N1457" s="56"/>
      <c r="O1457" s="56"/>
    </row>
    <row r="1458" spans="1:15">
      <c r="A1458" s="536" t="s">
        <v>4484</v>
      </c>
      <c r="B1458" s="537" t="str">
        <f>VLOOKUP(A1458,'Materiales '!$C$2:$F$1302,3,0)</f>
        <v>Und</v>
      </c>
      <c r="C1458" s="98" t="str">
        <f>VLOOKUP(A1458,'Materiales '!$C$2:$F$1302,3,0)</f>
        <v>Und</v>
      </c>
      <c r="D1458" s="99">
        <f>VLOOKUP(A1458,'Materiales '!$C$2:$F$1302,4,0)</f>
        <v>21705.599999999999</v>
      </c>
      <c r="E1458" s="100">
        <v>2</v>
      </c>
      <c r="F1458" s="538">
        <f t="shared" si="85"/>
        <v>43411.199999999997</v>
      </c>
      <c r="G1458" s="539"/>
      <c r="H1458" s="121"/>
      <c r="I1458">
        <f>E1458*G1447</f>
        <v>0</v>
      </c>
      <c r="J1458" s="68"/>
      <c r="K1458" s="56"/>
      <c r="L1458" s="56"/>
      <c r="M1458" s="56"/>
      <c r="N1458" s="56"/>
      <c r="O1458" s="56"/>
    </row>
    <row r="1459" spans="1:15">
      <c r="A1459" s="536" t="s">
        <v>4489</v>
      </c>
      <c r="B1459" s="537" t="str">
        <f>VLOOKUP(A1459,'Materiales '!$C$2:$F$1302,3,0)</f>
        <v>Und</v>
      </c>
      <c r="C1459" s="98" t="str">
        <f>VLOOKUP(A1459,'Materiales '!$C$2:$F$1302,3,0)</f>
        <v>Und</v>
      </c>
      <c r="D1459" s="99">
        <f>VLOOKUP(A1459,'Materiales '!$C$2:$F$1302,4,0)</f>
        <v>8039.6399999999994</v>
      </c>
      <c r="E1459" s="100">
        <v>3</v>
      </c>
      <c r="F1459" s="538">
        <f t="shared" si="85"/>
        <v>24118.92</v>
      </c>
      <c r="G1459" s="539"/>
      <c r="H1459" s="121"/>
      <c r="I1459">
        <f>E1459*G1447</f>
        <v>0</v>
      </c>
      <c r="J1459" s="68"/>
      <c r="K1459" s="56"/>
      <c r="L1459" s="56"/>
      <c r="M1459" s="56"/>
      <c r="N1459" s="56"/>
      <c r="O1459" s="56"/>
    </row>
    <row r="1460" spans="1:15">
      <c r="A1460" s="536" t="s">
        <v>4554</v>
      </c>
      <c r="B1460" s="537" t="str">
        <f>VLOOKUP(A1460,'Materiales '!$C$2:$F$1302,3,0)</f>
        <v>Und</v>
      </c>
      <c r="C1460" s="98" t="str">
        <f>VLOOKUP(A1460,'Materiales '!$C$2:$F$1302,3,0)</f>
        <v>Und</v>
      </c>
      <c r="D1460" s="99">
        <f>VLOOKUP(A1460,'Materiales '!$C$2:$F$1302,4,0)</f>
        <v>2535.5329999999999</v>
      </c>
      <c r="E1460" s="100">
        <v>2</v>
      </c>
      <c r="F1460" s="538">
        <f t="shared" si="85"/>
        <v>5071.0659999999998</v>
      </c>
      <c r="G1460" s="539"/>
      <c r="H1460" s="121"/>
      <c r="I1460">
        <f>E1460*G1447</f>
        <v>0</v>
      </c>
      <c r="J1460" s="68"/>
      <c r="K1460" s="56"/>
      <c r="L1460" s="56"/>
      <c r="M1460" s="56"/>
      <c r="N1460" s="56"/>
      <c r="O1460" s="56"/>
    </row>
    <row r="1461" spans="1:15">
      <c r="A1461" s="536" t="s">
        <v>4450</v>
      </c>
      <c r="B1461" s="537" t="str">
        <f>VLOOKUP(A1461,'Materiales '!$C$2:$F$1302,3,0)</f>
        <v>Ml</v>
      </c>
      <c r="C1461" s="98" t="str">
        <f>VLOOKUP(A1461,'Materiales '!$C$2:$F$1302,3,0)</f>
        <v>Ml</v>
      </c>
      <c r="D1461" s="99">
        <f>VLOOKUP(A1461,'Materiales '!$C$2:$F$1302,4,0)</f>
        <v>6791.5679999999993</v>
      </c>
      <c r="E1461" s="100">
        <v>1</v>
      </c>
      <c r="F1461" s="538">
        <f t="shared" si="85"/>
        <v>6791.5679999999993</v>
      </c>
      <c r="G1461" s="539"/>
      <c r="H1461" s="121"/>
      <c r="I1461">
        <f>E1461*G1447</f>
        <v>0</v>
      </c>
      <c r="J1461" s="68"/>
      <c r="K1461" s="56"/>
      <c r="L1461" s="56"/>
      <c r="M1461" s="56"/>
      <c r="N1461" s="56"/>
      <c r="O1461" s="56"/>
    </row>
    <row r="1462" spans="1:15">
      <c r="A1462" s="536" t="s">
        <v>4493</v>
      </c>
      <c r="B1462" s="537" t="str">
        <f>VLOOKUP(A1462,'Materiales '!$C$2:$F$1302,3,0)</f>
        <v>Und</v>
      </c>
      <c r="C1462" s="98" t="str">
        <f>VLOOKUP(A1462,'Materiales '!$C$2:$F$1302,3,0)</f>
        <v>Und</v>
      </c>
      <c r="D1462" s="99">
        <f>VLOOKUP(A1462,'Materiales '!$C$2:$F$1302,4,0)</f>
        <v>232.76399999999998</v>
      </c>
      <c r="E1462" s="100">
        <v>3</v>
      </c>
      <c r="F1462" s="538">
        <f t="shared" si="85"/>
        <v>698.29199999999992</v>
      </c>
      <c r="G1462" s="539"/>
      <c r="H1462" s="121"/>
      <c r="I1462">
        <f>E1462*G1447</f>
        <v>0</v>
      </c>
      <c r="J1462" s="68"/>
      <c r="K1462" s="56"/>
      <c r="L1462" s="56"/>
      <c r="M1462" s="56"/>
      <c r="N1462" s="56"/>
      <c r="O1462" s="56"/>
    </row>
    <row r="1463" spans="1:15" ht="21.75" customHeight="1">
      <c r="A1463" s="536" t="s">
        <v>4435</v>
      </c>
      <c r="B1463" s="537" t="str">
        <f>VLOOKUP(A1463,'Materiales '!$C$2:$F$1302,3,0)</f>
        <v>Und</v>
      </c>
      <c r="C1463" s="98" t="str">
        <f>VLOOKUP(A1463,'Materiales '!$C$2:$F$1302,3,0)</f>
        <v>Und</v>
      </c>
      <c r="D1463" s="99">
        <f>VLOOKUP(A1463,'Materiales '!$C$2:$F$1302,4,0)</f>
        <v>122808</v>
      </c>
      <c r="E1463" s="100">
        <v>1</v>
      </c>
      <c r="F1463" s="538">
        <f t="shared" si="85"/>
        <v>122808</v>
      </c>
      <c r="G1463" s="539"/>
      <c r="H1463" s="121"/>
      <c r="I1463">
        <f>E1463*G1447</f>
        <v>0</v>
      </c>
      <c r="J1463" s="68"/>
      <c r="K1463" s="56"/>
      <c r="L1463" s="56"/>
      <c r="M1463" s="56"/>
      <c r="N1463" s="56"/>
      <c r="O1463" s="56"/>
    </row>
    <row r="1464" spans="1:15">
      <c r="A1464" s="536" t="s">
        <v>8</v>
      </c>
      <c r="B1464" s="537" t="str">
        <f>VLOOKUP(A1464,'Materiales '!$C$2:$F$1302,3,0)</f>
        <v>-</v>
      </c>
      <c r="C1464" s="98" t="str">
        <f>VLOOKUP(A1464,'Materiales '!$C$2:$F$1302,3,0)</f>
        <v>-</v>
      </c>
      <c r="D1464" s="99">
        <f>VLOOKUP(A1464,'Materiales '!$C$2:$F$1302,4,0)</f>
        <v>0</v>
      </c>
      <c r="E1464" s="100"/>
      <c r="F1464" s="538">
        <f>E1464*D1464</f>
        <v>0</v>
      </c>
      <c r="G1464" s="539"/>
      <c r="H1464" s="120"/>
      <c r="I1464">
        <f>E1464*G1447</f>
        <v>0</v>
      </c>
      <c r="J1464" s="68"/>
      <c r="K1464" s="56"/>
      <c r="L1464" s="56"/>
      <c r="M1464" s="56"/>
      <c r="N1464" s="56"/>
      <c r="O1464" s="56"/>
    </row>
    <row r="1465" spans="1:15">
      <c r="A1465" s="536" t="s">
        <v>8</v>
      </c>
      <c r="B1465" s="537" t="str">
        <f>VLOOKUP(A1465,'Materiales '!$C$2:$F$1302,3,0)</f>
        <v>-</v>
      </c>
      <c r="C1465" s="98" t="str">
        <f>VLOOKUP(A1465,'Materiales '!$C$2:$F$1302,3,0)</f>
        <v>-</v>
      </c>
      <c r="D1465" s="99">
        <f>VLOOKUP(A1465,'Materiales '!$C$2:$F$1302,4,0)</f>
        <v>0</v>
      </c>
      <c r="E1465" s="100"/>
      <c r="F1465" s="538">
        <f t="shared" ref="F1465:F1468" si="86">E1465*D1465</f>
        <v>0</v>
      </c>
      <c r="G1465" s="539"/>
      <c r="H1465" s="121"/>
      <c r="I1465">
        <f>E1465*G1447</f>
        <v>0</v>
      </c>
      <c r="J1465" s="68"/>
      <c r="K1465" s="56"/>
      <c r="L1465" s="56"/>
      <c r="M1465" s="56"/>
      <c r="N1465" s="56"/>
      <c r="O1465" s="56"/>
    </row>
    <row r="1466" spans="1:15">
      <c r="A1466" s="536" t="s">
        <v>8</v>
      </c>
      <c r="B1466" s="537" t="str">
        <f>VLOOKUP(A1466,'Materiales '!$C$2:$F$1302,3,0)</f>
        <v>-</v>
      </c>
      <c r="C1466" s="98" t="str">
        <f>VLOOKUP(A1466,'Materiales '!$C$2:$F$1302,3,0)</f>
        <v>-</v>
      </c>
      <c r="D1466" s="99">
        <f>VLOOKUP(A1466,'Materiales '!$C$2:$F$1302,4,0)</f>
        <v>0</v>
      </c>
      <c r="E1466" s="100"/>
      <c r="F1466" s="538">
        <f t="shared" si="86"/>
        <v>0</v>
      </c>
      <c r="G1466" s="539"/>
      <c r="H1466" s="121"/>
      <c r="I1466">
        <f>E1466*G1447</f>
        <v>0</v>
      </c>
      <c r="J1466" s="68"/>
      <c r="K1466" s="56"/>
      <c r="L1466" s="56"/>
      <c r="M1466" s="56"/>
      <c r="N1466" s="56"/>
      <c r="O1466" s="56"/>
    </row>
    <row r="1467" spans="1:15">
      <c r="A1467" s="536" t="s">
        <v>8</v>
      </c>
      <c r="B1467" s="537" t="str">
        <f>VLOOKUP(A1467,'Materiales '!$C$2:$F$1302,3,0)</f>
        <v>-</v>
      </c>
      <c r="C1467" s="98" t="str">
        <f>VLOOKUP(A1467,'Materiales '!$C$2:$F$1302,3,0)</f>
        <v>-</v>
      </c>
      <c r="D1467" s="99">
        <f>VLOOKUP(A1467,'Materiales '!$C$2:$F$1302,4,0)</f>
        <v>0</v>
      </c>
      <c r="E1467" s="100"/>
      <c r="F1467" s="538">
        <f t="shared" si="86"/>
        <v>0</v>
      </c>
      <c r="G1467" s="539"/>
      <c r="H1467" s="121"/>
      <c r="I1467">
        <f>E1467*G1447</f>
        <v>0</v>
      </c>
      <c r="J1467" s="68"/>
      <c r="K1467" s="56"/>
      <c r="L1467" s="56"/>
      <c r="M1467" s="56"/>
      <c r="N1467" s="56"/>
      <c r="O1467" s="56"/>
    </row>
    <row r="1468" spans="1:15">
      <c r="A1468" s="536" t="s">
        <v>8</v>
      </c>
      <c r="B1468" s="537" t="str">
        <f>VLOOKUP(A1468,'Materiales '!$C$2:$F$1302,3,0)</f>
        <v>-</v>
      </c>
      <c r="C1468" s="98" t="str">
        <f>VLOOKUP(A1468,'Materiales '!$C$2:$F$1302,3,0)</f>
        <v>-</v>
      </c>
      <c r="D1468" s="99">
        <f>VLOOKUP(A1468,'Materiales '!$C$2:$F$1302,4,0)</f>
        <v>0</v>
      </c>
      <c r="E1468" s="100"/>
      <c r="F1468" s="538">
        <f t="shared" si="86"/>
        <v>0</v>
      </c>
      <c r="G1468" s="539"/>
      <c r="H1468" s="121"/>
      <c r="I1468">
        <f>E1468*G1447</f>
        <v>0</v>
      </c>
      <c r="J1468" s="68"/>
      <c r="K1468" s="56"/>
      <c r="L1468" s="56"/>
      <c r="M1468" s="56"/>
      <c r="N1468" s="56"/>
      <c r="O1468" s="56"/>
    </row>
    <row r="1469" spans="1:15">
      <c r="A1469" s="536" t="s">
        <v>8</v>
      </c>
      <c r="B1469" s="537" t="str">
        <f>VLOOKUP(A1469,'Materiales '!$C$2:$F$1302,3,0)</f>
        <v>-</v>
      </c>
      <c r="C1469" s="98" t="str">
        <f>VLOOKUP(A1469,'Materiales '!$C$2:$F$1302,3,0)</f>
        <v>-</v>
      </c>
      <c r="D1469" s="99">
        <f>VLOOKUP(A1469,'Materiales '!$C$2:$F$1302,4,0)</f>
        <v>0</v>
      </c>
      <c r="E1469" s="100"/>
      <c r="F1469" s="538">
        <f>E1469*D1469</f>
        <v>0</v>
      </c>
      <c r="G1469" s="539"/>
      <c r="H1469" s="120"/>
      <c r="I1469">
        <f>E1469*G1447</f>
        <v>0</v>
      </c>
      <c r="J1469" s="68"/>
      <c r="K1469" s="56"/>
      <c r="L1469" s="56"/>
      <c r="M1469" s="56"/>
      <c r="N1469" s="56"/>
      <c r="O1469" s="56"/>
    </row>
    <row r="1470" spans="1:15" ht="16.5">
      <c r="A1470" s="540" t="s">
        <v>4099</v>
      </c>
      <c r="B1470" s="541"/>
      <c r="C1470" s="541"/>
      <c r="D1470" s="541"/>
      <c r="E1470" s="541"/>
      <c r="F1470" s="541"/>
      <c r="G1470" s="542"/>
      <c r="H1470" s="116">
        <f>SUM(F1456:F1469)</f>
        <v>568274.04534147168</v>
      </c>
      <c r="J1470" s="68"/>
      <c r="K1470" s="56"/>
      <c r="L1470" s="56"/>
      <c r="M1470" s="56"/>
      <c r="N1470" s="56"/>
      <c r="O1470" s="56"/>
    </row>
    <row r="1471" spans="1:15" ht="16.5">
      <c r="A1471" s="543" t="s">
        <v>4231</v>
      </c>
      <c r="B1471" s="544"/>
      <c r="C1471" s="544"/>
      <c r="D1471" s="544"/>
      <c r="E1471" s="545"/>
      <c r="F1471" s="544"/>
      <c r="G1471" s="544"/>
      <c r="H1471" s="546"/>
      <c r="J1471" s="68"/>
      <c r="K1471" s="56"/>
      <c r="L1471" s="56"/>
      <c r="M1471" s="56"/>
      <c r="N1471" s="56"/>
      <c r="O1471" s="56"/>
    </row>
    <row r="1472" spans="1:15">
      <c r="A1472" s="547" t="s">
        <v>7</v>
      </c>
      <c r="B1472" s="548"/>
      <c r="C1472" s="108" t="s">
        <v>4232</v>
      </c>
      <c r="D1472" s="107" t="s">
        <v>4233</v>
      </c>
      <c r="E1472" s="206" t="s">
        <v>4234</v>
      </c>
      <c r="F1472" s="549" t="s">
        <v>4218</v>
      </c>
      <c r="G1472" s="549"/>
      <c r="H1472" s="119"/>
      <c r="K1472" s="56"/>
      <c r="L1472" s="56"/>
      <c r="M1472" s="56"/>
      <c r="N1472" s="56"/>
      <c r="O1472" s="56"/>
    </row>
    <row r="1473" spans="1:13">
      <c r="A1473" s="550" t="s">
        <v>3928</v>
      </c>
      <c r="B1473" s="551"/>
      <c r="C1473" s="232">
        <v>1</v>
      </c>
      <c r="D1473" s="102">
        <v>0.03</v>
      </c>
      <c r="E1473" s="103">
        <f>VLOOKUP(A1473,'Equip, Herr y Transp'!$B$2:$D$218,3,0)</f>
        <v>160000</v>
      </c>
      <c r="F1473" s="552">
        <f>E1473*D1473*C1473</f>
        <v>4800</v>
      </c>
      <c r="G1473" s="553"/>
      <c r="H1473" s="117"/>
      <c r="M1473" s="56"/>
    </row>
    <row r="1474" spans="1:13" ht="16.5">
      <c r="A1474" s="554" t="s">
        <v>4216</v>
      </c>
      <c r="B1474" s="555"/>
      <c r="C1474" s="555"/>
      <c r="D1474" s="555"/>
      <c r="E1474" s="555"/>
      <c r="F1474" s="555"/>
      <c r="G1474" s="555"/>
      <c r="H1474" s="105">
        <f>F1473</f>
        <v>4800</v>
      </c>
    </row>
    <row r="1475" spans="1:13" ht="16.5">
      <c r="A1475" s="543" t="s">
        <v>4235</v>
      </c>
      <c r="B1475" s="544"/>
      <c r="C1475" s="544"/>
      <c r="D1475" s="544"/>
      <c r="E1475" s="544"/>
      <c r="F1475" s="544"/>
      <c r="G1475" s="544"/>
      <c r="H1475" s="546"/>
    </row>
    <row r="1476" spans="1:13">
      <c r="A1476" s="547" t="s">
        <v>7</v>
      </c>
      <c r="B1476" s="548"/>
      <c r="C1476" s="106" t="s">
        <v>1</v>
      </c>
      <c r="D1476" s="107" t="s">
        <v>4236</v>
      </c>
      <c r="E1476" s="108" t="s">
        <v>4215</v>
      </c>
      <c r="F1476" s="547" t="s">
        <v>5</v>
      </c>
      <c r="G1476" s="556"/>
      <c r="H1476" s="119"/>
    </row>
    <row r="1477" spans="1:13">
      <c r="A1477" s="550" t="s">
        <v>4196</v>
      </c>
      <c r="B1477" s="551"/>
      <c r="C1477" s="101">
        <v>1</v>
      </c>
      <c r="D1477" s="104">
        <f>VLOOKUP(A1477,'Mano Obra'!$B$2:$T$117,19,0)</f>
        <v>166624</v>
      </c>
      <c r="E1477" s="246">
        <f>H1440</f>
        <v>5.21E-2</v>
      </c>
      <c r="F1477" s="538">
        <f>E1477*D1477*C1477</f>
        <v>8681.1103999999996</v>
      </c>
      <c r="G1477" s="557"/>
      <c r="H1477" s="121"/>
      <c r="I1477" s="69"/>
      <c r="J1477" s="136">
        <f>((('Mano Obra'!$M$4/30)*F1477)/D1477)*G1447</f>
        <v>0</v>
      </c>
    </row>
    <row r="1478" spans="1:13">
      <c r="A1478" s="558" t="s">
        <v>4197</v>
      </c>
      <c r="B1478" s="559">
        <f>VLOOKUP(A1478,'Mano Obra'!$B$3:$D$290,2,0)</f>
        <v>2090000.0000000002</v>
      </c>
      <c r="C1478" s="101">
        <v>1</v>
      </c>
      <c r="D1478" s="104">
        <f>VLOOKUP(A1478,'Mano Obra'!$B$2:$T$117,19,0)</f>
        <v>120456</v>
      </c>
      <c r="E1478" s="246">
        <f>H1440</f>
        <v>5.21E-2</v>
      </c>
      <c r="F1478" s="538">
        <f t="shared" ref="F1478:F1479" si="87">E1478*D1478*C1478</f>
        <v>6275.7575999999999</v>
      </c>
      <c r="G1478" s="557"/>
      <c r="H1478" s="121"/>
      <c r="J1478" s="136">
        <f>((('Mano Obra'!$M$5/30)*F1478)/D1478)*G1447</f>
        <v>0</v>
      </c>
    </row>
    <row r="1479" spans="1:13">
      <c r="A1479" s="558" t="s">
        <v>4186</v>
      </c>
      <c r="B1479" s="559">
        <f>VLOOKUP(A1479,'Mano Obra'!$B$3:$D$290,2,0)</f>
        <v>1100000</v>
      </c>
      <c r="C1479" s="101">
        <v>1</v>
      </c>
      <c r="D1479" s="104">
        <f>VLOOKUP(A1479,'Mano Obra'!$B$2:$T$117,19,0)</f>
        <v>72664</v>
      </c>
      <c r="E1479" s="246">
        <f>H1440</f>
        <v>5.21E-2</v>
      </c>
      <c r="F1479" s="538">
        <f t="shared" si="87"/>
        <v>3785.7944000000002</v>
      </c>
      <c r="G1479" s="557"/>
      <c r="H1479" s="120"/>
      <c r="J1479" s="136">
        <f>((('Mano Obra'!$M$6/30)*F1479)/D1479)*G1447</f>
        <v>0</v>
      </c>
    </row>
    <row r="1480" spans="1:13" ht="16.5">
      <c r="A1480" s="560" t="s">
        <v>4101</v>
      </c>
      <c r="B1480" s="560"/>
      <c r="C1480" s="560"/>
      <c r="D1480" s="560"/>
      <c r="E1480" s="560"/>
      <c r="F1480" s="560"/>
      <c r="G1480" s="560"/>
      <c r="H1480" s="105">
        <f>SUM(F1477:F1479)</f>
        <v>18742.662399999997</v>
      </c>
      <c r="J1480" s="136"/>
    </row>
    <row r="1481" spans="1:13">
      <c r="A1481" s="227" t="s">
        <v>4237</v>
      </c>
      <c r="B1481" s="205"/>
      <c r="C1481" s="205"/>
      <c r="D1481" s="202"/>
      <c r="E1481" s="203"/>
      <c r="F1481" s="204"/>
      <c r="G1481" s="203"/>
      <c r="H1481" s="212"/>
    </row>
    <row r="1482" spans="1:13">
      <c r="A1482" s="561" t="s">
        <v>4224</v>
      </c>
      <c r="B1482" s="562"/>
      <c r="C1482" s="562"/>
      <c r="D1482" s="562"/>
      <c r="E1482" s="200"/>
      <c r="F1482" s="201" t="s">
        <v>4238</v>
      </c>
      <c r="G1482" s="200" t="s">
        <v>4239</v>
      </c>
      <c r="H1482" s="213"/>
    </row>
    <row r="1483" spans="1:13">
      <c r="A1483" s="223" t="s">
        <v>4097</v>
      </c>
      <c r="B1483" s="72"/>
      <c r="C1483" s="72"/>
      <c r="D1483" s="73"/>
      <c r="E1483" s="78"/>
      <c r="F1483" s="79">
        <v>0</v>
      </c>
      <c r="G1483" s="80">
        <f>F1483*H1448</f>
        <v>0</v>
      </c>
      <c r="H1483" s="212"/>
    </row>
    <row r="1484" spans="1:13">
      <c r="A1484" s="224" t="s">
        <v>4240</v>
      </c>
      <c r="B1484" s="81"/>
      <c r="C1484" s="81"/>
      <c r="D1484" s="82"/>
      <c r="E1484" s="78"/>
      <c r="F1484" s="79">
        <v>0</v>
      </c>
      <c r="G1484" s="80">
        <f>F1484*H1448</f>
        <v>0</v>
      </c>
      <c r="H1484" s="212"/>
    </row>
    <row r="1485" spans="1:13">
      <c r="A1485" s="224" t="s">
        <v>4</v>
      </c>
      <c r="B1485" s="81"/>
      <c r="C1485" s="81"/>
      <c r="D1485" s="82"/>
      <c r="E1485" s="78"/>
      <c r="F1485" s="79">
        <v>0</v>
      </c>
      <c r="G1485" s="80">
        <f>F1485*H1448</f>
        <v>0</v>
      </c>
      <c r="H1485" s="212"/>
    </row>
    <row r="1486" spans="1:13">
      <c r="A1486" s="225"/>
      <c r="B1486" s="83"/>
      <c r="C1486" s="75"/>
      <c r="D1486" s="84"/>
      <c r="E1486" s="85"/>
      <c r="F1486" s="86"/>
      <c r="G1486" s="87"/>
      <c r="H1486" s="214"/>
    </row>
    <row r="1487" spans="1:13">
      <c r="A1487" s="226"/>
      <c r="B1487" s="83"/>
      <c r="C1487" s="83"/>
      <c r="D1487" s="84"/>
      <c r="E1487" s="88"/>
      <c r="F1487" s="563" t="s">
        <v>4241</v>
      </c>
      <c r="G1487" s="564"/>
      <c r="H1487" s="233">
        <f>H1448+G1483+G1484+G1485</f>
        <v>595179.89299147169</v>
      </c>
    </row>
    <row r="1489" spans="1:14" ht="16.5">
      <c r="A1489" s="90"/>
      <c r="B1489" s="90"/>
      <c r="C1489" s="90"/>
      <c r="D1489" s="90"/>
      <c r="E1489" s="90"/>
      <c r="F1489" s="90"/>
      <c r="G1489" s="90"/>
      <c r="H1489" s="381"/>
    </row>
    <row r="1490" spans="1:14">
      <c r="A1490" s="579" t="s">
        <v>4225</v>
      </c>
      <c r="B1490" s="580"/>
      <c r="C1490" s="580"/>
      <c r="D1490" s="580"/>
      <c r="E1490" s="580"/>
      <c r="F1490" s="580"/>
      <c r="G1490" s="580"/>
      <c r="H1490" s="581"/>
    </row>
    <row r="1491" spans="1:14" ht="16.5">
      <c r="A1491" s="91"/>
      <c r="B1491" s="92"/>
      <c r="C1491" s="92"/>
      <c r="D1491" s="92"/>
      <c r="E1491" s="92"/>
      <c r="F1491" s="93"/>
      <c r="G1491" s="94"/>
      <c r="H1491" s="380">
        <f>ROUND((25/60)/8,4)</f>
        <v>5.21E-2</v>
      </c>
      <c r="I1491" s="115"/>
    </row>
    <row r="1492" spans="1:14">
      <c r="A1492" s="582" t="s">
        <v>4220</v>
      </c>
      <c r="B1492" s="584" t="str">
        <f>COSTOS!$C$14</f>
        <v>MODERNIZACION A TECNOLOGIA LED</v>
      </c>
      <c r="C1492" s="584"/>
      <c r="D1492" s="584"/>
      <c r="E1492" s="584"/>
      <c r="F1492" s="584"/>
      <c r="G1492" s="584"/>
      <c r="H1492" s="585" t="s">
        <v>4221</v>
      </c>
    </row>
    <row r="1493" spans="1:14">
      <c r="A1493" s="583"/>
      <c r="B1493" s="584"/>
      <c r="C1493" s="584"/>
      <c r="D1493" s="584"/>
      <c r="E1493" s="584"/>
      <c r="F1493" s="584"/>
      <c r="G1493" s="584"/>
      <c r="H1493" s="585"/>
    </row>
    <row r="1494" spans="1:14">
      <c r="A1494" s="583"/>
      <c r="B1494" s="584"/>
      <c r="C1494" s="584"/>
      <c r="D1494" s="584"/>
      <c r="E1494" s="584"/>
      <c r="F1494" s="584"/>
      <c r="G1494" s="584"/>
      <c r="H1494" s="585"/>
    </row>
    <row r="1495" spans="1:14" ht="15" customHeight="1">
      <c r="A1495" s="583"/>
      <c r="B1495" s="584"/>
      <c r="C1495" s="584"/>
      <c r="D1495" s="584"/>
      <c r="E1495" s="584"/>
      <c r="F1495" s="584"/>
      <c r="G1495" s="584"/>
      <c r="H1495" s="216">
        <f ca="1">TODAY()</f>
        <v>44889</v>
      </c>
      <c r="K1495" t="s">
        <v>4391</v>
      </c>
      <c r="L1495" t="s">
        <v>4392</v>
      </c>
      <c r="M1495" t="s">
        <v>4393</v>
      </c>
      <c r="N1495" t="s">
        <v>4394</v>
      </c>
    </row>
    <row r="1496" spans="1:14" ht="60.75" customHeight="1">
      <c r="A1496" s="228" t="s">
        <v>4222</v>
      </c>
      <c r="B1496" s="565" t="str">
        <f>COSTOS!$D$16</f>
        <v>Luminarias</v>
      </c>
      <c r="C1496" s="565"/>
      <c r="D1496" s="565"/>
      <c r="E1496" s="565"/>
      <c r="F1496" s="565"/>
      <c r="G1496" s="70" t="s">
        <v>4223</v>
      </c>
      <c r="H1496" s="391" t="s">
        <v>4689</v>
      </c>
      <c r="K1496" s="62">
        <f>H1521</f>
        <v>678825.08745697304</v>
      </c>
      <c r="L1496" s="62">
        <f>H1531</f>
        <v>18742.662399999997</v>
      </c>
      <c r="M1496" s="62">
        <f>H1504</f>
        <v>3363.18525</v>
      </c>
      <c r="N1496" s="62">
        <f>H1525</f>
        <v>4800</v>
      </c>
    </row>
    <row r="1497" spans="1:14" ht="43.15" customHeight="1">
      <c r="A1497" s="229" t="s">
        <v>4224</v>
      </c>
      <c r="B1497" s="566" t="str">
        <f>VLOOKUP(H1496,COSTOS!C:M,2,0)</f>
        <v>Luminaria Mercurio 100w</v>
      </c>
      <c r="C1497" s="567"/>
      <c r="D1497" s="567"/>
      <c r="E1497" s="568"/>
      <c r="F1497" s="71" t="s">
        <v>0</v>
      </c>
      <c r="G1497" s="356" t="str">
        <f>VLOOKUP(H1496,COSTOS!C:M,8,0)</f>
        <v>Und</v>
      </c>
      <c r="H1497" s="276"/>
      <c r="I1497" s="306"/>
      <c r="J1497" s="308"/>
      <c r="K1497" s="308"/>
      <c r="L1497" s="308"/>
    </row>
    <row r="1498" spans="1:14">
      <c r="A1498" s="230"/>
      <c r="B1498" s="112"/>
      <c r="C1498" s="112"/>
      <c r="D1498" s="112"/>
      <c r="E1498" s="113"/>
      <c r="F1498" s="114" t="s">
        <v>1</v>
      </c>
      <c r="G1498" s="356">
        <f>VLOOKUP(H1496,COSTOS!C:M,9,0)</f>
        <v>0</v>
      </c>
      <c r="H1498" s="357"/>
      <c r="I1498" s="307"/>
    </row>
    <row r="1499" spans="1:14" ht="16.5">
      <c r="A1499" s="231" t="s">
        <v>4226</v>
      </c>
      <c r="B1499" s="75"/>
      <c r="C1499" s="75"/>
      <c r="D1499" s="76"/>
      <c r="E1499" s="209"/>
      <c r="F1499" s="210"/>
      <c r="G1499" s="211" t="s">
        <v>4227</v>
      </c>
      <c r="H1499" s="217">
        <f>H1504+H1521+H1525+H1531</f>
        <v>705730.93510697305</v>
      </c>
    </row>
    <row r="1500" spans="1:14" ht="39">
      <c r="A1500" s="569" t="s">
        <v>4224</v>
      </c>
      <c r="B1500" s="569"/>
      <c r="C1500" s="569"/>
      <c r="D1500" s="77" t="s">
        <v>0</v>
      </c>
      <c r="E1500" s="207" t="s">
        <v>4228</v>
      </c>
      <c r="F1500" s="208" t="s">
        <v>4215</v>
      </c>
      <c r="G1500" s="74" t="s">
        <v>2</v>
      </c>
      <c r="H1500" s="218" t="s">
        <v>4229</v>
      </c>
      <c r="K1500" s="309"/>
    </row>
    <row r="1501" spans="1:14">
      <c r="A1501" s="536" t="s">
        <v>3946</v>
      </c>
      <c r="B1501" s="570" t="str">
        <f>VLOOKUP(A1501,'Equip, Herr y Transp'!$B$2:$D$739,2,0)</f>
        <v>EQU</v>
      </c>
      <c r="C1501" s="570"/>
      <c r="D1501" s="95" t="str">
        <f>VLOOKUP(A1501,'Equip, Herr y Transp'!$B$2:$D$218,2,0)</f>
        <v>EQU</v>
      </c>
      <c r="E1501" s="95">
        <f>VLOOKUP(A1501,'Equip, Herr y Transp'!$B$2:$D$218,3,0)</f>
        <v>14130</v>
      </c>
      <c r="F1501" s="96">
        <f>H1491</f>
        <v>5.21E-2</v>
      </c>
      <c r="G1501" s="122">
        <f>F1501*E1501</f>
        <v>736.173</v>
      </c>
      <c r="H1501" s="118"/>
    </row>
    <row r="1502" spans="1:14">
      <c r="A1502" s="536" t="s">
        <v>3904</v>
      </c>
      <c r="B1502" s="570" t="str">
        <f>VLOOKUP(A1502,'Equip, Herr y Transp'!$B$2:$D$739,2,0)</f>
        <v>EQU</v>
      </c>
      <c r="C1502" s="570"/>
      <c r="D1502" s="95" t="str">
        <f>VLOOKUP(A1502,'Equip, Herr y Transp'!$B$2:$D$218,2,0)</f>
        <v>EQU</v>
      </c>
      <c r="E1502" s="95">
        <f>VLOOKUP(A1502,'Equip, Herr y Transp'!$B$2:$D$218,3,0)</f>
        <v>26672.5</v>
      </c>
      <c r="F1502" s="96">
        <f>H1491</f>
        <v>5.21E-2</v>
      </c>
      <c r="G1502" s="122">
        <f>F1502*E1502</f>
        <v>1389.63725</v>
      </c>
      <c r="H1502" s="117"/>
    </row>
    <row r="1503" spans="1:14">
      <c r="A1503" s="536" t="s">
        <v>3937</v>
      </c>
      <c r="B1503" s="570" t="str">
        <f>VLOOKUP(A1503,'Equip, Herr y Transp'!$B$2:$D$739,2,0)</f>
        <v>EQU</v>
      </c>
      <c r="C1503" s="570"/>
      <c r="D1503" s="95" t="str">
        <f>VLOOKUP(A1503,'Equip, Herr y Transp'!$B$2:$D$218,2,0)</f>
        <v>EQU</v>
      </c>
      <c r="E1503" s="95">
        <f>VLOOKUP(A1503,'Equip, Herr y Transp'!$B$2:$D$218,3,0)</f>
        <v>23750</v>
      </c>
      <c r="F1503" s="96">
        <f>H1491</f>
        <v>5.21E-2</v>
      </c>
      <c r="G1503" s="122">
        <f>F1503*E1503</f>
        <v>1237.375</v>
      </c>
      <c r="H1503" s="117"/>
    </row>
    <row r="1504" spans="1:14" ht="16.5">
      <c r="A1504" s="540" t="s">
        <v>4100</v>
      </c>
      <c r="B1504" s="541"/>
      <c r="C1504" s="541"/>
      <c r="D1504" s="541"/>
      <c r="E1504" s="541"/>
      <c r="F1504" s="541"/>
      <c r="G1504" s="541"/>
      <c r="H1504" s="97">
        <f>SUM(G1501:G1503)</f>
        <v>3363.18525</v>
      </c>
    </row>
    <row r="1505" spans="1:15" ht="16.5">
      <c r="A1505" s="571" t="s">
        <v>4230</v>
      </c>
      <c r="B1505" s="572"/>
      <c r="C1505" s="572"/>
      <c r="D1505" s="572"/>
      <c r="E1505" s="572"/>
      <c r="F1505" s="572"/>
      <c r="G1505" s="572"/>
      <c r="H1505" s="573"/>
      <c r="K1505" s="56"/>
      <c r="L1505" s="56"/>
      <c r="M1505" s="56"/>
      <c r="N1505" s="56"/>
      <c r="O1505" s="56"/>
    </row>
    <row r="1506" spans="1:15" ht="30" customHeight="1">
      <c r="A1506" s="574" t="s">
        <v>7</v>
      </c>
      <c r="B1506" s="575"/>
      <c r="C1506" s="109" t="s">
        <v>0</v>
      </c>
      <c r="D1506" s="110" t="s">
        <v>4098</v>
      </c>
      <c r="E1506" s="111" t="s">
        <v>1</v>
      </c>
      <c r="F1506" s="576" t="s">
        <v>4218</v>
      </c>
      <c r="G1506" s="576"/>
      <c r="H1506" s="215"/>
      <c r="K1506" s="56"/>
      <c r="L1506" s="56"/>
      <c r="M1506" s="56"/>
      <c r="N1506" s="56"/>
      <c r="O1506" s="56"/>
    </row>
    <row r="1507" spans="1:15">
      <c r="A1507" s="577" t="s">
        <v>4682</v>
      </c>
      <c r="B1507" s="578"/>
      <c r="C1507" s="98" t="str">
        <f>VLOOKUP(A1507,'Materiales '!$C$2:$F$1302,3,0)</f>
        <v>Und</v>
      </c>
      <c r="D1507" s="99">
        <f>VLOOKUP(A1507,'Materiales '!$C$2:$F$1302,4,0)</f>
        <v>453078.04145697301</v>
      </c>
      <c r="E1507" s="100">
        <v>1</v>
      </c>
      <c r="F1507" s="538">
        <f>E1507*D1507</f>
        <v>453078.04145697301</v>
      </c>
      <c r="G1507" s="539"/>
      <c r="H1507" s="121"/>
      <c r="I1507">
        <f>E1507*G1498</f>
        <v>0</v>
      </c>
      <c r="J1507" s="67"/>
      <c r="K1507" s="56"/>
      <c r="L1507" s="56"/>
      <c r="M1507" s="56"/>
      <c r="N1507" s="56"/>
      <c r="O1507" s="56"/>
    </row>
    <row r="1508" spans="1:15">
      <c r="A1508" s="577" t="s">
        <v>4214</v>
      </c>
      <c r="B1508" s="578"/>
      <c r="C1508" s="98" t="str">
        <f>VLOOKUP(A1508,'Materiales '!$C$2:$F$1302,3,0)</f>
        <v>Und</v>
      </c>
      <c r="D1508" s="99">
        <f>VLOOKUP(A1508,'Materiales '!$C$2:$F$1302,4,0)</f>
        <v>22848</v>
      </c>
      <c r="E1508" s="100">
        <v>1</v>
      </c>
      <c r="F1508" s="538">
        <f t="shared" ref="F1508:F1514" si="88">E1508*D1508</f>
        <v>22848</v>
      </c>
      <c r="G1508" s="539"/>
      <c r="H1508" s="121"/>
      <c r="I1508">
        <f>E1508*G1498</f>
        <v>0</v>
      </c>
      <c r="J1508" s="67"/>
      <c r="K1508" s="56"/>
      <c r="L1508" s="56"/>
      <c r="M1508" s="56"/>
      <c r="N1508" s="56"/>
      <c r="O1508" s="56"/>
    </row>
    <row r="1509" spans="1:15">
      <c r="A1509" s="536" t="s">
        <v>4484</v>
      </c>
      <c r="B1509" s="537" t="str">
        <f>VLOOKUP(A1509,'Materiales '!$C$2:$F$1302,3,0)</f>
        <v>Und</v>
      </c>
      <c r="C1509" s="98" t="str">
        <f>VLOOKUP(A1509,'Materiales '!$C$2:$F$1302,3,0)</f>
        <v>Und</v>
      </c>
      <c r="D1509" s="99">
        <f>VLOOKUP(A1509,'Materiales '!$C$2:$F$1302,4,0)</f>
        <v>21705.599999999999</v>
      </c>
      <c r="E1509" s="100">
        <v>2</v>
      </c>
      <c r="F1509" s="538">
        <f t="shared" si="88"/>
        <v>43411.199999999997</v>
      </c>
      <c r="G1509" s="539"/>
      <c r="H1509" s="121"/>
      <c r="I1509">
        <f>E1509*G1498</f>
        <v>0</v>
      </c>
      <c r="J1509" s="68"/>
      <c r="K1509" s="56"/>
      <c r="L1509" s="56"/>
      <c r="M1509" s="56"/>
      <c r="N1509" s="56"/>
      <c r="O1509" s="56"/>
    </row>
    <row r="1510" spans="1:15">
      <c r="A1510" s="536" t="s">
        <v>4489</v>
      </c>
      <c r="B1510" s="537" t="str">
        <f>VLOOKUP(A1510,'Materiales '!$C$2:$F$1302,3,0)</f>
        <v>Und</v>
      </c>
      <c r="C1510" s="98" t="str">
        <f>VLOOKUP(A1510,'Materiales '!$C$2:$F$1302,3,0)</f>
        <v>Und</v>
      </c>
      <c r="D1510" s="99">
        <f>VLOOKUP(A1510,'Materiales '!$C$2:$F$1302,4,0)</f>
        <v>8039.6399999999994</v>
      </c>
      <c r="E1510" s="100">
        <v>3</v>
      </c>
      <c r="F1510" s="538">
        <f t="shared" si="88"/>
        <v>24118.92</v>
      </c>
      <c r="G1510" s="539"/>
      <c r="H1510" s="121"/>
      <c r="I1510">
        <f>E1510*G1498</f>
        <v>0</v>
      </c>
      <c r="J1510" s="68"/>
      <c r="K1510" s="56"/>
      <c r="L1510" s="56"/>
      <c r="M1510" s="56"/>
      <c r="N1510" s="56"/>
      <c r="O1510" s="56"/>
    </row>
    <row r="1511" spans="1:15">
      <c r="A1511" s="536" t="s">
        <v>4554</v>
      </c>
      <c r="B1511" s="537" t="str">
        <f>VLOOKUP(A1511,'Materiales '!$C$2:$F$1302,3,0)</f>
        <v>Und</v>
      </c>
      <c r="C1511" s="98" t="str">
        <f>VLOOKUP(A1511,'Materiales '!$C$2:$F$1302,3,0)</f>
        <v>Und</v>
      </c>
      <c r="D1511" s="99">
        <f>VLOOKUP(A1511,'Materiales '!$C$2:$F$1302,4,0)</f>
        <v>2535.5329999999999</v>
      </c>
      <c r="E1511" s="100">
        <v>2</v>
      </c>
      <c r="F1511" s="538">
        <f t="shared" si="88"/>
        <v>5071.0659999999998</v>
      </c>
      <c r="G1511" s="539"/>
      <c r="H1511" s="121"/>
      <c r="I1511">
        <f>E1511*G1498</f>
        <v>0</v>
      </c>
      <c r="J1511" s="68"/>
      <c r="K1511" s="56"/>
      <c r="L1511" s="56"/>
      <c r="M1511" s="56"/>
      <c r="N1511" s="56"/>
      <c r="O1511" s="56"/>
    </row>
    <row r="1512" spans="1:15">
      <c r="A1512" s="536" t="s">
        <v>4450</v>
      </c>
      <c r="B1512" s="537" t="str">
        <f>VLOOKUP(A1512,'Materiales '!$C$2:$F$1302,3,0)</f>
        <v>Ml</v>
      </c>
      <c r="C1512" s="98" t="str">
        <f>VLOOKUP(A1512,'Materiales '!$C$2:$F$1302,3,0)</f>
        <v>Ml</v>
      </c>
      <c r="D1512" s="99">
        <f>VLOOKUP(A1512,'Materiales '!$C$2:$F$1302,4,0)</f>
        <v>6791.5679999999993</v>
      </c>
      <c r="E1512" s="100">
        <v>1</v>
      </c>
      <c r="F1512" s="538">
        <f t="shared" si="88"/>
        <v>6791.5679999999993</v>
      </c>
      <c r="G1512" s="539"/>
      <c r="H1512" s="121"/>
      <c r="I1512">
        <f>E1512*G1498</f>
        <v>0</v>
      </c>
      <c r="J1512" s="68"/>
      <c r="K1512" s="56"/>
      <c r="L1512" s="56"/>
      <c r="M1512" s="56"/>
      <c r="N1512" s="56"/>
      <c r="O1512" s="56"/>
    </row>
    <row r="1513" spans="1:15">
      <c r="A1513" s="536" t="s">
        <v>4493</v>
      </c>
      <c r="B1513" s="537" t="str">
        <f>VLOOKUP(A1513,'Materiales '!$C$2:$F$1302,3,0)</f>
        <v>Und</v>
      </c>
      <c r="C1513" s="98" t="str">
        <f>VLOOKUP(A1513,'Materiales '!$C$2:$F$1302,3,0)</f>
        <v>Und</v>
      </c>
      <c r="D1513" s="99">
        <f>VLOOKUP(A1513,'Materiales '!$C$2:$F$1302,4,0)</f>
        <v>232.76399999999998</v>
      </c>
      <c r="E1513" s="100">
        <v>3</v>
      </c>
      <c r="F1513" s="538">
        <f t="shared" si="88"/>
        <v>698.29199999999992</v>
      </c>
      <c r="G1513" s="539"/>
      <c r="H1513" s="121"/>
      <c r="I1513">
        <f>E1513*G1498</f>
        <v>0</v>
      </c>
      <c r="J1513" s="68"/>
      <c r="K1513" s="56"/>
      <c r="L1513" s="56"/>
      <c r="M1513" s="56"/>
      <c r="N1513" s="56"/>
      <c r="O1513" s="56"/>
    </row>
    <row r="1514" spans="1:15" ht="21.75" customHeight="1">
      <c r="A1514" s="536" t="s">
        <v>4435</v>
      </c>
      <c r="B1514" s="537" t="str">
        <f>VLOOKUP(A1514,'Materiales '!$C$2:$F$1302,3,0)</f>
        <v>Und</v>
      </c>
      <c r="C1514" s="98" t="str">
        <f>VLOOKUP(A1514,'Materiales '!$C$2:$F$1302,3,0)</f>
        <v>Und</v>
      </c>
      <c r="D1514" s="99">
        <f>VLOOKUP(A1514,'Materiales '!$C$2:$F$1302,4,0)</f>
        <v>122808</v>
      </c>
      <c r="E1514" s="100">
        <v>1</v>
      </c>
      <c r="F1514" s="538">
        <f t="shared" si="88"/>
        <v>122808</v>
      </c>
      <c r="G1514" s="539"/>
      <c r="H1514" s="121"/>
      <c r="I1514">
        <f>E1514*G1498</f>
        <v>0</v>
      </c>
      <c r="J1514" s="68"/>
      <c r="K1514" s="56"/>
      <c r="L1514" s="56"/>
      <c r="M1514" s="56"/>
      <c r="N1514" s="56"/>
      <c r="O1514" s="56"/>
    </row>
    <row r="1515" spans="1:15">
      <c r="A1515" s="536" t="s">
        <v>8</v>
      </c>
      <c r="B1515" s="537" t="str">
        <f>VLOOKUP(A1515,'Materiales '!$C$2:$F$1302,3,0)</f>
        <v>-</v>
      </c>
      <c r="C1515" s="98" t="str">
        <f>VLOOKUP(A1515,'Materiales '!$C$2:$F$1302,3,0)</f>
        <v>-</v>
      </c>
      <c r="D1515" s="99">
        <f>VLOOKUP(A1515,'Materiales '!$C$2:$F$1302,4,0)</f>
        <v>0</v>
      </c>
      <c r="E1515" s="100"/>
      <c r="F1515" s="538">
        <f>E1515*D1515</f>
        <v>0</v>
      </c>
      <c r="G1515" s="539"/>
      <c r="H1515" s="120"/>
      <c r="I1515">
        <f>E1515*G1498</f>
        <v>0</v>
      </c>
      <c r="J1515" s="68"/>
      <c r="K1515" s="56"/>
      <c r="L1515" s="56"/>
      <c r="M1515" s="56"/>
      <c r="N1515" s="56"/>
      <c r="O1515" s="56"/>
    </row>
    <row r="1516" spans="1:15">
      <c r="A1516" s="536" t="s">
        <v>8</v>
      </c>
      <c r="B1516" s="537" t="str">
        <f>VLOOKUP(A1516,'Materiales '!$C$2:$F$1302,3,0)</f>
        <v>-</v>
      </c>
      <c r="C1516" s="98" t="str">
        <f>VLOOKUP(A1516,'Materiales '!$C$2:$F$1302,3,0)</f>
        <v>-</v>
      </c>
      <c r="D1516" s="99">
        <f>VLOOKUP(A1516,'Materiales '!$C$2:$F$1302,4,0)</f>
        <v>0</v>
      </c>
      <c r="E1516" s="100"/>
      <c r="F1516" s="538">
        <f t="shared" ref="F1516:F1519" si="89">E1516*D1516</f>
        <v>0</v>
      </c>
      <c r="G1516" s="539"/>
      <c r="H1516" s="121"/>
      <c r="I1516">
        <f>E1516*G1498</f>
        <v>0</v>
      </c>
      <c r="J1516" s="68"/>
      <c r="K1516" s="56"/>
      <c r="L1516" s="56"/>
      <c r="M1516" s="56"/>
      <c r="N1516" s="56"/>
      <c r="O1516" s="56"/>
    </row>
    <row r="1517" spans="1:15">
      <c r="A1517" s="536" t="s">
        <v>8</v>
      </c>
      <c r="B1517" s="537" t="str">
        <f>VLOOKUP(A1517,'Materiales '!$C$2:$F$1302,3,0)</f>
        <v>-</v>
      </c>
      <c r="C1517" s="98" t="str">
        <f>VLOOKUP(A1517,'Materiales '!$C$2:$F$1302,3,0)</f>
        <v>-</v>
      </c>
      <c r="D1517" s="99">
        <f>VLOOKUP(A1517,'Materiales '!$C$2:$F$1302,4,0)</f>
        <v>0</v>
      </c>
      <c r="E1517" s="100"/>
      <c r="F1517" s="538">
        <f t="shared" si="89"/>
        <v>0</v>
      </c>
      <c r="G1517" s="539"/>
      <c r="H1517" s="121"/>
      <c r="I1517">
        <f>E1517*G1498</f>
        <v>0</v>
      </c>
      <c r="J1517" s="68"/>
      <c r="K1517" s="56"/>
      <c r="L1517" s="56"/>
      <c r="M1517" s="56"/>
      <c r="N1517" s="56"/>
      <c r="O1517" s="56"/>
    </row>
    <row r="1518" spans="1:15">
      <c r="A1518" s="536" t="s">
        <v>8</v>
      </c>
      <c r="B1518" s="537" t="str">
        <f>VLOOKUP(A1518,'Materiales '!$C$2:$F$1302,3,0)</f>
        <v>-</v>
      </c>
      <c r="C1518" s="98" t="str">
        <f>VLOOKUP(A1518,'Materiales '!$C$2:$F$1302,3,0)</f>
        <v>-</v>
      </c>
      <c r="D1518" s="99">
        <f>VLOOKUP(A1518,'Materiales '!$C$2:$F$1302,4,0)</f>
        <v>0</v>
      </c>
      <c r="E1518" s="100"/>
      <c r="F1518" s="538">
        <f t="shared" si="89"/>
        <v>0</v>
      </c>
      <c r="G1518" s="539"/>
      <c r="H1518" s="121"/>
      <c r="I1518">
        <f>E1518*G1498</f>
        <v>0</v>
      </c>
      <c r="J1518" s="68"/>
      <c r="K1518" s="56"/>
      <c r="L1518" s="56"/>
      <c r="M1518" s="56"/>
      <c r="N1518" s="56"/>
      <c r="O1518" s="56"/>
    </row>
    <row r="1519" spans="1:15">
      <c r="A1519" s="536" t="s">
        <v>8</v>
      </c>
      <c r="B1519" s="537" t="str">
        <f>VLOOKUP(A1519,'Materiales '!$C$2:$F$1302,3,0)</f>
        <v>-</v>
      </c>
      <c r="C1519" s="98" t="str">
        <f>VLOOKUP(A1519,'Materiales '!$C$2:$F$1302,3,0)</f>
        <v>-</v>
      </c>
      <c r="D1519" s="99">
        <f>VLOOKUP(A1519,'Materiales '!$C$2:$F$1302,4,0)</f>
        <v>0</v>
      </c>
      <c r="E1519" s="100"/>
      <c r="F1519" s="538">
        <f t="shared" si="89"/>
        <v>0</v>
      </c>
      <c r="G1519" s="539"/>
      <c r="H1519" s="121"/>
      <c r="I1519">
        <f>E1519*G1498</f>
        <v>0</v>
      </c>
      <c r="J1519" s="68"/>
      <c r="K1519" s="56"/>
      <c r="L1519" s="56"/>
      <c r="M1519" s="56"/>
      <c r="N1519" s="56"/>
      <c r="O1519" s="56"/>
    </row>
    <row r="1520" spans="1:15">
      <c r="A1520" s="536" t="s">
        <v>8</v>
      </c>
      <c r="B1520" s="537" t="str">
        <f>VLOOKUP(A1520,'Materiales '!$C$2:$F$1302,3,0)</f>
        <v>-</v>
      </c>
      <c r="C1520" s="98" t="str">
        <f>VLOOKUP(A1520,'Materiales '!$C$2:$F$1302,3,0)</f>
        <v>-</v>
      </c>
      <c r="D1520" s="99">
        <f>VLOOKUP(A1520,'Materiales '!$C$2:$F$1302,4,0)</f>
        <v>0</v>
      </c>
      <c r="E1520" s="100"/>
      <c r="F1520" s="538">
        <f>E1520*D1520</f>
        <v>0</v>
      </c>
      <c r="G1520" s="539"/>
      <c r="H1520" s="120"/>
      <c r="I1520">
        <f>E1520*G1498</f>
        <v>0</v>
      </c>
      <c r="J1520" s="68"/>
      <c r="K1520" s="56"/>
      <c r="L1520" s="56"/>
      <c r="M1520" s="56"/>
      <c r="N1520" s="56"/>
      <c r="O1520" s="56"/>
    </row>
    <row r="1521" spans="1:15" ht="16.5">
      <c r="A1521" s="540" t="s">
        <v>4099</v>
      </c>
      <c r="B1521" s="541"/>
      <c r="C1521" s="541"/>
      <c r="D1521" s="541"/>
      <c r="E1521" s="541"/>
      <c r="F1521" s="541"/>
      <c r="G1521" s="542"/>
      <c r="H1521" s="116">
        <f>SUM(F1507:F1520)</f>
        <v>678825.08745697304</v>
      </c>
      <c r="J1521" s="68"/>
      <c r="K1521" s="56"/>
      <c r="L1521" s="56"/>
      <c r="M1521" s="56"/>
      <c r="N1521" s="56"/>
      <c r="O1521" s="56"/>
    </row>
    <row r="1522" spans="1:15" ht="16.5">
      <c r="A1522" s="543" t="s">
        <v>4231</v>
      </c>
      <c r="B1522" s="544"/>
      <c r="C1522" s="544"/>
      <c r="D1522" s="544"/>
      <c r="E1522" s="545"/>
      <c r="F1522" s="544"/>
      <c r="G1522" s="544"/>
      <c r="H1522" s="546"/>
      <c r="J1522" s="68"/>
      <c r="K1522" s="56"/>
      <c r="L1522" s="56"/>
      <c r="M1522" s="56"/>
      <c r="N1522" s="56"/>
      <c r="O1522" s="56"/>
    </row>
    <row r="1523" spans="1:15">
      <c r="A1523" s="547" t="s">
        <v>7</v>
      </c>
      <c r="B1523" s="548"/>
      <c r="C1523" s="108" t="s">
        <v>4232</v>
      </c>
      <c r="D1523" s="107" t="s">
        <v>4233</v>
      </c>
      <c r="E1523" s="206" t="s">
        <v>4234</v>
      </c>
      <c r="F1523" s="549" t="s">
        <v>4218</v>
      </c>
      <c r="G1523" s="549"/>
      <c r="H1523" s="119"/>
      <c r="K1523" s="56"/>
      <c r="L1523" s="56"/>
      <c r="M1523" s="56"/>
      <c r="N1523" s="56"/>
      <c r="O1523" s="56"/>
    </row>
    <row r="1524" spans="1:15">
      <c r="A1524" s="550" t="s">
        <v>3928</v>
      </c>
      <c r="B1524" s="551"/>
      <c r="C1524" s="232">
        <v>1</v>
      </c>
      <c r="D1524" s="102">
        <v>0.03</v>
      </c>
      <c r="E1524" s="103">
        <f>VLOOKUP(A1524,'Equip, Herr y Transp'!$B$2:$D$218,3,0)</f>
        <v>160000</v>
      </c>
      <c r="F1524" s="552">
        <f>E1524*D1524*C1524</f>
        <v>4800</v>
      </c>
      <c r="G1524" s="553"/>
      <c r="H1524" s="117"/>
      <c r="M1524" s="56"/>
    </row>
    <row r="1525" spans="1:15" ht="16.5">
      <c r="A1525" s="554" t="s">
        <v>4216</v>
      </c>
      <c r="B1525" s="555"/>
      <c r="C1525" s="555"/>
      <c r="D1525" s="555"/>
      <c r="E1525" s="555"/>
      <c r="F1525" s="555"/>
      <c r="G1525" s="555"/>
      <c r="H1525" s="105">
        <f>F1524</f>
        <v>4800</v>
      </c>
    </row>
    <row r="1526" spans="1:15" ht="16.5">
      <c r="A1526" s="543" t="s">
        <v>4235</v>
      </c>
      <c r="B1526" s="544"/>
      <c r="C1526" s="544"/>
      <c r="D1526" s="544"/>
      <c r="E1526" s="544"/>
      <c r="F1526" s="544"/>
      <c r="G1526" s="544"/>
      <c r="H1526" s="546"/>
    </row>
    <row r="1527" spans="1:15">
      <c r="A1527" s="547" t="s">
        <v>7</v>
      </c>
      <c r="B1527" s="548"/>
      <c r="C1527" s="106" t="s">
        <v>1</v>
      </c>
      <c r="D1527" s="107" t="s">
        <v>4236</v>
      </c>
      <c r="E1527" s="108" t="s">
        <v>4215</v>
      </c>
      <c r="F1527" s="547" t="s">
        <v>5</v>
      </c>
      <c r="G1527" s="556"/>
      <c r="H1527" s="119"/>
    </row>
    <row r="1528" spans="1:15">
      <c r="A1528" s="550" t="s">
        <v>4196</v>
      </c>
      <c r="B1528" s="551"/>
      <c r="C1528" s="101">
        <v>1</v>
      </c>
      <c r="D1528" s="104">
        <f>VLOOKUP(A1528,'Mano Obra'!$B$2:$T$117,19,0)</f>
        <v>166624</v>
      </c>
      <c r="E1528" s="246">
        <f>H1491</f>
        <v>5.21E-2</v>
      </c>
      <c r="F1528" s="538">
        <f>E1528*D1528*C1528</f>
        <v>8681.1103999999996</v>
      </c>
      <c r="G1528" s="557"/>
      <c r="H1528" s="121"/>
      <c r="I1528" s="69"/>
      <c r="J1528" s="136">
        <f>((('Mano Obra'!$M$4/30)*F1528)/D1528)*G1498</f>
        <v>0</v>
      </c>
    </row>
    <row r="1529" spans="1:15">
      <c r="A1529" s="558" t="s">
        <v>4197</v>
      </c>
      <c r="B1529" s="559">
        <f>VLOOKUP(A1529,'Mano Obra'!$B$3:$D$290,2,0)</f>
        <v>2090000.0000000002</v>
      </c>
      <c r="C1529" s="101">
        <v>1</v>
      </c>
      <c r="D1529" s="104">
        <f>VLOOKUP(A1529,'Mano Obra'!$B$2:$T$117,19,0)</f>
        <v>120456</v>
      </c>
      <c r="E1529" s="246">
        <f>H1491</f>
        <v>5.21E-2</v>
      </c>
      <c r="F1529" s="538">
        <f t="shared" ref="F1529:F1530" si="90">E1529*D1529*C1529</f>
        <v>6275.7575999999999</v>
      </c>
      <c r="G1529" s="557"/>
      <c r="H1529" s="121"/>
      <c r="J1529" s="136">
        <f>((('Mano Obra'!$M$5/30)*F1529)/D1529)*G1498</f>
        <v>0</v>
      </c>
    </row>
    <row r="1530" spans="1:15">
      <c r="A1530" s="558" t="s">
        <v>4186</v>
      </c>
      <c r="B1530" s="559">
        <f>VLOOKUP(A1530,'Mano Obra'!$B$3:$D$290,2,0)</f>
        <v>1100000</v>
      </c>
      <c r="C1530" s="101">
        <v>1</v>
      </c>
      <c r="D1530" s="104">
        <f>VLOOKUP(A1530,'Mano Obra'!$B$2:$T$117,19,0)</f>
        <v>72664</v>
      </c>
      <c r="E1530" s="246">
        <f>H1491</f>
        <v>5.21E-2</v>
      </c>
      <c r="F1530" s="538">
        <f t="shared" si="90"/>
        <v>3785.7944000000002</v>
      </c>
      <c r="G1530" s="557"/>
      <c r="H1530" s="120"/>
      <c r="J1530" s="136">
        <f>((('Mano Obra'!$M$6/30)*F1530)/D1530)*G1498</f>
        <v>0</v>
      </c>
    </row>
    <row r="1531" spans="1:15" ht="16.5">
      <c r="A1531" s="560" t="s">
        <v>4101</v>
      </c>
      <c r="B1531" s="560"/>
      <c r="C1531" s="560"/>
      <c r="D1531" s="560"/>
      <c r="E1531" s="560"/>
      <c r="F1531" s="560"/>
      <c r="G1531" s="560"/>
      <c r="H1531" s="105">
        <f>SUM(F1528:F1530)</f>
        <v>18742.662399999997</v>
      </c>
      <c r="J1531" s="136"/>
    </row>
    <row r="1532" spans="1:15">
      <c r="A1532" s="227" t="s">
        <v>4237</v>
      </c>
      <c r="B1532" s="205"/>
      <c r="C1532" s="205"/>
      <c r="D1532" s="202"/>
      <c r="E1532" s="203"/>
      <c r="F1532" s="204"/>
      <c r="G1532" s="203"/>
      <c r="H1532" s="212"/>
    </row>
    <row r="1533" spans="1:15">
      <c r="A1533" s="561" t="s">
        <v>4224</v>
      </c>
      <c r="B1533" s="562"/>
      <c r="C1533" s="562"/>
      <c r="D1533" s="562"/>
      <c r="E1533" s="200"/>
      <c r="F1533" s="201" t="s">
        <v>4238</v>
      </c>
      <c r="G1533" s="200" t="s">
        <v>4239</v>
      </c>
      <c r="H1533" s="213"/>
    </row>
    <row r="1534" spans="1:15">
      <c r="A1534" s="223" t="s">
        <v>4097</v>
      </c>
      <c r="B1534" s="72"/>
      <c r="C1534" s="72"/>
      <c r="D1534" s="73"/>
      <c r="E1534" s="78"/>
      <c r="F1534" s="79">
        <v>0</v>
      </c>
      <c r="G1534" s="80">
        <f>F1534*H1499</f>
        <v>0</v>
      </c>
      <c r="H1534" s="212"/>
    </row>
    <row r="1535" spans="1:15">
      <c r="A1535" s="224" t="s">
        <v>4240</v>
      </c>
      <c r="B1535" s="81"/>
      <c r="C1535" s="81"/>
      <c r="D1535" s="82"/>
      <c r="E1535" s="78"/>
      <c r="F1535" s="79">
        <v>0</v>
      </c>
      <c r="G1535" s="80">
        <f>F1535*H1499</f>
        <v>0</v>
      </c>
      <c r="H1535" s="212"/>
    </row>
    <row r="1536" spans="1:15">
      <c r="A1536" s="224" t="s">
        <v>4</v>
      </c>
      <c r="B1536" s="81"/>
      <c r="C1536" s="81"/>
      <c r="D1536" s="82"/>
      <c r="E1536" s="78"/>
      <c r="F1536" s="79">
        <v>0</v>
      </c>
      <c r="G1536" s="80">
        <f>F1536*H1499</f>
        <v>0</v>
      </c>
      <c r="H1536" s="212"/>
    </row>
    <row r="1537" spans="1:14">
      <c r="A1537" s="225"/>
      <c r="B1537" s="83"/>
      <c r="C1537" s="75"/>
      <c r="D1537" s="84"/>
      <c r="E1537" s="85"/>
      <c r="F1537" s="86"/>
      <c r="G1537" s="87"/>
      <c r="H1537" s="214"/>
    </row>
    <row r="1538" spans="1:14">
      <c r="A1538" s="226"/>
      <c r="B1538" s="83"/>
      <c r="C1538" s="83"/>
      <c r="D1538" s="84"/>
      <c r="E1538" s="88"/>
      <c r="F1538" s="563" t="s">
        <v>4241</v>
      </c>
      <c r="G1538" s="564"/>
      <c r="H1538" s="233">
        <f>H1499+G1534+G1535+G1536</f>
        <v>705730.93510697305</v>
      </c>
    </row>
    <row r="1539" spans="1:14">
      <c r="A1539" s="83"/>
      <c r="B1539" s="83"/>
      <c r="C1539" s="83"/>
      <c r="D1539" s="84"/>
      <c r="E1539" s="388"/>
      <c r="F1539" s="389"/>
      <c r="G1539" s="389"/>
      <c r="H1539" s="390"/>
    </row>
    <row r="1540" spans="1:14" ht="16.5">
      <c r="A1540" s="90"/>
      <c r="B1540" s="90"/>
      <c r="C1540" s="90"/>
      <c r="D1540" s="90"/>
      <c r="E1540" s="90"/>
      <c r="F1540" s="90"/>
      <c r="G1540" s="90"/>
      <c r="H1540" s="381"/>
    </row>
    <row r="1541" spans="1:14">
      <c r="A1541" s="579" t="s">
        <v>4225</v>
      </c>
      <c r="B1541" s="580"/>
      <c r="C1541" s="580"/>
      <c r="D1541" s="580"/>
      <c r="E1541" s="580"/>
      <c r="F1541" s="580"/>
      <c r="G1541" s="580"/>
      <c r="H1541" s="581"/>
    </row>
    <row r="1542" spans="1:14" ht="16.5">
      <c r="A1542" s="91"/>
      <c r="B1542" s="92"/>
      <c r="C1542" s="92"/>
      <c r="D1542" s="92"/>
      <c r="E1542" s="92"/>
      <c r="F1542" s="93"/>
      <c r="G1542" s="94"/>
      <c r="H1542" s="380">
        <f>ROUND((25/60)/8,4)</f>
        <v>5.21E-2</v>
      </c>
      <c r="I1542" s="115"/>
    </row>
    <row r="1543" spans="1:14">
      <c r="A1543" s="582" t="s">
        <v>4220</v>
      </c>
      <c r="B1543" s="584" t="str">
        <f>COSTOS!$C$14</f>
        <v>MODERNIZACION A TECNOLOGIA LED</v>
      </c>
      <c r="C1543" s="584"/>
      <c r="D1543" s="584"/>
      <c r="E1543" s="584"/>
      <c r="F1543" s="584"/>
      <c r="G1543" s="584"/>
      <c r="H1543" s="585" t="s">
        <v>4221</v>
      </c>
    </row>
    <row r="1544" spans="1:14">
      <c r="A1544" s="583"/>
      <c r="B1544" s="584"/>
      <c r="C1544" s="584"/>
      <c r="D1544" s="584"/>
      <c r="E1544" s="584"/>
      <c r="F1544" s="584"/>
      <c r="G1544" s="584"/>
      <c r="H1544" s="585"/>
    </row>
    <row r="1545" spans="1:14">
      <c r="A1545" s="583"/>
      <c r="B1545" s="584"/>
      <c r="C1545" s="584"/>
      <c r="D1545" s="584"/>
      <c r="E1545" s="584"/>
      <c r="F1545" s="584"/>
      <c r="G1545" s="584"/>
      <c r="H1545" s="585"/>
    </row>
    <row r="1546" spans="1:14" ht="15" customHeight="1">
      <c r="A1546" s="583"/>
      <c r="B1546" s="584"/>
      <c r="C1546" s="584"/>
      <c r="D1546" s="584"/>
      <c r="E1546" s="584"/>
      <c r="F1546" s="584"/>
      <c r="G1546" s="584"/>
      <c r="H1546" s="216">
        <f ca="1">TODAY()</f>
        <v>44889</v>
      </c>
      <c r="K1546" t="s">
        <v>4391</v>
      </c>
      <c r="L1546" t="s">
        <v>4392</v>
      </c>
      <c r="M1546" t="s">
        <v>4393</v>
      </c>
      <c r="N1546" t="s">
        <v>4394</v>
      </c>
    </row>
    <row r="1547" spans="1:14" ht="60.75" customHeight="1">
      <c r="A1547" s="228" t="s">
        <v>4222</v>
      </c>
      <c r="B1547" s="565" t="str">
        <f>COSTOS!$D$16</f>
        <v>Luminarias</v>
      </c>
      <c r="C1547" s="565"/>
      <c r="D1547" s="565"/>
      <c r="E1547" s="565"/>
      <c r="F1547" s="565"/>
      <c r="G1547" s="70" t="s">
        <v>4223</v>
      </c>
      <c r="H1547" s="391">
        <v>1.31</v>
      </c>
      <c r="K1547" s="62">
        <f>H1572</f>
        <v>706372.23237755697</v>
      </c>
      <c r="L1547" s="62">
        <f>H1582</f>
        <v>18742.662399999997</v>
      </c>
      <c r="M1547" s="62">
        <f>H1555</f>
        <v>3363.18525</v>
      </c>
      <c r="N1547" s="62">
        <f>H1576</f>
        <v>4800</v>
      </c>
    </row>
    <row r="1548" spans="1:14" ht="43.15" customHeight="1">
      <c r="A1548" s="229" t="s">
        <v>4224</v>
      </c>
      <c r="B1548" s="566" t="str">
        <f>VLOOKUP(H1547,COSTOS!C:M,2,0)</f>
        <v>Luminaria Mixta 160w</v>
      </c>
      <c r="C1548" s="567"/>
      <c r="D1548" s="567"/>
      <c r="E1548" s="568"/>
      <c r="F1548" s="71" t="s">
        <v>0</v>
      </c>
      <c r="G1548" s="356" t="str">
        <f>VLOOKUP(H1547,COSTOS!C:M,8,0)</f>
        <v>Und</v>
      </c>
      <c r="H1548" s="276"/>
      <c r="I1548" s="306"/>
      <c r="J1548" s="308"/>
      <c r="K1548" s="308"/>
      <c r="L1548" s="308"/>
    </row>
    <row r="1549" spans="1:14">
      <c r="A1549" s="230"/>
      <c r="B1549" s="112"/>
      <c r="C1549" s="112"/>
      <c r="D1549" s="112"/>
      <c r="E1549" s="113"/>
      <c r="F1549" s="114" t="s">
        <v>1</v>
      </c>
      <c r="G1549" s="356">
        <f>VLOOKUP(H1547,COSTOS!C:M,9,0)</f>
        <v>0</v>
      </c>
      <c r="H1549" s="357"/>
      <c r="I1549" s="307"/>
    </row>
    <row r="1550" spans="1:14" ht="16.5">
      <c r="A1550" s="231" t="s">
        <v>4226</v>
      </c>
      <c r="B1550" s="75"/>
      <c r="C1550" s="75"/>
      <c r="D1550" s="76"/>
      <c r="E1550" s="209"/>
      <c r="F1550" s="210"/>
      <c r="G1550" s="211" t="s">
        <v>4227</v>
      </c>
      <c r="H1550" s="217">
        <f>H1555+H1572+H1576+H1582</f>
        <v>733278.08002755698</v>
      </c>
    </row>
    <row r="1551" spans="1:14" ht="39">
      <c r="A1551" s="569" t="s">
        <v>4224</v>
      </c>
      <c r="B1551" s="569"/>
      <c r="C1551" s="569"/>
      <c r="D1551" s="77" t="s">
        <v>0</v>
      </c>
      <c r="E1551" s="207" t="s">
        <v>4228</v>
      </c>
      <c r="F1551" s="208" t="s">
        <v>4215</v>
      </c>
      <c r="G1551" s="74" t="s">
        <v>2</v>
      </c>
      <c r="H1551" s="218" t="s">
        <v>4229</v>
      </c>
      <c r="K1551" s="309"/>
    </row>
    <row r="1552" spans="1:14">
      <c r="A1552" s="536" t="s">
        <v>3946</v>
      </c>
      <c r="B1552" s="570" t="str">
        <f>VLOOKUP(A1552,'Equip, Herr y Transp'!$B$2:$D$739,2,0)</f>
        <v>EQU</v>
      </c>
      <c r="C1552" s="570"/>
      <c r="D1552" s="95" t="str">
        <f>VLOOKUP(A1552,'Equip, Herr y Transp'!$B$2:$D$218,2,0)</f>
        <v>EQU</v>
      </c>
      <c r="E1552" s="95">
        <f>VLOOKUP(A1552,'Equip, Herr y Transp'!$B$2:$D$218,3,0)</f>
        <v>14130</v>
      </c>
      <c r="F1552" s="96">
        <f>H1542</f>
        <v>5.21E-2</v>
      </c>
      <c r="G1552" s="122">
        <f>F1552*E1552</f>
        <v>736.173</v>
      </c>
      <c r="H1552" s="118"/>
    </row>
    <row r="1553" spans="1:15">
      <c r="A1553" s="536" t="s">
        <v>3904</v>
      </c>
      <c r="B1553" s="570" t="str">
        <f>VLOOKUP(A1553,'Equip, Herr y Transp'!$B$2:$D$739,2,0)</f>
        <v>EQU</v>
      </c>
      <c r="C1553" s="570"/>
      <c r="D1553" s="95" t="str">
        <f>VLOOKUP(A1553,'Equip, Herr y Transp'!$B$2:$D$218,2,0)</f>
        <v>EQU</v>
      </c>
      <c r="E1553" s="95">
        <f>VLOOKUP(A1553,'Equip, Herr y Transp'!$B$2:$D$218,3,0)</f>
        <v>26672.5</v>
      </c>
      <c r="F1553" s="96">
        <f>H1542</f>
        <v>5.21E-2</v>
      </c>
      <c r="G1553" s="122">
        <f>F1553*E1553</f>
        <v>1389.63725</v>
      </c>
      <c r="H1553" s="117"/>
    </row>
    <row r="1554" spans="1:15">
      <c r="A1554" s="536" t="s">
        <v>3937</v>
      </c>
      <c r="B1554" s="570" t="str">
        <f>VLOOKUP(A1554,'Equip, Herr y Transp'!$B$2:$D$739,2,0)</f>
        <v>EQU</v>
      </c>
      <c r="C1554" s="570"/>
      <c r="D1554" s="95" t="str">
        <f>VLOOKUP(A1554,'Equip, Herr y Transp'!$B$2:$D$218,2,0)</f>
        <v>EQU</v>
      </c>
      <c r="E1554" s="95">
        <f>VLOOKUP(A1554,'Equip, Herr y Transp'!$B$2:$D$218,3,0)</f>
        <v>23750</v>
      </c>
      <c r="F1554" s="96">
        <f>H1542</f>
        <v>5.21E-2</v>
      </c>
      <c r="G1554" s="122">
        <f>F1554*E1554</f>
        <v>1237.375</v>
      </c>
      <c r="H1554" s="117"/>
    </row>
    <row r="1555" spans="1:15" ht="16.5">
      <c r="A1555" s="540" t="s">
        <v>4100</v>
      </c>
      <c r="B1555" s="541"/>
      <c r="C1555" s="541"/>
      <c r="D1555" s="541"/>
      <c r="E1555" s="541"/>
      <c r="F1555" s="541"/>
      <c r="G1555" s="541"/>
      <c r="H1555" s="97">
        <f>SUM(G1552:G1554)</f>
        <v>3363.18525</v>
      </c>
    </row>
    <row r="1556" spans="1:15" ht="16.5">
      <c r="A1556" s="571" t="s">
        <v>4230</v>
      </c>
      <c r="B1556" s="572"/>
      <c r="C1556" s="572"/>
      <c r="D1556" s="572"/>
      <c r="E1556" s="572"/>
      <c r="F1556" s="572"/>
      <c r="G1556" s="572"/>
      <c r="H1556" s="573"/>
      <c r="K1556" s="56"/>
      <c r="L1556" s="56"/>
      <c r="M1556" s="56"/>
      <c r="N1556" s="56"/>
      <c r="O1556" s="56"/>
    </row>
    <row r="1557" spans="1:15" ht="30" customHeight="1">
      <c r="A1557" s="574" t="s">
        <v>7</v>
      </c>
      <c r="B1557" s="575"/>
      <c r="C1557" s="109" t="s">
        <v>0</v>
      </c>
      <c r="D1557" s="110" t="s">
        <v>4098</v>
      </c>
      <c r="E1557" s="111" t="s">
        <v>1</v>
      </c>
      <c r="F1557" s="576" t="s">
        <v>4218</v>
      </c>
      <c r="G1557" s="576"/>
      <c r="H1557" s="215"/>
      <c r="K1557" s="56"/>
      <c r="L1557" s="56"/>
      <c r="M1557" s="56"/>
      <c r="N1557" s="56"/>
      <c r="O1557" s="56"/>
    </row>
    <row r="1558" spans="1:15">
      <c r="A1558" s="577" t="s">
        <v>4683</v>
      </c>
      <c r="B1558" s="578"/>
      <c r="C1558" s="98" t="str">
        <f>VLOOKUP(A1558,'Materiales '!$C$2:$F$1302,3,0)</f>
        <v>Und</v>
      </c>
      <c r="D1558" s="99">
        <f>VLOOKUP(A1558,'Materiales '!$C$2:$F$1302,4,0)</f>
        <v>480625.18637755694</v>
      </c>
      <c r="E1558" s="100">
        <v>1</v>
      </c>
      <c r="F1558" s="538">
        <f>E1558*D1558</f>
        <v>480625.18637755694</v>
      </c>
      <c r="G1558" s="539"/>
      <c r="H1558" s="121"/>
      <c r="I1558">
        <f>E1558*G1549</f>
        <v>0</v>
      </c>
      <c r="J1558" s="67"/>
      <c r="K1558" s="56"/>
      <c r="L1558" s="56"/>
      <c r="M1558" s="56"/>
      <c r="N1558" s="56"/>
      <c r="O1558" s="56"/>
    </row>
    <row r="1559" spans="1:15">
      <c r="A1559" s="577" t="s">
        <v>4214</v>
      </c>
      <c r="B1559" s="578"/>
      <c r="C1559" s="98" t="str">
        <f>VLOOKUP(A1559,'Materiales '!$C$2:$F$1302,3,0)</f>
        <v>Und</v>
      </c>
      <c r="D1559" s="99">
        <f>VLOOKUP(A1559,'Materiales '!$C$2:$F$1302,4,0)</f>
        <v>22848</v>
      </c>
      <c r="E1559" s="100">
        <v>1</v>
      </c>
      <c r="F1559" s="538">
        <f t="shared" ref="F1559:F1565" si="91">E1559*D1559</f>
        <v>22848</v>
      </c>
      <c r="G1559" s="539"/>
      <c r="H1559" s="121"/>
      <c r="I1559">
        <f>E1559*G1549</f>
        <v>0</v>
      </c>
      <c r="J1559" s="67"/>
      <c r="K1559" s="56"/>
      <c r="L1559" s="56"/>
      <c r="M1559" s="56"/>
      <c r="N1559" s="56"/>
      <c r="O1559" s="56"/>
    </row>
    <row r="1560" spans="1:15">
      <c r="A1560" s="536" t="s">
        <v>4484</v>
      </c>
      <c r="B1560" s="537" t="str">
        <f>VLOOKUP(A1560,'Materiales '!$C$2:$F$1302,3,0)</f>
        <v>Und</v>
      </c>
      <c r="C1560" s="98" t="str">
        <f>VLOOKUP(A1560,'Materiales '!$C$2:$F$1302,3,0)</f>
        <v>Und</v>
      </c>
      <c r="D1560" s="99">
        <f>VLOOKUP(A1560,'Materiales '!$C$2:$F$1302,4,0)</f>
        <v>21705.599999999999</v>
      </c>
      <c r="E1560" s="100">
        <v>2</v>
      </c>
      <c r="F1560" s="538">
        <f t="shared" si="91"/>
        <v>43411.199999999997</v>
      </c>
      <c r="G1560" s="539"/>
      <c r="H1560" s="121"/>
      <c r="I1560">
        <f>E1560*G1549</f>
        <v>0</v>
      </c>
      <c r="J1560" s="68"/>
      <c r="K1560" s="56"/>
      <c r="L1560" s="56"/>
      <c r="M1560" s="56"/>
      <c r="N1560" s="56"/>
      <c r="O1560" s="56"/>
    </row>
    <row r="1561" spans="1:15">
      <c r="A1561" s="536" t="s">
        <v>4489</v>
      </c>
      <c r="B1561" s="537" t="str">
        <f>VLOOKUP(A1561,'Materiales '!$C$2:$F$1302,3,0)</f>
        <v>Und</v>
      </c>
      <c r="C1561" s="98" t="str">
        <f>VLOOKUP(A1561,'Materiales '!$C$2:$F$1302,3,0)</f>
        <v>Und</v>
      </c>
      <c r="D1561" s="99">
        <f>VLOOKUP(A1561,'Materiales '!$C$2:$F$1302,4,0)</f>
        <v>8039.6399999999994</v>
      </c>
      <c r="E1561" s="100">
        <v>3</v>
      </c>
      <c r="F1561" s="538">
        <f t="shared" si="91"/>
        <v>24118.92</v>
      </c>
      <c r="G1561" s="539"/>
      <c r="H1561" s="121"/>
      <c r="I1561">
        <f>E1561*G1549</f>
        <v>0</v>
      </c>
      <c r="J1561" s="68"/>
      <c r="K1561" s="56"/>
      <c r="L1561" s="56"/>
      <c r="M1561" s="56"/>
      <c r="N1561" s="56"/>
      <c r="O1561" s="56"/>
    </row>
    <row r="1562" spans="1:15">
      <c r="A1562" s="536" t="s">
        <v>4554</v>
      </c>
      <c r="B1562" s="537" t="str">
        <f>VLOOKUP(A1562,'Materiales '!$C$2:$F$1302,3,0)</f>
        <v>Und</v>
      </c>
      <c r="C1562" s="98" t="str">
        <f>VLOOKUP(A1562,'Materiales '!$C$2:$F$1302,3,0)</f>
        <v>Und</v>
      </c>
      <c r="D1562" s="99">
        <f>VLOOKUP(A1562,'Materiales '!$C$2:$F$1302,4,0)</f>
        <v>2535.5329999999999</v>
      </c>
      <c r="E1562" s="100">
        <v>2</v>
      </c>
      <c r="F1562" s="538">
        <f t="shared" si="91"/>
        <v>5071.0659999999998</v>
      </c>
      <c r="G1562" s="539"/>
      <c r="H1562" s="121"/>
      <c r="I1562">
        <f>E1562*G1549</f>
        <v>0</v>
      </c>
      <c r="J1562" s="68"/>
      <c r="K1562" s="56"/>
      <c r="L1562" s="56"/>
      <c r="M1562" s="56"/>
      <c r="N1562" s="56"/>
      <c r="O1562" s="56"/>
    </row>
    <row r="1563" spans="1:15">
      <c r="A1563" s="536" t="s">
        <v>4450</v>
      </c>
      <c r="B1563" s="537" t="str">
        <f>VLOOKUP(A1563,'Materiales '!$C$2:$F$1302,3,0)</f>
        <v>Ml</v>
      </c>
      <c r="C1563" s="98" t="str">
        <f>VLOOKUP(A1563,'Materiales '!$C$2:$F$1302,3,0)</f>
        <v>Ml</v>
      </c>
      <c r="D1563" s="99">
        <f>VLOOKUP(A1563,'Materiales '!$C$2:$F$1302,4,0)</f>
        <v>6791.5679999999993</v>
      </c>
      <c r="E1563" s="100">
        <v>1</v>
      </c>
      <c r="F1563" s="538">
        <f t="shared" si="91"/>
        <v>6791.5679999999993</v>
      </c>
      <c r="G1563" s="539"/>
      <c r="H1563" s="121"/>
      <c r="I1563">
        <f>E1563*G1549</f>
        <v>0</v>
      </c>
      <c r="J1563" s="68"/>
      <c r="K1563" s="56"/>
      <c r="L1563" s="56"/>
      <c r="M1563" s="56"/>
      <c r="N1563" s="56"/>
      <c r="O1563" s="56"/>
    </row>
    <row r="1564" spans="1:15">
      <c r="A1564" s="536" t="s">
        <v>4493</v>
      </c>
      <c r="B1564" s="537" t="str">
        <f>VLOOKUP(A1564,'Materiales '!$C$2:$F$1302,3,0)</f>
        <v>Und</v>
      </c>
      <c r="C1564" s="98" t="str">
        <f>VLOOKUP(A1564,'Materiales '!$C$2:$F$1302,3,0)</f>
        <v>Und</v>
      </c>
      <c r="D1564" s="99">
        <f>VLOOKUP(A1564,'Materiales '!$C$2:$F$1302,4,0)</f>
        <v>232.76399999999998</v>
      </c>
      <c r="E1564" s="100">
        <v>3</v>
      </c>
      <c r="F1564" s="538">
        <f t="shared" si="91"/>
        <v>698.29199999999992</v>
      </c>
      <c r="G1564" s="539"/>
      <c r="H1564" s="121"/>
      <c r="I1564">
        <f>E1564*G1549</f>
        <v>0</v>
      </c>
      <c r="J1564" s="68"/>
      <c r="K1564" s="56"/>
      <c r="L1564" s="56"/>
      <c r="M1564" s="56"/>
      <c r="N1564" s="56"/>
      <c r="O1564" s="56"/>
    </row>
    <row r="1565" spans="1:15" ht="21.75" customHeight="1">
      <c r="A1565" s="536" t="s">
        <v>4435</v>
      </c>
      <c r="B1565" s="537" t="str">
        <f>VLOOKUP(A1565,'Materiales '!$C$2:$F$1302,3,0)</f>
        <v>Und</v>
      </c>
      <c r="C1565" s="98" t="str">
        <f>VLOOKUP(A1565,'Materiales '!$C$2:$F$1302,3,0)</f>
        <v>Und</v>
      </c>
      <c r="D1565" s="99">
        <f>VLOOKUP(A1565,'Materiales '!$C$2:$F$1302,4,0)</f>
        <v>122808</v>
      </c>
      <c r="E1565" s="100">
        <v>1</v>
      </c>
      <c r="F1565" s="538">
        <f t="shared" si="91"/>
        <v>122808</v>
      </c>
      <c r="G1565" s="539"/>
      <c r="H1565" s="121"/>
      <c r="I1565">
        <f>E1565*G1549</f>
        <v>0</v>
      </c>
      <c r="J1565" s="68"/>
      <c r="K1565" s="56"/>
      <c r="L1565" s="56"/>
      <c r="M1565" s="56"/>
      <c r="N1565" s="56"/>
      <c r="O1565" s="56"/>
    </row>
    <row r="1566" spans="1:15">
      <c r="A1566" s="536" t="s">
        <v>8</v>
      </c>
      <c r="B1566" s="537" t="str">
        <f>VLOOKUP(A1566,'Materiales '!$C$2:$F$1302,3,0)</f>
        <v>-</v>
      </c>
      <c r="C1566" s="98" t="str">
        <f>VLOOKUP(A1566,'Materiales '!$C$2:$F$1302,3,0)</f>
        <v>-</v>
      </c>
      <c r="D1566" s="99">
        <f>VLOOKUP(A1566,'Materiales '!$C$2:$F$1302,4,0)</f>
        <v>0</v>
      </c>
      <c r="E1566" s="100"/>
      <c r="F1566" s="538">
        <f>E1566*D1566</f>
        <v>0</v>
      </c>
      <c r="G1566" s="539"/>
      <c r="H1566" s="120"/>
      <c r="I1566">
        <f>E1566*G1549</f>
        <v>0</v>
      </c>
      <c r="J1566" s="68"/>
      <c r="K1566" s="56"/>
      <c r="L1566" s="56"/>
      <c r="M1566" s="56"/>
      <c r="N1566" s="56"/>
      <c r="O1566" s="56"/>
    </row>
    <row r="1567" spans="1:15">
      <c r="A1567" s="536" t="s">
        <v>8</v>
      </c>
      <c r="B1567" s="537" t="str">
        <f>VLOOKUP(A1567,'Materiales '!$C$2:$F$1302,3,0)</f>
        <v>-</v>
      </c>
      <c r="C1567" s="98" t="str">
        <f>VLOOKUP(A1567,'Materiales '!$C$2:$F$1302,3,0)</f>
        <v>-</v>
      </c>
      <c r="D1567" s="99">
        <f>VLOOKUP(A1567,'Materiales '!$C$2:$F$1302,4,0)</f>
        <v>0</v>
      </c>
      <c r="E1567" s="100"/>
      <c r="F1567" s="538">
        <f t="shared" ref="F1567:F1570" si="92">E1567*D1567</f>
        <v>0</v>
      </c>
      <c r="G1567" s="539"/>
      <c r="H1567" s="121"/>
      <c r="I1567">
        <f>E1567*G1549</f>
        <v>0</v>
      </c>
      <c r="J1567" s="68"/>
      <c r="K1567" s="56"/>
      <c r="L1567" s="56"/>
      <c r="M1567" s="56"/>
      <c r="N1567" s="56"/>
      <c r="O1567" s="56"/>
    </row>
    <row r="1568" spans="1:15">
      <c r="A1568" s="536" t="s">
        <v>8</v>
      </c>
      <c r="B1568" s="537" t="str">
        <f>VLOOKUP(A1568,'Materiales '!$C$2:$F$1302,3,0)</f>
        <v>-</v>
      </c>
      <c r="C1568" s="98" t="str">
        <f>VLOOKUP(A1568,'Materiales '!$C$2:$F$1302,3,0)</f>
        <v>-</v>
      </c>
      <c r="D1568" s="99">
        <f>VLOOKUP(A1568,'Materiales '!$C$2:$F$1302,4,0)</f>
        <v>0</v>
      </c>
      <c r="E1568" s="100"/>
      <c r="F1568" s="538">
        <f t="shared" si="92"/>
        <v>0</v>
      </c>
      <c r="G1568" s="539"/>
      <c r="H1568" s="121"/>
      <c r="I1568">
        <f>E1568*G1549</f>
        <v>0</v>
      </c>
      <c r="J1568" s="68"/>
      <c r="K1568" s="56"/>
      <c r="L1568" s="56"/>
      <c r="M1568" s="56"/>
      <c r="N1568" s="56"/>
      <c r="O1568" s="56"/>
    </row>
    <row r="1569" spans="1:15">
      <c r="A1569" s="536" t="s">
        <v>8</v>
      </c>
      <c r="B1569" s="537" t="str">
        <f>VLOOKUP(A1569,'Materiales '!$C$2:$F$1302,3,0)</f>
        <v>-</v>
      </c>
      <c r="C1569" s="98" t="str">
        <f>VLOOKUP(A1569,'Materiales '!$C$2:$F$1302,3,0)</f>
        <v>-</v>
      </c>
      <c r="D1569" s="99">
        <f>VLOOKUP(A1569,'Materiales '!$C$2:$F$1302,4,0)</f>
        <v>0</v>
      </c>
      <c r="E1569" s="100"/>
      <c r="F1569" s="538">
        <f t="shared" si="92"/>
        <v>0</v>
      </c>
      <c r="G1569" s="539"/>
      <c r="H1569" s="121"/>
      <c r="I1569">
        <f>E1569*G1549</f>
        <v>0</v>
      </c>
      <c r="J1569" s="68"/>
      <c r="K1569" s="56"/>
      <c r="L1569" s="56"/>
      <c r="M1569" s="56"/>
      <c r="N1569" s="56"/>
      <c r="O1569" s="56"/>
    </row>
    <row r="1570" spans="1:15">
      <c r="A1570" s="536" t="s">
        <v>8</v>
      </c>
      <c r="B1570" s="537" t="str">
        <f>VLOOKUP(A1570,'Materiales '!$C$2:$F$1302,3,0)</f>
        <v>-</v>
      </c>
      <c r="C1570" s="98" t="str">
        <f>VLOOKUP(A1570,'Materiales '!$C$2:$F$1302,3,0)</f>
        <v>-</v>
      </c>
      <c r="D1570" s="99">
        <f>VLOOKUP(A1570,'Materiales '!$C$2:$F$1302,4,0)</f>
        <v>0</v>
      </c>
      <c r="E1570" s="100"/>
      <c r="F1570" s="538">
        <f t="shared" si="92"/>
        <v>0</v>
      </c>
      <c r="G1570" s="539"/>
      <c r="H1570" s="121"/>
      <c r="I1570">
        <f>E1570*G1549</f>
        <v>0</v>
      </c>
      <c r="J1570" s="68"/>
      <c r="K1570" s="56"/>
      <c r="L1570" s="56"/>
      <c r="M1570" s="56"/>
      <c r="N1570" s="56"/>
      <c r="O1570" s="56"/>
    </row>
    <row r="1571" spans="1:15">
      <c r="A1571" s="536" t="s">
        <v>8</v>
      </c>
      <c r="B1571" s="537" t="str">
        <f>VLOOKUP(A1571,'Materiales '!$C$2:$F$1302,3,0)</f>
        <v>-</v>
      </c>
      <c r="C1571" s="98" t="str">
        <f>VLOOKUP(A1571,'Materiales '!$C$2:$F$1302,3,0)</f>
        <v>-</v>
      </c>
      <c r="D1571" s="99">
        <f>VLOOKUP(A1571,'Materiales '!$C$2:$F$1302,4,0)</f>
        <v>0</v>
      </c>
      <c r="E1571" s="100"/>
      <c r="F1571" s="538">
        <f>E1571*D1571</f>
        <v>0</v>
      </c>
      <c r="G1571" s="539"/>
      <c r="H1571" s="120"/>
      <c r="I1571">
        <f>E1571*G1549</f>
        <v>0</v>
      </c>
      <c r="J1571" s="68"/>
      <c r="K1571" s="56"/>
      <c r="L1571" s="56"/>
      <c r="M1571" s="56"/>
      <c r="N1571" s="56"/>
      <c r="O1571" s="56"/>
    </row>
    <row r="1572" spans="1:15" ht="16.5">
      <c r="A1572" s="540" t="s">
        <v>4099</v>
      </c>
      <c r="B1572" s="541"/>
      <c r="C1572" s="541"/>
      <c r="D1572" s="541"/>
      <c r="E1572" s="541"/>
      <c r="F1572" s="541"/>
      <c r="G1572" s="542"/>
      <c r="H1572" s="116">
        <f>SUM(F1558:F1571)</f>
        <v>706372.23237755697</v>
      </c>
      <c r="J1572" s="68"/>
      <c r="K1572" s="56"/>
      <c r="L1572" s="56"/>
      <c r="M1572" s="56"/>
      <c r="N1572" s="56"/>
      <c r="O1572" s="56"/>
    </row>
    <row r="1573" spans="1:15" ht="16.5">
      <c r="A1573" s="543" t="s">
        <v>4231</v>
      </c>
      <c r="B1573" s="544"/>
      <c r="C1573" s="544"/>
      <c r="D1573" s="544"/>
      <c r="E1573" s="545"/>
      <c r="F1573" s="544"/>
      <c r="G1573" s="544"/>
      <c r="H1573" s="546"/>
      <c r="J1573" s="68"/>
      <c r="K1573" s="56"/>
      <c r="L1573" s="56"/>
      <c r="M1573" s="56"/>
      <c r="N1573" s="56"/>
      <c r="O1573" s="56"/>
    </row>
    <row r="1574" spans="1:15">
      <c r="A1574" s="547" t="s">
        <v>7</v>
      </c>
      <c r="B1574" s="548"/>
      <c r="C1574" s="108" t="s">
        <v>4232</v>
      </c>
      <c r="D1574" s="107" t="s">
        <v>4233</v>
      </c>
      <c r="E1574" s="206" t="s">
        <v>4234</v>
      </c>
      <c r="F1574" s="549" t="s">
        <v>4218</v>
      </c>
      <c r="G1574" s="549"/>
      <c r="H1574" s="119"/>
      <c r="K1574" s="56"/>
      <c r="L1574" s="56"/>
      <c r="M1574" s="56"/>
      <c r="N1574" s="56"/>
      <c r="O1574" s="56"/>
    </row>
    <row r="1575" spans="1:15">
      <c r="A1575" s="550" t="s">
        <v>3928</v>
      </c>
      <c r="B1575" s="551"/>
      <c r="C1575" s="232">
        <v>1</v>
      </c>
      <c r="D1575" s="102">
        <v>0.03</v>
      </c>
      <c r="E1575" s="103">
        <f>VLOOKUP(A1575,'Equip, Herr y Transp'!$B$2:$D$218,3,0)</f>
        <v>160000</v>
      </c>
      <c r="F1575" s="552">
        <f>E1575*D1575*C1575</f>
        <v>4800</v>
      </c>
      <c r="G1575" s="553"/>
      <c r="H1575" s="117"/>
      <c r="M1575" s="56"/>
    </row>
    <row r="1576" spans="1:15" ht="16.5">
      <c r="A1576" s="554" t="s">
        <v>4216</v>
      </c>
      <c r="B1576" s="555"/>
      <c r="C1576" s="555"/>
      <c r="D1576" s="555"/>
      <c r="E1576" s="555"/>
      <c r="F1576" s="555"/>
      <c r="G1576" s="555"/>
      <c r="H1576" s="105">
        <f>F1575</f>
        <v>4800</v>
      </c>
    </row>
    <row r="1577" spans="1:15" ht="16.5">
      <c r="A1577" s="543" t="s">
        <v>4235</v>
      </c>
      <c r="B1577" s="544"/>
      <c r="C1577" s="544"/>
      <c r="D1577" s="544"/>
      <c r="E1577" s="544"/>
      <c r="F1577" s="544"/>
      <c r="G1577" s="544"/>
      <c r="H1577" s="546"/>
    </row>
    <row r="1578" spans="1:15">
      <c r="A1578" s="547" t="s">
        <v>7</v>
      </c>
      <c r="B1578" s="548"/>
      <c r="C1578" s="106" t="s">
        <v>1</v>
      </c>
      <c r="D1578" s="107" t="s">
        <v>4236</v>
      </c>
      <c r="E1578" s="108" t="s">
        <v>4215</v>
      </c>
      <c r="F1578" s="547" t="s">
        <v>5</v>
      </c>
      <c r="G1578" s="556"/>
      <c r="H1578" s="119"/>
    </row>
    <row r="1579" spans="1:15">
      <c r="A1579" s="550" t="s">
        <v>4196</v>
      </c>
      <c r="B1579" s="551"/>
      <c r="C1579" s="101">
        <v>1</v>
      </c>
      <c r="D1579" s="104">
        <f>VLOOKUP(A1579,'Mano Obra'!$B$2:$T$117,19,0)</f>
        <v>166624</v>
      </c>
      <c r="E1579" s="246">
        <f>H1542</f>
        <v>5.21E-2</v>
      </c>
      <c r="F1579" s="538">
        <f>E1579*D1579*C1579</f>
        <v>8681.1103999999996</v>
      </c>
      <c r="G1579" s="557"/>
      <c r="H1579" s="121"/>
      <c r="I1579" s="69"/>
      <c r="J1579" s="136">
        <f>((('Mano Obra'!$M$4/30)*F1579)/D1579)*G1549</f>
        <v>0</v>
      </c>
    </row>
    <row r="1580" spans="1:15">
      <c r="A1580" s="558" t="s">
        <v>4197</v>
      </c>
      <c r="B1580" s="559">
        <f>VLOOKUP(A1580,'Mano Obra'!$B$3:$D$290,2,0)</f>
        <v>2090000.0000000002</v>
      </c>
      <c r="C1580" s="101">
        <v>1</v>
      </c>
      <c r="D1580" s="104">
        <f>VLOOKUP(A1580,'Mano Obra'!$B$2:$T$117,19,0)</f>
        <v>120456</v>
      </c>
      <c r="E1580" s="246">
        <f>H1542</f>
        <v>5.21E-2</v>
      </c>
      <c r="F1580" s="538">
        <f t="shared" ref="F1580:F1581" si="93">E1580*D1580*C1580</f>
        <v>6275.7575999999999</v>
      </c>
      <c r="G1580" s="557"/>
      <c r="H1580" s="121"/>
      <c r="J1580" s="136">
        <f>((('Mano Obra'!$M$5/30)*F1580)/D1580)*G1549</f>
        <v>0</v>
      </c>
    </row>
    <row r="1581" spans="1:15">
      <c r="A1581" s="558" t="s">
        <v>4186</v>
      </c>
      <c r="B1581" s="559">
        <f>VLOOKUP(A1581,'Mano Obra'!$B$3:$D$290,2,0)</f>
        <v>1100000</v>
      </c>
      <c r="C1581" s="101">
        <v>1</v>
      </c>
      <c r="D1581" s="104">
        <f>VLOOKUP(A1581,'Mano Obra'!$B$2:$T$117,19,0)</f>
        <v>72664</v>
      </c>
      <c r="E1581" s="246">
        <f>H1542</f>
        <v>5.21E-2</v>
      </c>
      <c r="F1581" s="538">
        <f t="shared" si="93"/>
        <v>3785.7944000000002</v>
      </c>
      <c r="G1581" s="557"/>
      <c r="H1581" s="120"/>
      <c r="J1581" s="136">
        <f>((('Mano Obra'!$M$6/30)*F1581)/D1581)*G1549</f>
        <v>0</v>
      </c>
    </row>
    <row r="1582" spans="1:15" ht="16.5">
      <c r="A1582" s="560" t="s">
        <v>4101</v>
      </c>
      <c r="B1582" s="560"/>
      <c r="C1582" s="560"/>
      <c r="D1582" s="560"/>
      <c r="E1582" s="560"/>
      <c r="F1582" s="560"/>
      <c r="G1582" s="560"/>
      <c r="H1582" s="105">
        <f>SUM(F1579:F1581)</f>
        <v>18742.662399999997</v>
      </c>
      <c r="J1582" s="136"/>
    </row>
    <row r="1583" spans="1:15">
      <c r="A1583" s="227" t="s">
        <v>4237</v>
      </c>
      <c r="B1583" s="205"/>
      <c r="C1583" s="205"/>
      <c r="D1583" s="202"/>
      <c r="E1583" s="203"/>
      <c r="F1583" s="204"/>
      <c r="G1583" s="203"/>
      <c r="H1583" s="212"/>
    </row>
    <row r="1584" spans="1:15">
      <c r="A1584" s="561" t="s">
        <v>4224</v>
      </c>
      <c r="B1584" s="562"/>
      <c r="C1584" s="562"/>
      <c r="D1584" s="562"/>
      <c r="E1584" s="200"/>
      <c r="F1584" s="201" t="s">
        <v>4238</v>
      </c>
      <c r="G1584" s="200" t="s">
        <v>4239</v>
      </c>
      <c r="H1584" s="213"/>
    </row>
    <row r="1585" spans="1:14">
      <c r="A1585" s="223" t="s">
        <v>4097</v>
      </c>
      <c r="B1585" s="72"/>
      <c r="C1585" s="72"/>
      <c r="D1585" s="73"/>
      <c r="E1585" s="78"/>
      <c r="F1585" s="79">
        <v>0</v>
      </c>
      <c r="G1585" s="80">
        <f>F1585*H1550</f>
        <v>0</v>
      </c>
      <c r="H1585" s="212"/>
    </row>
    <row r="1586" spans="1:14">
      <c r="A1586" s="224" t="s">
        <v>4240</v>
      </c>
      <c r="B1586" s="81"/>
      <c r="C1586" s="81"/>
      <c r="D1586" s="82"/>
      <c r="E1586" s="78"/>
      <c r="F1586" s="79">
        <v>0</v>
      </c>
      <c r="G1586" s="80">
        <f>F1586*H1550</f>
        <v>0</v>
      </c>
      <c r="H1586" s="212"/>
    </row>
    <row r="1587" spans="1:14">
      <c r="A1587" s="224" t="s">
        <v>4</v>
      </c>
      <c r="B1587" s="81"/>
      <c r="C1587" s="81"/>
      <c r="D1587" s="82"/>
      <c r="E1587" s="78"/>
      <c r="F1587" s="79">
        <v>0</v>
      </c>
      <c r="G1587" s="80">
        <f>F1587*H1550</f>
        <v>0</v>
      </c>
      <c r="H1587" s="212"/>
    </row>
    <row r="1588" spans="1:14">
      <c r="A1588" s="225"/>
      <c r="B1588" s="83"/>
      <c r="C1588" s="75"/>
      <c r="D1588" s="84"/>
      <c r="E1588" s="85"/>
      <c r="F1588" s="86"/>
      <c r="G1588" s="87"/>
      <c r="H1588" s="214"/>
    </row>
    <row r="1589" spans="1:14">
      <c r="A1589" s="226"/>
      <c r="B1589" s="83"/>
      <c r="C1589" s="83"/>
      <c r="D1589" s="84"/>
      <c r="E1589" s="88"/>
      <c r="F1589" s="563" t="s">
        <v>4241</v>
      </c>
      <c r="G1589" s="564"/>
      <c r="H1589" s="233">
        <f>H1550+G1585+G1586+G1587</f>
        <v>733278.08002755698</v>
      </c>
    </row>
    <row r="1590" spans="1:14">
      <c r="A1590" s="83"/>
      <c r="B1590" s="83"/>
      <c r="C1590" s="83"/>
      <c r="D1590" s="84"/>
      <c r="E1590" s="388"/>
      <c r="F1590" s="389"/>
      <c r="G1590" s="389"/>
      <c r="H1590" s="390"/>
    </row>
    <row r="1591" spans="1:14" ht="16.5">
      <c r="A1591" s="90"/>
      <c r="B1591" s="90"/>
      <c r="C1591" s="90"/>
      <c r="D1591" s="90"/>
      <c r="E1591" s="90"/>
      <c r="F1591" s="90"/>
      <c r="G1591" s="90"/>
      <c r="H1591" s="381"/>
    </row>
    <row r="1592" spans="1:14">
      <c r="A1592" s="579" t="s">
        <v>4225</v>
      </c>
      <c r="B1592" s="580"/>
      <c r="C1592" s="580"/>
      <c r="D1592" s="580"/>
      <c r="E1592" s="580"/>
      <c r="F1592" s="580"/>
      <c r="G1592" s="580"/>
      <c r="H1592" s="581"/>
    </row>
    <row r="1593" spans="1:14" ht="16.5">
      <c r="A1593" s="91"/>
      <c r="B1593" s="92"/>
      <c r="C1593" s="92"/>
      <c r="D1593" s="92"/>
      <c r="E1593" s="92"/>
      <c r="F1593" s="93"/>
      <c r="G1593" s="94"/>
      <c r="H1593" s="380">
        <f>ROUND((25/60)/8,4)</f>
        <v>5.21E-2</v>
      </c>
      <c r="I1593" s="115"/>
    </row>
    <row r="1594" spans="1:14">
      <c r="A1594" s="582" t="s">
        <v>4220</v>
      </c>
      <c r="B1594" s="584" t="str">
        <f>COSTOS!$C$14</f>
        <v>MODERNIZACION A TECNOLOGIA LED</v>
      </c>
      <c r="C1594" s="584"/>
      <c r="D1594" s="584"/>
      <c r="E1594" s="584"/>
      <c r="F1594" s="584"/>
      <c r="G1594" s="584"/>
      <c r="H1594" s="585" t="s">
        <v>4221</v>
      </c>
    </row>
    <row r="1595" spans="1:14">
      <c r="A1595" s="583"/>
      <c r="B1595" s="584"/>
      <c r="C1595" s="584"/>
      <c r="D1595" s="584"/>
      <c r="E1595" s="584"/>
      <c r="F1595" s="584"/>
      <c r="G1595" s="584"/>
      <c r="H1595" s="585"/>
    </row>
    <row r="1596" spans="1:14">
      <c r="A1596" s="583"/>
      <c r="B1596" s="584"/>
      <c r="C1596" s="584"/>
      <c r="D1596" s="584"/>
      <c r="E1596" s="584"/>
      <c r="F1596" s="584"/>
      <c r="G1596" s="584"/>
      <c r="H1596" s="585"/>
    </row>
    <row r="1597" spans="1:14" ht="15" customHeight="1">
      <c r="A1597" s="583"/>
      <c r="B1597" s="584"/>
      <c r="C1597" s="584"/>
      <c r="D1597" s="584"/>
      <c r="E1597" s="584"/>
      <c r="F1597" s="584"/>
      <c r="G1597" s="584"/>
      <c r="H1597" s="216">
        <f ca="1">TODAY()</f>
        <v>44889</v>
      </c>
      <c r="K1597" t="s">
        <v>4391</v>
      </c>
      <c r="L1597" t="s">
        <v>4392</v>
      </c>
      <c r="M1597" t="s">
        <v>4393</v>
      </c>
      <c r="N1597" t="s">
        <v>4394</v>
      </c>
    </row>
    <row r="1598" spans="1:14" ht="60.75" customHeight="1">
      <c r="A1598" s="228" t="s">
        <v>4222</v>
      </c>
      <c r="B1598" s="565" t="str">
        <f>COSTOS!$D$16</f>
        <v>Luminarias</v>
      </c>
      <c r="C1598" s="565"/>
      <c r="D1598" s="565"/>
      <c r="E1598" s="565"/>
      <c r="F1598" s="565"/>
      <c r="G1598" s="70" t="s">
        <v>4223</v>
      </c>
      <c r="H1598" s="391">
        <v>1.32</v>
      </c>
      <c r="K1598" s="62">
        <f>H1623</f>
        <v>800250.00256744202</v>
      </c>
      <c r="L1598" s="62">
        <f>H1633</f>
        <v>18742.662399999997</v>
      </c>
      <c r="M1598" s="62">
        <f>H1606</f>
        <v>3363.18525</v>
      </c>
      <c r="N1598" s="62">
        <f>H1627</f>
        <v>4800</v>
      </c>
    </row>
    <row r="1599" spans="1:14" ht="43.15" customHeight="1">
      <c r="A1599" s="229" t="s">
        <v>4224</v>
      </c>
      <c r="B1599" s="566" t="str">
        <f>VLOOKUP(H1598,COSTOS!C:M,2,0)</f>
        <v>Farol con luminaria fluorescente 32w</v>
      </c>
      <c r="C1599" s="567"/>
      <c r="D1599" s="567"/>
      <c r="E1599" s="568"/>
      <c r="F1599" s="71" t="s">
        <v>0</v>
      </c>
      <c r="G1599" s="356" t="str">
        <f>VLOOKUP(H1598,COSTOS!C:M,8,0)</f>
        <v>Und</v>
      </c>
      <c r="H1599" s="276"/>
      <c r="I1599" s="306"/>
      <c r="J1599" s="308"/>
      <c r="K1599" s="308"/>
      <c r="L1599" s="308"/>
    </row>
    <row r="1600" spans="1:14">
      <c r="A1600" s="230"/>
      <c r="B1600" s="112"/>
      <c r="C1600" s="112"/>
      <c r="D1600" s="112"/>
      <c r="E1600" s="113"/>
      <c r="F1600" s="114" t="s">
        <v>1</v>
      </c>
      <c r="G1600" s="356">
        <f>VLOOKUP(H1598,COSTOS!C:M,9,0)</f>
        <v>0</v>
      </c>
      <c r="H1600" s="357"/>
      <c r="I1600" s="307"/>
    </row>
    <row r="1601" spans="1:15" ht="16.5">
      <c r="A1601" s="231" t="s">
        <v>4226</v>
      </c>
      <c r="B1601" s="75"/>
      <c r="C1601" s="75"/>
      <c r="D1601" s="76"/>
      <c r="E1601" s="209"/>
      <c r="F1601" s="210"/>
      <c r="G1601" s="211" t="s">
        <v>4227</v>
      </c>
      <c r="H1601" s="217">
        <f>H1606+H1623+H1627+H1633</f>
        <v>827155.85021744203</v>
      </c>
    </row>
    <row r="1602" spans="1:15" ht="39">
      <c r="A1602" s="569" t="s">
        <v>4224</v>
      </c>
      <c r="B1602" s="569"/>
      <c r="C1602" s="569"/>
      <c r="D1602" s="77" t="s">
        <v>0</v>
      </c>
      <c r="E1602" s="207" t="s">
        <v>4228</v>
      </c>
      <c r="F1602" s="208" t="s">
        <v>4215</v>
      </c>
      <c r="G1602" s="74" t="s">
        <v>2</v>
      </c>
      <c r="H1602" s="218" t="s">
        <v>4229</v>
      </c>
      <c r="K1602" s="309"/>
    </row>
    <row r="1603" spans="1:15">
      <c r="A1603" s="536" t="s">
        <v>3946</v>
      </c>
      <c r="B1603" s="570" t="str">
        <f>VLOOKUP(A1603,'Equip, Herr y Transp'!$B$2:$D$739,2,0)</f>
        <v>EQU</v>
      </c>
      <c r="C1603" s="570"/>
      <c r="D1603" s="95" t="str">
        <f>VLOOKUP(A1603,'Equip, Herr y Transp'!$B$2:$D$218,2,0)</f>
        <v>EQU</v>
      </c>
      <c r="E1603" s="95">
        <f>VLOOKUP(A1603,'Equip, Herr y Transp'!$B$2:$D$218,3,0)</f>
        <v>14130</v>
      </c>
      <c r="F1603" s="96">
        <f>H1593</f>
        <v>5.21E-2</v>
      </c>
      <c r="G1603" s="122">
        <f>F1603*E1603</f>
        <v>736.173</v>
      </c>
      <c r="H1603" s="118"/>
    </row>
    <row r="1604" spans="1:15">
      <c r="A1604" s="536" t="s">
        <v>3904</v>
      </c>
      <c r="B1604" s="570" t="str">
        <f>VLOOKUP(A1604,'Equip, Herr y Transp'!$B$2:$D$739,2,0)</f>
        <v>EQU</v>
      </c>
      <c r="C1604" s="570"/>
      <c r="D1604" s="95" t="str">
        <f>VLOOKUP(A1604,'Equip, Herr y Transp'!$B$2:$D$218,2,0)</f>
        <v>EQU</v>
      </c>
      <c r="E1604" s="95">
        <f>VLOOKUP(A1604,'Equip, Herr y Transp'!$B$2:$D$218,3,0)</f>
        <v>26672.5</v>
      </c>
      <c r="F1604" s="96">
        <f>H1593</f>
        <v>5.21E-2</v>
      </c>
      <c r="G1604" s="122">
        <f>F1604*E1604</f>
        <v>1389.63725</v>
      </c>
      <c r="H1604" s="117"/>
    </row>
    <row r="1605" spans="1:15">
      <c r="A1605" s="536" t="s">
        <v>3937</v>
      </c>
      <c r="B1605" s="570" t="str">
        <f>VLOOKUP(A1605,'Equip, Herr y Transp'!$B$2:$D$739,2,0)</f>
        <v>EQU</v>
      </c>
      <c r="C1605" s="570"/>
      <c r="D1605" s="95" t="str">
        <f>VLOOKUP(A1605,'Equip, Herr y Transp'!$B$2:$D$218,2,0)</f>
        <v>EQU</v>
      </c>
      <c r="E1605" s="95">
        <f>VLOOKUP(A1605,'Equip, Herr y Transp'!$B$2:$D$218,3,0)</f>
        <v>23750</v>
      </c>
      <c r="F1605" s="96">
        <f>H1593</f>
        <v>5.21E-2</v>
      </c>
      <c r="G1605" s="122">
        <f>F1605*E1605</f>
        <v>1237.375</v>
      </c>
      <c r="H1605" s="117"/>
    </row>
    <row r="1606" spans="1:15" ht="16.5">
      <c r="A1606" s="540" t="s">
        <v>4100</v>
      </c>
      <c r="B1606" s="541"/>
      <c r="C1606" s="541"/>
      <c r="D1606" s="541"/>
      <c r="E1606" s="541"/>
      <c r="F1606" s="541"/>
      <c r="G1606" s="541"/>
      <c r="H1606" s="97">
        <f>SUM(G1603:G1605)</f>
        <v>3363.18525</v>
      </c>
    </row>
    <row r="1607" spans="1:15" ht="16.5">
      <c r="A1607" s="571" t="s">
        <v>4230</v>
      </c>
      <c r="B1607" s="572"/>
      <c r="C1607" s="572"/>
      <c r="D1607" s="572"/>
      <c r="E1607" s="572"/>
      <c r="F1607" s="572"/>
      <c r="G1607" s="572"/>
      <c r="H1607" s="573"/>
      <c r="K1607" s="56"/>
      <c r="L1607" s="56"/>
      <c r="M1607" s="56"/>
      <c r="N1607" s="56"/>
      <c r="O1607" s="56"/>
    </row>
    <row r="1608" spans="1:15" ht="30" customHeight="1">
      <c r="A1608" s="574" t="s">
        <v>7</v>
      </c>
      <c r="B1608" s="575"/>
      <c r="C1608" s="109" t="s">
        <v>0</v>
      </c>
      <c r="D1608" s="110" t="s">
        <v>4098</v>
      </c>
      <c r="E1608" s="111" t="s">
        <v>1</v>
      </c>
      <c r="F1608" s="576" t="s">
        <v>4218</v>
      </c>
      <c r="G1608" s="576"/>
      <c r="H1608" s="215"/>
      <c r="K1608" s="56"/>
      <c r="L1608" s="56"/>
      <c r="M1608" s="56"/>
      <c r="N1608" s="56"/>
      <c r="O1608" s="56"/>
    </row>
    <row r="1609" spans="1:15">
      <c r="A1609" s="577" t="s">
        <v>4684</v>
      </c>
      <c r="B1609" s="578"/>
      <c r="C1609" s="98" t="str">
        <f>VLOOKUP(A1609,'Materiales '!$C$2:$F$1302,3,0)</f>
        <v>Und</v>
      </c>
      <c r="D1609" s="99">
        <f>VLOOKUP(A1609,'Materiales '!$C$2:$F$1302,4,0)</f>
        <v>574502.95656744204</v>
      </c>
      <c r="E1609" s="100">
        <v>1</v>
      </c>
      <c r="F1609" s="538">
        <f>E1609*D1609</f>
        <v>574502.95656744204</v>
      </c>
      <c r="G1609" s="539"/>
      <c r="H1609" s="121"/>
      <c r="I1609">
        <f>E1609*G1600</f>
        <v>0</v>
      </c>
      <c r="J1609" s="67"/>
      <c r="K1609" s="56"/>
      <c r="L1609" s="56"/>
      <c r="M1609" s="56"/>
      <c r="N1609" s="56"/>
      <c r="O1609" s="56"/>
    </row>
    <row r="1610" spans="1:15">
      <c r="A1610" s="577" t="s">
        <v>4214</v>
      </c>
      <c r="B1610" s="578"/>
      <c r="C1610" s="98" t="str">
        <f>VLOOKUP(A1610,'Materiales '!$C$2:$F$1302,3,0)</f>
        <v>Und</v>
      </c>
      <c r="D1610" s="99">
        <f>VLOOKUP(A1610,'Materiales '!$C$2:$F$1302,4,0)</f>
        <v>22848</v>
      </c>
      <c r="E1610" s="100">
        <v>1</v>
      </c>
      <c r="F1610" s="538">
        <f t="shared" ref="F1610:F1616" si="94">E1610*D1610</f>
        <v>22848</v>
      </c>
      <c r="G1610" s="539"/>
      <c r="H1610" s="121"/>
      <c r="I1610">
        <f>E1610*G1600</f>
        <v>0</v>
      </c>
      <c r="J1610" s="67"/>
      <c r="K1610" s="56"/>
      <c r="L1610" s="56"/>
      <c r="M1610" s="56"/>
      <c r="N1610" s="56"/>
      <c r="O1610" s="56"/>
    </row>
    <row r="1611" spans="1:15">
      <c r="A1611" s="536" t="s">
        <v>4484</v>
      </c>
      <c r="B1611" s="537" t="str">
        <f>VLOOKUP(A1611,'Materiales '!$C$2:$F$1302,3,0)</f>
        <v>Und</v>
      </c>
      <c r="C1611" s="98" t="str">
        <f>VLOOKUP(A1611,'Materiales '!$C$2:$F$1302,3,0)</f>
        <v>Und</v>
      </c>
      <c r="D1611" s="99">
        <f>VLOOKUP(A1611,'Materiales '!$C$2:$F$1302,4,0)</f>
        <v>21705.599999999999</v>
      </c>
      <c r="E1611" s="100">
        <v>2</v>
      </c>
      <c r="F1611" s="538">
        <f t="shared" si="94"/>
        <v>43411.199999999997</v>
      </c>
      <c r="G1611" s="539"/>
      <c r="H1611" s="121"/>
      <c r="I1611">
        <f>E1611*G1600</f>
        <v>0</v>
      </c>
      <c r="J1611" s="68"/>
      <c r="K1611" s="56"/>
      <c r="L1611" s="56"/>
      <c r="M1611" s="56"/>
      <c r="N1611" s="56"/>
      <c r="O1611" s="56"/>
    </row>
    <row r="1612" spans="1:15">
      <c r="A1612" s="536" t="s">
        <v>4489</v>
      </c>
      <c r="B1612" s="537" t="str">
        <f>VLOOKUP(A1612,'Materiales '!$C$2:$F$1302,3,0)</f>
        <v>Und</v>
      </c>
      <c r="C1612" s="98" t="str">
        <f>VLOOKUP(A1612,'Materiales '!$C$2:$F$1302,3,0)</f>
        <v>Und</v>
      </c>
      <c r="D1612" s="99">
        <f>VLOOKUP(A1612,'Materiales '!$C$2:$F$1302,4,0)</f>
        <v>8039.6399999999994</v>
      </c>
      <c r="E1612" s="100">
        <v>3</v>
      </c>
      <c r="F1612" s="538">
        <f t="shared" si="94"/>
        <v>24118.92</v>
      </c>
      <c r="G1612" s="539"/>
      <c r="H1612" s="121"/>
      <c r="I1612">
        <f>E1612*G1600</f>
        <v>0</v>
      </c>
      <c r="J1612" s="68"/>
      <c r="K1612" s="56"/>
      <c r="L1612" s="56"/>
      <c r="M1612" s="56"/>
      <c r="N1612" s="56"/>
      <c r="O1612" s="56"/>
    </row>
    <row r="1613" spans="1:15">
      <c r="A1613" s="536" t="s">
        <v>4554</v>
      </c>
      <c r="B1613" s="537" t="str">
        <f>VLOOKUP(A1613,'Materiales '!$C$2:$F$1302,3,0)</f>
        <v>Und</v>
      </c>
      <c r="C1613" s="98" t="str">
        <f>VLOOKUP(A1613,'Materiales '!$C$2:$F$1302,3,0)</f>
        <v>Und</v>
      </c>
      <c r="D1613" s="99">
        <f>VLOOKUP(A1613,'Materiales '!$C$2:$F$1302,4,0)</f>
        <v>2535.5329999999999</v>
      </c>
      <c r="E1613" s="100">
        <v>2</v>
      </c>
      <c r="F1613" s="538">
        <f t="shared" si="94"/>
        <v>5071.0659999999998</v>
      </c>
      <c r="G1613" s="539"/>
      <c r="H1613" s="121"/>
      <c r="I1613">
        <f>E1613*G1600</f>
        <v>0</v>
      </c>
      <c r="J1613" s="68"/>
      <c r="K1613" s="56"/>
      <c r="L1613" s="56"/>
      <c r="M1613" s="56"/>
      <c r="N1613" s="56"/>
      <c r="O1613" s="56"/>
    </row>
    <row r="1614" spans="1:15">
      <c r="A1614" s="536" t="s">
        <v>4450</v>
      </c>
      <c r="B1614" s="537" t="str">
        <f>VLOOKUP(A1614,'Materiales '!$C$2:$F$1302,3,0)</f>
        <v>Ml</v>
      </c>
      <c r="C1614" s="98" t="str">
        <f>VLOOKUP(A1614,'Materiales '!$C$2:$F$1302,3,0)</f>
        <v>Ml</v>
      </c>
      <c r="D1614" s="99">
        <f>VLOOKUP(A1614,'Materiales '!$C$2:$F$1302,4,0)</f>
        <v>6791.5679999999993</v>
      </c>
      <c r="E1614" s="100">
        <v>1</v>
      </c>
      <c r="F1614" s="538">
        <f t="shared" si="94"/>
        <v>6791.5679999999993</v>
      </c>
      <c r="G1614" s="539"/>
      <c r="H1614" s="121"/>
      <c r="I1614">
        <f>E1614*G1600</f>
        <v>0</v>
      </c>
      <c r="J1614" s="68"/>
      <c r="K1614" s="56"/>
      <c r="L1614" s="56"/>
      <c r="M1614" s="56"/>
      <c r="N1614" s="56"/>
      <c r="O1614" s="56"/>
    </row>
    <row r="1615" spans="1:15">
      <c r="A1615" s="536" t="s">
        <v>4493</v>
      </c>
      <c r="B1615" s="537" t="str">
        <f>VLOOKUP(A1615,'Materiales '!$C$2:$F$1302,3,0)</f>
        <v>Und</v>
      </c>
      <c r="C1615" s="98" t="str">
        <f>VLOOKUP(A1615,'Materiales '!$C$2:$F$1302,3,0)</f>
        <v>Und</v>
      </c>
      <c r="D1615" s="99">
        <f>VLOOKUP(A1615,'Materiales '!$C$2:$F$1302,4,0)</f>
        <v>232.76399999999998</v>
      </c>
      <c r="E1615" s="100">
        <v>3</v>
      </c>
      <c r="F1615" s="538">
        <f t="shared" si="94"/>
        <v>698.29199999999992</v>
      </c>
      <c r="G1615" s="539"/>
      <c r="H1615" s="121"/>
      <c r="I1615">
        <f>E1615*G1600</f>
        <v>0</v>
      </c>
      <c r="J1615" s="68"/>
      <c r="K1615" s="56"/>
      <c r="L1615" s="56"/>
      <c r="M1615" s="56"/>
      <c r="N1615" s="56"/>
      <c r="O1615" s="56"/>
    </row>
    <row r="1616" spans="1:15" ht="21.75" customHeight="1">
      <c r="A1616" s="536" t="s">
        <v>4435</v>
      </c>
      <c r="B1616" s="537" t="str">
        <f>VLOOKUP(A1616,'Materiales '!$C$2:$F$1302,3,0)</f>
        <v>Und</v>
      </c>
      <c r="C1616" s="98" t="str">
        <f>VLOOKUP(A1616,'Materiales '!$C$2:$F$1302,3,0)</f>
        <v>Und</v>
      </c>
      <c r="D1616" s="99">
        <f>VLOOKUP(A1616,'Materiales '!$C$2:$F$1302,4,0)</f>
        <v>122808</v>
      </c>
      <c r="E1616" s="100">
        <v>1</v>
      </c>
      <c r="F1616" s="538">
        <f t="shared" si="94"/>
        <v>122808</v>
      </c>
      <c r="G1616" s="539"/>
      <c r="H1616" s="121"/>
      <c r="I1616">
        <f>E1616*G1600</f>
        <v>0</v>
      </c>
      <c r="J1616" s="68"/>
      <c r="K1616" s="56"/>
      <c r="L1616" s="56"/>
      <c r="M1616" s="56"/>
      <c r="N1616" s="56"/>
      <c r="O1616" s="56"/>
    </row>
    <row r="1617" spans="1:15">
      <c r="A1617" s="536" t="s">
        <v>8</v>
      </c>
      <c r="B1617" s="537" t="str">
        <f>VLOOKUP(A1617,'Materiales '!$C$2:$F$1302,3,0)</f>
        <v>-</v>
      </c>
      <c r="C1617" s="98" t="str">
        <f>VLOOKUP(A1617,'Materiales '!$C$2:$F$1302,3,0)</f>
        <v>-</v>
      </c>
      <c r="D1617" s="99">
        <f>VLOOKUP(A1617,'Materiales '!$C$2:$F$1302,4,0)</f>
        <v>0</v>
      </c>
      <c r="E1617" s="100"/>
      <c r="F1617" s="538">
        <f>E1617*D1617</f>
        <v>0</v>
      </c>
      <c r="G1617" s="539"/>
      <c r="H1617" s="120"/>
      <c r="I1617">
        <f>E1617*G1600</f>
        <v>0</v>
      </c>
      <c r="J1617" s="68"/>
      <c r="K1617" s="56"/>
      <c r="L1617" s="56"/>
      <c r="M1617" s="56"/>
      <c r="N1617" s="56"/>
      <c r="O1617" s="56"/>
    </row>
    <row r="1618" spans="1:15">
      <c r="A1618" s="536" t="s">
        <v>8</v>
      </c>
      <c r="B1618" s="537" t="str">
        <f>VLOOKUP(A1618,'Materiales '!$C$2:$F$1302,3,0)</f>
        <v>-</v>
      </c>
      <c r="C1618" s="98" t="str">
        <f>VLOOKUP(A1618,'Materiales '!$C$2:$F$1302,3,0)</f>
        <v>-</v>
      </c>
      <c r="D1618" s="99">
        <f>VLOOKUP(A1618,'Materiales '!$C$2:$F$1302,4,0)</f>
        <v>0</v>
      </c>
      <c r="E1618" s="100"/>
      <c r="F1618" s="538">
        <f t="shared" ref="F1618:F1621" si="95">E1618*D1618</f>
        <v>0</v>
      </c>
      <c r="G1618" s="539"/>
      <c r="H1618" s="121"/>
      <c r="I1618">
        <f>E1618*G1600</f>
        <v>0</v>
      </c>
      <c r="J1618" s="68"/>
      <c r="K1618" s="56"/>
      <c r="L1618" s="56"/>
      <c r="M1618" s="56"/>
      <c r="N1618" s="56"/>
      <c r="O1618" s="56"/>
    </row>
    <row r="1619" spans="1:15">
      <c r="A1619" s="536" t="s">
        <v>8</v>
      </c>
      <c r="B1619" s="537" t="str">
        <f>VLOOKUP(A1619,'Materiales '!$C$2:$F$1302,3,0)</f>
        <v>-</v>
      </c>
      <c r="C1619" s="98" t="str">
        <f>VLOOKUP(A1619,'Materiales '!$C$2:$F$1302,3,0)</f>
        <v>-</v>
      </c>
      <c r="D1619" s="99">
        <f>VLOOKUP(A1619,'Materiales '!$C$2:$F$1302,4,0)</f>
        <v>0</v>
      </c>
      <c r="E1619" s="100"/>
      <c r="F1619" s="538">
        <f t="shared" si="95"/>
        <v>0</v>
      </c>
      <c r="G1619" s="539"/>
      <c r="H1619" s="121"/>
      <c r="I1619">
        <f>E1619*G1600</f>
        <v>0</v>
      </c>
      <c r="J1619" s="68"/>
      <c r="K1619" s="56"/>
      <c r="L1619" s="56"/>
      <c r="M1619" s="56"/>
      <c r="N1619" s="56"/>
      <c r="O1619" s="56"/>
    </row>
    <row r="1620" spans="1:15">
      <c r="A1620" s="536" t="s">
        <v>8</v>
      </c>
      <c r="B1620" s="537" t="str">
        <f>VLOOKUP(A1620,'Materiales '!$C$2:$F$1302,3,0)</f>
        <v>-</v>
      </c>
      <c r="C1620" s="98" t="str">
        <f>VLOOKUP(A1620,'Materiales '!$C$2:$F$1302,3,0)</f>
        <v>-</v>
      </c>
      <c r="D1620" s="99">
        <f>VLOOKUP(A1620,'Materiales '!$C$2:$F$1302,4,0)</f>
        <v>0</v>
      </c>
      <c r="E1620" s="100"/>
      <c r="F1620" s="538">
        <f t="shared" si="95"/>
        <v>0</v>
      </c>
      <c r="G1620" s="539"/>
      <c r="H1620" s="121"/>
      <c r="I1620">
        <f>E1620*G1600</f>
        <v>0</v>
      </c>
      <c r="J1620" s="68"/>
      <c r="K1620" s="56"/>
      <c r="L1620" s="56"/>
      <c r="M1620" s="56"/>
      <c r="N1620" s="56"/>
      <c r="O1620" s="56"/>
    </row>
    <row r="1621" spans="1:15">
      <c r="A1621" s="536" t="s">
        <v>8</v>
      </c>
      <c r="B1621" s="537" t="str">
        <f>VLOOKUP(A1621,'Materiales '!$C$2:$F$1302,3,0)</f>
        <v>-</v>
      </c>
      <c r="C1621" s="98" t="str">
        <f>VLOOKUP(A1621,'Materiales '!$C$2:$F$1302,3,0)</f>
        <v>-</v>
      </c>
      <c r="D1621" s="99">
        <f>VLOOKUP(A1621,'Materiales '!$C$2:$F$1302,4,0)</f>
        <v>0</v>
      </c>
      <c r="E1621" s="100"/>
      <c r="F1621" s="538">
        <f t="shared" si="95"/>
        <v>0</v>
      </c>
      <c r="G1621" s="539"/>
      <c r="H1621" s="121"/>
      <c r="I1621">
        <f>E1621*G1600</f>
        <v>0</v>
      </c>
      <c r="J1621" s="68"/>
      <c r="K1621" s="56"/>
      <c r="L1621" s="56"/>
      <c r="M1621" s="56"/>
      <c r="N1621" s="56"/>
      <c r="O1621" s="56"/>
    </row>
    <row r="1622" spans="1:15">
      <c r="A1622" s="536" t="s">
        <v>8</v>
      </c>
      <c r="B1622" s="537" t="str">
        <f>VLOOKUP(A1622,'Materiales '!$C$2:$F$1302,3,0)</f>
        <v>-</v>
      </c>
      <c r="C1622" s="98" t="str">
        <f>VLOOKUP(A1622,'Materiales '!$C$2:$F$1302,3,0)</f>
        <v>-</v>
      </c>
      <c r="D1622" s="99">
        <f>VLOOKUP(A1622,'Materiales '!$C$2:$F$1302,4,0)</f>
        <v>0</v>
      </c>
      <c r="E1622" s="100"/>
      <c r="F1622" s="538">
        <f>E1622*D1622</f>
        <v>0</v>
      </c>
      <c r="G1622" s="539"/>
      <c r="H1622" s="120"/>
      <c r="I1622">
        <f>E1622*G1600</f>
        <v>0</v>
      </c>
      <c r="J1622" s="68"/>
      <c r="K1622" s="56"/>
      <c r="L1622" s="56"/>
      <c r="M1622" s="56"/>
      <c r="N1622" s="56"/>
      <c r="O1622" s="56"/>
    </row>
    <row r="1623" spans="1:15" ht="16.5">
      <c r="A1623" s="540" t="s">
        <v>4099</v>
      </c>
      <c r="B1623" s="541"/>
      <c r="C1623" s="541"/>
      <c r="D1623" s="541"/>
      <c r="E1623" s="541"/>
      <c r="F1623" s="541"/>
      <c r="G1623" s="542"/>
      <c r="H1623" s="116">
        <f>SUM(F1609:F1622)</f>
        <v>800250.00256744202</v>
      </c>
      <c r="J1623" s="68"/>
      <c r="K1623" s="56"/>
      <c r="L1623" s="56"/>
      <c r="M1623" s="56"/>
      <c r="N1623" s="56"/>
      <c r="O1623" s="56"/>
    </row>
    <row r="1624" spans="1:15" ht="16.5">
      <c r="A1624" s="543" t="s">
        <v>4231</v>
      </c>
      <c r="B1624" s="544"/>
      <c r="C1624" s="544"/>
      <c r="D1624" s="544"/>
      <c r="E1624" s="545"/>
      <c r="F1624" s="544"/>
      <c r="G1624" s="544"/>
      <c r="H1624" s="546"/>
      <c r="J1624" s="68"/>
      <c r="K1624" s="56"/>
      <c r="L1624" s="56"/>
      <c r="M1624" s="56"/>
      <c r="N1624" s="56"/>
      <c r="O1624" s="56"/>
    </row>
    <row r="1625" spans="1:15">
      <c r="A1625" s="547" t="s">
        <v>7</v>
      </c>
      <c r="B1625" s="548"/>
      <c r="C1625" s="108" t="s">
        <v>4232</v>
      </c>
      <c r="D1625" s="107" t="s">
        <v>4233</v>
      </c>
      <c r="E1625" s="206" t="s">
        <v>4234</v>
      </c>
      <c r="F1625" s="549" t="s">
        <v>4218</v>
      </c>
      <c r="G1625" s="549"/>
      <c r="H1625" s="119"/>
      <c r="K1625" s="56"/>
      <c r="L1625" s="56"/>
      <c r="M1625" s="56"/>
      <c r="N1625" s="56"/>
      <c r="O1625" s="56"/>
    </row>
    <row r="1626" spans="1:15">
      <c r="A1626" s="550" t="s">
        <v>3928</v>
      </c>
      <c r="B1626" s="551"/>
      <c r="C1626" s="232">
        <v>1</v>
      </c>
      <c r="D1626" s="102">
        <v>0.03</v>
      </c>
      <c r="E1626" s="103">
        <f>VLOOKUP(A1626,'Equip, Herr y Transp'!$B$2:$D$218,3,0)</f>
        <v>160000</v>
      </c>
      <c r="F1626" s="552">
        <f>E1626*D1626*C1626</f>
        <v>4800</v>
      </c>
      <c r="G1626" s="553"/>
      <c r="H1626" s="117"/>
      <c r="M1626" s="56"/>
    </row>
    <row r="1627" spans="1:15" ht="16.5">
      <c r="A1627" s="554" t="s">
        <v>4216</v>
      </c>
      <c r="B1627" s="555"/>
      <c r="C1627" s="555"/>
      <c r="D1627" s="555"/>
      <c r="E1627" s="555"/>
      <c r="F1627" s="555"/>
      <c r="G1627" s="555"/>
      <c r="H1627" s="105">
        <f>F1626</f>
        <v>4800</v>
      </c>
    </row>
    <row r="1628" spans="1:15" ht="16.5">
      <c r="A1628" s="543" t="s">
        <v>4235</v>
      </c>
      <c r="B1628" s="544"/>
      <c r="C1628" s="544"/>
      <c r="D1628" s="544"/>
      <c r="E1628" s="544"/>
      <c r="F1628" s="544"/>
      <c r="G1628" s="544"/>
      <c r="H1628" s="546"/>
    </row>
    <row r="1629" spans="1:15">
      <c r="A1629" s="547" t="s">
        <v>7</v>
      </c>
      <c r="B1629" s="548"/>
      <c r="C1629" s="106" t="s">
        <v>1</v>
      </c>
      <c r="D1629" s="107" t="s">
        <v>4236</v>
      </c>
      <c r="E1629" s="108" t="s">
        <v>4215</v>
      </c>
      <c r="F1629" s="547" t="s">
        <v>5</v>
      </c>
      <c r="G1629" s="556"/>
      <c r="H1629" s="119"/>
    </row>
    <row r="1630" spans="1:15">
      <c r="A1630" s="550" t="s">
        <v>4196</v>
      </c>
      <c r="B1630" s="551"/>
      <c r="C1630" s="101">
        <v>1</v>
      </c>
      <c r="D1630" s="104">
        <f>VLOOKUP(A1630,'Mano Obra'!$B$2:$T$117,19,0)</f>
        <v>166624</v>
      </c>
      <c r="E1630" s="246">
        <f>H1593</f>
        <v>5.21E-2</v>
      </c>
      <c r="F1630" s="538">
        <f>E1630*D1630*C1630</f>
        <v>8681.1103999999996</v>
      </c>
      <c r="G1630" s="557"/>
      <c r="H1630" s="121"/>
      <c r="I1630" s="69"/>
      <c r="J1630" s="136">
        <f>((('Mano Obra'!$M$4/30)*F1630)/D1630)*G1600</f>
        <v>0</v>
      </c>
    </row>
    <row r="1631" spans="1:15">
      <c r="A1631" s="558" t="s">
        <v>4197</v>
      </c>
      <c r="B1631" s="559">
        <f>VLOOKUP(A1631,'Mano Obra'!$B$3:$D$290,2,0)</f>
        <v>2090000.0000000002</v>
      </c>
      <c r="C1631" s="101">
        <v>1</v>
      </c>
      <c r="D1631" s="104">
        <f>VLOOKUP(A1631,'Mano Obra'!$B$2:$T$117,19,0)</f>
        <v>120456</v>
      </c>
      <c r="E1631" s="246">
        <f>H1593</f>
        <v>5.21E-2</v>
      </c>
      <c r="F1631" s="538">
        <f t="shared" ref="F1631:F1632" si="96">E1631*D1631*C1631</f>
        <v>6275.7575999999999</v>
      </c>
      <c r="G1631" s="557"/>
      <c r="H1631" s="121"/>
      <c r="J1631" s="136">
        <f>((('Mano Obra'!$M$5/30)*F1631)/D1631)*G1600</f>
        <v>0</v>
      </c>
    </row>
    <row r="1632" spans="1:15">
      <c r="A1632" s="558" t="s">
        <v>4186</v>
      </c>
      <c r="B1632" s="559">
        <f>VLOOKUP(A1632,'Mano Obra'!$B$3:$D$290,2,0)</f>
        <v>1100000</v>
      </c>
      <c r="C1632" s="101">
        <v>1</v>
      </c>
      <c r="D1632" s="104">
        <f>VLOOKUP(A1632,'Mano Obra'!$B$2:$T$117,19,0)</f>
        <v>72664</v>
      </c>
      <c r="E1632" s="246">
        <f>H1593</f>
        <v>5.21E-2</v>
      </c>
      <c r="F1632" s="538">
        <f t="shared" si="96"/>
        <v>3785.7944000000002</v>
      </c>
      <c r="G1632" s="557"/>
      <c r="H1632" s="120"/>
      <c r="J1632" s="136">
        <f>((('Mano Obra'!$M$6/30)*F1632)/D1632)*G1600</f>
        <v>0</v>
      </c>
    </row>
    <row r="1633" spans="1:14" ht="16.5">
      <c r="A1633" s="560" t="s">
        <v>4101</v>
      </c>
      <c r="B1633" s="560"/>
      <c r="C1633" s="560"/>
      <c r="D1633" s="560"/>
      <c r="E1633" s="560"/>
      <c r="F1633" s="560"/>
      <c r="G1633" s="560"/>
      <c r="H1633" s="105">
        <f>SUM(F1630:F1632)</f>
        <v>18742.662399999997</v>
      </c>
      <c r="J1633" s="136"/>
    </row>
    <row r="1634" spans="1:14">
      <c r="A1634" s="227" t="s">
        <v>4237</v>
      </c>
      <c r="B1634" s="205"/>
      <c r="C1634" s="205"/>
      <c r="D1634" s="202"/>
      <c r="E1634" s="203"/>
      <c r="F1634" s="204"/>
      <c r="G1634" s="203"/>
      <c r="H1634" s="212"/>
    </row>
    <row r="1635" spans="1:14">
      <c r="A1635" s="561" t="s">
        <v>4224</v>
      </c>
      <c r="B1635" s="562"/>
      <c r="C1635" s="562"/>
      <c r="D1635" s="562"/>
      <c r="E1635" s="200"/>
      <c r="F1635" s="201" t="s">
        <v>4238</v>
      </c>
      <c r="G1635" s="200" t="s">
        <v>4239</v>
      </c>
      <c r="H1635" s="213"/>
    </row>
    <row r="1636" spans="1:14">
      <c r="A1636" s="223" t="s">
        <v>4097</v>
      </c>
      <c r="B1636" s="72"/>
      <c r="C1636" s="72"/>
      <c r="D1636" s="73"/>
      <c r="E1636" s="78"/>
      <c r="F1636" s="79">
        <v>0</v>
      </c>
      <c r="G1636" s="80">
        <f>F1636*H1601</f>
        <v>0</v>
      </c>
      <c r="H1636" s="212"/>
    </row>
    <row r="1637" spans="1:14">
      <c r="A1637" s="224" t="s">
        <v>4240</v>
      </c>
      <c r="B1637" s="81"/>
      <c r="C1637" s="81"/>
      <c r="D1637" s="82"/>
      <c r="E1637" s="78"/>
      <c r="F1637" s="79">
        <v>0</v>
      </c>
      <c r="G1637" s="80">
        <f>F1637*H1601</f>
        <v>0</v>
      </c>
      <c r="H1637" s="212"/>
    </row>
    <row r="1638" spans="1:14">
      <c r="A1638" s="224" t="s">
        <v>4</v>
      </c>
      <c r="B1638" s="81"/>
      <c r="C1638" s="81"/>
      <c r="D1638" s="82"/>
      <c r="E1638" s="78"/>
      <c r="F1638" s="79">
        <v>0</v>
      </c>
      <c r="G1638" s="80">
        <f>F1638*H1601</f>
        <v>0</v>
      </c>
      <c r="H1638" s="212"/>
    </row>
    <row r="1639" spans="1:14">
      <c r="A1639" s="225"/>
      <c r="B1639" s="83"/>
      <c r="C1639" s="75"/>
      <c r="D1639" s="84"/>
      <c r="E1639" s="85"/>
      <c r="F1639" s="86"/>
      <c r="G1639" s="87"/>
      <c r="H1639" s="214"/>
    </row>
    <row r="1640" spans="1:14">
      <c r="A1640" s="226"/>
      <c r="B1640" s="83"/>
      <c r="C1640" s="83"/>
      <c r="D1640" s="84"/>
      <c r="E1640" s="88"/>
      <c r="F1640" s="563" t="s">
        <v>4241</v>
      </c>
      <c r="G1640" s="564"/>
      <c r="H1640" s="233">
        <f>H1601+G1636+G1637+G1638</f>
        <v>827155.85021744203</v>
      </c>
    </row>
    <row r="1641" spans="1:14">
      <c r="A1641" s="83"/>
      <c r="B1641" s="83"/>
      <c r="C1641" s="83"/>
      <c r="D1641" s="84"/>
      <c r="E1641" s="388"/>
      <c r="F1641" s="389"/>
      <c r="G1641" s="389"/>
      <c r="H1641" s="390"/>
    </row>
    <row r="1642" spans="1:14" ht="16.5">
      <c r="A1642" s="90"/>
      <c r="B1642" s="90"/>
      <c r="C1642" s="90"/>
      <c r="D1642" s="90"/>
      <c r="E1642" s="90"/>
      <c r="F1642" s="90"/>
      <c r="G1642" s="90"/>
      <c r="H1642" s="381"/>
    </row>
    <row r="1643" spans="1:14">
      <c r="A1643" s="579" t="s">
        <v>4225</v>
      </c>
      <c r="B1643" s="580"/>
      <c r="C1643" s="580"/>
      <c r="D1643" s="580"/>
      <c r="E1643" s="580"/>
      <c r="F1643" s="580"/>
      <c r="G1643" s="580"/>
      <c r="H1643" s="581"/>
    </row>
    <row r="1644" spans="1:14" ht="16.5">
      <c r="A1644" s="91"/>
      <c r="B1644" s="92"/>
      <c r="C1644" s="92"/>
      <c r="D1644" s="92"/>
      <c r="E1644" s="92"/>
      <c r="F1644" s="93"/>
      <c r="G1644" s="94"/>
      <c r="H1644" s="380">
        <f>ROUND((25/60)/8,4)</f>
        <v>5.21E-2</v>
      </c>
      <c r="I1644" s="115"/>
    </row>
    <row r="1645" spans="1:14">
      <c r="A1645" s="582" t="s">
        <v>4220</v>
      </c>
      <c r="B1645" s="584" t="str">
        <f>COSTOS!$C$14</f>
        <v>MODERNIZACION A TECNOLOGIA LED</v>
      </c>
      <c r="C1645" s="584"/>
      <c r="D1645" s="584"/>
      <c r="E1645" s="584"/>
      <c r="F1645" s="584"/>
      <c r="G1645" s="584"/>
      <c r="H1645" s="585" t="s">
        <v>4221</v>
      </c>
    </row>
    <row r="1646" spans="1:14">
      <c r="A1646" s="583"/>
      <c r="B1646" s="584"/>
      <c r="C1646" s="584"/>
      <c r="D1646" s="584"/>
      <c r="E1646" s="584"/>
      <c r="F1646" s="584"/>
      <c r="G1646" s="584"/>
      <c r="H1646" s="585"/>
    </row>
    <row r="1647" spans="1:14">
      <c r="A1647" s="583"/>
      <c r="B1647" s="584"/>
      <c r="C1647" s="584"/>
      <c r="D1647" s="584"/>
      <c r="E1647" s="584"/>
      <c r="F1647" s="584"/>
      <c r="G1647" s="584"/>
      <c r="H1647" s="585"/>
    </row>
    <row r="1648" spans="1:14" ht="15" customHeight="1">
      <c r="A1648" s="583"/>
      <c r="B1648" s="584"/>
      <c r="C1648" s="584"/>
      <c r="D1648" s="584"/>
      <c r="E1648" s="584"/>
      <c r="F1648" s="584"/>
      <c r="G1648" s="584"/>
      <c r="H1648" s="216">
        <f ca="1">TODAY()</f>
        <v>44889</v>
      </c>
      <c r="K1648" t="s">
        <v>4391</v>
      </c>
      <c r="L1648" t="s">
        <v>4392</v>
      </c>
      <c r="M1648" t="s">
        <v>4393</v>
      </c>
      <c r="N1648" t="s">
        <v>4394</v>
      </c>
    </row>
    <row r="1649" spans="1:15" ht="60.75" customHeight="1">
      <c r="A1649" s="228" t="s">
        <v>4222</v>
      </c>
      <c r="B1649" s="565" t="str">
        <f>COSTOS!$D$16</f>
        <v>Luminarias</v>
      </c>
      <c r="C1649" s="565"/>
      <c r="D1649" s="565"/>
      <c r="E1649" s="565"/>
      <c r="F1649" s="565"/>
      <c r="G1649" s="70" t="s">
        <v>4223</v>
      </c>
      <c r="H1649" s="391">
        <v>1.33</v>
      </c>
      <c r="K1649" s="62">
        <f>H1674</f>
        <v>470771.65081993106</v>
      </c>
      <c r="L1649" s="62">
        <f>H1684</f>
        <v>18742.662399999997</v>
      </c>
      <c r="M1649" s="62">
        <f>H1657</f>
        <v>3363.18525</v>
      </c>
      <c r="N1649" s="62">
        <f>H1678</f>
        <v>4800</v>
      </c>
    </row>
    <row r="1650" spans="1:15" ht="43.15" customHeight="1">
      <c r="A1650" s="229" t="s">
        <v>4224</v>
      </c>
      <c r="B1650" s="566" t="str">
        <f>VLOOKUP(H1649,COSTOS!C:M,2,0)</f>
        <v>Luminaria con bombillo fluorescente 32w</v>
      </c>
      <c r="C1650" s="567"/>
      <c r="D1650" s="567"/>
      <c r="E1650" s="568"/>
      <c r="F1650" s="71" t="s">
        <v>0</v>
      </c>
      <c r="G1650" s="356" t="str">
        <f>VLOOKUP(H1649,COSTOS!C:M,8,0)</f>
        <v>Und</v>
      </c>
      <c r="H1650" s="276"/>
      <c r="I1650" s="306"/>
      <c r="J1650" s="308"/>
      <c r="K1650" s="308"/>
      <c r="L1650" s="308"/>
    </row>
    <row r="1651" spans="1:15">
      <c r="A1651" s="230"/>
      <c r="B1651" s="112"/>
      <c r="C1651" s="112"/>
      <c r="D1651" s="112"/>
      <c r="E1651" s="113"/>
      <c r="F1651" s="114" t="s">
        <v>1</v>
      </c>
      <c r="G1651" s="356">
        <f>VLOOKUP(H1649,COSTOS!C:M,9,0)</f>
        <v>0</v>
      </c>
      <c r="H1651" s="357"/>
      <c r="I1651" s="307"/>
    </row>
    <row r="1652" spans="1:15" ht="16.5">
      <c r="A1652" s="231" t="s">
        <v>4226</v>
      </c>
      <c r="B1652" s="75"/>
      <c r="C1652" s="75"/>
      <c r="D1652" s="76"/>
      <c r="E1652" s="209"/>
      <c r="F1652" s="210"/>
      <c r="G1652" s="211" t="s">
        <v>4227</v>
      </c>
      <c r="H1652" s="217">
        <f>H1657+H1674+H1678+H1684</f>
        <v>497677.49846993102</v>
      </c>
    </row>
    <row r="1653" spans="1:15" ht="39">
      <c r="A1653" s="569" t="s">
        <v>4224</v>
      </c>
      <c r="B1653" s="569"/>
      <c r="C1653" s="569"/>
      <c r="D1653" s="77" t="s">
        <v>0</v>
      </c>
      <c r="E1653" s="207" t="s">
        <v>4228</v>
      </c>
      <c r="F1653" s="208" t="s">
        <v>4215</v>
      </c>
      <c r="G1653" s="74" t="s">
        <v>2</v>
      </c>
      <c r="H1653" s="218" t="s">
        <v>4229</v>
      </c>
      <c r="K1653" s="309"/>
    </row>
    <row r="1654" spans="1:15">
      <c r="A1654" s="536" t="s">
        <v>3946</v>
      </c>
      <c r="B1654" s="570" t="str">
        <f>VLOOKUP(A1654,'Equip, Herr y Transp'!$B$2:$D$739,2,0)</f>
        <v>EQU</v>
      </c>
      <c r="C1654" s="570"/>
      <c r="D1654" s="95" t="str">
        <f>VLOOKUP(A1654,'Equip, Herr y Transp'!$B$2:$D$218,2,0)</f>
        <v>EQU</v>
      </c>
      <c r="E1654" s="95">
        <f>VLOOKUP(A1654,'Equip, Herr y Transp'!$B$2:$D$218,3,0)</f>
        <v>14130</v>
      </c>
      <c r="F1654" s="96">
        <f>H1644</f>
        <v>5.21E-2</v>
      </c>
      <c r="G1654" s="122">
        <f>F1654*E1654</f>
        <v>736.173</v>
      </c>
      <c r="H1654" s="118"/>
    </row>
    <row r="1655" spans="1:15">
      <c r="A1655" s="536" t="s">
        <v>3904</v>
      </c>
      <c r="B1655" s="570" t="str">
        <f>VLOOKUP(A1655,'Equip, Herr y Transp'!$B$2:$D$739,2,0)</f>
        <v>EQU</v>
      </c>
      <c r="C1655" s="570"/>
      <c r="D1655" s="95" t="str">
        <f>VLOOKUP(A1655,'Equip, Herr y Transp'!$B$2:$D$218,2,0)</f>
        <v>EQU</v>
      </c>
      <c r="E1655" s="95">
        <f>VLOOKUP(A1655,'Equip, Herr y Transp'!$B$2:$D$218,3,0)</f>
        <v>26672.5</v>
      </c>
      <c r="F1655" s="96">
        <f>H1644</f>
        <v>5.21E-2</v>
      </c>
      <c r="G1655" s="122">
        <f>F1655*E1655</f>
        <v>1389.63725</v>
      </c>
      <c r="H1655" s="117"/>
    </row>
    <row r="1656" spans="1:15">
      <c r="A1656" s="536" t="s">
        <v>3937</v>
      </c>
      <c r="B1656" s="570" t="str">
        <f>VLOOKUP(A1656,'Equip, Herr y Transp'!$B$2:$D$739,2,0)</f>
        <v>EQU</v>
      </c>
      <c r="C1656" s="570"/>
      <c r="D1656" s="95" t="str">
        <f>VLOOKUP(A1656,'Equip, Herr y Transp'!$B$2:$D$218,2,0)</f>
        <v>EQU</v>
      </c>
      <c r="E1656" s="95">
        <f>VLOOKUP(A1656,'Equip, Herr y Transp'!$B$2:$D$218,3,0)</f>
        <v>23750</v>
      </c>
      <c r="F1656" s="96">
        <f>H1644</f>
        <v>5.21E-2</v>
      </c>
      <c r="G1656" s="122">
        <f>F1656*E1656</f>
        <v>1237.375</v>
      </c>
      <c r="H1656" s="117"/>
    </row>
    <row r="1657" spans="1:15" ht="16.5">
      <c r="A1657" s="540" t="s">
        <v>4100</v>
      </c>
      <c r="B1657" s="541"/>
      <c r="C1657" s="541"/>
      <c r="D1657" s="541"/>
      <c r="E1657" s="541"/>
      <c r="F1657" s="541"/>
      <c r="G1657" s="541"/>
      <c r="H1657" s="97">
        <f>SUM(G1654:G1656)</f>
        <v>3363.18525</v>
      </c>
    </row>
    <row r="1658" spans="1:15" ht="16.5">
      <c r="A1658" s="571" t="s">
        <v>4230</v>
      </c>
      <c r="B1658" s="572"/>
      <c r="C1658" s="572"/>
      <c r="D1658" s="572"/>
      <c r="E1658" s="572"/>
      <c r="F1658" s="572"/>
      <c r="G1658" s="572"/>
      <c r="H1658" s="573"/>
      <c r="K1658" s="56"/>
      <c r="L1658" s="56"/>
      <c r="M1658" s="56"/>
      <c r="N1658" s="56"/>
      <c r="O1658" s="56"/>
    </row>
    <row r="1659" spans="1:15" ht="30" customHeight="1">
      <c r="A1659" s="574" t="s">
        <v>7</v>
      </c>
      <c r="B1659" s="575"/>
      <c r="C1659" s="109" t="s">
        <v>0</v>
      </c>
      <c r="D1659" s="110" t="s">
        <v>4098</v>
      </c>
      <c r="E1659" s="111" t="s">
        <v>1</v>
      </c>
      <c r="F1659" s="576" t="s">
        <v>4218</v>
      </c>
      <c r="G1659" s="576"/>
      <c r="H1659" s="215"/>
      <c r="K1659" s="56"/>
      <c r="L1659" s="56"/>
      <c r="M1659" s="56"/>
      <c r="N1659" s="56"/>
      <c r="O1659" s="56"/>
    </row>
    <row r="1660" spans="1:15">
      <c r="A1660" s="577" t="s">
        <v>4685</v>
      </c>
      <c r="B1660" s="578"/>
      <c r="C1660" s="98" t="str">
        <f>VLOOKUP(A1660,'Materiales '!$C$2:$F$1302,3,0)</f>
        <v>Und</v>
      </c>
      <c r="D1660" s="99">
        <f>VLOOKUP(A1660,'Materiales '!$C$2:$F$1302,4,0)</f>
        <v>245024.60481993106</v>
      </c>
      <c r="E1660" s="100">
        <v>1</v>
      </c>
      <c r="F1660" s="538">
        <f>E1660*D1660</f>
        <v>245024.60481993106</v>
      </c>
      <c r="G1660" s="539"/>
      <c r="H1660" s="121"/>
      <c r="I1660">
        <f>E1660*G1651</f>
        <v>0</v>
      </c>
      <c r="J1660" s="67"/>
      <c r="K1660" s="56"/>
      <c r="L1660" s="56"/>
      <c r="M1660" s="56"/>
      <c r="N1660" s="56"/>
      <c r="O1660" s="56"/>
    </row>
    <row r="1661" spans="1:15">
      <c r="A1661" s="577" t="s">
        <v>4214</v>
      </c>
      <c r="B1661" s="578"/>
      <c r="C1661" s="98" t="str">
        <f>VLOOKUP(A1661,'Materiales '!$C$2:$F$1302,3,0)</f>
        <v>Und</v>
      </c>
      <c r="D1661" s="99">
        <f>VLOOKUP(A1661,'Materiales '!$C$2:$F$1302,4,0)</f>
        <v>22848</v>
      </c>
      <c r="E1661" s="100">
        <v>1</v>
      </c>
      <c r="F1661" s="538">
        <f t="shared" ref="F1661:F1667" si="97">E1661*D1661</f>
        <v>22848</v>
      </c>
      <c r="G1661" s="539"/>
      <c r="H1661" s="121"/>
      <c r="I1661">
        <f>E1661*G1651</f>
        <v>0</v>
      </c>
      <c r="J1661" s="67"/>
      <c r="K1661" s="56"/>
      <c r="L1661" s="56"/>
      <c r="M1661" s="56"/>
      <c r="N1661" s="56"/>
      <c r="O1661" s="56"/>
    </row>
    <row r="1662" spans="1:15">
      <c r="A1662" s="536" t="s">
        <v>4484</v>
      </c>
      <c r="B1662" s="537" t="str">
        <f>VLOOKUP(A1662,'Materiales '!$C$2:$F$1302,3,0)</f>
        <v>Und</v>
      </c>
      <c r="C1662" s="98" t="str">
        <f>VLOOKUP(A1662,'Materiales '!$C$2:$F$1302,3,0)</f>
        <v>Und</v>
      </c>
      <c r="D1662" s="99">
        <f>VLOOKUP(A1662,'Materiales '!$C$2:$F$1302,4,0)</f>
        <v>21705.599999999999</v>
      </c>
      <c r="E1662" s="100">
        <v>2</v>
      </c>
      <c r="F1662" s="538">
        <f t="shared" si="97"/>
        <v>43411.199999999997</v>
      </c>
      <c r="G1662" s="539"/>
      <c r="H1662" s="121"/>
      <c r="I1662">
        <f>E1662*G1651</f>
        <v>0</v>
      </c>
      <c r="J1662" s="68"/>
      <c r="K1662" s="56"/>
      <c r="L1662" s="56"/>
      <c r="M1662" s="56"/>
      <c r="N1662" s="56"/>
      <c r="O1662" s="56"/>
    </row>
    <row r="1663" spans="1:15">
      <c r="A1663" s="536" t="s">
        <v>4489</v>
      </c>
      <c r="B1663" s="537" t="str">
        <f>VLOOKUP(A1663,'Materiales '!$C$2:$F$1302,3,0)</f>
        <v>Und</v>
      </c>
      <c r="C1663" s="98" t="str">
        <f>VLOOKUP(A1663,'Materiales '!$C$2:$F$1302,3,0)</f>
        <v>Und</v>
      </c>
      <c r="D1663" s="99">
        <f>VLOOKUP(A1663,'Materiales '!$C$2:$F$1302,4,0)</f>
        <v>8039.6399999999994</v>
      </c>
      <c r="E1663" s="100">
        <v>3</v>
      </c>
      <c r="F1663" s="538">
        <f t="shared" si="97"/>
        <v>24118.92</v>
      </c>
      <c r="G1663" s="539"/>
      <c r="H1663" s="121"/>
      <c r="I1663">
        <f>E1663*G1651</f>
        <v>0</v>
      </c>
      <c r="J1663" s="68"/>
      <c r="K1663" s="56"/>
      <c r="L1663" s="56"/>
      <c r="M1663" s="56"/>
      <c r="N1663" s="56"/>
      <c r="O1663" s="56"/>
    </row>
    <row r="1664" spans="1:15">
      <c r="A1664" s="536" t="s">
        <v>4554</v>
      </c>
      <c r="B1664" s="537" t="str">
        <f>VLOOKUP(A1664,'Materiales '!$C$2:$F$1302,3,0)</f>
        <v>Und</v>
      </c>
      <c r="C1664" s="98" t="str">
        <f>VLOOKUP(A1664,'Materiales '!$C$2:$F$1302,3,0)</f>
        <v>Und</v>
      </c>
      <c r="D1664" s="99">
        <f>VLOOKUP(A1664,'Materiales '!$C$2:$F$1302,4,0)</f>
        <v>2535.5329999999999</v>
      </c>
      <c r="E1664" s="100">
        <v>2</v>
      </c>
      <c r="F1664" s="538">
        <f t="shared" si="97"/>
        <v>5071.0659999999998</v>
      </c>
      <c r="G1664" s="539"/>
      <c r="H1664" s="121"/>
      <c r="I1664">
        <f>E1664*G1651</f>
        <v>0</v>
      </c>
      <c r="J1664" s="68"/>
      <c r="K1664" s="56"/>
      <c r="L1664" s="56"/>
      <c r="M1664" s="56"/>
      <c r="N1664" s="56"/>
      <c r="O1664" s="56"/>
    </row>
    <row r="1665" spans="1:15">
      <c r="A1665" s="536" t="s">
        <v>4450</v>
      </c>
      <c r="B1665" s="537" t="str">
        <f>VLOOKUP(A1665,'Materiales '!$C$2:$F$1302,3,0)</f>
        <v>Ml</v>
      </c>
      <c r="C1665" s="98" t="str">
        <f>VLOOKUP(A1665,'Materiales '!$C$2:$F$1302,3,0)</f>
        <v>Ml</v>
      </c>
      <c r="D1665" s="99">
        <f>VLOOKUP(A1665,'Materiales '!$C$2:$F$1302,4,0)</f>
        <v>6791.5679999999993</v>
      </c>
      <c r="E1665" s="100">
        <v>1</v>
      </c>
      <c r="F1665" s="538">
        <f t="shared" si="97"/>
        <v>6791.5679999999993</v>
      </c>
      <c r="G1665" s="539"/>
      <c r="H1665" s="121"/>
      <c r="I1665">
        <f>E1665*G1651</f>
        <v>0</v>
      </c>
      <c r="J1665" s="68"/>
      <c r="K1665" s="56"/>
      <c r="L1665" s="56"/>
      <c r="M1665" s="56"/>
      <c r="N1665" s="56"/>
      <c r="O1665" s="56"/>
    </row>
    <row r="1666" spans="1:15">
      <c r="A1666" s="536" t="s">
        <v>4493</v>
      </c>
      <c r="B1666" s="537" t="str">
        <f>VLOOKUP(A1666,'Materiales '!$C$2:$F$1302,3,0)</f>
        <v>Und</v>
      </c>
      <c r="C1666" s="98" t="str">
        <f>VLOOKUP(A1666,'Materiales '!$C$2:$F$1302,3,0)</f>
        <v>Und</v>
      </c>
      <c r="D1666" s="99">
        <f>VLOOKUP(A1666,'Materiales '!$C$2:$F$1302,4,0)</f>
        <v>232.76399999999998</v>
      </c>
      <c r="E1666" s="100">
        <v>3</v>
      </c>
      <c r="F1666" s="538">
        <f t="shared" si="97"/>
        <v>698.29199999999992</v>
      </c>
      <c r="G1666" s="539"/>
      <c r="H1666" s="121"/>
      <c r="I1666">
        <f>E1666*G1651</f>
        <v>0</v>
      </c>
      <c r="J1666" s="68"/>
      <c r="K1666" s="56"/>
      <c r="L1666" s="56"/>
      <c r="M1666" s="56"/>
      <c r="N1666" s="56"/>
      <c r="O1666" s="56"/>
    </row>
    <row r="1667" spans="1:15" ht="21.75" customHeight="1">
      <c r="A1667" s="536" t="s">
        <v>4435</v>
      </c>
      <c r="B1667" s="537" t="str">
        <f>VLOOKUP(A1667,'Materiales '!$C$2:$F$1302,3,0)</f>
        <v>Und</v>
      </c>
      <c r="C1667" s="98" t="str">
        <f>VLOOKUP(A1667,'Materiales '!$C$2:$F$1302,3,0)</f>
        <v>Und</v>
      </c>
      <c r="D1667" s="99">
        <f>VLOOKUP(A1667,'Materiales '!$C$2:$F$1302,4,0)</f>
        <v>122808</v>
      </c>
      <c r="E1667" s="100">
        <v>1</v>
      </c>
      <c r="F1667" s="538">
        <f t="shared" si="97"/>
        <v>122808</v>
      </c>
      <c r="G1667" s="539"/>
      <c r="H1667" s="121"/>
      <c r="I1667">
        <f>E1667*G1651</f>
        <v>0</v>
      </c>
      <c r="J1667" s="68"/>
      <c r="K1667" s="56"/>
      <c r="L1667" s="56"/>
      <c r="M1667" s="56"/>
      <c r="N1667" s="56"/>
      <c r="O1667" s="56"/>
    </row>
    <row r="1668" spans="1:15">
      <c r="A1668" s="536" t="s">
        <v>8</v>
      </c>
      <c r="B1668" s="537" t="str">
        <f>VLOOKUP(A1668,'Materiales '!$C$2:$F$1302,3,0)</f>
        <v>-</v>
      </c>
      <c r="C1668" s="98" t="str">
        <f>VLOOKUP(A1668,'Materiales '!$C$2:$F$1302,3,0)</f>
        <v>-</v>
      </c>
      <c r="D1668" s="99">
        <f>VLOOKUP(A1668,'Materiales '!$C$2:$F$1302,4,0)</f>
        <v>0</v>
      </c>
      <c r="E1668" s="100"/>
      <c r="F1668" s="538">
        <f>E1668*D1668</f>
        <v>0</v>
      </c>
      <c r="G1668" s="539"/>
      <c r="H1668" s="120"/>
      <c r="I1668">
        <f>E1668*G1651</f>
        <v>0</v>
      </c>
      <c r="J1668" s="68"/>
      <c r="K1668" s="56"/>
      <c r="L1668" s="56"/>
      <c r="M1668" s="56"/>
      <c r="N1668" s="56"/>
      <c r="O1668" s="56"/>
    </row>
    <row r="1669" spans="1:15">
      <c r="A1669" s="536" t="s">
        <v>8</v>
      </c>
      <c r="B1669" s="537" t="str">
        <f>VLOOKUP(A1669,'Materiales '!$C$2:$F$1302,3,0)</f>
        <v>-</v>
      </c>
      <c r="C1669" s="98" t="str">
        <f>VLOOKUP(A1669,'Materiales '!$C$2:$F$1302,3,0)</f>
        <v>-</v>
      </c>
      <c r="D1669" s="99">
        <f>VLOOKUP(A1669,'Materiales '!$C$2:$F$1302,4,0)</f>
        <v>0</v>
      </c>
      <c r="E1669" s="100"/>
      <c r="F1669" s="538">
        <f t="shared" ref="F1669:F1672" si="98">E1669*D1669</f>
        <v>0</v>
      </c>
      <c r="G1669" s="539"/>
      <c r="H1669" s="121"/>
      <c r="I1669">
        <f>E1669*G1651</f>
        <v>0</v>
      </c>
      <c r="J1669" s="68"/>
      <c r="K1669" s="56"/>
      <c r="L1669" s="56"/>
      <c r="M1669" s="56"/>
      <c r="N1669" s="56"/>
      <c r="O1669" s="56"/>
    </row>
    <row r="1670" spans="1:15">
      <c r="A1670" s="536" t="s">
        <v>8</v>
      </c>
      <c r="B1670" s="537" t="str">
        <f>VLOOKUP(A1670,'Materiales '!$C$2:$F$1302,3,0)</f>
        <v>-</v>
      </c>
      <c r="C1670" s="98" t="str">
        <f>VLOOKUP(A1670,'Materiales '!$C$2:$F$1302,3,0)</f>
        <v>-</v>
      </c>
      <c r="D1670" s="99">
        <f>VLOOKUP(A1670,'Materiales '!$C$2:$F$1302,4,0)</f>
        <v>0</v>
      </c>
      <c r="E1670" s="100"/>
      <c r="F1670" s="538">
        <f t="shared" si="98"/>
        <v>0</v>
      </c>
      <c r="G1670" s="539"/>
      <c r="H1670" s="121"/>
      <c r="I1670">
        <f>E1670*G1651</f>
        <v>0</v>
      </c>
      <c r="J1670" s="68"/>
      <c r="K1670" s="56"/>
      <c r="L1670" s="56"/>
      <c r="M1670" s="56"/>
      <c r="N1670" s="56"/>
      <c r="O1670" s="56"/>
    </row>
    <row r="1671" spans="1:15">
      <c r="A1671" s="536" t="s">
        <v>8</v>
      </c>
      <c r="B1671" s="537" t="str">
        <f>VLOOKUP(A1671,'Materiales '!$C$2:$F$1302,3,0)</f>
        <v>-</v>
      </c>
      <c r="C1671" s="98" t="str">
        <f>VLOOKUP(A1671,'Materiales '!$C$2:$F$1302,3,0)</f>
        <v>-</v>
      </c>
      <c r="D1671" s="99">
        <f>VLOOKUP(A1671,'Materiales '!$C$2:$F$1302,4,0)</f>
        <v>0</v>
      </c>
      <c r="E1671" s="100"/>
      <c r="F1671" s="538">
        <f t="shared" si="98"/>
        <v>0</v>
      </c>
      <c r="G1671" s="539"/>
      <c r="H1671" s="121"/>
      <c r="I1671">
        <f>E1671*G1651</f>
        <v>0</v>
      </c>
      <c r="J1671" s="68"/>
      <c r="K1671" s="56"/>
      <c r="L1671" s="56"/>
      <c r="M1671" s="56"/>
      <c r="N1671" s="56"/>
      <c r="O1671" s="56"/>
    </row>
    <row r="1672" spans="1:15">
      <c r="A1672" s="536" t="s">
        <v>8</v>
      </c>
      <c r="B1672" s="537" t="str">
        <f>VLOOKUP(A1672,'Materiales '!$C$2:$F$1302,3,0)</f>
        <v>-</v>
      </c>
      <c r="C1672" s="98" t="str">
        <f>VLOOKUP(A1672,'Materiales '!$C$2:$F$1302,3,0)</f>
        <v>-</v>
      </c>
      <c r="D1672" s="99">
        <f>VLOOKUP(A1672,'Materiales '!$C$2:$F$1302,4,0)</f>
        <v>0</v>
      </c>
      <c r="E1672" s="100"/>
      <c r="F1672" s="538">
        <f t="shared" si="98"/>
        <v>0</v>
      </c>
      <c r="G1672" s="539"/>
      <c r="H1672" s="121"/>
      <c r="I1672">
        <f>E1672*G1651</f>
        <v>0</v>
      </c>
      <c r="J1672" s="68"/>
      <c r="K1672" s="56"/>
      <c r="L1672" s="56"/>
      <c r="M1672" s="56"/>
      <c r="N1672" s="56"/>
      <c r="O1672" s="56"/>
    </row>
    <row r="1673" spans="1:15">
      <c r="A1673" s="536" t="s">
        <v>8</v>
      </c>
      <c r="B1673" s="537" t="str">
        <f>VLOOKUP(A1673,'Materiales '!$C$2:$F$1302,3,0)</f>
        <v>-</v>
      </c>
      <c r="C1673" s="98" t="str">
        <f>VLOOKUP(A1673,'Materiales '!$C$2:$F$1302,3,0)</f>
        <v>-</v>
      </c>
      <c r="D1673" s="99">
        <f>VLOOKUP(A1673,'Materiales '!$C$2:$F$1302,4,0)</f>
        <v>0</v>
      </c>
      <c r="E1673" s="100"/>
      <c r="F1673" s="538">
        <f>E1673*D1673</f>
        <v>0</v>
      </c>
      <c r="G1673" s="539"/>
      <c r="H1673" s="120"/>
      <c r="I1673">
        <f>E1673*G1651</f>
        <v>0</v>
      </c>
      <c r="J1673" s="68"/>
      <c r="K1673" s="56"/>
      <c r="L1673" s="56"/>
      <c r="M1673" s="56"/>
      <c r="N1673" s="56"/>
      <c r="O1673" s="56"/>
    </row>
    <row r="1674" spans="1:15" ht="16.5">
      <c r="A1674" s="540" t="s">
        <v>4099</v>
      </c>
      <c r="B1674" s="541"/>
      <c r="C1674" s="541"/>
      <c r="D1674" s="541"/>
      <c r="E1674" s="541"/>
      <c r="F1674" s="541"/>
      <c r="G1674" s="542"/>
      <c r="H1674" s="116">
        <f>SUM(F1660:F1673)</f>
        <v>470771.65081993106</v>
      </c>
      <c r="J1674" s="68"/>
      <c r="K1674" s="56"/>
      <c r="L1674" s="56"/>
      <c r="M1674" s="56"/>
      <c r="N1674" s="56"/>
      <c r="O1674" s="56"/>
    </row>
    <row r="1675" spans="1:15" ht="16.5">
      <c r="A1675" s="543" t="s">
        <v>4231</v>
      </c>
      <c r="B1675" s="544"/>
      <c r="C1675" s="544"/>
      <c r="D1675" s="544"/>
      <c r="E1675" s="545"/>
      <c r="F1675" s="544"/>
      <c r="G1675" s="544"/>
      <c r="H1675" s="546"/>
      <c r="J1675" s="68"/>
      <c r="K1675" s="56"/>
      <c r="L1675" s="56"/>
      <c r="M1675" s="56"/>
      <c r="N1675" s="56"/>
      <c r="O1675" s="56"/>
    </row>
    <row r="1676" spans="1:15">
      <c r="A1676" s="547" t="s">
        <v>7</v>
      </c>
      <c r="B1676" s="548"/>
      <c r="C1676" s="108" t="s">
        <v>4232</v>
      </c>
      <c r="D1676" s="107" t="s">
        <v>4233</v>
      </c>
      <c r="E1676" s="206" t="s">
        <v>4234</v>
      </c>
      <c r="F1676" s="549" t="s">
        <v>4218</v>
      </c>
      <c r="G1676" s="549"/>
      <c r="H1676" s="119"/>
      <c r="K1676" s="56"/>
      <c r="L1676" s="56"/>
      <c r="M1676" s="56"/>
      <c r="N1676" s="56"/>
      <c r="O1676" s="56"/>
    </row>
    <row r="1677" spans="1:15">
      <c r="A1677" s="550" t="s">
        <v>3928</v>
      </c>
      <c r="B1677" s="551"/>
      <c r="C1677" s="232">
        <v>1</v>
      </c>
      <c r="D1677" s="102">
        <v>0.03</v>
      </c>
      <c r="E1677" s="103">
        <f>VLOOKUP(A1677,'Equip, Herr y Transp'!$B$2:$D$218,3,0)</f>
        <v>160000</v>
      </c>
      <c r="F1677" s="552">
        <f>E1677*D1677*C1677</f>
        <v>4800</v>
      </c>
      <c r="G1677" s="553"/>
      <c r="H1677" s="117"/>
      <c r="M1677" s="56"/>
    </row>
    <row r="1678" spans="1:15" ht="16.5">
      <c r="A1678" s="554" t="s">
        <v>4216</v>
      </c>
      <c r="B1678" s="555"/>
      <c r="C1678" s="555"/>
      <c r="D1678" s="555"/>
      <c r="E1678" s="555"/>
      <c r="F1678" s="555"/>
      <c r="G1678" s="555"/>
      <c r="H1678" s="105">
        <f>F1677</f>
        <v>4800</v>
      </c>
    </row>
    <row r="1679" spans="1:15" ht="16.5">
      <c r="A1679" s="543" t="s">
        <v>4235</v>
      </c>
      <c r="B1679" s="544"/>
      <c r="C1679" s="544"/>
      <c r="D1679" s="544"/>
      <c r="E1679" s="544"/>
      <c r="F1679" s="544"/>
      <c r="G1679" s="544"/>
      <c r="H1679" s="546"/>
    </row>
    <row r="1680" spans="1:15">
      <c r="A1680" s="547" t="s">
        <v>7</v>
      </c>
      <c r="B1680" s="548"/>
      <c r="C1680" s="106" t="s">
        <v>1</v>
      </c>
      <c r="D1680" s="107" t="s">
        <v>4236</v>
      </c>
      <c r="E1680" s="108" t="s">
        <v>4215</v>
      </c>
      <c r="F1680" s="547" t="s">
        <v>5</v>
      </c>
      <c r="G1680" s="556"/>
      <c r="H1680" s="119"/>
    </row>
    <row r="1681" spans="1:10">
      <c r="A1681" s="550" t="s">
        <v>4196</v>
      </c>
      <c r="B1681" s="551"/>
      <c r="C1681" s="101">
        <v>1</v>
      </c>
      <c r="D1681" s="104">
        <f>VLOOKUP(A1681,'Mano Obra'!$B$2:$T$117,19,0)</f>
        <v>166624</v>
      </c>
      <c r="E1681" s="246">
        <f>H1644</f>
        <v>5.21E-2</v>
      </c>
      <c r="F1681" s="538">
        <f>E1681*D1681*C1681</f>
        <v>8681.1103999999996</v>
      </c>
      <c r="G1681" s="557"/>
      <c r="H1681" s="121"/>
      <c r="I1681" s="69"/>
      <c r="J1681" s="136">
        <f>((('Mano Obra'!$M$4/30)*F1681)/D1681)*G1651</f>
        <v>0</v>
      </c>
    </row>
    <row r="1682" spans="1:10">
      <c r="A1682" s="558" t="s">
        <v>4197</v>
      </c>
      <c r="B1682" s="559">
        <f>VLOOKUP(A1682,'Mano Obra'!$B$3:$D$290,2,0)</f>
        <v>2090000.0000000002</v>
      </c>
      <c r="C1682" s="101">
        <v>1</v>
      </c>
      <c r="D1682" s="104">
        <f>VLOOKUP(A1682,'Mano Obra'!$B$2:$T$117,19,0)</f>
        <v>120456</v>
      </c>
      <c r="E1682" s="246">
        <f>H1644</f>
        <v>5.21E-2</v>
      </c>
      <c r="F1682" s="538">
        <f t="shared" ref="F1682:F1683" si="99">E1682*D1682*C1682</f>
        <v>6275.7575999999999</v>
      </c>
      <c r="G1682" s="557"/>
      <c r="H1682" s="121"/>
      <c r="J1682" s="136">
        <f>((('Mano Obra'!$M$5/30)*F1682)/D1682)*G1651</f>
        <v>0</v>
      </c>
    </row>
    <row r="1683" spans="1:10">
      <c r="A1683" s="558" t="s">
        <v>4186</v>
      </c>
      <c r="B1683" s="559">
        <f>VLOOKUP(A1683,'Mano Obra'!$B$3:$D$290,2,0)</f>
        <v>1100000</v>
      </c>
      <c r="C1683" s="101">
        <v>1</v>
      </c>
      <c r="D1683" s="104">
        <f>VLOOKUP(A1683,'Mano Obra'!$B$2:$T$117,19,0)</f>
        <v>72664</v>
      </c>
      <c r="E1683" s="246">
        <f>H1644</f>
        <v>5.21E-2</v>
      </c>
      <c r="F1683" s="538">
        <f t="shared" si="99"/>
        <v>3785.7944000000002</v>
      </c>
      <c r="G1683" s="557"/>
      <c r="H1683" s="120"/>
      <c r="J1683" s="136">
        <f>((('Mano Obra'!$M$6/30)*F1683)/D1683)*G1651</f>
        <v>0</v>
      </c>
    </row>
    <row r="1684" spans="1:10" ht="16.5">
      <c r="A1684" s="560" t="s">
        <v>4101</v>
      </c>
      <c r="B1684" s="560"/>
      <c r="C1684" s="560"/>
      <c r="D1684" s="560"/>
      <c r="E1684" s="560"/>
      <c r="F1684" s="560"/>
      <c r="G1684" s="560"/>
      <c r="H1684" s="105">
        <f>SUM(F1681:F1683)</f>
        <v>18742.662399999997</v>
      </c>
      <c r="J1684" s="136"/>
    </row>
    <row r="1685" spans="1:10">
      <c r="A1685" s="227" t="s">
        <v>4237</v>
      </c>
      <c r="B1685" s="205"/>
      <c r="C1685" s="205"/>
      <c r="D1685" s="202"/>
      <c r="E1685" s="203"/>
      <c r="F1685" s="204"/>
      <c r="G1685" s="203"/>
      <c r="H1685" s="212"/>
    </row>
    <row r="1686" spans="1:10">
      <c r="A1686" s="561" t="s">
        <v>4224</v>
      </c>
      <c r="B1686" s="562"/>
      <c r="C1686" s="562"/>
      <c r="D1686" s="562"/>
      <c r="E1686" s="200"/>
      <c r="F1686" s="201" t="s">
        <v>4238</v>
      </c>
      <c r="G1686" s="200" t="s">
        <v>4239</v>
      </c>
      <c r="H1686" s="213"/>
    </row>
    <row r="1687" spans="1:10">
      <c r="A1687" s="223" t="s">
        <v>4097</v>
      </c>
      <c r="B1687" s="72"/>
      <c r="C1687" s="72"/>
      <c r="D1687" s="73"/>
      <c r="E1687" s="78"/>
      <c r="F1687" s="79">
        <v>0</v>
      </c>
      <c r="G1687" s="80">
        <f>F1687*H1652</f>
        <v>0</v>
      </c>
      <c r="H1687" s="212"/>
    </row>
    <row r="1688" spans="1:10">
      <c r="A1688" s="224" t="s">
        <v>4240</v>
      </c>
      <c r="B1688" s="81"/>
      <c r="C1688" s="81"/>
      <c r="D1688" s="82"/>
      <c r="E1688" s="78"/>
      <c r="F1688" s="79">
        <v>0</v>
      </c>
      <c r="G1688" s="80">
        <f>F1688*H1652</f>
        <v>0</v>
      </c>
      <c r="H1688" s="212"/>
    </row>
    <row r="1689" spans="1:10">
      <c r="A1689" s="224" t="s">
        <v>4</v>
      </c>
      <c r="B1689" s="81"/>
      <c r="C1689" s="81"/>
      <c r="D1689" s="82"/>
      <c r="E1689" s="78"/>
      <c r="F1689" s="79">
        <v>0</v>
      </c>
      <c r="G1689" s="80">
        <f>F1689*H1652</f>
        <v>0</v>
      </c>
      <c r="H1689" s="212"/>
    </row>
    <row r="1690" spans="1:10">
      <c r="A1690" s="225"/>
      <c r="B1690" s="83"/>
      <c r="C1690" s="75"/>
      <c r="D1690" s="84"/>
      <c r="E1690" s="85"/>
      <c r="F1690" s="86"/>
      <c r="G1690" s="87"/>
      <c r="H1690" s="214"/>
    </row>
    <row r="1691" spans="1:10">
      <c r="A1691" s="226"/>
      <c r="B1691" s="83"/>
      <c r="C1691" s="83"/>
      <c r="D1691" s="84"/>
      <c r="E1691" s="88"/>
      <c r="F1691" s="563" t="s">
        <v>4241</v>
      </c>
      <c r="G1691" s="564"/>
      <c r="H1691" s="233">
        <f>H1652+G1687+G1688+G1689</f>
        <v>497677.49846993102</v>
      </c>
    </row>
    <row r="1692" spans="1:10">
      <c r="A1692" s="83"/>
      <c r="B1692" s="83"/>
      <c r="C1692" s="83"/>
      <c r="D1692" s="84"/>
      <c r="E1692" s="388"/>
      <c r="F1692" s="389"/>
      <c r="G1692" s="389"/>
      <c r="H1692" s="390"/>
    </row>
    <row r="1693" spans="1:10">
      <c r="A1693" s="83"/>
      <c r="B1693" s="83"/>
      <c r="C1693" s="83"/>
      <c r="D1693" s="84"/>
      <c r="E1693" s="388"/>
      <c r="F1693" s="389"/>
      <c r="G1693" s="389"/>
      <c r="H1693" s="390"/>
    </row>
    <row r="1694" spans="1:10" ht="16.5">
      <c r="A1694" s="90"/>
      <c r="B1694" s="90"/>
      <c r="C1694" s="90"/>
      <c r="D1694" s="90"/>
      <c r="E1694" s="90"/>
      <c r="F1694" s="90"/>
      <c r="G1694" s="90"/>
      <c r="H1694" s="381"/>
    </row>
    <row r="1695" spans="1:10">
      <c r="A1695" s="579" t="s">
        <v>4225</v>
      </c>
      <c r="B1695" s="580"/>
      <c r="C1695" s="580"/>
      <c r="D1695" s="580"/>
      <c r="E1695" s="580"/>
      <c r="F1695" s="580"/>
      <c r="G1695" s="580"/>
      <c r="H1695" s="581"/>
    </row>
    <row r="1696" spans="1:10" ht="16.5">
      <c r="A1696" s="91"/>
      <c r="B1696" s="92"/>
      <c r="C1696" s="92"/>
      <c r="D1696" s="92"/>
      <c r="E1696" s="92"/>
      <c r="F1696" s="93"/>
      <c r="G1696" s="94"/>
      <c r="H1696" s="380">
        <f>ROUND((25/60)/8,4)</f>
        <v>5.21E-2</v>
      </c>
      <c r="I1696" s="115"/>
    </row>
    <row r="1697" spans="1:15">
      <c r="A1697" s="582" t="s">
        <v>4220</v>
      </c>
      <c r="B1697" s="584" t="str">
        <f>COSTOS!$C$14</f>
        <v>MODERNIZACION A TECNOLOGIA LED</v>
      </c>
      <c r="C1697" s="584"/>
      <c r="D1697" s="584"/>
      <c r="E1697" s="584"/>
      <c r="F1697" s="584"/>
      <c r="G1697" s="584"/>
      <c r="H1697" s="585" t="s">
        <v>4221</v>
      </c>
    </row>
    <row r="1698" spans="1:15">
      <c r="A1698" s="583"/>
      <c r="B1698" s="584"/>
      <c r="C1698" s="584"/>
      <c r="D1698" s="584"/>
      <c r="E1698" s="584"/>
      <c r="F1698" s="584"/>
      <c r="G1698" s="584"/>
      <c r="H1698" s="585"/>
    </row>
    <row r="1699" spans="1:15">
      <c r="A1699" s="583"/>
      <c r="B1699" s="584"/>
      <c r="C1699" s="584"/>
      <c r="D1699" s="584"/>
      <c r="E1699" s="584"/>
      <c r="F1699" s="584"/>
      <c r="G1699" s="584"/>
      <c r="H1699" s="585"/>
    </row>
    <row r="1700" spans="1:15" ht="15" customHeight="1">
      <c r="A1700" s="583"/>
      <c r="B1700" s="584"/>
      <c r="C1700" s="584"/>
      <c r="D1700" s="584"/>
      <c r="E1700" s="584"/>
      <c r="F1700" s="584"/>
      <c r="G1700" s="584"/>
      <c r="H1700" s="216">
        <f ca="1">TODAY()</f>
        <v>44889</v>
      </c>
      <c r="K1700" t="s">
        <v>4391</v>
      </c>
      <c r="L1700" t="s">
        <v>4392</v>
      </c>
      <c r="M1700" t="s">
        <v>4393</v>
      </c>
      <c r="N1700" t="s">
        <v>4394</v>
      </c>
    </row>
    <row r="1701" spans="1:15" ht="60.75" customHeight="1">
      <c r="A1701" s="228" t="s">
        <v>4222</v>
      </c>
      <c r="B1701" s="565" t="str">
        <f>COSTOS!$D$16</f>
        <v>Luminarias</v>
      </c>
      <c r="C1701" s="565"/>
      <c r="D1701" s="565"/>
      <c r="E1701" s="565"/>
      <c r="F1701" s="565"/>
      <c r="G1701" s="70" t="s">
        <v>4223</v>
      </c>
      <c r="H1701" s="391">
        <v>1.34</v>
      </c>
      <c r="K1701" s="62">
        <f>H1726</f>
        <v>508830.20630231674</v>
      </c>
      <c r="L1701" s="62">
        <f>H1736</f>
        <v>18742.662399999997</v>
      </c>
      <c r="M1701" s="62">
        <f>H1709</f>
        <v>3363.18525</v>
      </c>
      <c r="N1701" s="62">
        <f>H1730</f>
        <v>4800</v>
      </c>
    </row>
    <row r="1702" spans="1:15" ht="43.15" customHeight="1">
      <c r="A1702" s="229" t="s">
        <v>4224</v>
      </c>
      <c r="B1702" s="566" t="str">
        <f>VLOOKUP(H1701,COSTOS!C:M,2,0)</f>
        <v>Luminaria con bombillo fluorescente 45w</v>
      </c>
      <c r="C1702" s="567"/>
      <c r="D1702" s="567"/>
      <c r="E1702" s="568"/>
      <c r="F1702" s="71" t="s">
        <v>0</v>
      </c>
      <c r="G1702" s="356" t="str">
        <f>VLOOKUP(H1701,COSTOS!C:M,8,0)</f>
        <v>Und</v>
      </c>
      <c r="H1702" s="276"/>
      <c r="I1702" s="306"/>
      <c r="J1702" s="308"/>
      <c r="K1702" s="308"/>
      <c r="L1702" s="308"/>
    </row>
    <row r="1703" spans="1:15">
      <c r="A1703" s="230"/>
      <c r="B1703" s="112"/>
      <c r="C1703" s="112"/>
      <c r="D1703" s="112"/>
      <c r="E1703" s="113"/>
      <c r="F1703" s="114" t="s">
        <v>1</v>
      </c>
      <c r="G1703" s="356">
        <f>VLOOKUP(H1701,COSTOS!C:M,9,0)</f>
        <v>0</v>
      </c>
      <c r="H1703" s="357"/>
      <c r="I1703" s="307"/>
    </row>
    <row r="1704" spans="1:15" ht="16.5">
      <c r="A1704" s="231" t="s">
        <v>4226</v>
      </c>
      <c r="B1704" s="75"/>
      <c r="C1704" s="75"/>
      <c r="D1704" s="76"/>
      <c r="E1704" s="209"/>
      <c r="F1704" s="210"/>
      <c r="G1704" s="211" t="s">
        <v>4227</v>
      </c>
      <c r="H1704" s="217">
        <f>H1709+H1726+H1730+H1736</f>
        <v>535736.05395231675</v>
      </c>
    </row>
    <row r="1705" spans="1:15" ht="39">
      <c r="A1705" s="569" t="s">
        <v>4224</v>
      </c>
      <c r="B1705" s="569"/>
      <c r="C1705" s="569"/>
      <c r="D1705" s="77" t="s">
        <v>0</v>
      </c>
      <c r="E1705" s="207" t="s">
        <v>4228</v>
      </c>
      <c r="F1705" s="208" t="s">
        <v>4215</v>
      </c>
      <c r="G1705" s="74" t="s">
        <v>2</v>
      </c>
      <c r="H1705" s="218" t="s">
        <v>4229</v>
      </c>
      <c r="K1705" s="309"/>
    </row>
    <row r="1706" spans="1:15">
      <c r="A1706" s="536" t="s">
        <v>3946</v>
      </c>
      <c r="B1706" s="570" t="str">
        <f>VLOOKUP(A1706,'Equip, Herr y Transp'!$B$2:$D$739,2,0)</f>
        <v>EQU</v>
      </c>
      <c r="C1706" s="570"/>
      <c r="D1706" s="95" t="str">
        <f>VLOOKUP(A1706,'Equip, Herr y Transp'!$B$2:$D$218,2,0)</f>
        <v>EQU</v>
      </c>
      <c r="E1706" s="95">
        <f>VLOOKUP(A1706,'Equip, Herr y Transp'!$B$2:$D$218,3,0)</f>
        <v>14130</v>
      </c>
      <c r="F1706" s="96">
        <f>H1696</f>
        <v>5.21E-2</v>
      </c>
      <c r="G1706" s="122">
        <f>F1706*E1706</f>
        <v>736.173</v>
      </c>
      <c r="H1706" s="118"/>
    </row>
    <row r="1707" spans="1:15">
      <c r="A1707" s="536" t="s">
        <v>3904</v>
      </c>
      <c r="B1707" s="570" t="str">
        <f>VLOOKUP(A1707,'Equip, Herr y Transp'!$B$2:$D$739,2,0)</f>
        <v>EQU</v>
      </c>
      <c r="C1707" s="570"/>
      <c r="D1707" s="95" t="str">
        <f>VLOOKUP(A1707,'Equip, Herr y Transp'!$B$2:$D$218,2,0)</f>
        <v>EQU</v>
      </c>
      <c r="E1707" s="95">
        <f>VLOOKUP(A1707,'Equip, Herr y Transp'!$B$2:$D$218,3,0)</f>
        <v>26672.5</v>
      </c>
      <c r="F1707" s="96">
        <f>H1696</f>
        <v>5.21E-2</v>
      </c>
      <c r="G1707" s="122">
        <f>F1707*E1707</f>
        <v>1389.63725</v>
      </c>
      <c r="H1707" s="117"/>
    </row>
    <row r="1708" spans="1:15">
      <c r="A1708" s="536" t="s">
        <v>3937</v>
      </c>
      <c r="B1708" s="570" t="str">
        <f>VLOOKUP(A1708,'Equip, Herr y Transp'!$B$2:$D$739,2,0)</f>
        <v>EQU</v>
      </c>
      <c r="C1708" s="570"/>
      <c r="D1708" s="95" t="str">
        <f>VLOOKUP(A1708,'Equip, Herr y Transp'!$B$2:$D$218,2,0)</f>
        <v>EQU</v>
      </c>
      <c r="E1708" s="95">
        <f>VLOOKUP(A1708,'Equip, Herr y Transp'!$B$2:$D$218,3,0)</f>
        <v>23750</v>
      </c>
      <c r="F1708" s="96">
        <f>H1696</f>
        <v>5.21E-2</v>
      </c>
      <c r="G1708" s="122">
        <f>F1708*E1708</f>
        <v>1237.375</v>
      </c>
      <c r="H1708" s="117"/>
    </row>
    <row r="1709" spans="1:15" ht="16.5">
      <c r="A1709" s="540" t="s">
        <v>4100</v>
      </c>
      <c r="B1709" s="541"/>
      <c r="C1709" s="541"/>
      <c r="D1709" s="541"/>
      <c r="E1709" s="541"/>
      <c r="F1709" s="541"/>
      <c r="G1709" s="541"/>
      <c r="H1709" s="97">
        <f>SUM(G1706:G1708)</f>
        <v>3363.18525</v>
      </c>
    </row>
    <row r="1710" spans="1:15" ht="16.5">
      <c r="A1710" s="571" t="s">
        <v>4230</v>
      </c>
      <c r="B1710" s="572"/>
      <c r="C1710" s="572"/>
      <c r="D1710" s="572"/>
      <c r="E1710" s="572"/>
      <c r="F1710" s="572"/>
      <c r="G1710" s="572"/>
      <c r="H1710" s="573"/>
      <c r="K1710" s="56"/>
      <c r="L1710" s="56"/>
      <c r="M1710" s="56"/>
      <c r="N1710" s="56"/>
      <c r="O1710" s="56"/>
    </row>
    <row r="1711" spans="1:15" ht="30" customHeight="1">
      <c r="A1711" s="574" t="s">
        <v>7</v>
      </c>
      <c r="B1711" s="575"/>
      <c r="C1711" s="109" t="s">
        <v>0</v>
      </c>
      <c r="D1711" s="110" t="s">
        <v>4098</v>
      </c>
      <c r="E1711" s="111" t="s">
        <v>1</v>
      </c>
      <c r="F1711" s="576" t="s">
        <v>4218</v>
      </c>
      <c r="G1711" s="576"/>
      <c r="H1711" s="215"/>
      <c r="K1711" s="56"/>
      <c r="L1711" s="56"/>
      <c r="M1711" s="56"/>
      <c r="N1711" s="56"/>
      <c r="O1711" s="56"/>
    </row>
    <row r="1712" spans="1:15">
      <c r="A1712" s="577" t="s">
        <v>4686</v>
      </c>
      <c r="B1712" s="578"/>
      <c r="C1712" s="98" t="str">
        <f>VLOOKUP(A1712,'Materiales '!$C$2:$F$1302,3,0)</f>
        <v>Und</v>
      </c>
      <c r="D1712" s="99">
        <f>VLOOKUP(A1712,'Materiales '!$C$2:$F$1302,4,0)</f>
        <v>283083.16030231677</v>
      </c>
      <c r="E1712" s="100">
        <v>1</v>
      </c>
      <c r="F1712" s="538">
        <f>E1712*D1712</f>
        <v>283083.16030231677</v>
      </c>
      <c r="G1712" s="539"/>
      <c r="H1712" s="121"/>
      <c r="I1712">
        <f>E1712*G1703</f>
        <v>0</v>
      </c>
      <c r="J1712" s="67"/>
      <c r="K1712" s="56"/>
      <c r="L1712" s="56"/>
      <c r="M1712" s="56"/>
      <c r="N1712" s="56"/>
      <c r="O1712" s="56"/>
    </row>
    <row r="1713" spans="1:15">
      <c r="A1713" s="577" t="s">
        <v>4214</v>
      </c>
      <c r="B1713" s="578"/>
      <c r="C1713" s="98" t="str">
        <f>VLOOKUP(A1713,'Materiales '!$C$2:$F$1302,3,0)</f>
        <v>Und</v>
      </c>
      <c r="D1713" s="99">
        <f>VLOOKUP(A1713,'Materiales '!$C$2:$F$1302,4,0)</f>
        <v>22848</v>
      </c>
      <c r="E1713" s="100">
        <v>1</v>
      </c>
      <c r="F1713" s="538">
        <f t="shared" ref="F1713:F1719" si="100">E1713*D1713</f>
        <v>22848</v>
      </c>
      <c r="G1713" s="539"/>
      <c r="H1713" s="121"/>
      <c r="I1713">
        <f>E1713*G1703</f>
        <v>0</v>
      </c>
      <c r="J1713" s="67"/>
      <c r="K1713" s="56"/>
      <c r="L1713" s="56"/>
      <c r="M1713" s="56"/>
      <c r="N1713" s="56"/>
      <c r="O1713" s="56"/>
    </row>
    <row r="1714" spans="1:15">
      <c r="A1714" s="536" t="s">
        <v>4484</v>
      </c>
      <c r="B1714" s="537" t="str">
        <f>VLOOKUP(A1714,'Materiales '!$C$2:$F$1302,3,0)</f>
        <v>Und</v>
      </c>
      <c r="C1714" s="98" t="str">
        <f>VLOOKUP(A1714,'Materiales '!$C$2:$F$1302,3,0)</f>
        <v>Und</v>
      </c>
      <c r="D1714" s="99">
        <f>VLOOKUP(A1714,'Materiales '!$C$2:$F$1302,4,0)</f>
        <v>21705.599999999999</v>
      </c>
      <c r="E1714" s="100">
        <v>2</v>
      </c>
      <c r="F1714" s="538">
        <f t="shared" si="100"/>
        <v>43411.199999999997</v>
      </c>
      <c r="G1714" s="539"/>
      <c r="H1714" s="121"/>
      <c r="I1714">
        <f>E1714*G1703</f>
        <v>0</v>
      </c>
      <c r="J1714" s="68"/>
      <c r="K1714" s="56"/>
      <c r="L1714" s="56"/>
      <c r="M1714" s="56"/>
      <c r="N1714" s="56"/>
      <c r="O1714" s="56"/>
    </row>
    <row r="1715" spans="1:15">
      <c r="A1715" s="536" t="s">
        <v>4489</v>
      </c>
      <c r="B1715" s="537" t="str">
        <f>VLOOKUP(A1715,'Materiales '!$C$2:$F$1302,3,0)</f>
        <v>Und</v>
      </c>
      <c r="C1715" s="98" t="str">
        <f>VLOOKUP(A1715,'Materiales '!$C$2:$F$1302,3,0)</f>
        <v>Und</v>
      </c>
      <c r="D1715" s="99">
        <f>VLOOKUP(A1715,'Materiales '!$C$2:$F$1302,4,0)</f>
        <v>8039.6399999999994</v>
      </c>
      <c r="E1715" s="100">
        <v>3</v>
      </c>
      <c r="F1715" s="538">
        <f t="shared" si="100"/>
        <v>24118.92</v>
      </c>
      <c r="G1715" s="539"/>
      <c r="H1715" s="121"/>
      <c r="I1715">
        <f>E1715*G1703</f>
        <v>0</v>
      </c>
      <c r="J1715" s="68"/>
      <c r="K1715" s="56"/>
      <c r="L1715" s="56"/>
      <c r="M1715" s="56"/>
      <c r="N1715" s="56"/>
      <c r="O1715" s="56"/>
    </row>
    <row r="1716" spans="1:15">
      <c r="A1716" s="536" t="s">
        <v>4554</v>
      </c>
      <c r="B1716" s="537" t="str">
        <f>VLOOKUP(A1716,'Materiales '!$C$2:$F$1302,3,0)</f>
        <v>Und</v>
      </c>
      <c r="C1716" s="98" t="str">
        <f>VLOOKUP(A1716,'Materiales '!$C$2:$F$1302,3,0)</f>
        <v>Und</v>
      </c>
      <c r="D1716" s="99">
        <f>VLOOKUP(A1716,'Materiales '!$C$2:$F$1302,4,0)</f>
        <v>2535.5329999999999</v>
      </c>
      <c r="E1716" s="100">
        <v>2</v>
      </c>
      <c r="F1716" s="538">
        <f t="shared" si="100"/>
        <v>5071.0659999999998</v>
      </c>
      <c r="G1716" s="539"/>
      <c r="H1716" s="121"/>
      <c r="I1716">
        <f>E1716*G1703</f>
        <v>0</v>
      </c>
      <c r="J1716" s="68"/>
      <c r="K1716" s="56"/>
      <c r="L1716" s="56"/>
      <c r="M1716" s="56"/>
      <c r="N1716" s="56"/>
      <c r="O1716" s="56"/>
    </row>
    <row r="1717" spans="1:15">
      <c r="A1717" s="536" t="s">
        <v>4450</v>
      </c>
      <c r="B1717" s="537" t="str">
        <f>VLOOKUP(A1717,'Materiales '!$C$2:$F$1302,3,0)</f>
        <v>Ml</v>
      </c>
      <c r="C1717" s="98" t="str">
        <f>VLOOKUP(A1717,'Materiales '!$C$2:$F$1302,3,0)</f>
        <v>Ml</v>
      </c>
      <c r="D1717" s="99">
        <f>VLOOKUP(A1717,'Materiales '!$C$2:$F$1302,4,0)</f>
        <v>6791.5679999999993</v>
      </c>
      <c r="E1717" s="100">
        <v>1</v>
      </c>
      <c r="F1717" s="538">
        <f t="shared" si="100"/>
        <v>6791.5679999999993</v>
      </c>
      <c r="G1717" s="539"/>
      <c r="H1717" s="121"/>
      <c r="I1717">
        <f>E1717*G1703</f>
        <v>0</v>
      </c>
      <c r="J1717" s="68"/>
      <c r="K1717" s="56"/>
      <c r="L1717" s="56"/>
      <c r="M1717" s="56"/>
      <c r="N1717" s="56"/>
      <c r="O1717" s="56"/>
    </row>
    <row r="1718" spans="1:15">
      <c r="A1718" s="536" t="s">
        <v>4493</v>
      </c>
      <c r="B1718" s="537" t="str">
        <f>VLOOKUP(A1718,'Materiales '!$C$2:$F$1302,3,0)</f>
        <v>Und</v>
      </c>
      <c r="C1718" s="98" t="str">
        <f>VLOOKUP(A1718,'Materiales '!$C$2:$F$1302,3,0)</f>
        <v>Und</v>
      </c>
      <c r="D1718" s="99">
        <f>VLOOKUP(A1718,'Materiales '!$C$2:$F$1302,4,0)</f>
        <v>232.76399999999998</v>
      </c>
      <c r="E1718" s="100">
        <v>3</v>
      </c>
      <c r="F1718" s="538">
        <f t="shared" si="100"/>
        <v>698.29199999999992</v>
      </c>
      <c r="G1718" s="539"/>
      <c r="H1718" s="121"/>
      <c r="I1718">
        <f>E1718*G1703</f>
        <v>0</v>
      </c>
      <c r="J1718" s="68"/>
      <c r="K1718" s="56"/>
      <c r="L1718" s="56"/>
      <c r="M1718" s="56"/>
      <c r="N1718" s="56"/>
      <c r="O1718" s="56"/>
    </row>
    <row r="1719" spans="1:15" ht="21.75" customHeight="1">
      <c r="A1719" s="536" t="s">
        <v>4435</v>
      </c>
      <c r="B1719" s="537" t="str">
        <f>VLOOKUP(A1719,'Materiales '!$C$2:$F$1302,3,0)</f>
        <v>Und</v>
      </c>
      <c r="C1719" s="98" t="str">
        <f>VLOOKUP(A1719,'Materiales '!$C$2:$F$1302,3,0)</f>
        <v>Und</v>
      </c>
      <c r="D1719" s="99">
        <f>VLOOKUP(A1719,'Materiales '!$C$2:$F$1302,4,0)</f>
        <v>122808</v>
      </c>
      <c r="E1719" s="100">
        <v>1</v>
      </c>
      <c r="F1719" s="538">
        <f t="shared" si="100"/>
        <v>122808</v>
      </c>
      <c r="G1719" s="539"/>
      <c r="H1719" s="121"/>
      <c r="I1719">
        <f>E1719*G1703</f>
        <v>0</v>
      </c>
      <c r="J1719" s="68"/>
      <c r="K1719" s="56"/>
      <c r="L1719" s="56"/>
      <c r="M1719" s="56"/>
      <c r="N1719" s="56"/>
      <c r="O1719" s="56"/>
    </row>
    <row r="1720" spans="1:15">
      <c r="A1720" s="536" t="s">
        <v>8</v>
      </c>
      <c r="B1720" s="537" t="str">
        <f>VLOOKUP(A1720,'Materiales '!$C$2:$F$1302,3,0)</f>
        <v>-</v>
      </c>
      <c r="C1720" s="98" t="str">
        <f>VLOOKUP(A1720,'Materiales '!$C$2:$F$1302,3,0)</f>
        <v>-</v>
      </c>
      <c r="D1720" s="99">
        <f>VLOOKUP(A1720,'Materiales '!$C$2:$F$1302,4,0)</f>
        <v>0</v>
      </c>
      <c r="E1720" s="100"/>
      <c r="F1720" s="538">
        <f>E1720*D1720</f>
        <v>0</v>
      </c>
      <c r="G1720" s="539"/>
      <c r="H1720" s="120"/>
      <c r="I1720">
        <f>E1720*G1703</f>
        <v>0</v>
      </c>
      <c r="J1720" s="68"/>
      <c r="K1720" s="56"/>
      <c r="L1720" s="56"/>
      <c r="M1720" s="56"/>
      <c r="N1720" s="56"/>
      <c r="O1720" s="56"/>
    </row>
    <row r="1721" spans="1:15">
      <c r="A1721" s="536" t="s">
        <v>8</v>
      </c>
      <c r="B1721" s="537" t="str">
        <f>VLOOKUP(A1721,'Materiales '!$C$2:$F$1302,3,0)</f>
        <v>-</v>
      </c>
      <c r="C1721" s="98" t="str">
        <f>VLOOKUP(A1721,'Materiales '!$C$2:$F$1302,3,0)</f>
        <v>-</v>
      </c>
      <c r="D1721" s="99">
        <f>VLOOKUP(A1721,'Materiales '!$C$2:$F$1302,4,0)</f>
        <v>0</v>
      </c>
      <c r="E1721" s="100"/>
      <c r="F1721" s="538">
        <f t="shared" ref="F1721:F1724" si="101">E1721*D1721</f>
        <v>0</v>
      </c>
      <c r="G1721" s="539"/>
      <c r="H1721" s="121"/>
      <c r="I1721">
        <f>E1721*G1703</f>
        <v>0</v>
      </c>
      <c r="J1721" s="68"/>
      <c r="K1721" s="56"/>
      <c r="L1721" s="56"/>
      <c r="M1721" s="56"/>
      <c r="N1721" s="56"/>
      <c r="O1721" s="56"/>
    </row>
    <row r="1722" spans="1:15">
      <c r="A1722" s="536" t="s">
        <v>8</v>
      </c>
      <c r="B1722" s="537" t="str">
        <f>VLOOKUP(A1722,'Materiales '!$C$2:$F$1302,3,0)</f>
        <v>-</v>
      </c>
      <c r="C1722" s="98" t="str">
        <f>VLOOKUP(A1722,'Materiales '!$C$2:$F$1302,3,0)</f>
        <v>-</v>
      </c>
      <c r="D1722" s="99">
        <f>VLOOKUP(A1722,'Materiales '!$C$2:$F$1302,4,0)</f>
        <v>0</v>
      </c>
      <c r="E1722" s="100"/>
      <c r="F1722" s="538">
        <f t="shared" si="101"/>
        <v>0</v>
      </c>
      <c r="G1722" s="539"/>
      <c r="H1722" s="121"/>
      <c r="I1722">
        <f>E1722*G1703</f>
        <v>0</v>
      </c>
      <c r="J1722" s="68"/>
      <c r="K1722" s="56"/>
      <c r="L1722" s="56"/>
      <c r="M1722" s="56"/>
      <c r="N1722" s="56"/>
      <c r="O1722" s="56"/>
    </row>
    <row r="1723" spans="1:15">
      <c r="A1723" s="536" t="s">
        <v>8</v>
      </c>
      <c r="B1723" s="537" t="str">
        <f>VLOOKUP(A1723,'Materiales '!$C$2:$F$1302,3,0)</f>
        <v>-</v>
      </c>
      <c r="C1723" s="98" t="str">
        <f>VLOOKUP(A1723,'Materiales '!$C$2:$F$1302,3,0)</f>
        <v>-</v>
      </c>
      <c r="D1723" s="99">
        <f>VLOOKUP(A1723,'Materiales '!$C$2:$F$1302,4,0)</f>
        <v>0</v>
      </c>
      <c r="E1723" s="100"/>
      <c r="F1723" s="538">
        <f t="shared" si="101"/>
        <v>0</v>
      </c>
      <c r="G1723" s="539"/>
      <c r="H1723" s="121"/>
      <c r="I1723">
        <f>E1723*G1703</f>
        <v>0</v>
      </c>
      <c r="J1723" s="68"/>
      <c r="K1723" s="56"/>
      <c r="L1723" s="56"/>
      <c r="M1723" s="56"/>
      <c r="N1723" s="56"/>
      <c r="O1723" s="56"/>
    </row>
    <row r="1724" spans="1:15">
      <c r="A1724" s="536" t="s">
        <v>8</v>
      </c>
      <c r="B1724" s="537" t="str">
        <f>VLOOKUP(A1724,'Materiales '!$C$2:$F$1302,3,0)</f>
        <v>-</v>
      </c>
      <c r="C1724" s="98" t="str">
        <f>VLOOKUP(A1724,'Materiales '!$C$2:$F$1302,3,0)</f>
        <v>-</v>
      </c>
      <c r="D1724" s="99">
        <f>VLOOKUP(A1724,'Materiales '!$C$2:$F$1302,4,0)</f>
        <v>0</v>
      </c>
      <c r="E1724" s="100"/>
      <c r="F1724" s="538">
        <f t="shared" si="101"/>
        <v>0</v>
      </c>
      <c r="G1724" s="539"/>
      <c r="H1724" s="121"/>
      <c r="I1724">
        <f>E1724*G1703</f>
        <v>0</v>
      </c>
      <c r="J1724" s="68"/>
      <c r="K1724" s="56"/>
      <c r="L1724" s="56"/>
      <c r="M1724" s="56"/>
      <c r="N1724" s="56"/>
      <c r="O1724" s="56"/>
    </row>
    <row r="1725" spans="1:15">
      <c r="A1725" s="536" t="s">
        <v>8</v>
      </c>
      <c r="B1725" s="537" t="str">
        <f>VLOOKUP(A1725,'Materiales '!$C$2:$F$1302,3,0)</f>
        <v>-</v>
      </c>
      <c r="C1725" s="98" t="str">
        <f>VLOOKUP(A1725,'Materiales '!$C$2:$F$1302,3,0)</f>
        <v>-</v>
      </c>
      <c r="D1725" s="99">
        <f>VLOOKUP(A1725,'Materiales '!$C$2:$F$1302,4,0)</f>
        <v>0</v>
      </c>
      <c r="E1725" s="100"/>
      <c r="F1725" s="538">
        <f>E1725*D1725</f>
        <v>0</v>
      </c>
      <c r="G1725" s="539"/>
      <c r="H1725" s="120"/>
      <c r="I1725">
        <f>E1725*G1703</f>
        <v>0</v>
      </c>
      <c r="J1725" s="68"/>
      <c r="K1725" s="56"/>
      <c r="L1725" s="56"/>
      <c r="M1725" s="56"/>
      <c r="N1725" s="56"/>
      <c r="O1725" s="56"/>
    </row>
    <row r="1726" spans="1:15" ht="16.5">
      <c r="A1726" s="540" t="s">
        <v>4099</v>
      </c>
      <c r="B1726" s="541"/>
      <c r="C1726" s="541"/>
      <c r="D1726" s="541"/>
      <c r="E1726" s="541"/>
      <c r="F1726" s="541"/>
      <c r="G1726" s="542"/>
      <c r="H1726" s="116">
        <f>SUM(F1712:F1725)</f>
        <v>508830.20630231674</v>
      </c>
      <c r="J1726" s="68"/>
      <c r="K1726" s="56"/>
      <c r="L1726" s="56"/>
      <c r="M1726" s="56"/>
      <c r="N1726" s="56"/>
      <c r="O1726" s="56"/>
    </row>
    <row r="1727" spans="1:15" ht="16.5">
      <c r="A1727" s="543" t="s">
        <v>4231</v>
      </c>
      <c r="B1727" s="544"/>
      <c r="C1727" s="544"/>
      <c r="D1727" s="544"/>
      <c r="E1727" s="545"/>
      <c r="F1727" s="544"/>
      <c r="G1727" s="544"/>
      <c r="H1727" s="546"/>
      <c r="J1727" s="68"/>
      <c r="K1727" s="56"/>
      <c r="L1727" s="56"/>
      <c r="M1727" s="56"/>
      <c r="N1727" s="56"/>
      <c r="O1727" s="56"/>
    </row>
    <row r="1728" spans="1:15">
      <c r="A1728" s="547" t="s">
        <v>7</v>
      </c>
      <c r="B1728" s="548"/>
      <c r="C1728" s="108" t="s">
        <v>4232</v>
      </c>
      <c r="D1728" s="107" t="s">
        <v>4233</v>
      </c>
      <c r="E1728" s="206" t="s">
        <v>4234</v>
      </c>
      <c r="F1728" s="549" t="s">
        <v>4218</v>
      </c>
      <c r="G1728" s="549"/>
      <c r="H1728" s="119"/>
      <c r="K1728" s="56"/>
      <c r="L1728" s="56"/>
      <c r="M1728" s="56"/>
      <c r="N1728" s="56"/>
      <c r="O1728" s="56"/>
    </row>
    <row r="1729" spans="1:13">
      <c r="A1729" s="550" t="s">
        <v>3928</v>
      </c>
      <c r="B1729" s="551"/>
      <c r="C1729" s="232">
        <v>1</v>
      </c>
      <c r="D1729" s="102">
        <v>0.03</v>
      </c>
      <c r="E1729" s="103">
        <f>VLOOKUP(A1729,'Equip, Herr y Transp'!$B$2:$D$218,3,0)</f>
        <v>160000</v>
      </c>
      <c r="F1729" s="552">
        <f>E1729*D1729*C1729</f>
        <v>4800</v>
      </c>
      <c r="G1729" s="553"/>
      <c r="H1729" s="117"/>
      <c r="M1729" s="56"/>
    </row>
    <row r="1730" spans="1:13" ht="16.5">
      <c r="A1730" s="554" t="s">
        <v>4216</v>
      </c>
      <c r="B1730" s="555"/>
      <c r="C1730" s="555"/>
      <c r="D1730" s="555"/>
      <c r="E1730" s="555"/>
      <c r="F1730" s="555"/>
      <c r="G1730" s="555"/>
      <c r="H1730" s="105">
        <f>F1729</f>
        <v>4800</v>
      </c>
    </row>
    <row r="1731" spans="1:13" ht="16.5">
      <c r="A1731" s="543" t="s">
        <v>4235</v>
      </c>
      <c r="B1731" s="544"/>
      <c r="C1731" s="544"/>
      <c r="D1731" s="544"/>
      <c r="E1731" s="544"/>
      <c r="F1731" s="544"/>
      <c r="G1731" s="544"/>
      <c r="H1731" s="546"/>
    </row>
    <row r="1732" spans="1:13">
      <c r="A1732" s="547" t="s">
        <v>7</v>
      </c>
      <c r="B1732" s="548"/>
      <c r="C1732" s="106" t="s">
        <v>1</v>
      </c>
      <c r="D1732" s="107" t="s">
        <v>4236</v>
      </c>
      <c r="E1732" s="108" t="s">
        <v>4215</v>
      </c>
      <c r="F1732" s="547" t="s">
        <v>5</v>
      </c>
      <c r="G1732" s="556"/>
      <c r="H1732" s="119"/>
    </row>
    <row r="1733" spans="1:13">
      <c r="A1733" s="550" t="s">
        <v>4196</v>
      </c>
      <c r="B1733" s="551"/>
      <c r="C1733" s="101">
        <v>1</v>
      </c>
      <c r="D1733" s="104">
        <f>VLOOKUP(A1733,'Mano Obra'!$B$2:$T$117,19,0)</f>
        <v>166624</v>
      </c>
      <c r="E1733" s="246">
        <f>H1696</f>
        <v>5.21E-2</v>
      </c>
      <c r="F1733" s="538">
        <f>E1733*D1733*C1733</f>
        <v>8681.1103999999996</v>
      </c>
      <c r="G1733" s="557"/>
      <c r="H1733" s="121"/>
      <c r="I1733" s="69"/>
      <c r="J1733" s="136">
        <f>((('Mano Obra'!$M$4/30)*F1733)/D1733)*G1703</f>
        <v>0</v>
      </c>
    </row>
    <row r="1734" spans="1:13">
      <c r="A1734" s="558" t="s">
        <v>4197</v>
      </c>
      <c r="B1734" s="559">
        <f>VLOOKUP(A1734,'Mano Obra'!$B$3:$D$290,2,0)</f>
        <v>2090000.0000000002</v>
      </c>
      <c r="C1734" s="101">
        <v>1</v>
      </c>
      <c r="D1734" s="104">
        <f>VLOOKUP(A1734,'Mano Obra'!$B$2:$T$117,19,0)</f>
        <v>120456</v>
      </c>
      <c r="E1734" s="246">
        <f>H1696</f>
        <v>5.21E-2</v>
      </c>
      <c r="F1734" s="538">
        <f t="shared" ref="F1734:F1735" si="102">E1734*D1734*C1734</f>
        <v>6275.7575999999999</v>
      </c>
      <c r="G1734" s="557"/>
      <c r="H1734" s="121"/>
      <c r="J1734" s="136">
        <f>((('Mano Obra'!$M$5/30)*F1734)/D1734)*G1703</f>
        <v>0</v>
      </c>
    </row>
    <row r="1735" spans="1:13">
      <c r="A1735" s="558" t="s">
        <v>4186</v>
      </c>
      <c r="B1735" s="559">
        <f>VLOOKUP(A1735,'Mano Obra'!$B$3:$D$290,2,0)</f>
        <v>1100000</v>
      </c>
      <c r="C1735" s="101">
        <v>1</v>
      </c>
      <c r="D1735" s="104">
        <f>VLOOKUP(A1735,'Mano Obra'!$B$2:$T$117,19,0)</f>
        <v>72664</v>
      </c>
      <c r="E1735" s="246">
        <f>H1696</f>
        <v>5.21E-2</v>
      </c>
      <c r="F1735" s="538">
        <f t="shared" si="102"/>
        <v>3785.7944000000002</v>
      </c>
      <c r="G1735" s="557"/>
      <c r="H1735" s="120"/>
      <c r="J1735" s="136">
        <f>((('Mano Obra'!$M$6/30)*F1735)/D1735)*G1703</f>
        <v>0</v>
      </c>
    </row>
    <row r="1736" spans="1:13" ht="16.5">
      <c r="A1736" s="560" t="s">
        <v>4101</v>
      </c>
      <c r="B1736" s="560"/>
      <c r="C1736" s="560"/>
      <c r="D1736" s="560"/>
      <c r="E1736" s="560"/>
      <c r="F1736" s="560"/>
      <c r="G1736" s="560"/>
      <c r="H1736" s="105">
        <f>SUM(F1733:F1735)</f>
        <v>18742.662399999997</v>
      </c>
      <c r="J1736" s="136"/>
    </row>
    <row r="1737" spans="1:13">
      <c r="A1737" s="227" t="s">
        <v>4237</v>
      </c>
      <c r="B1737" s="205"/>
      <c r="C1737" s="205"/>
      <c r="D1737" s="202"/>
      <c r="E1737" s="203"/>
      <c r="F1737" s="204"/>
      <c r="G1737" s="203"/>
      <c r="H1737" s="212"/>
    </row>
    <row r="1738" spans="1:13">
      <c r="A1738" s="561" t="s">
        <v>4224</v>
      </c>
      <c r="B1738" s="562"/>
      <c r="C1738" s="562"/>
      <c r="D1738" s="562"/>
      <c r="E1738" s="200"/>
      <c r="F1738" s="201" t="s">
        <v>4238</v>
      </c>
      <c r="G1738" s="200" t="s">
        <v>4239</v>
      </c>
      <c r="H1738" s="213"/>
    </row>
    <row r="1739" spans="1:13">
      <c r="A1739" s="223" t="s">
        <v>4097</v>
      </c>
      <c r="B1739" s="72"/>
      <c r="C1739" s="72"/>
      <c r="D1739" s="73"/>
      <c r="E1739" s="78"/>
      <c r="F1739" s="79">
        <v>0</v>
      </c>
      <c r="G1739" s="80">
        <f>F1739*H1704</f>
        <v>0</v>
      </c>
      <c r="H1739" s="212"/>
    </row>
    <row r="1740" spans="1:13">
      <c r="A1740" s="224" t="s">
        <v>4240</v>
      </c>
      <c r="B1740" s="81"/>
      <c r="C1740" s="81"/>
      <c r="D1740" s="82"/>
      <c r="E1740" s="78"/>
      <c r="F1740" s="79">
        <v>0</v>
      </c>
      <c r="G1740" s="80">
        <f>F1740*H1704</f>
        <v>0</v>
      </c>
      <c r="H1740" s="212"/>
    </row>
    <row r="1741" spans="1:13">
      <c r="A1741" s="224" t="s">
        <v>4</v>
      </c>
      <c r="B1741" s="81"/>
      <c r="C1741" s="81"/>
      <c r="D1741" s="82"/>
      <c r="E1741" s="78"/>
      <c r="F1741" s="79">
        <v>0</v>
      </c>
      <c r="G1741" s="80">
        <f>F1741*H1704</f>
        <v>0</v>
      </c>
      <c r="H1741" s="212"/>
    </row>
    <row r="1742" spans="1:13">
      <c r="A1742" s="225"/>
      <c r="B1742" s="83"/>
      <c r="C1742" s="75"/>
      <c r="D1742" s="84"/>
      <c r="E1742" s="85"/>
      <c r="F1742" s="86"/>
      <c r="G1742" s="87"/>
      <c r="H1742" s="214"/>
    </row>
    <row r="1743" spans="1:13">
      <c r="A1743" s="226"/>
      <c r="B1743" s="83"/>
      <c r="C1743" s="83"/>
      <c r="D1743" s="84"/>
      <c r="E1743" s="88"/>
      <c r="F1743" s="563" t="s">
        <v>4241</v>
      </c>
      <c r="G1743" s="564"/>
      <c r="H1743" s="233">
        <f>H1704+G1739+G1740+G1741</f>
        <v>535736.05395231675</v>
      </c>
    </row>
    <row r="1744" spans="1:13">
      <c r="A1744" s="83"/>
      <c r="B1744" s="83"/>
      <c r="C1744" s="83"/>
      <c r="D1744" s="84"/>
      <c r="E1744" s="388"/>
      <c r="F1744" s="389"/>
      <c r="G1744" s="389"/>
      <c r="H1744" s="390"/>
    </row>
    <row r="1745" spans="1:14" ht="16.5">
      <c r="A1745" s="90"/>
      <c r="B1745" s="90"/>
      <c r="C1745" s="90"/>
      <c r="D1745" s="90"/>
      <c r="E1745" s="90"/>
      <c r="F1745" s="90"/>
      <c r="G1745" s="90"/>
      <c r="H1745" s="381"/>
    </row>
    <row r="1746" spans="1:14">
      <c r="A1746" s="579" t="s">
        <v>4225</v>
      </c>
      <c r="B1746" s="580"/>
      <c r="C1746" s="580"/>
      <c r="D1746" s="580"/>
      <c r="E1746" s="580"/>
      <c r="F1746" s="580"/>
      <c r="G1746" s="580"/>
      <c r="H1746" s="581"/>
    </row>
    <row r="1747" spans="1:14" ht="16.5">
      <c r="A1747" s="91"/>
      <c r="B1747" s="92"/>
      <c r="C1747" s="92"/>
      <c r="D1747" s="92"/>
      <c r="E1747" s="92"/>
      <c r="F1747" s="93"/>
      <c r="G1747" s="94"/>
      <c r="H1747" s="380">
        <f>ROUND((25/60)/8,4)</f>
        <v>5.21E-2</v>
      </c>
      <c r="I1747" s="115"/>
    </row>
    <row r="1748" spans="1:14">
      <c r="A1748" s="582" t="s">
        <v>4220</v>
      </c>
      <c r="B1748" s="584" t="str">
        <f>COSTOS!$C$14</f>
        <v>MODERNIZACION A TECNOLOGIA LED</v>
      </c>
      <c r="C1748" s="584"/>
      <c r="D1748" s="584"/>
      <c r="E1748" s="584"/>
      <c r="F1748" s="584"/>
      <c r="G1748" s="584"/>
      <c r="H1748" s="585" t="s">
        <v>4221</v>
      </c>
    </row>
    <row r="1749" spans="1:14">
      <c r="A1749" s="583"/>
      <c r="B1749" s="584"/>
      <c r="C1749" s="584"/>
      <c r="D1749" s="584"/>
      <c r="E1749" s="584"/>
      <c r="F1749" s="584"/>
      <c r="G1749" s="584"/>
      <c r="H1749" s="585"/>
    </row>
    <row r="1750" spans="1:14">
      <c r="A1750" s="583"/>
      <c r="B1750" s="584"/>
      <c r="C1750" s="584"/>
      <c r="D1750" s="584"/>
      <c r="E1750" s="584"/>
      <c r="F1750" s="584"/>
      <c r="G1750" s="584"/>
      <c r="H1750" s="585"/>
    </row>
    <row r="1751" spans="1:14" ht="15" customHeight="1">
      <c r="A1751" s="583"/>
      <c r="B1751" s="584"/>
      <c r="C1751" s="584"/>
      <c r="D1751" s="584"/>
      <c r="E1751" s="584"/>
      <c r="F1751" s="584"/>
      <c r="G1751" s="584"/>
      <c r="H1751" s="216">
        <f ca="1">TODAY()</f>
        <v>44889</v>
      </c>
      <c r="K1751" t="s">
        <v>4391</v>
      </c>
      <c r="L1751" t="s">
        <v>4392</v>
      </c>
      <c r="M1751" t="s">
        <v>4393</v>
      </c>
      <c r="N1751" t="s">
        <v>4394</v>
      </c>
    </row>
    <row r="1752" spans="1:14" ht="60.75" customHeight="1">
      <c r="A1752" s="228" t="s">
        <v>4222</v>
      </c>
      <c r="B1752" s="565" t="str">
        <f>COSTOS!$D$16</f>
        <v>Luminarias</v>
      </c>
      <c r="C1752" s="565"/>
      <c r="D1752" s="565"/>
      <c r="E1752" s="565"/>
      <c r="F1752" s="565"/>
      <c r="G1752" s="70" t="s">
        <v>4223</v>
      </c>
      <c r="H1752" s="391">
        <v>1.35</v>
      </c>
      <c r="K1752" s="62">
        <f>H1777</f>
        <v>531846.57080833113</v>
      </c>
      <c r="L1752" s="62">
        <f>H1787</f>
        <v>18742.662399999997</v>
      </c>
      <c r="M1752" s="62">
        <f>H1760</f>
        <v>3363.18525</v>
      </c>
      <c r="N1752" s="62">
        <f>H1781</f>
        <v>4800</v>
      </c>
    </row>
    <row r="1753" spans="1:14" ht="43.15" customHeight="1">
      <c r="A1753" s="229" t="s">
        <v>4224</v>
      </c>
      <c r="B1753" s="566" t="str">
        <f>VLOOKUP(H1752,COSTOS!C:M,2,0)</f>
        <v>Luminaria con bombillo fluorescente 80w</v>
      </c>
      <c r="C1753" s="567"/>
      <c r="D1753" s="567"/>
      <c r="E1753" s="568"/>
      <c r="F1753" s="71" t="s">
        <v>0</v>
      </c>
      <c r="G1753" s="356" t="str">
        <f>VLOOKUP(H1752,COSTOS!C:M,8,0)</f>
        <v>Und</v>
      </c>
      <c r="H1753" s="276"/>
      <c r="I1753" s="306"/>
      <c r="J1753" s="308"/>
      <c r="K1753" s="308"/>
      <c r="L1753" s="308"/>
    </row>
    <row r="1754" spans="1:14">
      <c r="A1754" s="230"/>
      <c r="B1754" s="112"/>
      <c r="C1754" s="112"/>
      <c r="D1754" s="112"/>
      <c r="E1754" s="113"/>
      <c r="F1754" s="114" t="s">
        <v>1</v>
      </c>
      <c r="G1754" s="356">
        <f>VLOOKUP(H1752,COSTOS!C:M,9,0)</f>
        <v>0</v>
      </c>
      <c r="H1754" s="357"/>
      <c r="I1754" s="307"/>
    </row>
    <row r="1755" spans="1:14" ht="16.5">
      <c r="A1755" s="231" t="s">
        <v>4226</v>
      </c>
      <c r="B1755" s="75"/>
      <c r="C1755" s="75"/>
      <c r="D1755" s="76"/>
      <c r="E1755" s="209"/>
      <c r="F1755" s="210"/>
      <c r="G1755" s="211" t="s">
        <v>4227</v>
      </c>
      <c r="H1755" s="217">
        <f>H1760+H1777+H1781+H1787</f>
        <v>558752.41845833114</v>
      </c>
    </row>
    <row r="1756" spans="1:14" ht="39">
      <c r="A1756" s="569" t="s">
        <v>4224</v>
      </c>
      <c r="B1756" s="569"/>
      <c r="C1756" s="569"/>
      <c r="D1756" s="77" t="s">
        <v>0</v>
      </c>
      <c r="E1756" s="207" t="s">
        <v>4228</v>
      </c>
      <c r="F1756" s="208" t="s">
        <v>4215</v>
      </c>
      <c r="G1756" s="74" t="s">
        <v>2</v>
      </c>
      <c r="H1756" s="218" t="s">
        <v>4229</v>
      </c>
      <c r="K1756" s="309"/>
    </row>
    <row r="1757" spans="1:14">
      <c r="A1757" s="536" t="s">
        <v>3946</v>
      </c>
      <c r="B1757" s="570" t="str">
        <f>VLOOKUP(A1757,'Equip, Herr y Transp'!$B$2:$D$739,2,0)</f>
        <v>EQU</v>
      </c>
      <c r="C1757" s="570"/>
      <c r="D1757" s="95" t="str">
        <f>VLOOKUP(A1757,'Equip, Herr y Transp'!$B$2:$D$218,2,0)</f>
        <v>EQU</v>
      </c>
      <c r="E1757" s="95">
        <f>VLOOKUP(A1757,'Equip, Herr y Transp'!$B$2:$D$218,3,0)</f>
        <v>14130</v>
      </c>
      <c r="F1757" s="96">
        <f>H1747</f>
        <v>5.21E-2</v>
      </c>
      <c r="G1757" s="122">
        <f>F1757*E1757</f>
        <v>736.173</v>
      </c>
      <c r="H1757" s="118"/>
    </row>
    <row r="1758" spans="1:14">
      <c r="A1758" s="536" t="s">
        <v>3904</v>
      </c>
      <c r="B1758" s="570" t="str">
        <f>VLOOKUP(A1758,'Equip, Herr y Transp'!$B$2:$D$739,2,0)</f>
        <v>EQU</v>
      </c>
      <c r="C1758" s="570"/>
      <c r="D1758" s="95" t="str">
        <f>VLOOKUP(A1758,'Equip, Herr y Transp'!$B$2:$D$218,2,0)</f>
        <v>EQU</v>
      </c>
      <c r="E1758" s="95">
        <f>VLOOKUP(A1758,'Equip, Herr y Transp'!$B$2:$D$218,3,0)</f>
        <v>26672.5</v>
      </c>
      <c r="F1758" s="96">
        <f>H1747</f>
        <v>5.21E-2</v>
      </c>
      <c r="G1758" s="122">
        <f>F1758*E1758</f>
        <v>1389.63725</v>
      </c>
      <c r="H1758" s="117"/>
    </row>
    <row r="1759" spans="1:14">
      <c r="A1759" s="536" t="s">
        <v>3937</v>
      </c>
      <c r="B1759" s="570" t="str">
        <f>VLOOKUP(A1759,'Equip, Herr y Transp'!$B$2:$D$739,2,0)</f>
        <v>EQU</v>
      </c>
      <c r="C1759" s="570"/>
      <c r="D1759" s="95" t="str">
        <f>VLOOKUP(A1759,'Equip, Herr y Transp'!$B$2:$D$218,2,0)</f>
        <v>EQU</v>
      </c>
      <c r="E1759" s="95">
        <f>VLOOKUP(A1759,'Equip, Herr y Transp'!$B$2:$D$218,3,0)</f>
        <v>23750</v>
      </c>
      <c r="F1759" s="96">
        <f>H1747</f>
        <v>5.21E-2</v>
      </c>
      <c r="G1759" s="122">
        <f>F1759*E1759</f>
        <v>1237.375</v>
      </c>
      <c r="H1759" s="117"/>
    </row>
    <row r="1760" spans="1:14" ht="16.5">
      <c r="A1760" s="540" t="s">
        <v>4100</v>
      </c>
      <c r="B1760" s="541"/>
      <c r="C1760" s="541"/>
      <c r="D1760" s="541"/>
      <c r="E1760" s="541"/>
      <c r="F1760" s="541"/>
      <c r="G1760" s="541"/>
      <c r="H1760" s="97">
        <f>SUM(G1757:G1759)</f>
        <v>3363.18525</v>
      </c>
    </row>
    <row r="1761" spans="1:15" ht="16.5">
      <c r="A1761" s="571" t="s">
        <v>4230</v>
      </c>
      <c r="B1761" s="572"/>
      <c r="C1761" s="572"/>
      <c r="D1761" s="572"/>
      <c r="E1761" s="572"/>
      <c r="F1761" s="572"/>
      <c r="G1761" s="572"/>
      <c r="H1761" s="573"/>
      <c r="K1761" s="56"/>
      <c r="L1761" s="56"/>
      <c r="M1761" s="56"/>
      <c r="N1761" s="56"/>
      <c r="O1761" s="56"/>
    </row>
    <row r="1762" spans="1:15" ht="30" customHeight="1">
      <c r="A1762" s="574" t="s">
        <v>7</v>
      </c>
      <c r="B1762" s="575"/>
      <c r="C1762" s="109" t="s">
        <v>0</v>
      </c>
      <c r="D1762" s="110" t="s">
        <v>4098</v>
      </c>
      <c r="E1762" s="111" t="s">
        <v>1</v>
      </c>
      <c r="F1762" s="576" t="s">
        <v>4218</v>
      </c>
      <c r="G1762" s="576"/>
      <c r="H1762" s="215"/>
      <c r="K1762" s="56"/>
      <c r="L1762" s="56"/>
      <c r="M1762" s="56"/>
      <c r="N1762" s="56"/>
      <c r="O1762" s="56"/>
    </row>
    <row r="1763" spans="1:15">
      <c r="A1763" s="577" t="s">
        <v>4687</v>
      </c>
      <c r="B1763" s="578"/>
      <c r="C1763" s="98" t="str">
        <f>VLOOKUP(A1763,'Materiales '!$C$2:$F$1302,3,0)</f>
        <v>Und</v>
      </c>
      <c r="D1763" s="99">
        <f>VLOOKUP(A1763,'Materiales '!$C$2:$F$1302,4,0)</f>
        <v>306099.5248083311</v>
      </c>
      <c r="E1763" s="100">
        <v>1</v>
      </c>
      <c r="F1763" s="538">
        <f>E1763*D1763</f>
        <v>306099.5248083311</v>
      </c>
      <c r="G1763" s="539"/>
      <c r="H1763" s="121"/>
      <c r="I1763">
        <f>E1763*G1754</f>
        <v>0</v>
      </c>
      <c r="J1763" s="67"/>
      <c r="K1763" s="56"/>
      <c r="L1763" s="56"/>
      <c r="M1763" s="56"/>
      <c r="N1763" s="56"/>
      <c r="O1763" s="56"/>
    </row>
    <row r="1764" spans="1:15">
      <c r="A1764" s="577" t="s">
        <v>4214</v>
      </c>
      <c r="B1764" s="578"/>
      <c r="C1764" s="98" t="str">
        <f>VLOOKUP(A1764,'Materiales '!$C$2:$F$1302,3,0)</f>
        <v>Und</v>
      </c>
      <c r="D1764" s="99">
        <f>VLOOKUP(A1764,'Materiales '!$C$2:$F$1302,4,0)</f>
        <v>22848</v>
      </c>
      <c r="E1764" s="100">
        <v>1</v>
      </c>
      <c r="F1764" s="538">
        <f t="shared" ref="F1764:F1770" si="103">E1764*D1764</f>
        <v>22848</v>
      </c>
      <c r="G1764" s="539"/>
      <c r="H1764" s="121"/>
      <c r="I1764">
        <f>E1764*G1754</f>
        <v>0</v>
      </c>
      <c r="J1764" s="67"/>
      <c r="K1764" s="56"/>
      <c r="L1764" s="56"/>
      <c r="M1764" s="56"/>
      <c r="N1764" s="56"/>
      <c r="O1764" s="56"/>
    </row>
    <row r="1765" spans="1:15">
      <c r="A1765" s="536" t="s">
        <v>4484</v>
      </c>
      <c r="B1765" s="537" t="str">
        <f>VLOOKUP(A1765,'Materiales '!$C$2:$F$1302,3,0)</f>
        <v>Und</v>
      </c>
      <c r="C1765" s="98" t="str">
        <f>VLOOKUP(A1765,'Materiales '!$C$2:$F$1302,3,0)</f>
        <v>Und</v>
      </c>
      <c r="D1765" s="99">
        <f>VLOOKUP(A1765,'Materiales '!$C$2:$F$1302,4,0)</f>
        <v>21705.599999999999</v>
      </c>
      <c r="E1765" s="100">
        <v>2</v>
      </c>
      <c r="F1765" s="538">
        <f t="shared" si="103"/>
        <v>43411.199999999997</v>
      </c>
      <c r="G1765" s="539"/>
      <c r="H1765" s="121"/>
      <c r="I1765">
        <f>E1765*G1754</f>
        <v>0</v>
      </c>
      <c r="J1765" s="68"/>
      <c r="K1765" s="56"/>
      <c r="L1765" s="56"/>
      <c r="M1765" s="56"/>
      <c r="N1765" s="56"/>
      <c r="O1765" s="56"/>
    </row>
    <row r="1766" spans="1:15">
      <c r="A1766" s="536" t="s">
        <v>4489</v>
      </c>
      <c r="B1766" s="537" t="str">
        <f>VLOOKUP(A1766,'Materiales '!$C$2:$F$1302,3,0)</f>
        <v>Und</v>
      </c>
      <c r="C1766" s="98" t="str">
        <f>VLOOKUP(A1766,'Materiales '!$C$2:$F$1302,3,0)</f>
        <v>Und</v>
      </c>
      <c r="D1766" s="99">
        <f>VLOOKUP(A1766,'Materiales '!$C$2:$F$1302,4,0)</f>
        <v>8039.6399999999994</v>
      </c>
      <c r="E1766" s="100">
        <v>3</v>
      </c>
      <c r="F1766" s="538">
        <f t="shared" si="103"/>
        <v>24118.92</v>
      </c>
      <c r="G1766" s="539"/>
      <c r="H1766" s="121"/>
      <c r="I1766">
        <f>E1766*G1754</f>
        <v>0</v>
      </c>
      <c r="J1766" s="68"/>
      <c r="K1766" s="56"/>
      <c r="L1766" s="56"/>
      <c r="M1766" s="56"/>
      <c r="N1766" s="56"/>
      <c r="O1766" s="56"/>
    </row>
    <row r="1767" spans="1:15">
      <c r="A1767" s="536" t="s">
        <v>4554</v>
      </c>
      <c r="B1767" s="537" t="str">
        <f>VLOOKUP(A1767,'Materiales '!$C$2:$F$1302,3,0)</f>
        <v>Und</v>
      </c>
      <c r="C1767" s="98" t="str">
        <f>VLOOKUP(A1767,'Materiales '!$C$2:$F$1302,3,0)</f>
        <v>Und</v>
      </c>
      <c r="D1767" s="99">
        <f>VLOOKUP(A1767,'Materiales '!$C$2:$F$1302,4,0)</f>
        <v>2535.5329999999999</v>
      </c>
      <c r="E1767" s="100">
        <v>2</v>
      </c>
      <c r="F1767" s="538">
        <f t="shared" si="103"/>
        <v>5071.0659999999998</v>
      </c>
      <c r="G1767" s="539"/>
      <c r="H1767" s="121"/>
      <c r="I1767">
        <f>E1767*G1754</f>
        <v>0</v>
      </c>
      <c r="J1767" s="68"/>
      <c r="K1767" s="56"/>
      <c r="L1767" s="56"/>
      <c r="M1767" s="56"/>
      <c r="N1767" s="56"/>
      <c r="O1767" s="56"/>
    </row>
    <row r="1768" spans="1:15">
      <c r="A1768" s="536" t="s">
        <v>4450</v>
      </c>
      <c r="B1768" s="537" t="str">
        <f>VLOOKUP(A1768,'Materiales '!$C$2:$F$1302,3,0)</f>
        <v>Ml</v>
      </c>
      <c r="C1768" s="98" t="str">
        <f>VLOOKUP(A1768,'Materiales '!$C$2:$F$1302,3,0)</f>
        <v>Ml</v>
      </c>
      <c r="D1768" s="99">
        <f>VLOOKUP(A1768,'Materiales '!$C$2:$F$1302,4,0)</f>
        <v>6791.5679999999993</v>
      </c>
      <c r="E1768" s="100">
        <v>1</v>
      </c>
      <c r="F1768" s="538">
        <f t="shared" si="103"/>
        <v>6791.5679999999993</v>
      </c>
      <c r="G1768" s="539"/>
      <c r="H1768" s="121"/>
      <c r="I1768">
        <f>E1768*G1754</f>
        <v>0</v>
      </c>
      <c r="J1768" s="68"/>
      <c r="K1768" s="56"/>
      <c r="L1768" s="56"/>
      <c r="M1768" s="56"/>
      <c r="N1768" s="56"/>
      <c r="O1768" s="56"/>
    </row>
    <row r="1769" spans="1:15">
      <c r="A1769" s="536" t="s">
        <v>4493</v>
      </c>
      <c r="B1769" s="537" t="str">
        <f>VLOOKUP(A1769,'Materiales '!$C$2:$F$1302,3,0)</f>
        <v>Und</v>
      </c>
      <c r="C1769" s="98" t="str">
        <f>VLOOKUP(A1769,'Materiales '!$C$2:$F$1302,3,0)</f>
        <v>Und</v>
      </c>
      <c r="D1769" s="99">
        <f>VLOOKUP(A1769,'Materiales '!$C$2:$F$1302,4,0)</f>
        <v>232.76399999999998</v>
      </c>
      <c r="E1769" s="100">
        <v>3</v>
      </c>
      <c r="F1769" s="538">
        <f t="shared" si="103"/>
        <v>698.29199999999992</v>
      </c>
      <c r="G1769" s="539"/>
      <c r="H1769" s="121"/>
      <c r="I1769">
        <f>E1769*G1754</f>
        <v>0</v>
      </c>
      <c r="J1769" s="68"/>
      <c r="K1769" s="56"/>
      <c r="L1769" s="56"/>
      <c r="M1769" s="56"/>
      <c r="N1769" s="56"/>
      <c r="O1769" s="56"/>
    </row>
    <row r="1770" spans="1:15" ht="21.75" customHeight="1">
      <c r="A1770" s="536" t="s">
        <v>4435</v>
      </c>
      <c r="B1770" s="537" t="str">
        <f>VLOOKUP(A1770,'Materiales '!$C$2:$F$1302,3,0)</f>
        <v>Und</v>
      </c>
      <c r="C1770" s="98" t="str">
        <f>VLOOKUP(A1770,'Materiales '!$C$2:$F$1302,3,0)</f>
        <v>Und</v>
      </c>
      <c r="D1770" s="99">
        <f>VLOOKUP(A1770,'Materiales '!$C$2:$F$1302,4,0)</f>
        <v>122808</v>
      </c>
      <c r="E1770" s="100">
        <v>1</v>
      </c>
      <c r="F1770" s="538">
        <f t="shared" si="103"/>
        <v>122808</v>
      </c>
      <c r="G1770" s="539"/>
      <c r="H1770" s="121"/>
      <c r="I1770">
        <f>E1770*G1754</f>
        <v>0</v>
      </c>
      <c r="J1770" s="68"/>
      <c r="K1770" s="56"/>
      <c r="L1770" s="56"/>
      <c r="M1770" s="56"/>
      <c r="N1770" s="56"/>
      <c r="O1770" s="56"/>
    </row>
    <row r="1771" spans="1:15">
      <c r="A1771" s="536" t="s">
        <v>8</v>
      </c>
      <c r="B1771" s="537" t="str">
        <f>VLOOKUP(A1771,'Materiales '!$C$2:$F$1302,3,0)</f>
        <v>-</v>
      </c>
      <c r="C1771" s="98" t="str">
        <f>VLOOKUP(A1771,'Materiales '!$C$2:$F$1302,3,0)</f>
        <v>-</v>
      </c>
      <c r="D1771" s="99">
        <f>VLOOKUP(A1771,'Materiales '!$C$2:$F$1302,4,0)</f>
        <v>0</v>
      </c>
      <c r="E1771" s="100"/>
      <c r="F1771" s="538">
        <f>E1771*D1771</f>
        <v>0</v>
      </c>
      <c r="G1771" s="539"/>
      <c r="H1771" s="120"/>
      <c r="I1771">
        <f>E1771*G1754</f>
        <v>0</v>
      </c>
      <c r="J1771" s="68"/>
      <c r="K1771" s="56"/>
      <c r="L1771" s="56"/>
      <c r="M1771" s="56"/>
      <c r="N1771" s="56"/>
      <c r="O1771" s="56"/>
    </row>
    <row r="1772" spans="1:15">
      <c r="A1772" s="536" t="s">
        <v>8</v>
      </c>
      <c r="B1772" s="537" t="str">
        <f>VLOOKUP(A1772,'Materiales '!$C$2:$F$1302,3,0)</f>
        <v>-</v>
      </c>
      <c r="C1772" s="98" t="str">
        <f>VLOOKUP(A1772,'Materiales '!$C$2:$F$1302,3,0)</f>
        <v>-</v>
      </c>
      <c r="D1772" s="99">
        <f>VLOOKUP(A1772,'Materiales '!$C$2:$F$1302,4,0)</f>
        <v>0</v>
      </c>
      <c r="E1772" s="100"/>
      <c r="F1772" s="538">
        <f t="shared" ref="F1772:F1775" si="104">E1772*D1772</f>
        <v>0</v>
      </c>
      <c r="G1772" s="539"/>
      <c r="H1772" s="121"/>
      <c r="I1772">
        <f>E1772*G1754</f>
        <v>0</v>
      </c>
      <c r="J1772" s="68"/>
      <c r="K1772" s="56"/>
      <c r="L1772" s="56"/>
      <c r="M1772" s="56"/>
      <c r="N1772" s="56"/>
      <c r="O1772" s="56"/>
    </row>
    <row r="1773" spans="1:15">
      <c r="A1773" s="536" t="s">
        <v>8</v>
      </c>
      <c r="B1773" s="537" t="str">
        <f>VLOOKUP(A1773,'Materiales '!$C$2:$F$1302,3,0)</f>
        <v>-</v>
      </c>
      <c r="C1773" s="98" t="str">
        <f>VLOOKUP(A1773,'Materiales '!$C$2:$F$1302,3,0)</f>
        <v>-</v>
      </c>
      <c r="D1773" s="99">
        <f>VLOOKUP(A1773,'Materiales '!$C$2:$F$1302,4,0)</f>
        <v>0</v>
      </c>
      <c r="E1773" s="100"/>
      <c r="F1773" s="538">
        <f t="shared" si="104"/>
        <v>0</v>
      </c>
      <c r="G1773" s="539"/>
      <c r="H1773" s="121"/>
      <c r="I1773">
        <f>E1773*G1754</f>
        <v>0</v>
      </c>
      <c r="J1773" s="68"/>
      <c r="K1773" s="56"/>
      <c r="L1773" s="56"/>
      <c r="M1773" s="56"/>
      <c r="N1773" s="56"/>
      <c r="O1773" s="56"/>
    </row>
    <row r="1774" spans="1:15">
      <c r="A1774" s="536" t="s">
        <v>8</v>
      </c>
      <c r="B1774" s="537" t="str">
        <f>VLOOKUP(A1774,'Materiales '!$C$2:$F$1302,3,0)</f>
        <v>-</v>
      </c>
      <c r="C1774" s="98" t="str">
        <f>VLOOKUP(A1774,'Materiales '!$C$2:$F$1302,3,0)</f>
        <v>-</v>
      </c>
      <c r="D1774" s="99">
        <f>VLOOKUP(A1774,'Materiales '!$C$2:$F$1302,4,0)</f>
        <v>0</v>
      </c>
      <c r="E1774" s="100"/>
      <c r="F1774" s="538">
        <f t="shared" si="104"/>
        <v>0</v>
      </c>
      <c r="G1774" s="539"/>
      <c r="H1774" s="121"/>
      <c r="I1774">
        <f>E1774*G1754</f>
        <v>0</v>
      </c>
      <c r="J1774" s="68"/>
      <c r="K1774" s="56"/>
      <c r="L1774" s="56"/>
      <c r="M1774" s="56"/>
      <c r="N1774" s="56"/>
      <c r="O1774" s="56"/>
    </row>
    <row r="1775" spans="1:15">
      <c r="A1775" s="536" t="s">
        <v>8</v>
      </c>
      <c r="B1775" s="537" t="str">
        <f>VLOOKUP(A1775,'Materiales '!$C$2:$F$1302,3,0)</f>
        <v>-</v>
      </c>
      <c r="C1775" s="98" t="str">
        <f>VLOOKUP(A1775,'Materiales '!$C$2:$F$1302,3,0)</f>
        <v>-</v>
      </c>
      <c r="D1775" s="99">
        <f>VLOOKUP(A1775,'Materiales '!$C$2:$F$1302,4,0)</f>
        <v>0</v>
      </c>
      <c r="E1775" s="100"/>
      <c r="F1775" s="538">
        <f t="shared" si="104"/>
        <v>0</v>
      </c>
      <c r="G1775" s="539"/>
      <c r="H1775" s="121"/>
      <c r="I1775">
        <f>E1775*G1754</f>
        <v>0</v>
      </c>
      <c r="J1775" s="68"/>
      <c r="K1775" s="56"/>
      <c r="L1775" s="56"/>
      <c r="M1775" s="56"/>
      <c r="N1775" s="56"/>
      <c r="O1775" s="56"/>
    </row>
    <row r="1776" spans="1:15">
      <c r="A1776" s="536" t="s">
        <v>8</v>
      </c>
      <c r="B1776" s="537" t="str">
        <f>VLOOKUP(A1776,'Materiales '!$C$2:$F$1302,3,0)</f>
        <v>-</v>
      </c>
      <c r="C1776" s="98" t="str">
        <f>VLOOKUP(A1776,'Materiales '!$C$2:$F$1302,3,0)</f>
        <v>-</v>
      </c>
      <c r="D1776" s="99">
        <f>VLOOKUP(A1776,'Materiales '!$C$2:$F$1302,4,0)</f>
        <v>0</v>
      </c>
      <c r="E1776" s="100"/>
      <c r="F1776" s="538">
        <f>E1776*D1776</f>
        <v>0</v>
      </c>
      <c r="G1776" s="539"/>
      <c r="H1776" s="120"/>
      <c r="I1776">
        <f>E1776*G1754</f>
        <v>0</v>
      </c>
      <c r="J1776" s="68"/>
      <c r="K1776" s="56"/>
      <c r="L1776" s="56"/>
      <c r="M1776" s="56"/>
      <c r="N1776" s="56"/>
      <c r="O1776" s="56"/>
    </row>
    <row r="1777" spans="1:15" ht="16.5">
      <c r="A1777" s="540" t="s">
        <v>4099</v>
      </c>
      <c r="B1777" s="541"/>
      <c r="C1777" s="541"/>
      <c r="D1777" s="541"/>
      <c r="E1777" s="541"/>
      <c r="F1777" s="541"/>
      <c r="G1777" s="542"/>
      <c r="H1777" s="116">
        <f>SUM(F1763:F1776)</f>
        <v>531846.57080833113</v>
      </c>
      <c r="J1777" s="68"/>
      <c r="K1777" s="56"/>
      <c r="L1777" s="56"/>
      <c r="M1777" s="56"/>
      <c r="N1777" s="56"/>
      <c r="O1777" s="56"/>
    </row>
    <row r="1778" spans="1:15" ht="16.5">
      <c r="A1778" s="543" t="s">
        <v>4231</v>
      </c>
      <c r="B1778" s="544"/>
      <c r="C1778" s="544"/>
      <c r="D1778" s="544"/>
      <c r="E1778" s="545"/>
      <c r="F1778" s="544"/>
      <c r="G1778" s="544"/>
      <c r="H1778" s="546"/>
      <c r="J1778" s="68"/>
      <c r="K1778" s="56"/>
      <c r="L1778" s="56"/>
      <c r="M1778" s="56"/>
      <c r="N1778" s="56"/>
      <c r="O1778" s="56"/>
    </row>
    <row r="1779" spans="1:15">
      <c r="A1779" s="547" t="s">
        <v>7</v>
      </c>
      <c r="B1779" s="548"/>
      <c r="C1779" s="108" t="s">
        <v>4232</v>
      </c>
      <c r="D1779" s="107" t="s">
        <v>4233</v>
      </c>
      <c r="E1779" s="206" t="s">
        <v>4234</v>
      </c>
      <c r="F1779" s="549" t="s">
        <v>4218</v>
      </c>
      <c r="G1779" s="549"/>
      <c r="H1779" s="119"/>
      <c r="K1779" s="56"/>
      <c r="L1779" s="56"/>
      <c r="M1779" s="56"/>
      <c r="N1779" s="56"/>
      <c r="O1779" s="56"/>
    </row>
    <row r="1780" spans="1:15">
      <c r="A1780" s="550" t="s">
        <v>3928</v>
      </c>
      <c r="B1780" s="551"/>
      <c r="C1780" s="232">
        <v>1</v>
      </c>
      <c r="D1780" s="102">
        <v>0.03</v>
      </c>
      <c r="E1780" s="103">
        <f>VLOOKUP(A1780,'Equip, Herr y Transp'!$B$2:$D$218,3,0)</f>
        <v>160000</v>
      </c>
      <c r="F1780" s="552">
        <f>E1780*D1780*C1780</f>
        <v>4800</v>
      </c>
      <c r="G1780" s="553"/>
      <c r="H1780" s="117"/>
      <c r="M1780" s="56"/>
    </row>
    <row r="1781" spans="1:15" ht="16.5">
      <c r="A1781" s="554" t="s">
        <v>4216</v>
      </c>
      <c r="B1781" s="555"/>
      <c r="C1781" s="555"/>
      <c r="D1781" s="555"/>
      <c r="E1781" s="555"/>
      <c r="F1781" s="555"/>
      <c r="G1781" s="555"/>
      <c r="H1781" s="105">
        <f>F1780</f>
        <v>4800</v>
      </c>
    </row>
    <row r="1782" spans="1:15" ht="16.5">
      <c r="A1782" s="543" t="s">
        <v>4235</v>
      </c>
      <c r="B1782" s="544"/>
      <c r="C1782" s="544"/>
      <c r="D1782" s="544"/>
      <c r="E1782" s="544"/>
      <c r="F1782" s="544"/>
      <c r="G1782" s="544"/>
      <c r="H1782" s="546"/>
    </row>
    <row r="1783" spans="1:15">
      <c r="A1783" s="547" t="s">
        <v>7</v>
      </c>
      <c r="B1783" s="548"/>
      <c r="C1783" s="106" t="s">
        <v>1</v>
      </c>
      <c r="D1783" s="107" t="s">
        <v>4236</v>
      </c>
      <c r="E1783" s="108" t="s">
        <v>4215</v>
      </c>
      <c r="F1783" s="547" t="s">
        <v>5</v>
      </c>
      <c r="G1783" s="556"/>
      <c r="H1783" s="119"/>
    </row>
    <row r="1784" spans="1:15">
      <c r="A1784" s="550" t="s">
        <v>4196</v>
      </c>
      <c r="B1784" s="551"/>
      <c r="C1784" s="101">
        <v>1</v>
      </c>
      <c r="D1784" s="104">
        <f>VLOOKUP(A1784,'Mano Obra'!$B$2:$T$117,19,0)</f>
        <v>166624</v>
      </c>
      <c r="E1784" s="246">
        <f>H1747</f>
        <v>5.21E-2</v>
      </c>
      <c r="F1784" s="538">
        <f>E1784*D1784*C1784</f>
        <v>8681.1103999999996</v>
      </c>
      <c r="G1784" s="557"/>
      <c r="H1784" s="121"/>
      <c r="I1784" s="69"/>
      <c r="J1784" s="136">
        <f>((('Mano Obra'!$M$4/30)*F1784)/D1784)*G1754</f>
        <v>0</v>
      </c>
    </row>
    <row r="1785" spans="1:15">
      <c r="A1785" s="558" t="s">
        <v>4197</v>
      </c>
      <c r="B1785" s="559">
        <f>VLOOKUP(A1785,'Mano Obra'!$B$3:$D$290,2,0)</f>
        <v>2090000.0000000002</v>
      </c>
      <c r="C1785" s="101">
        <v>1</v>
      </c>
      <c r="D1785" s="104">
        <f>VLOOKUP(A1785,'Mano Obra'!$B$2:$T$117,19,0)</f>
        <v>120456</v>
      </c>
      <c r="E1785" s="246">
        <f>H1747</f>
        <v>5.21E-2</v>
      </c>
      <c r="F1785" s="538">
        <f t="shared" ref="F1785:F1786" si="105">E1785*D1785*C1785</f>
        <v>6275.7575999999999</v>
      </c>
      <c r="G1785" s="557"/>
      <c r="H1785" s="121"/>
      <c r="J1785" s="136">
        <f>((('Mano Obra'!$M$5/30)*F1785)/D1785)*G1754</f>
        <v>0</v>
      </c>
    </row>
    <row r="1786" spans="1:15">
      <c r="A1786" s="558" t="s">
        <v>4186</v>
      </c>
      <c r="B1786" s="559">
        <f>VLOOKUP(A1786,'Mano Obra'!$B$3:$D$290,2,0)</f>
        <v>1100000</v>
      </c>
      <c r="C1786" s="101">
        <v>1</v>
      </c>
      <c r="D1786" s="104">
        <f>VLOOKUP(A1786,'Mano Obra'!$B$2:$T$117,19,0)</f>
        <v>72664</v>
      </c>
      <c r="E1786" s="246">
        <f>H1747</f>
        <v>5.21E-2</v>
      </c>
      <c r="F1786" s="538">
        <f t="shared" si="105"/>
        <v>3785.7944000000002</v>
      </c>
      <c r="G1786" s="557"/>
      <c r="H1786" s="120"/>
      <c r="J1786" s="136">
        <f>((('Mano Obra'!$M$6/30)*F1786)/D1786)*G1754</f>
        <v>0</v>
      </c>
    </row>
    <row r="1787" spans="1:15" ht="16.5">
      <c r="A1787" s="560" t="s">
        <v>4101</v>
      </c>
      <c r="B1787" s="560"/>
      <c r="C1787" s="560"/>
      <c r="D1787" s="560"/>
      <c r="E1787" s="560"/>
      <c r="F1787" s="560"/>
      <c r="G1787" s="560"/>
      <c r="H1787" s="105">
        <f>SUM(F1784:F1786)</f>
        <v>18742.662399999997</v>
      </c>
      <c r="J1787" s="136"/>
    </row>
    <row r="1788" spans="1:15">
      <c r="A1788" s="227" t="s">
        <v>4237</v>
      </c>
      <c r="B1788" s="205"/>
      <c r="C1788" s="205"/>
      <c r="D1788" s="202"/>
      <c r="E1788" s="203"/>
      <c r="F1788" s="204"/>
      <c r="G1788" s="203"/>
      <c r="H1788" s="212"/>
    </row>
    <row r="1789" spans="1:15">
      <c r="A1789" s="561" t="s">
        <v>4224</v>
      </c>
      <c r="B1789" s="562"/>
      <c r="C1789" s="562"/>
      <c r="D1789" s="562"/>
      <c r="E1789" s="200"/>
      <c r="F1789" s="201" t="s">
        <v>4238</v>
      </c>
      <c r="G1789" s="200" t="s">
        <v>4239</v>
      </c>
      <c r="H1789" s="213"/>
    </row>
    <row r="1790" spans="1:15">
      <c r="A1790" s="223" t="s">
        <v>4097</v>
      </c>
      <c r="B1790" s="72"/>
      <c r="C1790" s="72"/>
      <c r="D1790" s="73"/>
      <c r="E1790" s="78"/>
      <c r="F1790" s="79">
        <v>0</v>
      </c>
      <c r="G1790" s="80">
        <f>F1790*H1755</f>
        <v>0</v>
      </c>
      <c r="H1790" s="212"/>
    </row>
    <row r="1791" spans="1:15">
      <c r="A1791" s="224" t="s">
        <v>4240</v>
      </c>
      <c r="B1791" s="81"/>
      <c r="C1791" s="81"/>
      <c r="D1791" s="82"/>
      <c r="E1791" s="78"/>
      <c r="F1791" s="79">
        <v>0</v>
      </c>
      <c r="G1791" s="80">
        <f>F1791*H1755</f>
        <v>0</v>
      </c>
      <c r="H1791" s="212"/>
    </row>
    <row r="1792" spans="1:15">
      <c r="A1792" s="224" t="s">
        <v>4</v>
      </c>
      <c r="B1792" s="81"/>
      <c r="C1792" s="81"/>
      <c r="D1792" s="82"/>
      <c r="E1792" s="78"/>
      <c r="F1792" s="79">
        <v>0</v>
      </c>
      <c r="G1792" s="80">
        <f>F1792*H1755</f>
        <v>0</v>
      </c>
      <c r="H1792" s="212"/>
    </row>
    <row r="1793" spans="1:14">
      <c r="A1793" s="225"/>
      <c r="B1793" s="83"/>
      <c r="C1793" s="75"/>
      <c r="D1793" s="84"/>
      <c r="E1793" s="85"/>
      <c r="F1793" s="86"/>
      <c r="G1793" s="87"/>
      <c r="H1793" s="214"/>
    </row>
    <row r="1794" spans="1:14">
      <c r="A1794" s="226"/>
      <c r="B1794" s="83"/>
      <c r="C1794" s="83"/>
      <c r="D1794" s="84"/>
      <c r="E1794" s="88"/>
      <c r="F1794" s="563" t="s">
        <v>4241</v>
      </c>
      <c r="G1794" s="564"/>
      <c r="H1794" s="233">
        <f>H1755+G1790+G1791+G1792</f>
        <v>558752.41845833114</v>
      </c>
    </row>
    <row r="1795" spans="1:14">
      <c r="A1795" s="83"/>
      <c r="B1795" s="83"/>
      <c r="C1795" s="83"/>
      <c r="D1795" s="84"/>
      <c r="E1795" s="388"/>
      <c r="F1795" s="389"/>
      <c r="G1795" s="389"/>
      <c r="H1795" s="390"/>
    </row>
    <row r="1796" spans="1:14" ht="16.5">
      <c r="A1796" s="90"/>
      <c r="B1796" s="90"/>
      <c r="C1796" s="90"/>
      <c r="D1796" s="90"/>
      <c r="E1796" s="90"/>
      <c r="F1796" s="90"/>
      <c r="G1796" s="90"/>
      <c r="H1796" s="381"/>
    </row>
    <row r="1797" spans="1:14">
      <c r="A1797" s="579" t="s">
        <v>4225</v>
      </c>
      <c r="B1797" s="580"/>
      <c r="C1797" s="580"/>
      <c r="D1797" s="580"/>
      <c r="E1797" s="580"/>
      <c r="F1797" s="580"/>
      <c r="G1797" s="580"/>
      <c r="H1797" s="581"/>
    </row>
    <row r="1798" spans="1:14" ht="16.5">
      <c r="A1798" s="91"/>
      <c r="B1798" s="92"/>
      <c r="C1798" s="92"/>
      <c r="D1798" s="92"/>
      <c r="E1798" s="92"/>
      <c r="F1798" s="93"/>
      <c r="G1798" s="94"/>
      <c r="H1798" s="380">
        <f>ROUND((30/60)/8,4)</f>
        <v>6.25E-2</v>
      </c>
      <c r="I1798" s="115"/>
    </row>
    <row r="1799" spans="1:14">
      <c r="A1799" s="582" t="s">
        <v>4220</v>
      </c>
      <c r="B1799" s="584" t="str">
        <f>COSTOS!$C$14</f>
        <v>MODERNIZACION A TECNOLOGIA LED</v>
      </c>
      <c r="C1799" s="584"/>
      <c r="D1799" s="584"/>
      <c r="E1799" s="584"/>
      <c r="F1799" s="584"/>
      <c r="G1799" s="584"/>
      <c r="H1799" s="585" t="s">
        <v>4221</v>
      </c>
    </row>
    <row r="1800" spans="1:14">
      <c r="A1800" s="583"/>
      <c r="B1800" s="584"/>
      <c r="C1800" s="584"/>
      <c r="D1800" s="584"/>
      <c r="E1800" s="584"/>
      <c r="F1800" s="584"/>
      <c r="G1800" s="584"/>
      <c r="H1800" s="585"/>
    </row>
    <row r="1801" spans="1:14">
      <c r="A1801" s="583"/>
      <c r="B1801" s="584"/>
      <c r="C1801" s="584"/>
      <c r="D1801" s="584"/>
      <c r="E1801" s="584"/>
      <c r="F1801" s="584"/>
      <c r="G1801" s="584"/>
      <c r="H1801" s="585"/>
    </row>
    <row r="1802" spans="1:14" ht="15" customHeight="1">
      <c r="A1802" s="583"/>
      <c r="B1802" s="584"/>
      <c r="C1802" s="584"/>
      <c r="D1802" s="584"/>
      <c r="E1802" s="584"/>
      <c r="F1802" s="584"/>
      <c r="G1802" s="584"/>
      <c r="H1802" s="216">
        <f ca="1">TODAY()</f>
        <v>44889</v>
      </c>
      <c r="K1802" t="s">
        <v>4391</v>
      </c>
      <c r="L1802" t="s">
        <v>4392</v>
      </c>
      <c r="M1802" t="s">
        <v>4393</v>
      </c>
      <c r="N1802" t="s">
        <v>4394</v>
      </c>
    </row>
    <row r="1803" spans="1:14" ht="60.75" customHeight="1">
      <c r="A1803" s="228" t="s">
        <v>4222</v>
      </c>
      <c r="B1803" s="565" t="str">
        <f>COSTOS!$D$16</f>
        <v>Luminarias</v>
      </c>
      <c r="C1803" s="565"/>
      <c r="D1803" s="565"/>
      <c r="E1803" s="565"/>
      <c r="F1803" s="565"/>
      <c r="G1803" s="70" t="s">
        <v>4223</v>
      </c>
      <c r="H1803" s="391">
        <v>1.36</v>
      </c>
      <c r="K1803" s="62">
        <f>H1828</f>
        <v>199114.84599999996</v>
      </c>
      <c r="L1803" s="62">
        <f>H1838</f>
        <v>22484</v>
      </c>
      <c r="M1803" s="62">
        <f>H1811</f>
        <v>4034.53125</v>
      </c>
      <c r="N1803" s="62">
        <f>H1832</f>
        <v>4800</v>
      </c>
    </row>
    <row r="1804" spans="1:14" ht="43.15" customHeight="1">
      <c r="A1804" s="229" t="s">
        <v>4224</v>
      </c>
      <c r="B1804" s="566" t="str">
        <f>VLOOKUP(H1803,COSTOS!C:M,2,0)</f>
        <v>Reflector Led baja eficiencia 50w</v>
      </c>
      <c r="C1804" s="567"/>
      <c r="D1804" s="567"/>
      <c r="E1804" s="568"/>
      <c r="F1804" s="71" t="s">
        <v>0</v>
      </c>
      <c r="G1804" s="356" t="str">
        <f>VLOOKUP(H1803,COSTOS!C:M,8,0)</f>
        <v>Und</v>
      </c>
      <c r="H1804" s="276"/>
      <c r="I1804" s="306"/>
      <c r="J1804" s="308"/>
      <c r="K1804" s="308"/>
      <c r="L1804" s="308"/>
    </row>
    <row r="1805" spans="1:14">
      <c r="A1805" s="230"/>
      <c r="B1805" s="112"/>
      <c r="C1805" s="112"/>
      <c r="D1805" s="112"/>
      <c r="E1805" s="113"/>
      <c r="F1805" s="114" t="s">
        <v>1</v>
      </c>
      <c r="G1805" s="356">
        <f>VLOOKUP(H1803,COSTOS!C:M,9,0)</f>
        <v>0</v>
      </c>
      <c r="H1805" s="357"/>
      <c r="I1805" s="307"/>
    </row>
    <row r="1806" spans="1:14" ht="16.5">
      <c r="A1806" s="231" t="s">
        <v>4226</v>
      </c>
      <c r="B1806" s="75"/>
      <c r="C1806" s="75"/>
      <c r="D1806" s="76"/>
      <c r="E1806" s="209"/>
      <c r="F1806" s="210"/>
      <c r="G1806" s="211" t="s">
        <v>4227</v>
      </c>
      <c r="H1806" s="217">
        <f>H1811+H1828+H1832+H1838</f>
        <v>230433.37724999996</v>
      </c>
    </row>
    <row r="1807" spans="1:14" ht="39">
      <c r="A1807" s="569" t="s">
        <v>4224</v>
      </c>
      <c r="B1807" s="569"/>
      <c r="C1807" s="569"/>
      <c r="D1807" s="77" t="s">
        <v>0</v>
      </c>
      <c r="E1807" s="207" t="s">
        <v>4228</v>
      </c>
      <c r="F1807" s="208" t="s">
        <v>4215</v>
      </c>
      <c r="G1807" s="74" t="s">
        <v>2</v>
      </c>
      <c r="H1807" s="218" t="s">
        <v>4229</v>
      </c>
      <c r="K1807" s="309"/>
    </row>
    <row r="1808" spans="1:14">
      <c r="A1808" s="536" t="s">
        <v>3946</v>
      </c>
      <c r="B1808" s="570" t="str">
        <f>VLOOKUP(A1808,'Equip, Herr y Transp'!$B$2:$D$739,2,0)</f>
        <v>EQU</v>
      </c>
      <c r="C1808" s="570"/>
      <c r="D1808" s="95" t="str">
        <f>VLOOKUP(A1808,'Equip, Herr y Transp'!$B$2:$D$218,2,0)</f>
        <v>EQU</v>
      </c>
      <c r="E1808" s="95">
        <f>VLOOKUP(A1808,'Equip, Herr y Transp'!$B$2:$D$218,3,0)</f>
        <v>14130</v>
      </c>
      <c r="F1808" s="96">
        <f>H1798</f>
        <v>6.25E-2</v>
      </c>
      <c r="G1808" s="122">
        <f>F1808*E1808</f>
        <v>883.125</v>
      </c>
      <c r="H1808" s="118"/>
    </row>
    <row r="1809" spans="1:15">
      <c r="A1809" s="536" t="s">
        <v>3904</v>
      </c>
      <c r="B1809" s="570" t="str">
        <f>VLOOKUP(A1809,'Equip, Herr y Transp'!$B$2:$D$739,2,0)</f>
        <v>EQU</v>
      </c>
      <c r="C1809" s="570"/>
      <c r="D1809" s="95" t="str">
        <f>VLOOKUP(A1809,'Equip, Herr y Transp'!$B$2:$D$218,2,0)</f>
        <v>EQU</v>
      </c>
      <c r="E1809" s="95">
        <f>VLOOKUP(A1809,'Equip, Herr y Transp'!$B$2:$D$218,3,0)</f>
        <v>26672.5</v>
      </c>
      <c r="F1809" s="96">
        <f>H1798</f>
        <v>6.25E-2</v>
      </c>
      <c r="G1809" s="122">
        <f>F1809*E1809</f>
        <v>1667.03125</v>
      </c>
      <c r="H1809" s="117"/>
    </row>
    <row r="1810" spans="1:15">
      <c r="A1810" s="536" t="s">
        <v>3937</v>
      </c>
      <c r="B1810" s="570" t="str">
        <f>VLOOKUP(A1810,'Equip, Herr y Transp'!$B$2:$D$739,2,0)</f>
        <v>EQU</v>
      </c>
      <c r="C1810" s="570"/>
      <c r="D1810" s="95" t="str">
        <f>VLOOKUP(A1810,'Equip, Herr y Transp'!$B$2:$D$218,2,0)</f>
        <v>EQU</v>
      </c>
      <c r="E1810" s="95">
        <f>VLOOKUP(A1810,'Equip, Herr y Transp'!$B$2:$D$218,3,0)</f>
        <v>23750</v>
      </c>
      <c r="F1810" s="96">
        <f>H1798</f>
        <v>6.25E-2</v>
      </c>
      <c r="G1810" s="122">
        <f>F1810*E1810</f>
        <v>1484.375</v>
      </c>
      <c r="H1810" s="117"/>
    </row>
    <row r="1811" spans="1:15" ht="16.5">
      <c r="A1811" s="540" t="s">
        <v>4100</v>
      </c>
      <c r="B1811" s="541"/>
      <c r="C1811" s="541"/>
      <c r="D1811" s="541"/>
      <c r="E1811" s="541"/>
      <c r="F1811" s="541"/>
      <c r="G1811" s="541"/>
      <c r="H1811" s="97">
        <f>SUM(G1808:G1810)</f>
        <v>4034.53125</v>
      </c>
    </row>
    <row r="1812" spans="1:15" ht="16.5">
      <c r="A1812" s="571" t="s">
        <v>4230</v>
      </c>
      <c r="B1812" s="572"/>
      <c r="C1812" s="572"/>
      <c r="D1812" s="572"/>
      <c r="E1812" s="572"/>
      <c r="F1812" s="572"/>
      <c r="G1812" s="572"/>
      <c r="H1812" s="573"/>
      <c r="K1812" s="56"/>
      <c r="L1812" s="56"/>
      <c r="M1812" s="56"/>
      <c r="N1812" s="56"/>
      <c r="O1812" s="56"/>
    </row>
    <row r="1813" spans="1:15" ht="30" customHeight="1">
      <c r="A1813" s="574" t="s">
        <v>7</v>
      </c>
      <c r="B1813" s="575"/>
      <c r="C1813" s="109" t="s">
        <v>0</v>
      </c>
      <c r="D1813" s="110" t="s">
        <v>4098</v>
      </c>
      <c r="E1813" s="111" t="s">
        <v>1</v>
      </c>
      <c r="F1813" s="576" t="s">
        <v>4218</v>
      </c>
      <c r="G1813" s="576"/>
      <c r="H1813" s="215"/>
      <c r="K1813" s="56"/>
      <c r="L1813" s="56"/>
      <c r="M1813" s="56"/>
      <c r="N1813" s="56"/>
      <c r="O1813" s="56"/>
    </row>
    <row r="1814" spans="1:15">
      <c r="A1814" s="577" t="s">
        <v>4713</v>
      </c>
      <c r="B1814" s="578"/>
      <c r="C1814" s="98" t="str">
        <f>VLOOKUP(A1814,'Materiales '!$C$2:$F$1302,3,0)</f>
        <v>Und</v>
      </c>
      <c r="D1814" s="99">
        <f>VLOOKUP(A1814,'Materiales '!$C$2:$F$1302,4,0)</f>
        <v>60475.8</v>
      </c>
      <c r="E1814" s="100">
        <v>1</v>
      </c>
      <c r="F1814" s="538">
        <f>E1814*D1814</f>
        <v>60475.8</v>
      </c>
      <c r="G1814" s="539"/>
      <c r="H1814" s="121"/>
      <c r="I1814">
        <f>E1814*G1805</f>
        <v>0</v>
      </c>
      <c r="J1814" s="67"/>
      <c r="K1814" s="56"/>
      <c r="L1814" s="56"/>
      <c r="M1814" s="56"/>
      <c r="N1814" s="56"/>
      <c r="O1814" s="56"/>
    </row>
    <row r="1815" spans="1:15">
      <c r="A1815" s="577" t="s">
        <v>4214</v>
      </c>
      <c r="B1815" s="578"/>
      <c r="C1815" s="98" t="str">
        <f>VLOOKUP(A1815,'Materiales '!$C$2:$F$1302,3,0)</f>
        <v>Und</v>
      </c>
      <c r="D1815" s="99">
        <f>VLOOKUP(A1815,'Materiales '!$C$2:$F$1302,4,0)</f>
        <v>22848</v>
      </c>
      <c r="E1815" s="100">
        <v>1</v>
      </c>
      <c r="F1815" s="538">
        <f t="shared" ref="F1815:F1821" si="106">E1815*D1815</f>
        <v>22848</v>
      </c>
      <c r="G1815" s="539"/>
      <c r="H1815" s="121"/>
      <c r="I1815">
        <f>E1815*G1805</f>
        <v>0</v>
      </c>
      <c r="J1815" s="67"/>
      <c r="K1815" s="56"/>
      <c r="L1815" s="56"/>
      <c r="M1815" s="56"/>
      <c r="N1815" s="56"/>
      <c r="O1815" s="56"/>
    </row>
    <row r="1816" spans="1:15">
      <c r="A1816" s="536" t="s">
        <v>4484</v>
      </c>
      <c r="B1816" s="537" t="str">
        <f>VLOOKUP(A1816,'Materiales '!$C$2:$F$1302,3,0)</f>
        <v>Und</v>
      </c>
      <c r="C1816" s="98" t="str">
        <f>VLOOKUP(A1816,'Materiales '!$C$2:$F$1302,3,0)</f>
        <v>Und</v>
      </c>
      <c r="D1816" s="99">
        <f>VLOOKUP(A1816,'Materiales '!$C$2:$F$1302,4,0)</f>
        <v>21705.599999999999</v>
      </c>
      <c r="E1816" s="100">
        <v>2</v>
      </c>
      <c r="F1816" s="538">
        <f t="shared" si="106"/>
        <v>43411.199999999997</v>
      </c>
      <c r="G1816" s="539"/>
      <c r="H1816" s="121"/>
      <c r="I1816">
        <f>E1816*G1805</f>
        <v>0</v>
      </c>
      <c r="J1816" s="68"/>
      <c r="K1816" s="56"/>
      <c r="L1816" s="56"/>
      <c r="M1816" s="56"/>
      <c r="N1816" s="56"/>
      <c r="O1816" s="56"/>
    </row>
    <row r="1817" spans="1:15">
      <c r="A1817" s="536" t="s">
        <v>4489</v>
      </c>
      <c r="B1817" s="537" t="str">
        <f>VLOOKUP(A1817,'Materiales '!$C$2:$F$1302,3,0)</f>
        <v>Und</v>
      </c>
      <c r="C1817" s="98" t="str">
        <f>VLOOKUP(A1817,'Materiales '!$C$2:$F$1302,3,0)</f>
        <v>Und</v>
      </c>
      <c r="D1817" s="99">
        <f>VLOOKUP(A1817,'Materiales '!$C$2:$F$1302,4,0)</f>
        <v>8039.6399999999994</v>
      </c>
      <c r="E1817" s="100">
        <v>3</v>
      </c>
      <c r="F1817" s="538">
        <f t="shared" si="106"/>
        <v>24118.92</v>
      </c>
      <c r="G1817" s="539"/>
      <c r="H1817" s="121"/>
      <c r="I1817">
        <f>E1817*G1805</f>
        <v>0</v>
      </c>
      <c r="J1817" s="68"/>
      <c r="K1817" s="56"/>
      <c r="L1817" s="56"/>
      <c r="M1817" s="56"/>
      <c r="N1817" s="56"/>
      <c r="O1817" s="56"/>
    </row>
    <row r="1818" spans="1:15">
      <c r="A1818" s="536" t="s">
        <v>4554</v>
      </c>
      <c r="B1818" s="537" t="str">
        <f>VLOOKUP(A1818,'Materiales '!$C$2:$F$1302,3,0)</f>
        <v>Und</v>
      </c>
      <c r="C1818" s="98" t="str">
        <f>VLOOKUP(A1818,'Materiales '!$C$2:$F$1302,3,0)</f>
        <v>Und</v>
      </c>
      <c r="D1818" s="99">
        <f>VLOOKUP(A1818,'Materiales '!$C$2:$F$1302,4,0)</f>
        <v>2535.5329999999999</v>
      </c>
      <c r="E1818" s="100">
        <v>2</v>
      </c>
      <c r="F1818" s="538">
        <f t="shared" si="106"/>
        <v>5071.0659999999998</v>
      </c>
      <c r="G1818" s="539"/>
      <c r="H1818" s="121"/>
      <c r="I1818">
        <f>E1818*G1805</f>
        <v>0</v>
      </c>
      <c r="J1818" s="68"/>
      <c r="K1818" s="56"/>
      <c r="L1818" s="56"/>
      <c r="M1818" s="56"/>
      <c r="N1818" s="56"/>
      <c r="O1818" s="56"/>
    </row>
    <row r="1819" spans="1:15">
      <c r="A1819" s="536" t="s">
        <v>4450</v>
      </c>
      <c r="B1819" s="537" t="str">
        <f>VLOOKUP(A1819,'Materiales '!$C$2:$F$1302,3,0)</f>
        <v>Ml</v>
      </c>
      <c r="C1819" s="98" t="str">
        <f>VLOOKUP(A1819,'Materiales '!$C$2:$F$1302,3,0)</f>
        <v>Ml</v>
      </c>
      <c r="D1819" s="99">
        <f>VLOOKUP(A1819,'Materiales '!$C$2:$F$1302,4,0)</f>
        <v>6791.5679999999993</v>
      </c>
      <c r="E1819" s="100">
        <v>1</v>
      </c>
      <c r="F1819" s="538">
        <f t="shared" si="106"/>
        <v>6791.5679999999993</v>
      </c>
      <c r="G1819" s="539"/>
      <c r="H1819" s="121"/>
      <c r="I1819">
        <f>E1819*G1805</f>
        <v>0</v>
      </c>
      <c r="J1819" s="68"/>
      <c r="K1819" s="56"/>
      <c r="L1819" s="56"/>
      <c r="M1819" s="56"/>
      <c r="N1819" s="56"/>
      <c r="O1819" s="56"/>
    </row>
    <row r="1820" spans="1:15">
      <c r="A1820" s="536" t="s">
        <v>4493</v>
      </c>
      <c r="B1820" s="537" t="str">
        <f>VLOOKUP(A1820,'Materiales '!$C$2:$F$1302,3,0)</f>
        <v>Und</v>
      </c>
      <c r="C1820" s="98" t="str">
        <f>VLOOKUP(A1820,'Materiales '!$C$2:$F$1302,3,0)</f>
        <v>Und</v>
      </c>
      <c r="D1820" s="99">
        <f>VLOOKUP(A1820,'Materiales '!$C$2:$F$1302,4,0)</f>
        <v>232.76399999999998</v>
      </c>
      <c r="E1820" s="100">
        <v>3</v>
      </c>
      <c r="F1820" s="538">
        <f t="shared" si="106"/>
        <v>698.29199999999992</v>
      </c>
      <c r="G1820" s="539"/>
      <c r="H1820" s="121"/>
      <c r="I1820">
        <f>E1820*G1805</f>
        <v>0</v>
      </c>
      <c r="J1820" s="68"/>
      <c r="K1820" s="56"/>
      <c r="L1820" s="56"/>
      <c r="M1820" s="56"/>
      <c r="N1820" s="56"/>
      <c r="O1820" s="56"/>
    </row>
    <row r="1821" spans="1:15" ht="21.75" customHeight="1">
      <c r="A1821" s="536" t="s">
        <v>4639</v>
      </c>
      <c r="B1821" s="537" t="str">
        <f>VLOOKUP(A1821,'Materiales '!$C$2:$F$1302,3,0)</f>
        <v>Und</v>
      </c>
      <c r="C1821" s="98" t="str">
        <f>VLOOKUP(A1821,'Materiales '!$C$2:$F$1302,3,0)</f>
        <v>Und</v>
      </c>
      <c r="D1821" s="99">
        <f>VLOOKUP(A1821,'Materiales '!$C$2:$F$1302,4,0)</f>
        <v>35700</v>
      </c>
      <c r="E1821" s="100">
        <v>1</v>
      </c>
      <c r="F1821" s="538">
        <f t="shared" si="106"/>
        <v>35700</v>
      </c>
      <c r="G1821" s="539"/>
      <c r="H1821" s="121"/>
      <c r="I1821">
        <f>E1821*G1805</f>
        <v>0</v>
      </c>
      <c r="J1821" s="68"/>
      <c r="K1821" s="56"/>
      <c r="L1821" s="56"/>
      <c r="M1821" s="56"/>
      <c r="N1821" s="56"/>
      <c r="O1821" s="56"/>
    </row>
    <row r="1822" spans="1:15">
      <c r="A1822" s="536" t="s">
        <v>8</v>
      </c>
      <c r="B1822" s="537" t="str">
        <f>VLOOKUP(A1822,'Materiales '!$C$2:$F$1302,3,0)</f>
        <v>-</v>
      </c>
      <c r="C1822" s="98" t="str">
        <f>VLOOKUP(A1822,'Materiales '!$C$2:$F$1302,3,0)</f>
        <v>-</v>
      </c>
      <c r="D1822" s="99">
        <f>VLOOKUP(A1822,'Materiales '!$C$2:$F$1302,4,0)</f>
        <v>0</v>
      </c>
      <c r="E1822" s="100"/>
      <c r="F1822" s="538">
        <f>E1822*D1822</f>
        <v>0</v>
      </c>
      <c r="G1822" s="539"/>
      <c r="H1822" s="120"/>
      <c r="I1822">
        <f>E1822*G1805</f>
        <v>0</v>
      </c>
      <c r="J1822" s="68"/>
      <c r="K1822" s="56"/>
      <c r="L1822" s="56"/>
      <c r="M1822" s="56"/>
      <c r="N1822" s="56"/>
      <c r="O1822" s="56"/>
    </row>
    <row r="1823" spans="1:15">
      <c r="A1823" s="536" t="s">
        <v>8</v>
      </c>
      <c r="B1823" s="537" t="str">
        <f>VLOOKUP(A1823,'Materiales '!$C$2:$F$1302,3,0)</f>
        <v>-</v>
      </c>
      <c r="C1823" s="98" t="str">
        <f>VLOOKUP(A1823,'Materiales '!$C$2:$F$1302,3,0)</f>
        <v>-</v>
      </c>
      <c r="D1823" s="99">
        <f>VLOOKUP(A1823,'Materiales '!$C$2:$F$1302,4,0)</f>
        <v>0</v>
      </c>
      <c r="E1823" s="100"/>
      <c r="F1823" s="538">
        <f t="shared" ref="F1823:F1826" si="107">E1823*D1823</f>
        <v>0</v>
      </c>
      <c r="G1823" s="539"/>
      <c r="H1823" s="121"/>
      <c r="I1823">
        <f>E1823*G1805</f>
        <v>0</v>
      </c>
      <c r="J1823" s="68"/>
      <c r="K1823" s="56"/>
      <c r="L1823" s="56"/>
      <c r="M1823" s="56"/>
      <c r="N1823" s="56"/>
      <c r="O1823" s="56"/>
    </row>
    <row r="1824" spans="1:15">
      <c r="A1824" s="536" t="s">
        <v>8</v>
      </c>
      <c r="B1824" s="537" t="str">
        <f>VLOOKUP(A1824,'Materiales '!$C$2:$F$1302,3,0)</f>
        <v>-</v>
      </c>
      <c r="C1824" s="98" t="str">
        <f>VLOOKUP(A1824,'Materiales '!$C$2:$F$1302,3,0)</f>
        <v>-</v>
      </c>
      <c r="D1824" s="99">
        <f>VLOOKUP(A1824,'Materiales '!$C$2:$F$1302,4,0)</f>
        <v>0</v>
      </c>
      <c r="E1824" s="100"/>
      <c r="F1824" s="538">
        <f t="shared" si="107"/>
        <v>0</v>
      </c>
      <c r="G1824" s="539"/>
      <c r="H1824" s="121"/>
      <c r="I1824">
        <f>E1824*G1805</f>
        <v>0</v>
      </c>
      <c r="J1824" s="68"/>
      <c r="K1824" s="56"/>
      <c r="L1824" s="56"/>
      <c r="M1824" s="56"/>
      <c r="N1824" s="56"/>
      <c r="O1824" s="56"/>
    </row>
    <row r="1825" spans="1:15">
      <c r="A1825" s="536" t="s">
        <v>8</v>
      </c>
      <c r="B1825" s="537" t="str">
        <f>VLOOKUP(A1825,'Materiales '!$C$2:$F$1302,3,0)</f>
        <v>-</v>
      </c>
      <c r="C1825" s="98" t="str">
        <f>VLOOKUP(A1825,'Materiales '!$C$2:$F$1302,3,0)</f>
        <v>-</v>
      </c>
      <c r="D1825" s="99">
        <f>VLOOKUP(A1825,'Materiales '!$C$2:$F$1302,4,0)</f>
        <v>0</v>
      </c>
      <c r="E1825" s="100"/>
      <c r="F1825" s="538">
        <f t="shared" si="107"/>
        <v>0</v>
      </c>
      <c r="G1825" s="539"/>
      <c r="H1825" s="121"/>
      <c r="I1825">
        <f>E1825*G1805</f>
        <v>0</v>
      </c>
      <c r="J1825" s="68"/>
      <c r="K1825" s="56"/>
      <c r="L1825" s="56"/>
      <c r="M1825" s="56"/>
      <c r="N1825" s="56"/>
      <c r="O1825" s="56"/>
    </row>
    <row r="1826" spans="1:15">
      <c r="A1826" s="536" t="s">
        <v>8</v>
      </c>
      <c r="B1826" s="537" t="str">
        <f>VLOOKUP(A1826,'Materiales '!$C$2:$F$1302,3,0)</f>
        <v>-</v>
      </c>
      <c r="C1826" s="98" t="str">
        <f>VLOOKUP(A1826,'Materiales '!$C$2:$F$1302,3,0)</f>
        <v>-</v>
      </c>
      <c r="D1826" s="99">
        <f>VLOOKUP(A1826,'Materiales '!$C$2:$F$1302,4,0)</f>
        <v>0</v>
      </c>
      <c r="E1826" s="100"/>
      <c r="F1826" s="538">
        <f t="shared" si="107"/>
        <v>0</v>
      </c>
      <c r="G1826" s="539"/>
      <c r="H1826" s="121"/>
      <c r="I1826">
        <f>E1826*G1805</f>
        <v>0</v>
      </c>
      <c r="J1826" s="68"/>
      <c r="K1826" s="56"/>
      <c r="L1826" s="56"/>
      <c r="M1826" s="56"/>
      <c r="N1826" s="56"/>
      <c r="O1826" s="56"/>
    </row>
    <row r="1827" spans="1:15">
      <c r="A1827" s="536" t="s">
        <v>8</v>
      </c>
      <c r="B1827" s="537" t="str">
        <f>VLOOKUP(A1827,'Materiales '!$C$2:$F$1302,3,0)</f>
        <v>-</v>
      </c>
      <c r="C1827" s="98" t="str">
        <f>VLOOKUP(A1827,'Materiales '!$C$2:$F$1302,3,0)</f>
        <v>-</v>
      </c>
      <c r="D1827" s="99">
        <f>VLOOKUP(A1827,'Materiales '!$C$2:$F$1302,4,0)</f>
        <v>0</v>
      </c>
      <c r="E1827" s="100"/>
      <c r="F1827" s="538">
        <f>E1827*D1827</f>
        <v>0</v>
      </c>
      <c r="G1827" s="539"/>
      <c r="H1827" s="120"/>
      <c r="I1827">
        <f>E1827*G1805</f>
        <v>0</v>
      </c>
      <c r="J1827" s="68"/>
      <c r="K1827" s="56"/>
      <c r="L1827" s="56"/>
      <c r="M1827" s="56"/>
      <c r="N1827" s="56"/>
      <c r="O1827" s="56"/>
    </row>
    <row r="1828" spans="1:15" ht="16.5">
      <c r="A1828" s="540" t="s">
        <v>4099</v>
      </c>
      <c r="B1828" s="541"/>
      <c r="C1828" s="541"/>
      <c r="D1828" s="541"/>
      <c r="E1828" s="541"/>
      <c r="F1828" s="541"/>
      <c r="G1828" s="542"/>
      <c r="H1828" s="116">
        <f>SUM(F1814:F1827)</f>
        <v>199114.84599999996</v>
      </c>
      <c r="J1828" s="68"/>
      <c r="K1828" s="56"/>
      <c r="L1828" s="56"/>
      <c r="M1828" s="56"/>
      <c r="N1828" s="56"/>
      <c r="O1828" s="56"/>
    </row>
    <row r="1829" spans="1:15" ht="16.5">
      <c r="A1829" s="543" t="s">
        <v>4231</v>
      </c>
      <c r="B1829" s="544"/>
      <c r="C1829" s="544"/>
      <c r="D1829" s="544"/>
      <c r="E1829" s="545"/>
      <c r="F1829" s="544"/>
      <c r="G1829" s="544"/>
      <c r="H1829" s="546"/>
      <c r="J1829" s="68"/>
      <c r="K1829" s="56"/>
      <c r="L1829" s="56"/>
      <c r="M1829" s="56"/>
      <c r="N1829" s="56"/>
      <c r="O1829" s="56"/>
    </row>
    <row r="1830" spans="1:15">
      <c r="A1830" s="547" t="s">
        <v>7</v>
      </c>
      <c r="B1830" s="548"/>
      <c r="C1830" s="108" t="s">
        <v>4232</v>
      </c>
      <c r="D1830" s="107" t="s">
        <v>4233</v>
      </c>
      <c r="E1830" s="206" t="s">
        <v>4234</v>
      </c>
      <c r="F1830" s="549" t="s">
        <v>4218</v>
      </c>
      <c r="G1830" s="549"/>
      <c r="H1830" s="119"/>
      <c r="K1830" s="56"/>
      <c r="L1830" s="56"/>
      <c r="M1830" s="56"/>
      <c r="N1830" s="56"/>
      <c r="O1830" s="56"/>
    </row>
    <row r="1831" spans="1:15">
      <c r="A1831" s="550" t="s">
        <v>3928</v>
      </c>
      <c r="B1831" s="551"/>
      <c r="C1831" s="232">
        <v>1</v>
      </c>
      <c r="D1831" s="102">
        <v>0.03</v>
      </c>
      <c r="E1831" s="103">
        <f>VLOOKUP(A1831,'Equip, Herr y Transp'!$B$2:$D$218,3,0)</f>
        <v>160000</v>
      </c>
      <c r="F1831" s="552">
        <f>E1831*D1831*C1831</f>
        <v>4800</v>
      </c>
      <c r="G1831" s="553"/>
      <c r="H1831" s="117"/>
      <c r="M1831" s="56"/>
    </row>
    <row r="1832" spans="1:15" ht="16.5">
      <c r="A1832" s="554" t="s">
        <v>4216</v>
      </c>
      <c r="B1832" s="555"/>
      <c r="C1832" s="555"/>
      <c r="D1832" s="555"/>
      <c r="E1832" s="555"/>
      <c r="F1832" s="555"/>
      <c r="G1832" s="555"/>
      <c r="H1832" s="105">
        <f>F1831</f>
        <v>4800</v>
      </c>
    </row>
    <row r="1833" spans="1:15" ht="16.5">
      <c r="A1833" s="543" t="s">
        <v>4235</v>
      </c>
      <c r="B1833" s="544"/>
      <c r="C1833" s="544"/>
      <c r="D1833" s="544"/>
      <c r="E1833" s="544"/>
      <c r="F1833" s="544"/>
      <c r="G1833" s="544"/>
      <c r="H1833" s="546"/>
    </row>
    <row r="1834" spans="1:15">
      <c r="A1834" s="547" t="s">
        <v>7</v>
      </c>
      <c r="B1834" s="548"/>
      <c r="C1834" s="106" t="s">
        <v>1</v>
      </c>
      <c r="D1834" s="107" t="s">
        <v>4236</v>
      </c>
      <c r="E1834" s="108" t="s">
        <v>4215</v>
      </c>
      <c r="F1834" s="547" t="s">
        <v>5</v>
      </c>
      <c r="G1834" s="556"/>
      <c r="H1834" s="119"/>
    </row>
    <row r="1835" spans="1:15">
      <c r="A1835" s="550" t="s">
        <v>4196</v>
      </c>
      <c r="B1835" s="551"/>
      <c r="C1835" s="101">
        <v>1</v>
      </c>
      <c r="D1835" s="104">
        <f>VLOOKUP(A1835,'Mano Obra'!$B$2:$T$117,19,0)</f>
        <v>166624</v>
      </c>
      <c r="E1835" s="246">
        <f>H1798</f>
        <v>6.25E-2</v>
      </c>
      <c r="F1835" s="538">
        <f>E1835*D1835*C1835</f>
        <v>10414</v>
      </c>
      <c r="G1835" s="557"/>
      <c r="H1835" s="121"/>
      <c r="I1835" s="69"/>
      <c r="J1835" s="136">
        <f>((('Mano Obra'!$M$4/30)*F1835)/D1835)*G1805</f>
        <v>0</v>
      </c>
    </row>
    <row r="1836" spans="1:15">
      <c r="A1836" s="558" t="s">
        <v>4197</v>
      </c>
      <c r="B1836" s="559">
        <f>VLOOKUP(A1836,'Mano Obra'!$B$3:$D$290,2,0)</f>
        <v>2090000.0000000002</v>
      </c>
      <c r="C1836" s="101">
        <v>1</v>
      </c>
      <c r="D1836" s="104">
        <f>VLOOKUP(A1836,'Mano Obra'!$B$2:$T$117,19,0)</f>
        <v>120456</v>
      </c>
      <c r="E1836" s="246">
        <f>H1798</f>
        <v>6.25E-2</v>
      </c>
      <c r="F1836" s="538">
        <f t="shared" ref="F1836:F1837" si="108">E1836*D1836*C1836</f>
        <v>7528.5</v>
      </c>
      <c r="G1836" s="557"/>
      <c r="H1836" s="121"/>
      <c r="J1836" s="136">
        <f>((('Mano Obra'!$M$5/30)*F1836)/D1836)*G1805</f>
        <v>0</v>
      </c>
    </row>
    <row r="1837" spans="1:15">
      <c r="A1837" s="558" t="s">
        <v>4186</v>
      </c>
      <c r="B1837" s="559">
        <f>VLOOKUP(A1837,'Mano Obra'!$B$3:$D$290,2,0)</f>
        <v>1100000</v>
      </c>
      <c r="C1837" s="101">
        <v>1</v>
      </c>
      <c r="D1837" s="104">
        <f>VLOOKUP(A1837,'Mano Obra'!$B$2:$T$117,19,0)</f>
        <v>72664</v>
      </c>
      <c r="E1837" s="246">
        <f>H1798</f>
        <v>6.25E-2</v>
      </c>
      <c r="F1837" s="538">
        <f t="shared" si="108"/>
        <v>4541.5</v>
      </c>
      <c r="G1837" s="557"/>
      <c r="H1837" s="120"/>
      <c r="J1837" s="136">
        <f>((('Mano Obra'!$M$6/30)*F1837)/D1837)*G1805</f>
        <v>0</v>
      </c>
    </row>
    <row r="1838" spans="1:15" ht="16.5">
      <c r="A1838" s="560" t="s">
        <v>4101</v>
      </c>
      <c r="B1838" s="560"/>
      <c r="C1838" s="560"/>
      <c r="D1838" s="560"/>
      <c r="E1838" s="560"/>
      <c r="F1838" s="560"/>
      <c r="G1838" s="560"/>
      <c r="H1838" s="105">
        <f>SUM(F1835:F1837)</f>
        <v>22484</v>
      </c>
      <c r="J1838" s="136"/>
    </row>
    <row r="1839" spans="1:15">
      <c r="A1839" s="227" t="s">
        <v>4237</v>
      </c>
      <c r="B1839" s="205"/>
      <c r="C1839" s="205"/>
      <c r="D1839" s="202"/>
      <c r="E1839" s="203"/>
      <c r="F1839" s="204"/>
      <c r="G1839" s="203"/>
      <c r="H1839" s="212"/>
    </row>
    <row r="1840" spans="1:15">
      <c r="A1840" s="561" t="s">
        <v>4224</v>
      </c>
      <c r="B1840" s="562"/>
      <c r="C1840" s="562"/>
      <c r="D1840" s="562"/>
      <c r="E1840" s="200"/>
      <c r="F1840" s="201" t="s">
        <v>4238</v>
      </c>
      <c r="G1840" s="200" t="s">
        <v>4239</v>
      </c>
      <c r="H1840" s="213"/>
    </row>
    <row r="1841" spans="1:14">
      <c r="A1841" s="223" t="s">
        <v>4097</v>
      </c>
      <c r="B1841" s="72"/>
      <c r="C1841" s="72"/>
      <c r="D1841" s="73"/>
      <c r="E1841" s="78"/>
      <c r="F1841" s="79">
        <v>0</v>
      </c>
      <c r="G1841" s="80">
        <f>F1841*H1806</f>
        <v>0</v>
      </c>
      <c r="H1841" s="212"/>
    </row>
    <row r="1842" spans="1:14">
      <c r="A1842" s="224" t="s">
        <v>4240</v>
      </c>
      <c r="B1842" s="81"/>
      <c r="C1842" s="81"/>
      <c r="D1842" s="82"/>
      <c r="E1842" s="78"/>
      <c r="F1842" s="79">
        <v>0</v>
      </c>
      <c r="G1842" s="80">
        <f>F1842*H1806</f>
        <v>0</v>
      </c>
      <c r="H1842" s="212"/>
    </row>
    <row r="1843" spans="1:14">
      <c r="A1843" s="224" t="s">
        <v>4</v>
      </c>
      <c r="B1843" s="81"/>
      <c r="C1843" s="81"/>
      <c r="D1843" s="82"/>
      <c r="E1843" s="78"/>
      <c r="F1843" s="79">
        <v>0</v>
      </c>
      <c r="G1843" s="80">
        <f>F1843*H1806</f>
        <v>0</v>
      </c>
      <c r="H1843" s="212"/>
    </row>
    <row r="1844" spans="1:14">
      <c r="A1844" s="225"/>
      <c r="B1844" s="83"/>
      <c r="C1844" s="75"/>
      <c r="D1844" s="84"/>
      <c r="E1844" s="85"/>
      <c r="F1844" s="86"/>
      <c r="G1844" s="87"/>
      <c r="H1844" s="214"/>
    </row>
    <row r="1845" spans="1:14">
      <c r="A1845" s="226"/>
      <c r="B1845" s="83"/>
      <c r="C1845" s="83"/>
      <c r="D1845" s="84"/>
      <c r="E1845" s="88"/>
      <c r="F1845" s="563" t="s">
        <v>4241</v>
      </c>
      <c r="G1845" s="564"/>
      <c r="H1845" s="233">
        <f>H1806+G1841+G1842+G1843</f>
        <v>230433.37724999996</v>
      </c>
    </row>
    <row r="1846" spans="1:14">
      <c r="A1846" s="83"/>
      <c r="B1846" s="83"/>
      <c r="C1846" s="83"/>
      <c r="D1846" s="84"/>
      <c r="E1846" s="388"/>
      <c r="F1846" s="389"/>
      <c r="G1846" s="389"/>
      <c r="H1846" s="390"/>
    </row>
    <row r="1847" spans="1:14" ht="16.5">
      <c r="A1847" s="90"/>
      <c r="B1847" s="90"/>
      <c r="C1847" s="90"/>
      <c r="D1847" s="90"/>
      <c r="E1847" s="90"/>
      <c r="F1847" s="90"/>
      <c r="G1847" s="90"/>
      <c r="H1847" s="381"/>
    </row>
    <row r="1848" spans="1:14">
      <c r="A1848" s="579" t="s">
        <v>4225</v>
      </c>
      <c r="B1848" s="580"/>
      <c r="C1848" s="580"/>
      <c r="D1848" s="580"/>
      <c r="E1848" s="580"/>
      <c r="F1848" s="580"/>
      <c r="G1848" s="580"/>
      <c r="H1848" s="581"/>
    </row>
    <row r="1849" spans="1:14" ht="16.5">
      <c r="A1849" s="91"/>
      <c r="B1849" s="92"/>
      <c r="C1849" s="92"/>
      <c r="D1849" s="92"/>
      <c r="E1849" s="92"/>
      <c r="F1849" s="93"/>
      <c r="G1849" s="94"/>
      <c r="H1849" s="380">
        <f>ROUND((30/60)/8,4)</f>
        <v>6.25E-2</v>
      </c>
      <c r="I1849" s="115"/>
    </row>
    <row r="1850" spans="1:14">
      <c r="A1850" s="582" t="s">
        <v>4220</v>
      </c>
      <c r="B1850" s="584" t="str">
        <f>COSTOS!$C$14</f>
        <v>MODERNIZACION A TECNOLOGIA LED</v>
      </c>
      <c r="C1850" s="584"/>
      <c r="D1850" s="584"/>
      <c r="E1850" s="584"/>
      <c r="F1850" s="584"/>
      <c r="G1850" s="584"/>
      <c r="H1850" s="585" t="s">
        <v>4221</v>
      </c>
    </row>
    <row r="1851" spans="1:14">
      <c r="A1851" s="583"/>
      <c r="B1851" s="584"/>
      <c r="C1851" s="584"/>
      <c r="D1851" s="584"/>
      <c r="E1851" s="584"/>
      <c r="F1851" s="584"/>
      <c r="G1851" s="584"/>
      <c r="H1851" s="585"/>
    </row>
    <row r="1852" spans="1:14">
      <c r="A1852" s="583"/>
      <c r="B1852" s="584"/>
      <c r="C1852" s="584"/>
      <c r="D1852" s="584"/>
      <c r="E1852" s="584"/>
      <c r="F1852" s="584"/>
      <c r="G1852" s="584"/>
      <c r="H1852" s="585"/>
    </row>
    <row r="1853" spans="1:14" ht="15" customHeight="1">
      <c r="A1853" s="583"/>
      <c r="B1853" s="584"/>
      <c r="C1853" s="584"/>
      <c r="D1853" s="584"/>
      <c r="E1853" s="584"/>
      <c r="F1853" s="584"/>
      <c r="G1853" s="584"/>
      <c r="H1853" s="216">
        <f ca="1">TODAY()</f>
        <v>44889</v>
      </c>
      <c r="K1853" t="s">
        <v>4391</v>
      </c>
      <c r="L1853" t="s">
        <v>4392</v>
      </c>
      <c r="M1853" t="s">
        <v>4393</v>
      </c>
      <c r="N1853" t="s">
        <v>4394</v>
      </c>
    </row>
    <row r="1854" spans="1:14" ht="60.75" customHeight="1">
      <c r="A1854" s="228" t="s">
        <v>4222</v>
      </c>
      <c r="B1854" s="565" t="str">
        <f>COSTOS!$D$16</f>
        <v>Luminarias</v>
      </c>
      <c r="C1854" s="565"/>
      <c r="D1854" s="565"/>
      <c r="E1854" s="565"/>
      <c r="F1854" s="565"/>
      <c r="G1854" s="70" t="s">
        <v>4223</v>
      </c>
      <c r="H1854" s="391">
        <v>1.37</v>
      </c>
      <c r="K1854" s="62">
        <f>H1879</f>
        <v>939747.04600000009</v>
      </c>
      <c r="L1854" s="62">
        <f>H1889</f>
        <v>22484</v>
      </c>
      <c r="M1854" s="62">
        <f>H1862</f>
        <v>4034.53125</v>
      </c>
      <c r="N1854" s="62">
        <f>H1883</f>
        <v>4800</v>
      </c>
    </row>
    <row r="1855" spans="1:14" ht="43.15" customHeight="1">
      <c r="A1855" s="229" t="s">
        <v>4224</v>
      </c>
      <c r="B1855" s="566" t="str">
        <f>VLOOKUP(H1854,COSTOS!C:M,2,0)</f>
        <v>Reflector Led baja eficiencia 100w</v>
      </c>
      <c r="C1855" s="567"/>
      <c r="D1855" s="567"/>
      <c r="E1855" s="568"/>
      <c r="F1855" s="71" t="s">
        <v>0</v>
      </c>
      <c r="G1855" s="356" t="str">
        <f>VLOOKUP(H1854,COSTOS!C:M,8,0)</f>
        <v>Und</v>
      </c>
      <c r="H1855" s="276"/>
      <c r="I1855" s="306"/>
      <c r="J1855" s="308"/>
      <c r="K1855" s="308"/>
      <c r="L1855" s="308"/>
    </row>
    <row r="1856" spans="1:14">
      <c r="A1856" s="230"/>
      <c r="B1856" s="112"/>
      <c r="C1856" s="112"/>
      <c r="D1856" s="112"/>
      <c r="E1856" s="113"/>
      <c r="F1856" s="114" t="s">
        <v>1</v>
      </c>
      <c r="G1856" s="356">
        <f>VLOOKUP(H1854,COSTOS!C:M,9,0)</f>
        <v>0</v>
      </c>
      <c r="H1856" s="357"/>
      <c r="I1856" s="307"/>
    </row>
    <row r="1857" spans="1:15" ht="16.5">
      <c r="A1857" s="231" t="s">
        <v>4226</v>
      </c>
      <c r="B1857" s="75"/>
      <c r="C1857" s="75"/>
      <c r="D1857" s="76"/>
      <c r="E1857" s="209"/>
      <c r="F1857" s="210"/>
      <c r="G1857" s="211" t="s">
        <v>4227</v>
      </c>
      <c r="H1857" s="217">
        <f>H1862+H1879+H1883+H1889</f>
        <v>971065.57725000009</v>
      </c>
    </row>
    <row r="1858" spans="1:15" ht="39">
      <c r="A1858" s="569" t="s">
        <v>4224</v>
      </c>
      <c r="B1858" s="569"/>
      <c r="C1858" s="569"/>
      <c r="D1858" s="77" t="s">
        <v>0</v>
      </c>
      <c r="E1858" s="207" t="s">
        <v>4228</v>
      </c>
      <c r="F1858" s="208" t="s">
        <v>4215</v>
      </c>
      <c r="G1858" s="74" t="s">
        <v>2</v>
      </c>
      <c r="H1858" s="218" t="s">
        <v>4229</v>
      </c>
      <c r="K1858" s="309"/>
    </row>
    <row r="1859" spans="1:15">
      <c r="A1859" s="536" t="s">
        <v>3946</v>
      </c>
      <c r="B1859" s="570" t="str">
        <f>VLOOKUP(A1859,'Equip, Herr y Transp'!$B$2:$D$739,2,0)</f>
        <v>EQU</v>
      </c>
      <c r="C1859" s="570"/>
      <c r="D1859" s="95" t="str">
        <f>VLOOKUP(A1859,'Equip, Herr y Transp'!$B$2:$D$218,2,0)</f>
        <v>EQU</v>
      </c>
      <c r="E1859" s="95">
        <f>VLOOKUP(A1859,'Equip, Herr y Transp'!$B$2:$D$218,3,0)</f>
        <v>14130</v>
      </c>
      <c r="F1859" s="96">
        <f>H1849</f>
        <v>6.25E-2</v>
      </c>
      <c r="G1859" s="122">
        <f>F1859*E1859</f>
        <v>883.125</v>
      </c>
      <c r="H1859" s="118"/>
    </row>
    <row r="1860" spans="1:15">
      <c r="A1860" s="536" t="s">
        <v>3904</v>
      </c>
      <c r="B1860" s="570" t="str">
        <f>VLOOKUP(A1860,'Equip, Herr y Transp'!$B$2:$D$739,2,0)</f>
        <v>EQU</v>
      </c>
      <c r="C1860" s="570"/>
      <c r="D1860" s="95" t="str">
        <f>VLOOKUP(A1860,'Equip, Herr y Transp'!$B$2:$D$218,2,0)</f>
        <v>EQU</v>
      </c>
      <c r="E1860" s="95">
        <f>VLOOKUP(A1860,'Equip, Herr y Transp'!$B$2:$D$218,3,0)</f>
        <v>26672.5</v>
      </c>
      <c r="F1860" s="96">
        <f>H1849</f>
        <v>6.25E-2</v>
      </c>
      <c r="G1860" s="122">
        <f>F1860*E1860</f>
        <v>1667.03125</v>
      </c>
      <c r="H1860" s="117"/>
    </row>
    <row r="1861" spans="1:15">
      <c r="A1861" s="536" t="s">
        <v>3937</v>
      </c>
      <c r="B1861" s="570" t="str">
        <f>VLOOKUP(A1861,'Equip, Herr y Transp'!$B$2:$D$739,2,0)</f>
        <v>EQU</v>
      </c>
      <c r="C1861" s="570"/>
      <c r="D1861" s="95" t="str">
        <f>VLOOKUP(A1861,'Equip, Herr y Transp'!$B$2:$D$218,2,0)</f>
        <v>EQU</v>
      </c>
      <c r="E1861" s="95">
        <f>VLOOKUP(A1861,'Equip, Herr y Transp'!$B$2:$D$218,3,0)</f>
        <v>23750</v>
      </c>
      <c r="F1861" s="96">
        <f>H1849</f>
        <v>6.25E-2</v>
      </c>
      <c r="G1861" s="122">
        <f>F1861*E1861</f>
        <v>1484.375</v>
      </c>
      <c r="H1861" s="117"/>
    </row>
    <row r="1862" spans="1:15" ht="16.5">
      <c r="A1862" s="540" t="s">
        <v>4100</v>
      </c>
      <c r="B1862" s="541"/>
      <c r="C1862" s="541"/>
      <c r="D1862" s="541"/>
      <c r="E1862" s="541"/>
      <c r="F1862" s="541"/>
      <c r="G1862" s="541"/>
      <c r="H1862" s="97">
        <f>SUM(G1859:G1861)</f>
        <v>4034.53125</v>
      </c>
    </row>
    <row r="1863" spans="1:15" ht="16.5">
      <c r="A1863" s="571" t="s">
        <v>4230</v>
      </c>
      <c r="B1863" s="572"/>
      <c r="C1863" s="572"/>
      <c r="D1863" s="572"/>
      <c r="E1863" s="572"/>
      <c r="F1863" s="572"/>
      <c r="G1863" s="572"/>
      <c r="H1863" s="573"/>
      <c r="K1863" s="56"/>
      <c r="L1863" s="56"/>
      <c r="M1863" s="56"/>
      <c r="N1863" s="56"/>
      <c r="O1863" s="56"/>
    </row>
    <row r="1864" spans="1:15" ht="30" customHeight="1">
      <c r="A1864" s="574" t="s">
        <v>7</v>
      </c>
      <c r="B1864" s="575"/>
      <c r="C1864" s="109" t="s">
        <v>0</v>
      </c>
      <c r="D1864" s="110" t="s">
        <v>4098</v>
      </c>
      <c r="E1864" s="111" t="s">
        <v>1</v>
      </c>
      <c r="F1864" s="576" t="s">
        <v>4218</v>
      </c>
      <c r="G1864" s="576"/>
      <c r="H1864" s="215"/>
      <c r="K1864" s="56"/>
      <c r="L1864" s="56"/>
      <c r="M1864" s="56"/>
      <c r="N1864" s="56"/>
      <c r="O1864" s="56"/>
    </row>
    <row r="1865" spans="1:15">
      <c r="A1865" s="577" t="s">
        <v>4714</v>
      </c>
      <c r="B1865" s="578"/>
      <c r="C1865" s="98" t="str">
        <f>VLOOKUP(A1865,'Materiales '!$C$2:$F$1302,3,0)</f>
        <v>Und</v>
      </c>
      <c r="D1865" s="99">
        <f>VLOOKUP(A1865,'Materiales '!$C$2:$F$1302,4,0)</f>
        <v>801108.00000000012</v>
      </c>
      <c r="E1865" s="100">
        <v>1</v>
      </c>
      <c r="F1865" s="538">
        <f>E1865*D1865</f>
        <v>801108.00000000012</v>
      </c>
      <c r="G1865" s="539"/>
      <c r="H1865" s="121"/>
      <c r="I1865">
        <f>E1865*G1856</f>
        <v>0</v>
      </c>
      <c r="J1865" s="67"/>
      <c r="K1865" s="56"/>
      <c r="L1865" s="56"/>
      <c r="M1865" s="56"/>
      <c r="N1865" s="56"/>
      <c r="O1865" s="56"/>
    </row>
    <row r="1866" spans="1:15">
      <c r="A1866" s="577" t="s">
        <v>4214</v>
      </c>
      <c r="B1866" s="578"/>
      <c r="C1866" s="98" t="str">
        <f>VLOOKUP(A1866,'Materiales '!$C$2:$F$1302,3,0)</f>
        <v>Und</v>
      </c>
      <c r="D1866" s="99">
        <f>VLOOKUP(A1866,'Materiales '!$C$2:$F$1302,4,0)</f>
        <v>22848</v>
      </c>
      <c r="E1866" s="100">
        <v>1</v>
      </c>
      <c r="F1866" s="538">
        <f t="shared" ref="F1866:F1872" si="109">E1866*D1866</f>
        <v>22848</v>
      </c>
      <c r="G1866" s="539"/>
      <c r="H1866" s="121"/>
      <c r="I1866">
        <f>E1866*G1856</f>
        <v>0</v>
      </c>
      <c r="J1866" s="67"/>
      <c r="K1866" s="56"/>
      <c r="L1866" s="56"/>
      <c r="M1866" s="56"/>
      <c r="N1866" s="56"/>
      <c r="O1866" s="56"/>
    </row>
    <row r="1867" spans="1:15">
      <c r="A1867" s="536" t="s">
        <v>4484</v>
      </c>
      <c r="B1867" s="537" t="str">
        <f>VLOOKUP(A1867,'Materiales '!$C$2:$F$1302,3,0)</f>
        <v>Und</v>
      </c>
      <c r="C1867" s="98" t="str">
        <f>VLOOKUP(A1867,'Materiales '!$C$2:$F$1302,3,0)</f>
        <v>Und</v>
      </c>
      <c r="D1867" s="99">
        <f>VLOOKUP(A1867,'Materiales '!$C$2:$F$1302,4,0)</f>
        <v>21705.599999999999</v>
      </c>
      <c r="E1867" s="100">
        <v>2</v>
      </c>
      <c r="F1867" s="538">
        <f t="shared" si="109"/>
        <v>43411.199999999997</v>
      </c>
      <c r="G1867" s="539"/>
      <c r="H1867" s="121"/>
      <c r="I1867">
        <f>E1867*G1856</f>
        <v>0</v>
      </c>
      <c r="J1867" s="68"/>
      <c r="K1867" s="56"/>
      <c r="L1867" s="56"/>
      <c r="M1867" s="56"/>
      <c r="N1867" s="56"/>
      <c r="O1867" s="56"/>
    </row>
    <row r="1868" spans="1:15">
      <c r="A1868" s="536" t="s">
        <v>4489</v>
      </c>
      <c r="B1868" s="537" t="str">
        <f>VLOOKUP(A1868,'Materiales '!$C$2:$F$1302,3,0)</f>
        <v>Und</v>
      </c>
      <c r="C1868" s="98" t="str">
        <f>VLOOKUP(A1868,'Materiales '!$C$2:$F$1302,3,0)</f>
        <v>Und</v>
      </c>
      <c r="D1868" s="99">
        <f>VLOOKUP(A1868,'Materiales '!$C$2:$F$1302,4,0)</f>
        <v>8039.6399999999994</v>
      </c>
      <c r="E1868" s="100">
        <v>3</v>
      </c>
      <c r="F1868" s="538">
        <f t="shared" si="109"/>
        <v>24118.92</v>
      </c>
      <c r="G1868" s="539"/>
      <c r="H1868" s="121"/>
      <c r="I1868">
        <f>E1868*G1856</f>
        <v>0</v>
      </c>
      <c r="J1868" s="68"/>
      <c r="K1868" s="56"/>
      <c r="L1868" s="56"/>
      <c r="M1868" s="56"/>
      <c r="N1868" s="56"/>
      <c r="O1868" s="56"/>
    </row>
    <row r="1869" spans="1:15">
      <c r="A1869" s="536" t="s">
        <v>4554</v>
      </c>
      <c r="B1869" s="537" t="str">
        <f>VLOOKUP(A1869,'Materiales '!$C$2:$F$1302,3,0)</f>
        <v>Und</v>
      </c>
      <c r="C1869" s="98" t="str">
        <f>VLOOKUP(A1869,'Materiales '!$C$2:$F$1302,3,0)</f>
        <v>Und</v>
      </c>
      <c r="D1869" s="99">
        <f>VLOOKUP(A1869,'Materiales '!$C$2:$F$1302,4,0)</f>
        <v>2535.5329999999999</v>
      </c>
      <c r="E1869" s="100">
        <v>2</v>
      </c>
      <c r="F1869" s="538">
        <f t="shared" si="109"/>
        <v>5071.0659999999998</v>
      </c>
      <c r="G1869" s="539"/>
      <c r="H1869" s="121"/>
      <c r="I1869">
        <f>E1869*G1856</f>
        <v>0</v>
      </c>
      <c r="J1869" s="68"/>
      <c r="K1869" s="56"/>
      <c r="L1869" s="56"/>
      <c r="M1869" s="56"/>
      <c r="N1869" s="56"/>
      <c r="O1869" s="56"/>
    </row>
    <row r="1870" spans="1:15">
      <c r="A1870" s="536" t="s">
        <v>4450</v>
      </c>
      <c r="B1870" s="537" t="str">
        <f>VLOOKUP(A1870,'Materiales '!$C$2:$F$1302,3,0)</f>
        <v>Ml</v>
      </c>
      <c r="C1870" s="98" t="str">
        <f>VLOOKUP(A1870,'Materiales '!$C$2:$F$1302,3,0)</f>
        <v>Ml</v>
      </c>
      <c r="D1870" s="99">
        <f>VLOOKUP(A1870,'Materiales '!$C$2:$F$1302,4,0)</f>
        <v>6791.5679999999993</v>
      </c>
      <c r="E1870" s="100">
        <v>1</v>
      </c>
      <c r="F1870" s="538">
        <f t="shared" si="109"/>
        <v>6791.5679999999993</v>
      </c>
      <c r="G1870" s="539"/>
      <c r="H1870" s="121"/>
      <c r="I1870">
        <f>E1870*G1856</f>
        <v>0</v>
      </c>
      <c r="J1870" s="68"/>
      <c r="K1870" s="56"/>
      <c r="L1870" s="56"/>
      <c r="M1870" s="56"/>
      <c r="N1870" s="56"/>
      <c r="O1870" s="56"/>
    </row>
    <row r="1871" spans="1:15">
      <c r="A1871" s="536" t="s">
        <v>4493</v>
      </c>
      <c r="B1871" s="537" t="str">
        <f>VLOOKUP(A1871,'Materiales '!$C$2:$F$1302,3,0)</f>
        <v>Und</v>
      </c>
      <c r="C1871" s="98" t="str">
        <f>VLOOKUP(A1871,'Materiales '!$C$2:$F$1302,3,0)</f>
        <v>Und</v>
      </c>
      <c r="D1871" s="99">
        <f>VLOOKUP(A1871,'Materiales '!$C$2:$F$1302,4,0)</f>
        <v>232.76399999999998</v>
      </c>
      <c r="E1871" s="100">
        <v>3</v>
      </c>
      <c r="F1871" s="538">
        <f t="shared" si="109"/>
        <v>698.29199999999992</v>
      </c>
      <c r="G1871" s="539"/>
      <c r="H1871" s="121"/>
      <c r="I1871">
        <f>E1871*G1856</f>
        <v>0</v>
      </c>
      <c r="J1871" s="68"/>
      <c r="K1871" s="56"/>
      <c r="L1871" s="56"/>
      <c r="M1871" s="56"/>
      <c r="N1871" s="56"/>
      <c r="O1871" s="56"/>
    </row>
    <row r="1872" spans="1:15" ht="21.75" customHeight="1">
      <c r="A1872" s="536" t="s">
        <v>4639</v>
      </c>
      <c r="B1872" s="537" t="str">
        <f>VLOOKUP(A1872,'Materiales '!$C$2:$F$1302,3,0)</f>
        <v>Und</v>
      </c>
      <c r="C1872" s="98" t="str">
        <f>VLOOKUP(A1872,'Materiales '!$C$2:$F$1302,3,0)</f>
        <v>Und</v>
      </c>
      <c r="D1872" s="99">
        <f>VLOOKUP(A1872,'Materiales '!$C$2:$F$1302,4,0)</f>
        <v>35700</v>
      </c>
      <c r="E1872" s="100">
        <v>1</v>
      </c>
      <c r="F1872" s="538">
        <f t="shared" si="109"/>
        <v>35700</v>
      </c>
      <c r="G1872" s="539"/>
      <c r="H1872" s="121"/>
      <c r="I1872">
        <f>E1872*G1856</f>
        <v>0</v>
      </c>
      <c r="J1872" s="68"/>
      <c r="K1872" s="56"/>
      <c r="L1872" s="56"/>
      <c r="M1872" s="56"/>
      <c r="N1872" s="56"/>
      <c r="O1872" s="56"/>
    </row>
    <row r="1873" spans="1:15">
      <c r="A1873" s="536" t="s">
        <v>8</v>
      </c>
      <c r="B1873" s="537" t="str">
        <f>VLOOKUP(A1873,'Materiales '!$C$2:$F$1302,3,0)</f>
        <v>-</v>
      </c>
      <c r="C1873" s="98" t="str">
        <f>VLOOKUP(A1873,'Materiales '!$C$2:$F$1302,3,0)</f>
        <v>-</v>
      </c>
      <c r="D1873" s="99">
        <f>VLOOKUP(A1873,'Materiales '!$C$2:$F$1302,4,0)</f>
        <v>0</v>
      </c>
      <c r="E1873" s="100"/>
      <c r="F1873" s="538">
        <f>E1873*D1873</f>
        <v>0</v>
      </c>
      <c r="G1873" s="539"/>
      <c r="H1873" s="120"/>
      <c r="I1873">
        <f>E1873*G1856</f>
        <v>0</v>
      </c>
      <c r="J1873" s="68"/>
      <c r="K1873" s="56"/>
      <c r="L1873" s="56"/>
      <c r="M1873" s="56"/>
      <c r="N1873" s="56"/>
      <c r="O1873" s="56"/>
    </row>
    <row r="1874" spans="1:15">
      <c r="A1874" s="536" t="s">
        <v>8</v>
      </c>
      <c r="B1874" s="537" t="str">
        <f>VLOOKUP(A1874,'Materiales '!$C$2:$F$1302,3,0)</f>
        <v>-</v>
      </c>
      <c r="C1874" s="98" t="str">
        <f>VLOOKUP(A1874,'Materiales '!$C$2:$F$1302,3,0)</f>
        <v>-</v>
      </c>
      <c r="D1874" s="99">
        <f>VLOOKUP(A1874,'Materiales '!$C$2:$F$1302,4,0)</f>
        <v>0</v>
      </c>
      <c r="E1874" s="100"/>
      <c r="F1874" s="538">
        <f t="shared" ref="F1874:F1877" si="110">E1874*D1874</f>
        <v>0</v>
      </c>
      <c r="G1874" s="539"/>
      <c r="H1874" s="121"/>
      <c r="I1874">
        <f>E1874*G1856</f>
        <v>0</v>
      </c>
      <c r="J1874" s="68"/>
      <c r="K1874" s="56"/>
      <c r="L1874" s="56"/>
      <c r="M1874" s="56"/>
      <c r="N1874" s="56"/>
      <c r="O1874" s="56"/>
    </row>
    <row r="1875" spans="1:15">
      <c r="A1875" s="536" t="s">
        <v>8</v>
      </c>
      <c r="B1875" s="537" t="str">
        <f>VLOOKUP(A1875,'Materiales '!$C$2:$F$1302,3,0)</f>
        <v>-</v>
      </c>
      <c r="C1875" s="98" t="str">
        <f>VLOOKUP(A1875,'Materiales '!$C$2:$F$1302,3,0)</f>
        <v>-</v>
      </c>
      <c r="D1875" s="99">
        <f>VLOOKUP(A1875,'Materiales '!$C$2:$F$1302,4,0)</f>
        <v>0</v>
      </c>
      <c r="E1875" s="100"/>
      <c r="F1875" s="538">
        <f t="shared" si="110"/>
        <v>0</v>
      </c>
      <c r="G1875" s="539"/>
      <c r="H1875" s="121"/>
      <c r="I1875">
        <f>E1875*G1856</f>
        <v>0</v>
      </c>
      <c r="J1875" s="68"/>
      <c r="K1875" s="56"/>
      <c r="L1875" s="56"/>
      <c r="M1875" s="56"/>
      <c r="N1875" s="56"/>
      <c r="O1875" s="56"/>
    </row>
    <row r="1876" spans="1:15">
      <c r="A1876" s="536" t="s">
        <v>8</v>
      </c>
      <c r="B1876" s="537" t="str">
        <f>VLOOKUP(A1876,'Materiales '!$C$2:$F$1302,3,0)</f>
        <v>-</v>
      </c>
      <c r="C1876" s="98" t="str">
        <f>VLOOKUP(A1876,'Materiales '!$C$2:$F$1302,3,0)</f>
        <v>-</v>
      </c>
      <c r="D1876" s="99">
        <f>VLOOKUP(A1876,'Materiales '!$C$2:$F$1302,4,0)</f>
        <v>0</v>
      </c>
      <c r="E1876" s="100"/>
      <c r="F1876" s="538">
        <f t="shared" si="110"/>
        <v>0</v>
      </c>
      <c r="G1876" s="539"/>
      <c r="H1876" s="121"/>
      <c r="I1876">
        <f>E1876*G1856</f>
        <v>0</v>
      </c>
      <c r="J1876" s="68"/>
      <c r="K1876" s="56"/>
      <c r="L1876" s="56"/>
      <c r="M1876" s="56"/>
      <c r="N1876" s="56"/>
      <c r="O1876" s="56"/>
    </row>
    <row r="1877" spans="1:15">
      <c r="A1877" s="536" t="s">
        <v>8</v>
      </c>
      <c r="B1877" s="537" t="str">
        <f>VLOOKUP(A1877,'Materiales '!$C$2:$F$1302,3,0)</f>
        <v>-</v>
      </c>
      <c r="C1877" s="98" t="str">
        <f>VLOOKUP(A1877,'Materiales '!$C$2:$F$1302,3,0)</f>
        <v>-</v>
      </c>
      <c r="D1877" s="99">
        <f>VLOOKUP(A1877,'Materiales '!$C$2:$F$1302,4,0)</f>
        <v>0</v>
      </c>
      <c r="E1877" s="100"/>
      <c r="F1877" s="538">
        <f t="shared" si="110"/>
        <v>0</v>
      </c>
      <c r="G1877" s="539"/>
      <c r="H1877" s="121"/>
      <c r="I1877">
        <f>E1877*G1856</f>
        <v>0</v>
      </c>
      <c r="J1877" s="68"/>
      <c r="K1877" s="56"/>
      <c r="L1877" s="56"/>
      <c r="M1877" s="56"/>
      <c r="N1877" s="56"/>
      <c r="O1877" s="56"/>
    </row>
    <row r="1878" spans="1:15">
      <c r="A1878" s="536" t="s">
        <v>8</v>
      </c>
      <c r="B1878" s="537" t="str">
        <f>VLOOKUP(A1878,'Materiales '!$C$2:$F$1302,3,0)</f>
        <v>-</v>
      </c>
      <c r="C1878" s="98" t="str">
        <f>VLOOKUP(A1878,'Materiales '!$C$2:$F$1302,3,0)</f>
        <v>-</v>
      </c>
      <c r="D1878" s="99">
        <f>VLOOKUP(A1878,'Materiales '!$C$2:$F$1302,4,0)</f>
        <v>0</v>
      </c>
      <c r="E1878" s="100"/>
      <c r="F1878" s="538">
        <f>E1878*D1878</f>
        <v>0</v>
      </c>
      <c r="G1878" s="539"/>
      <c r="H1878" s="120"/>
      <c r="I1878">
        <f>E1878*G1856</f>
        <v>0</v>
      </c>
      <c r="J1878" s="68"/>
      <c r="K1878" s="56"/>
      <c r="L1878" s="56"/>
      <c r="M1878" s="56"/>
      <c r="N1878" s="56"/>
      <c r="O1878" s="56"/>
    </row>
    <row r="1879" spans="1:15" ht="16.5">
      <c r="A1879" s="540" t="s">
        <v>4099</v>
      </c>
      <c r="B1879" s="541"/>
      <c r="C1879" s="541"/>
      <c r="D1879" s="541"/>
      <c r="E1879" s="541"/>
      <c r="F1879" s="541"/>
      <c r="G1879" s="542"/>
      <c r="H1879" s="116">
        <f>SUM(F1865:F1878)</f>
        <v>939747.04600000009</v>
      </c>
      <c r="J1879" s="68"/>
      <c r="K1879" s="56"/>
      <c r="L1879" s="56"/>
      <c r="M1879" s="56"/>
      <c r="N1879" s="56"/>
      <c r="O1879" s="56"/>
    </row>
    <row r="1880" spans="1:15" ht="16.5">
      <c r="A1880" s="543" t="s">
        <v>4231</v>
      </c>
      <c r="B1880" s="544"/>
      <c r="C1880" s="544"/>
      <c r="D1880" s="544"/>
      <c r="E1880" s="545"/>
      <c r="F1880" s="544"/>
      <c r="G1880" s="544"/>
      <c r="H1880" s="546"/>
      <c r="J1880" s="68"/>
      <c r="K1880" s="56"/>
      <c r="L1880" s="56"/>
      <c r="M1880" s="56"/>
      <c r="N1880" s="56"/>
      <c r="O1880" s="56"/>
    </row>
    <row r="1881" spans="1:15">
      <c r="A1881" s="547" t="s">
        <v>7</v>
      </c>
      <c r="B1881" s="548"/>
      <c r="C1881" s="108" t="s">
        <v>4232</v>
      </c>
      <c r="D1881" s="107" t="s">
        <v>4233</v>
      </c>
      <c r="E1881" s="206" t="s">
        <v>4234</v>
      </c>
      <c r="F1881" s="549" t="s">
        <v>4218</v>
      </c>
      <c r="G1881" s="549"/>
      <c r="H1881" s="119"/>
      <c r="K1881" s="56"/>
      <c r="L1881" s="56"/>
      <c r="M1881" s="56"/>
      <c r="N1881" s="56"/>
      <c r="O1881" s="56"/>
    </row>
    <row r="1882" spans="1:15">
      <c r="A1882" s="550" t="s">
        <v>3928</v>
      </c>
      <c r="B1882" s="551"/>
      <c r="C1882" s="232">
        <v>1</v>
      </c>
      <c r="D1882" s="102">
        <v>0.03</v>
      </c>
      <c r="E1882" s="103">
        <f>VLOOKUP(A1882,'Equip, Herr y Transp'!$B$2:$D$218,3,0)</f>
        <v>160000</v>
      </c>
      <c r="F1882" s="552">
        <f>E1882*D1882*C1882</f>
        <v>4800</v>
      </c>
      <c r="G1882" s="553"/>
      <c r="H1882" s="117"/>
      <c r="M1882" s="56"/>
    </row>
    <row r="1883" spans="1:15" ht="16.5">
      <c r="A1883" s="554" t="s">
        <v>4216</v>
      </c>
      <c r="B1883" s="555"/>
      <c r="C1883" s="555"/>
      <c r="D1883" s="555"/>
      <c r="E1883" s="555"/>
      <c r="F1883" s="555"/>
      <c r="G1883" s="555"/>
      <c r="H1883" s="105">
        <f>F1882</f>
        <v>4800</v>
      </c>
    </row>
    <row r="1884" spans="1:15" ht="16.5">
      <c r="A1884" s="543" t="s">
        <v>4235</v>
      </c>
      <c r="B1884" s="544"/>
      <c r="C1884" s="544"/>
      <c r="D1884" s="544"/>
      <c r="E1884" s="544"/>
      <c r="F1884" s="544"/>
      <c r="G1884" s="544"/>
      <c r="H1884" s="546"/>
    </row>
    <row r="1885" spans="1:15">
      <c r="A1885" s="547" t="s">
        <v>7</v>
      </c>
      <c r="B1885" s="548"/>
      <c r="C1885" s="106" t="s">
        <v>1</v>
      </c>
      <c r="D1885" s="107" t="s">
        <v>4236</v>
      </c>
      <c r="E1885" s="108" t="s">
        <v>4215</v>
      </c>
      <c r="F1885" s="547" t="s">
        <v>5</v>
      </c>
      <c r="G1885" s="556"/>
      <c r="H1885" s="119"/>
    </row>
    <row r="1886" spans="1:15">
      <c r="A1886" s="550" t="s">
        <v>4196</v>
      </c>
      <c r="B1886" s="551"/>
      <c r="C1886" s="101">
        <v>1</v>
      </c>
      <c r="D1886" s="104">
        <f>VLOOKUP(A1886,'Mano Obra'!$B$2:$T$117,19,0)</f>
        <v>166624</v>
      </c>
      <c r="E1886" s="246">
        <f>H1849</f>
        <v>6.25E-2</v>
      </c>
      <c r="F1886" s="538">
        <f>E1886*D1886*C1886</f>
        <v>10414</v>
      </c>
      <c r="G1886" s="557"/>
      <c r="H1886" s="121"/>
      <c r="I1886" s="69"/>
      <c r="J1886" s="136">
        <f>((('Mano Obra'!$M$4/30)*F1886)/D1886)*G1856</f>
        <v>0</v>
      </c>
    </row>
    <row r="1887" spans="1:15">
      <c r="A1887" s="558" t="s">
        <v>4197</v>
      </c>
      <c r="B1887" s="559">
        <f>VLOOKUP(A1887,'Mano Obra'!$B$3:$D$290,2,0)</f>
        <v>2090000.0000000002</v>
      </c>
      <c r="C1887" s="101">
        <v>1</v>
      </c>
      <c r="D1887" s="104">
        <f>VLOOKUP(A1887,'Mano Obra'!$B$2:$T$117,19,0)</f>
        <v>120456</v>
      </c>
      <c r="E1887" s="246">
        <f>H1849</f>
        <v>6.25E-2</v>
      </c>
      <c r="F1887" s="538">
        <f t="shared" ref="F1887:F1888" si="111">E1887*D1887*C1887</f>
        <v>7528.5</v>
      </c>
      <c r="G1887" s="557"/>
      <c r="H1887" s="121"/>
      <c r="J1887" s="136">
        <f>((('Mano Obra'!$M$5/30)*F1887)/D1887)*G1856</f>
        <v>0</v>
      </c>
    </row>
    <row r="1888" spans="1:15">
      <c r="A1888" s="558" t="s">
        <v>4186</v>
      </c>
      <c r="B1888" s="559">
        <f>VLOOKUP(A1888,'Mano Obra'!$B$3:$D$290,2,0)</f>
        <v>1100000</v>
      </c>
      <c r="C1888" s="101">
        <v>1</v>
      </c>
      <c r="D1888" s="104">
        <f>VLOOKUP(A1888,'Mano Obra'!$B$2:$T$117,19,0)</f>
        <v>72664</v>
      </c>
      <c r="E1888" s="246">
        <f>H1849</f>
        <v>6.25E-2</v>
      </c>
      <c r="F1888" s="538">
        <f t="shared" si="111"/>
        <v>4541.5</v>
      </c>
      <c r="G1888" s="557"/>
      <c r="H1888" s="120"/>
      <c r="J1888" s="136">
        <f>((('Mano Obra'!$M$6/30)*F1888)/D1888)*G1856</f>
        <v>0</v>
      </c>
    </row>
    <row r="1889" spans="1:14" ht="16.5">
      <c r="A1889" s="560" t="s">
        <v>4101</v>
      </c>
      <c r="B1889" s="560"/>
      <c r="C1889" s="560"/>
      <c r="D1889" s="560"/>
      <c r="E1889" s="560"/>
      <c r="F1889" s="560"/>
      <c r="G1889" s="560"/>
      <c r="H1889" s="105">
        <f>SUM(F1886:F1888)</f>
        <v>22484</v>
      </c>
      <c r="J1889" s="136"/>
    </row>
    <row r="1890" spans="1:14">
      <c r="A1890" s="227" t="s">
        <v>4237</v>
      </c>
      <c r="B1890" s="205"/>
      <c r="C1890" s="205"/>
      <c r="D1890" s="202"/>
      <c r="E1890" s="203"/>
      <c r="F1890" s="204"/>
      <c r="G1890" s="203"/>
      <c r="H1890" s="212"/>
    </row>
    <row r="1891" spans="1:14">
      <c r="A1891" s="561" t="s">
        <v>4224</v>
      </c>
      <c r="B1891" s="562"/>
      <c r="C1891" s="562"/>
      <c r="D1891" s="562"/>
      <c r="E1891" s="200"/>
      <c r="F1891" s="201" t="s">
        <v>4238</v>
      </c>
      <c r="G1891" s="200" t="s">
        <v>4239</v>
      </c>
      <c r="H1891" s="213"/>
    </row>
    <row r="1892" spans="1:14">
      <c r="A1892" s="223" t="s">
        <v>4097</v>
      </c>
      <c r="B1892" s="72"/>
      <c r="C1892" s="72"/>
      <c r="D1892" s="73"/>
      <c r="E1892" s="78"/>
      <c r="F1892" s="79">
        <v>0</v>
      </c>
      <c r="G1892" s="80">
        <f>F1892*H1857</f>
        <v>0</v>
      </c>
      <c r="H1892" s="212"/>
    </row>
    <row r="1893" spans="1:14">
      <c r="A1893" s="224" t="s">
        <v>4240</v>
      </c>
      <c r="B1893" s="81"/>
      <c r="C1893" s="81"/>
      <c r="D1893" s="82"/>
      <c r="E1893" s="78"/>
      <c r="F1893" s="79">
        <v>0</v>
      </c>
      <c r="G1893" s="80">
        <f>F1893*H1857</f>
        <v>0</v>
      </c>
      <c r="H1893" s="212"/>
    </row>
    <row r="1894" spans="1:14">
      <c r="A1894" s="224" t="s">
        <v>4</v>
      </c>
      <c r="B1894" s="81"/>
      <c r="C1894" s="81"/>
      <c r="D1894" s="82"/>
      <c r="E1894" s="78"/>
      <c r="F1894" s="79">
        <v>0</v>
      </c>
      <c r="G1894" s="80">
        <f>F1894*H1857</f>
        <v>0</v>
      </c>
      <c r="H1894" s="212"/>
    </row>
    <row r="1895" spans="1:14">
      <c r="A1895" s="225"/>
      <c r="B1895" s="83"/>
      <c r="C1895" s="75"/>
      <c r="D1895" s="84"/>
      <c r="E1895" s="85"/>
      <c r="F1895" s="86"/>
      <c r="G1895" s="87"/>
      <c r="H1895" s="214"/>
    </row>
    <row r="1896" spans="1:14">
      <c r="A1896" s="226"/>
      <c r="B1896" s="83"/>
      <c r="C1896" s="83"/>
      <c r="D1896" s="84"/>
      <c r="E1896" s="88"/>
      <c r="F1896" s="563" t="s">
        <v>4241</v>
      </c>
      <c r="G1896" s="564"/>
      <c r="H1896" s="233">
        <f>H1857+G1892+G1893+G1894</f>
        <v>971065.57725000009</v>
      </c>
    </row>
    <row r="1897" spans="1:14">
      <c r="A1897" s="83"/>
      <c r="B1897" s="83"/>
      <c r="C1897" s="83"/>
      <c r="D1897" s="84"/>
      <c r="E1897" s="388"/>
      <c r="F1897" s="389"/>
      <c r="G1897" s="389"/>
      <c r="H1897" s="390"/>
    </row>
    <row r="1898" spans="1:14" ht="16.5">
      <c r="A1898" s="90"/>
      <c r="B1898" s="90"/>
      <c r="C1898" s="90"/>
      <c r="D1898" s="90"/>
      <c r="E1898" s="90"/>
      <c r="F1898" s="90"/>
      <c r="G1898" s="90"/>
      <c r="H1898" s="381"/>
    </row>
    <row r="1899" spans="1:14">
      <c r="A1899" s="579" t="s">
        <v>4225</v>
      </c>
      <c r="B1899" s="580"/>
      <c r="C1899" s="580"/>
      <c r="D1899" s="580"/>
      <c r="E1899" s="580"/>
      <c r="F1899" s="580"/>
      <c r="G1899" s="580"/>
      <c r="H1899" s="581"/>
    </row>
    <row r="1900" spans="1:14" ht="16.5">
      <c r="A1900" s="91"/>
      <c r="B1900" s="92"/>
      <c r="C1900" s="92"/>
      <c r="D1900" s="92"/>
      <c r="E1900" s="92"/>
      <c r="F1900" s="93"/>
      <c r="G1900" s="94"/>
      <c r="H1900" s="380">
        <f>ROUND((30/60)/8,4)</f>
        <v>6.25E-2</v>
      </c>
      <c r="I1900" s="115"/>
    </row>
    <row r="1901" spans="1:14">
      <c r="A1901" s="582" t="s">
        <v>4220</v>
      </c>
      <c r="B1901" s="584" t="str">
        <f>COSTOS!$C$14</f>
        <v>MODERNIZACION A TECNOLOGIA LED</v>
      </c>
      <c r="C1901" s="584"/>
      <c r="D1901" s="584"/>
      <c r="E1901" s="584"/>
      <c r="F1901" s="584"/>
      <c r="G1901" s="584"/>
      <c r="H1901" s="585" t="s">
        <v>4221</v>
      </c>
    </row>
    <row r="1902" spans="1:14">
      <c r="A1902" s="583"/>
      <c r="B1902" s="584"/>
      <c r="C1902" s="584"/>
      <c r="D1902" s="584"/>
      <c r="E1902" s="584"/>
      <c r="F1902" s="584"/>
      <c r="G1902" s="584"/>
      <c r="H1902" s="585"/>
    </row>
    <row r="1903" spans="1:14">
      <c r="A1903" s="583"/>
      <c r="B1903" s="584"/>
      <c r="C1903" s="584"/>
      <c r="D1903" s="584"/>
      <c r="E1903" s="584"/>
      <c r="F1903" s="584"/>
      <c r="G1903" s="584"/>
      <c r="H1903" s="585"/>
    </row>
    <row r="1904" spans="1:14" ht="15" customHeight="1">
      <c r="A1904" s="583"/>
      <c r="B1904" s="584"/>
      <c r="C1904" s="584"/>
      <c r="D1904" s="584"/>
      <c r="E1904" s="584"/>
      <c r="F1904" s="584"/>
      <c r="G1904" s="584"/>
      <c r="H1904" s="216">
        <f ca="1">TODAY()</f>
        <v>44889</v>
      </c>
      <c r="K1904" t="s">
        <v>4391</v>
      </c>
      <c r="L1904" t="s">
        <v>4392</v>
      </c>
      <c r="M1904" t="s">
        <v>4393</v>
      </c>
      <c r="N1904" t="s">
        <v>4394</v>
      </c>
    </row>
    <row r="1905" spans="1:15" ht="60.75" customHeight="1">
      <c r="A1905" s="228" t="s">
        <v>4222</v>
      </c>
      <c r="B1905" s="565" t="str">
        <f>COSTOS!$D$16</f>
        <v>Luminarias</v>
      </c>
      <c r="C1905" s="565"/>
      <c r="D1905" s="565"/>
      <c r="E1905" s="565"/>
      <c r="F1905" s="565"/>
      <c r="G1905" s="70" t="s">
        <v>4223</v>
      </c>
      <c r="H1905" s="391">
        <v>1.38</v>
      </c>
      <c r="K1905" s="62">
        <f>H1930</f>
        <v>1149219.7709999999</v>
      </c>
      <c r="L1905" s="62">
        <f>H1940</f>
        <v>22484</v>
      </c>
      <c r="M1905" s="62">
        <f>H1913</f>
        <v>4034.53125</v>
      </c>
      <c r="N1905" s="62">
        <f>H1934</f>
        <v>4800</v>
      </c>
    </row>
    <row r="1906" spans="1:15" ht="43.15" customHeight="1">
      <c r="A1906" s="229" t="s">
        <v>4224</v>
      </c>
      <c r="B1906" s="566" t="str">
        <f>VLOOKUP(H1905,COSTOS!C:M,2,0)</f>
        <v>Reflector Led baja eficiencia 150w</v>
      </c>
      <c r="C1906" s="567"/>
      <c r="D1906" s="567"/>
      <c r="E1906" s="568"/>
      <c r="F1906" s="71" t="s">
        <v>0</v>
      </c>
      <c r="G1906" s="356" t="str">
        <f>VLOOKUP(H1905,COSTOS!C:M,8,0)</f>
        <v>Und</v>
      </c>
      <c r="H1906" s="276"/>
      <c r="I1906" s="306"/>
      <c r="J1906" s="308"/>
      <c r="K1906" s="308"/>
      <c r="L1906" s="308"/>
    </row>
    <row r="1907" spans="1:15">
      <c r="A1907" s="230"/>
      <c r="B1907" s="112"/>
      <c r="C1907" s="112"/>
      <c r="D1907" s="112"/>
      <c r="E1907" s="113"/>
      <c r="F1907" s="114" t="s">
        <v>1</v>
      </c>
      <c r="G1907" s="356">
        <f>VLOOKUP(H1905,COSTOS!C:M,9,0)</f>
        <v>0</v>
      </c>
      <c r="H1907" s="357"/>
      <c r="I1907" s="307"/>
    </row>
    <row r="1908" spans="1:15" ht="16.5">
      <c r="A1908" s="231" t="s">
        <v>4226</v>
      </c>
      <c r="B1908" s="75"/>
      <c r="C1908" s="75"/>
      <c r="D1908" s="76"/>
      <c r="E1908" s="209"/>
      <c r="F1908" s="210"/>
      <c r="G1908" s="211" t="s">
        <v>4227</v>
      </c>
      <c r="H1908" s="217">
        <f>H1913+H1930+H1934+H1940</f>
        <v>1180538.3022499999</v>
      </c>
    </row>
    <row r="1909" spans="1:15" ht="39">
      <c r="A1909" s="569" t="s">
        <v>4224</v>
      </c>
      <c r="B1909" s="569"/>
      <c r="C1909" s="569"/>
      <c r="D1909" s="77" t="s">
        <v>0</v>
      </c>
      <c r="E1909" s="207" t="s">
        <v>4228</v>
      </c>
      <c r="F1909" s="208" t="s">
        <v>4215</v>
      </c>
      <c r="G1909" s="74" t="s">
        <v>2</v>
      </c>
      <c r="H1909" s="218" t="s">
        <v>4229</v>
      </c>
      <c r="K1909" s="309"/>
    </row>
    <row r="1910" spans="1:15">
      <c r="A1910" s="536" t="s">
        <v>3946</v>
      </c>
      <c r="B1910" s="570" t="str">
        <f>VLOOKUP(A1910,'Equip, Herr y Transp'!$B$2:$D$739,2,0)</f>
        <v>EQU</v>
      </c>
      <c r="C1910" s="570"/>
      <c r="D1910" s="95" t="str">
        <f>VLOOKUP(A1910,'Equip, Herr y Transp'!$B$2:$D$218,2,0)</f>
        <v>EQU</v>
      </c>
      <c r="E1910" s="95">
        <f>VLOOKUP(A1910,'Equip, Herr y Transp'!$B$2:$D$218,3,0)</f>
        <v>14130</v>
      </c>
      <c r="F1910" s="96">
        <f>H1900</f>
        <v>6.25E-2</v>
      </c>
      <c r="G1910" s="122">
        <f>F1910*E1910</f>
        <v>883.125</v>
      </c>
      <c r="H1910" s="118"/>
    </row>
    <row r="1911" spans="1:15">
      <c r="A1911" s="536" t="s">
        <v>3904</v>
      </c>
      <c r="B1911" s="570" t="str">
        <f>VLOOKUP(A1911,'Equip, Herr y Transp'!$B$2:$D$739,2,0)</f>
        <v>EQU</v>
      </c>
      <c r="C1911" s="570"/>
      <c r="D1911" s="95" t="str">
        <f>VLOOKUP(A1911,'Equip, Herr y Transp'!$B$2:$D$218,2,0)</f>
        <v>EQU</v>
      </c>
      <c r="E1911" s="95">
        <f>VLOOKUP(A1911,'Equip, Herr y Transp'!$B$2:$D$218,3,0)</f>
        <v>26672.5</v>
      </c>
      <c r="F1911" s="96">
        <f>H1900</f>
        <v>6.25E-2</v>
      </c>
      <c r="G1911" s="122">
        <f>F1911*E1911</f>
        <v>1667.03125</v>
      </c>
      <c r="H1911" s="117"/>
    </row>
    <row r="1912" spans="1:15">
      <c r="A1912" s="536" t="s">
        <v>3937</v>
      </c>
      <c r="B1912" s="570" t="str">
        <f>VLOOKUP(A1912,'Equip, Herr y Transp'!$B$2:$D$739,2,0)</f>
        <v>EQU</v>
      </c>
      <c r="C1912" s="570"/>
      <c r="D1912" s="95" t="str">
        <f>VLOOKUP(A1912,'Equip, Herr y Transp'!$B$2:$D$218,2,0)</f>
        <v>EQU</v>
      </c>
      <c r="E1912" s="95">
        <f>VLOOKUP(A1912,'Equip, Herr y Transp'!$B$2:$D$218,3,0)</f>
        <v>23750</v>
      </c>
      <c r="F1912" s="96">
        <f>H1900</f>
        <v>6.25E-2</v>
      </c>
      <c r="G1912" s="122">
        <f>F1912*E1912</f>
        <v>1484.375</v>
      </c>
      <c r="H1912" s="117"/>
    </row>
    <row r="1913" spans="1:15" ht="16.5">
      <c r="A1913" s="540" t="s">
        <v>4100</v>
      </c>
      <c r="B1913" s="541"/>
      <c r="C1913" s="541"/>
      <c r="D1913" s="541"/>
      <c r="E1913" s="541"/>
      <c r="F1913" s="541"/>
      <c r="G1913" s="541"/>
      <c r="H1913" s="97">
        <f>SUM(G1910:G1912)</f>
        <v>4034.53125</v>
      </c>
    </row>
    <row r="1914" spans="1:15" ht="16.5">
      <c r="A1914" s="571" t="s">
        <v>4230</v>
      </c>
      <c r="B1914" s="572"/>
      <c r="C1914" s="572"/>
      <c r="D1914" s="572"/>
      <c r="E1914" s="572"/>
      <c r="F1914" s="572"/>
      <c r="G1914" s="572"/>
      <c r="H1914" s="573"/>
      <c r="K1914" s="56"/>
      <c r="L1914" s="56"/>
      <c r="M1914" s="56"/>
      <c r="N1914" s="56"/>
      <c r="O1914" s="56"/>
    </row>
    <row r="1915" spans="1:15" ht="30" customHeight="1">
      <c r="A1915" s="574" t="s">
        <v>7</v>
      </c>
      <c r="B1915" s="575"/>
      <c r="C1915" s="109" t="s">
        <v>0</v>
      </c>
      <c r="D1915" s="110" t="s">
        <v>4098</v>
      </c>
      <c r="E1915" s="111" t="s">
        <v>1</v>
      </c>
      <c r="F1915" s="576" t="s">
        <v>4218</v>
      </c>
      <c r="G1915" s="576"/>
      <c r="H1915" s="215"/>
      <c r="K1915" s="56"/>
      <c r="L1915" s="56"/>
      <c r="M1915" s="56"/>
      <c r="N1915" s="56"/>
      <c r="O1915" s="56"/>
    </row>
    <row r="1916" spans="1:15">
      <c r="A1916" s="577" t="s">
        <v>4715</v>
      </c>
      <c r="B1916" s="578"/>
      <c r="C1916" s="98" t="str">
        <f>VLOOKUP(A1916,'Materiales '!$C$2:$F$1302,3,0)</f>
        <v>Und</v>
      </c>
      <c r="D1916" s="99">
        <f>VLOOKUP(A1916,'Materiales '!$C$2:$F$1302,4,0)</f>
        <v>1010580.7250000001</v>
      </c>
      <c r="E1916" s="100">
        <v>1</v>
      </c>
      <c r="F1916" s="538">
        <f>E1916*D1916</f>
        <v>1010580.7250000001</v>
      </c>
      <c r="G1916" s="539"/>
      <c r="H1916" s="121"/>
      <c r="I1916">
        <f>E1916*G1907</f>
        <v>0</v>
      </c>
      <c r="J1916" s="67"/>
      <c r="K1916" s="56"/>
      <c r="L1916" s="56"/>
      <c r="M1916" s="56"/>
      <c r="N1916" s="56"/>
      <c r="O1916" s="56"/>
    </row>
    <row r="1917" spans="1:15">
      <c r="A1917" s="577" t="s">
        <v>4214</v>
      </c>
      <c r="B1917" s="578"/>
      <c r="C1917" s="98" t="str">
        <f>VLOOKUP(A1917,'Materiales '!$C$2:$F$1302,3,0)</f>
        <v>Und</v>
      </c>
      <c r="D1917" s="99">
        <f>VLOOKUP(A1917,'Materiales '!$C$2:$F$1302,4,0)</f>
        <v>22848</v>
      </c>
      <c r="E1917" s="100">
        <v>1</v>
      </c>
      <c r="F1917" s="538">
        <f t="shared" ref="F1917:F1923" si="112">E1917*D1917</f>
        <v>22848</v>
      </c>
      <c r="G1917" s="539"/>
      <c r="H1917" s="121"/>
      <c r="I1917">
        <f>E1917*G1907</f>
        <v>0</v>
      </c>
      <c r="J1917" s="67"/>
      <c r="K1917" s="56"/>
      <c r="L1917" s="56"/>
      <c r="M1917" s="56"/>
      <c r="N1917" s="56"/>
      <c r="O1917" s="56"/>
    </row>
    <row r="1918" spans="1:15">
      <c r="A1918" s="536" t="s">
        <v>4484</v>
      </c>
      <c r="B1918" s="537" t="str">
        <f>VLOOKUP(A1918,'Materiales '!$C$2:$F$1302,3,0)</f>
        <v>Und</v>
      </c>
      <c r="C1918" s="98" t="str">
        <f>VLOOKUP(A1918,'Materiales '!$C$2:$F$1302,3,0)</f>
        <v>Und</v>
      </c>
      <c r="D1918" s="99">
        <f>VLOOKUP(A1918,'Materiales '!$C$2:$F$1302,4,0)</f>
        <v>21705.599999999999</v>
      </c>
      <c r="E1918" s="100">
        <v>2</v>
      </c>
      <c r="F1918" s="538">
        <f t="shared" si="112"/>
        <v>43411.199999999997</v>
      </c>
      <c r="G1918" s="539"/>
      <c r="H1918" s="121"/>
      <c r="I1918">
        <f>E1918*G1907</f>
        <v>0</v>
      </c>
      <c r="J1918" s="68"/>
      <c r="K1918" s="56"/>
      <c r="L1918" s="56"/>
      <c r="M1918" s="56"/>
      <c r="N1918" s="56"/>
      <c r="O1918" s="56"/>
    </row>
    <row r="1919" spans="1:15">
      <c r="A1919" s="536" t="s">
        <v>4489</v>
      </c>
      <c r="B1919" s="537" t="str">
        <f>VLOOKUP(A1919,'Materiales '!$C$2:$F$1302,3,0)</f>
        <v>Und</v>
      </c>
      <c r="C1919" s="98" t="str">
        <f>VLOOKUP(A1919,'Materiales '!$C$2:$F$1302,3,0)</f>
        <v>Und</v>
      </c>
      <c r="D1919" s="99">
        <f>VLOOKUP(A1919,'Materiales '!$C$2:$F$1302,4,0)</f>
        <v>8039.6399999999994</v>
      </c>
      <c r="E1919" s="100">
        <v>3</v>
      </c>
      <c r="F1919" s="538">
        <f t="shared" si="112"/>
        <v>24118.92</v>
      </c>
      <c r="G1919" s="539"/>
      <c r="H1919" s="121"/>
      <c r="I1919">
        <f>E1919*G1907</f>
        <v>0</v>
      </c>
      <c r="J1919" s="68"/>
      <c r="K1919" s="56"/>
      <c r="L1919" s="56"/>
      <c r="M1919" s="56"/>
      <c r="N1919" s="56"/>
      <c r="O1919" s="56"/>
    </row>
    <row r="1920" spans="1:15">
      <c r="A1920" s="536" t="s">
        <v>4554</v>
      </c>
      <c r="B1920" s="537" t="str">
        <f>VLOOKUP(A1920,'Materiales '!$C$2:$F$1302,3,0)</f>
        <v>Und</v>
      </c>
      <c r="C1920" s="98" t="str">
        <f>VLOOKUP(A1920,'Materiales '!$C$2:$F$1302,3,0)</f>
        <v>Und</v>
      </c>
      <c r="D1920" s="99">
        <f>VLOOKUP(A1920,'Materiales '!$C$2:$F$1302,4,0)</f>
        <v>2535.5329999999999</v>
      </c>
      <c r="E1920" s="100">
        <v>2</v>
      </c>
      <c r="F1920" s="538">
        <f t="shared" si="112"/>
        <v>5071.0659999999998</v>
      </c>
      <c r="G1920" s="539"/>
      <c r="H1920" s="121"/>
      <c r="I1920">
        <f>E1920*G1907</f>
        <v>0</v>
      </c>
      <c r="J1920" s="68"/>
      <c r="K1920" s="56"/>
      <c r="L1920" s="56"/>
      <c r="M1920" s="56"/>
      <c r="N1920" s="56"/>
      <c r="O1920" s="56"/>
    </row>
    <row r="1921" spans="1:15">
      <c r="A1921" s="536" t="s">
        <v>4450</v>
      </c>
      <c r="B1921" s="537" t="str">
        <f>VLOOKUP(A1921,'Materiales '!$C$2:$F$1302,3,0)</f>
        <v>Ml</v>
      </c>
      <c r="C1921" s="98" t="str">
        <f>VLOOKUP(A1921,'Materiales '!$C$2:$F$1302,3,0)</f>
        <v>Ml</v>
      </c>
      <c r="D1921" s="99">
        <f>VLOOKUP(A1921,'Materiales '!$C$2:$F$1302,4,0)</f>
        <v>6791.5679999999993</v>
      </c>
      <c r="E1921" s="100">
        <v>1</v>
      </c>
      <c r="F1921" s="538">
        <f t="shared" si="112"/>
        <v>6791.5679999999993</v>
      </c>
      <c r="G1921" s="539"/>
      <c r="H1921" s="121"/>
      <c r="I1921">
        <f>E1921*G1907</f>
        <v>0</v>
      </c>
      <c r="J1921" s="68"/>
      <c r="K1921" s="56"/>
      <c r="L1921" s="56"/>
      <c r="M1921" s="56"/>
      <c r="N1921" s="56"/>
      <c r="O1921" s="56"/>
    </row>
    <row r="1922" spans="1:15">
      <c r="A1922" s="536" t="s">
        <v>4493</v>
      </c>
      <c r="B1922" s="537" t="str">
        <f>VLOOKUP(A1922,'Materiales '!$C$2:$F$1302,3,0)</f>
        <v>Und</v>
      </c>
      <c r="C1922" s="98" t="str">
        <f>VLOOKUP(A1922,'Materiales '!$C$2:$F$1302,3,0)</f>
        <v>Und</v>
      </c>
      <c r="D1922" s="99">
        <f>VLOOKUP(A1922,'Materiales '!$C$2:$F$1302,4,0)</f>
        <v>232.76399999999998</v>
      </c>
      <c r="E1922" s="100">
        <v>3</v>
      </c>
      <c r="F1922" s="538">
        <f t="shared" si="112"/>
        <v>698.29199999999992</v>
      </c>
      <c r="G1922" s="539"/>
      <c r="H1922" s="121"/>
      <c r="I1922">
        <f>E1922*G1907</f>
        <v>0</v>
      </c>
      <c r="J1922" s="68"/>
      <c r="K1922" s="56"/>
      <c r="L1922" s="56"/>
      <c r="M1922" s="56"/>
      <c r="N1922" s="56"/>
      <c r="O1922" s="56"/>
    </row>
    <row r="1923" spans="1:15" ht="21.75" customHeight="1">
      <c r="A1923" s="536" t="s">
        <v>4639</v>
      </c>
      <c r="B1923" s="537" t="str">
        <f>VLOOKUP(A1923,'Materiales '!$C$2:$F$1302,3,0)</f>
        <v>Und</v>
      </c>
      <c r="C1923" s="98" t="str">
        <f>VLOOKUP(A1923,'Materiales '!$C$2:$F$1302,3,0)</f>
        <v>Und</v>
      </c>
      <c r="D1923" s="99">
        <f>VLOOKUP(A1923,'Materiales '!$C$2:$F$1302,4,0)</f>
        <v>35700</v>
      </c>
      <c r="E1923" s="100">
        <v>1</v>
      </c>
      <c r="F1923" s="538">
        <f t="shared" si="112"/>
        <v>35700</v>
      </c>
      <c r="G1923" s="539"/>
      <c r="H1923" s="121"/>
      <c r="I1923">
        <f>E1923*G1907</f>
        <v>0</v>
      </c>
      <c r="J1923" s="68"/>
      <c r="K1923" s="56"/>
      <c r="L1923" s="56"/>
      <c r="M1923" s="56"/>
      <c r="N1923" s="56"/>
      <c r="O1923" s="56"/>
    </row>
    <row r="1924" spans="1:15">
      <c r="A1924" s="536" t="s">
        <v>8</v>
      </c>
      <c r="B1924" s="537" t="str">
        <f>VLOOKUP(A1924,'Materiales '!$C$2:$F$1302,3,0)</f>
        <v>-</v>
      </c>
      <c r="C1924" s="98" t="str">
        <f>VLOOKUP(A1924,'Materiales '!$C$2:$F$1302,3,0)</f>
        <v>-</v>
      </c>
      <c r="D1924" s="99">
        <f>VLOOKUP(A1924,'Materiales '!$C$2:$F$1302,4,0)</f>
        <v>0</v>
      </c>
      <c r="E1924" s="100"/>
      <c r="F1924" s="538">
        <f>E1924*D1924</f>
        <v>0</v>
      </c>
      <c r="G1924" s="539"/>
      <c r="H1924" s="120"/>
      <c r="I1924">
        <f>E1924*G1907</f>
        <v>0</v>
      </c>
      <c r="J1924" s="68"/>
      <c r="K1924" s="56"/>
      <c r="L1924" s="56"/>
      <c r="M1924" s="56"/>
      <c r="N1924" s="56"/>
      <c r="O1924" s="56"/>
    </row>
    <row r="1925" spans="1:15">
      <c r="A1925" s="536" t="s">
        <v>8</v>
      </c>
      <c r="B1925" s="537" t="str">
        <f>VLOOKUP(A1925,'Materiales '!$C$2:$F$1302,3,0)</f>
        <v>-</v>
      </c>
      <c r="C1925" s="98" t="str">
        <f>VLOOKUP(A1925,'Materiales '!$C$2:$F$1302,3,0)</f>
        <v>-</v>
      </c>
      <c r="D1925" s="99">
        <f>VLOOKUP(A1925,'Materiales '!$C$2:$F$1302,4,0)</f>
        <v>0</v>
      </c>
      <c r="E1925" s="100"/>
      <c r="F1925" s="538">
        <f t="shared" ref="F1925:F1928" si="113">E1925*D1925</f>
        <v>0</v>
      </c>
      <c r="G1925" s="539"/>
      <c r="H1925" s="121"/>
      <c r="I1925">
        <f>E1925*G1907</f>
        <v>0</v>
      </c>
      <c r="J1925" s="68"/>
      <c r="K1925" s="56"/>
      <c r="L1925" s="56"/>
      <c r="M1925" s="56"/>
      <c r="N1925" s="56"/>
      <c r="O1925" s="56"/>
    </row>
    <row r="1926" spans="1:15">
      <c r="A1926" s="536" t="s">
        <v>8</v>
      </c>
      <c r="B1926" s="537" t="str">
        <f>VLOOKUP(A1926,'Materiales '!$C$2:$F$1302,3,0)</f>
        <v>-</v>
      </c>
      <c r="C1926" s="98" t="str">
        <f>VLOOKUP(A1926,'Materiales '!$C$2:$F$1302,3,0)</f>
        <v>-</v>
      </c>
      <c r="D1926" s="99">
        <f>VLOOKUP(A1926,'Materiales '!$C$2:$F$1302,4,0)</f>
        <v>0</v>
      </c>
      <c r="E1926" s="100"/>
      <c r="F1926" s="538">
        <f t="shared" si="113"/>
        <v>0</v>
      </c>
      <c r="G1926" s="539"/>
      <c r="H1926" s="121"/>
      <c r="I1926">
        <f>E1926*G1907</f>
        <v>0</v>
      </c>
      <c r="J1926" s="68"/>
      <c r="K1926" s="56"/>
      <c r="L1926" s="56"/>
      <c r="M1926" s="56"/>
      <c r="N1926" s="56"/>
      <c r="O1926" s="56"/>
    </row>
    <row r="1927" spans="1:15">
      <c r="A1927" s="536" t="s">
        <v>8</v>
      </c>
      <c r="B1927" s="537" t="str">
        <f>VLOOKUP(A1927,'Materiales '!$C$2:$F$1302,3,0)</f>
        <v>-</v>
      </c>
      <c r="C1927" s="98" t="str">
        <f>VLOOKUP(A1927,'Materiales '!$C$2:$F$1302,3,0)</f>
        <v>-</v>
      </c>
      <c r="D1927" s="99">
        <f>VLOOKUP(A1927,'Materiales '!$C$2:$F$1302,4,0)</f>
        <v>0</v>
      </c>
      <c r="E1927" s="100"/>
      <c r="F1927" s="538">
        <f t="shared" si="113"/>
        <v>0</v>
      </c>
      <c r="G1927" s="539"/>
      <c r="H1927" s="121"/>
      <c r="I1927">
        <f>E1927*G1907</f>
        <v>0</v>
      </c>
      <c r="J1927" s="68"/>
      <c r="K1927" s="56"/>
      <c r="L1927" s="56"/>
      <c r="M1927" s="56"/>
      <c r="N1927" s="56"/>
      <c r="O1927" s="56"/>
    </row>
    <row r="1928" spans="1:15">
      <c r="A1928" s="536" t="s">
        <v>8</v>
      </c>
      <c r="B1928" s="537" t="str">
        <f>VLOOKUP(A1928,'Materiales '!$C$2:$F$1302,3,0)</f>
        <v>-</v>
      </c>
      <c r="C1928" s="98" t="str">
        <f>VLOOKUP(A1928,'Materiales '!$C$2:$F$1302,3,0)</f>
        <v>-</v>
      </c>
      <c r="D1928" s="99">
        <f>VLOOKUP(A1928,'Materiales '!$C$2:$F$1302,4,0)</f>
        <v>0</v>
      </c>
      <c r="E1928" s="100"/>
      <c r="F1928" s="538">
        <f t="shared" si="113"/>
        <v>0</v>
      </c>
      <c r="G1928" s="539"/>
      <c r="H1928" s="121"/>
      <c r="I1928">
        <f>E1928*G1907</f>
        <v>0</v>
      </c>
      <c r="J1928" s="68"/>
      <c r="K1928" s="56"/>
      <c r="L1928" s="56"/>
      <c r="M1928" s="56"/>
      <c r="N1928" s="56"/>
      <c r="O1928" s="56"/>
    </row>
    <row r="1929" spans="1:15">
      <c r="A1929" s="536" t="s">
        <v>8</v>
      </c>
      <c r="B1929" s="537" t="str">
        <f>VLOOKUP(A1929,'Materiales '!$C$2:$F$1302,3,0)</f>
        <v>-</v>
      </c>
      <c r="C1929" s="98" t="str">
        <f>VLOOKUP(A1929,'Materiales '!$C$2:$F$1302,3,0)</f>
        <v>-</v>
      </c>
      <c r="D1929" s="99">
        <f>VLOOKUP(A1929,'Materiales '!$C$2:$F$1302,4,0)</f>
        <v>0</v>
      </c>
      <c r="E1929" s="100"/>
      <c r="F1929" s="538">
        <f>E1929*D1929</f>
        <v>0</v>
      </c>
      <c r="G1929" s="539"/>
      <c r="H1929" s="120"/>
      <c r="I1929">
        <f>E1929*G1907</f>
        <v>0</v>
      </c>
      <c r="J1929" s="68"/>
      <c r="K1929" s="56"/>
      <c r="L1929" s="56"/>
      <c r="M1929" s="56"/>
      <c r="N1929" s="56"/>
      <c r="O1929" s="56"/>
    </row>
    <row r="1930" spans="1:15" ht="16.5">
      <c r="A1930" s="540" t="s">
        <v>4099</v>
      </c>
      <c r="B1930" s="541"/>
      <c r="C1930" s="541"/>
      <c r="D1930" s="541"/>
      <c r="E1930" s="541"/>
      <c r="F1930" s="541"/>
      <c r="G1930" s="542"/>
      <c r="H1930" s="116">
        <f>SUM(F1916:F1929)</f>
        <v>1149219.7709999999</v>
      </c>
      <c r="J1930" s="68"/>
      <c r="K1930" s="56"/>
      <c r="L1930" s="56"/>
      <c r="M1930" s="56"/>
      <c r="N1930" s="56"/>
      <c r="O1930" s="56"/>
    </row>
    <row r="1931" spans="1:15" ht="16.5">
      <c r="A1931" s="543" t="s">
        <v>4231</v>
      </c>
      <c r="B1931" s="544"/>
      <c r="C1931" s="544"/>
      <c r="D1931" s="544"/>
      <c r="E1931" s="545"/>
      <c r="F1931" s="544"/>
      <c r="G1931" s="544"/>
      <c r="H1931" s="546"/>
      <c r="J1931" s="68"/>
      <c r="K1931" s="56"/>
      <c r="L1931" s="56"/>
      <c r="M1931" s="56"/>
      <c r="N1931" s="56"/>
      <c r="O1931" s="56"/>
    </row>
    <row r="1932" spans="1:15">
      <c r="A1932" s="547" t="s">
        <v>7</v>
      </c>
      <c r="B1932" s="548"/>
      <c r="C1932" s="108" t="s">
        <v>4232</v>
      </c>
      <c r="D1932" s="107" t="s">
        <v>4233</v>
      </c>
      <c r="E1932" s="206" t="s">
        <v>4234</v>
      </c>
      <c r="F1932" s="549" t="s">
        <v>4218</v>
      </c>
      <c r="G1932" s="549"/>
      <c r="H1932" s="119"/>
      <c r="K1932" s="56"/>
      <c r="L1932" s="56"/>
      <c r="M1932" s="56"/>
      <c r="N1932" s="56"/>
      <c r="O1932" s="56"/>
    </row>
    <row r="1933" spans="1:15">
      <c r="A1933" s="550" t="s">
        <v>3928</v>
      </c>
      <c r="B1933" s="551"/>
      <c r="C1933" s="232">
        <v>1</v>
      </c>
      <c r="D1933" s="102">
        <v>0.03</v>
      </c>
      <c r="E1933" s="103">
        <f>VLOOKUP(A1933,'Equip, Herr y Transp'!$B$2:$D$218,3,0)</f>
        <v>160000</v>
      </c>
      <c r="F1933" s="552">
        <f>E1933*D1933*C1933</f>
        <v>4800</v>
      </c>
      <c r="G1933" s="553"/>
      <c r="H1933" s="117"/>
      <c r="M1933" s="56"/>
    </row>
    <row r="1934" spans="1:15" ht="16.5">
      <c r="A1934" s="554" t="s">
        <v>4216</v>
      </c>
      <c r="B1934" s="555"/>
      <c r="C1934" s="555"/>
      <c r="D1934" s="555"/>
      <c r="E1934" s="555"/>
      <c r="F1934" s="555"/>
      <c r="G1934" s="555"/>
      <c r="H1934" s="105">
        <f>F1933</f>
        <v>4800</v>
      </c>
    </row>
    <row r="1935" spans="1:15" ht="16.5">
      <c r="A1935" s="543" t="s">
        <v>4235</v>
      </c>
      <c r="B1935" s="544"/>
      <c r="C1935" s="544"/>
      <c r="D1935" s="544"/>
      <c r="E1935" s="544"/>
      <c r="F1935" s="544"/>
      <c r="G1935" s="544"/>
      <c r="H1935" s="546"/>
    </row>
    <row r="1936" spans="1:15">
      <c r="A1936" s="547" t="s">
        <v>7</v>
      </c>
      <c r="B1936" s="548"/>
      <c r="C1936" s="106" t="s">
        <v>1</v>
      </c>
      <c r="D1936" s="107" t="s">
        <v>4236</v>
      </c>
      <c r="E1936" s="108" t="s">
        <v>4215</v>
      </c>
      <c r="F1936" s="547" t="s">
        <v>5</v>
      </c>
      <c r="G1936" s="556"/>
      <c r="H1936" s="119"/>
    </row>
    <row r="1937" spans="1:10">
      <c r="A1937" s="550" t="s">
        <v>4196</v>
      </c>
      <c r="B1937" s="551"/>
      <c r="C1937" s="101">
        <v>1</v>
      </c>
      <c r="D1937" s="104">
        <f>VLOOKUP(A1937,'Mano Obra'!$B$2:$T$117,19,0)</f>
        <v>166624</v>
      </c>
      <c r="E1937" s="246">
        <f>H1900</f>
        <v>6.25E-2</v>
      </c>
      <c r="F1937" s="538">
        <f>E1937*D1937*C1937</f>
        <v>10414</v>
      </c>
      <c r="G1937" s="557"/>
      <c r="H1937" s="121"/>
      <c r="I1937" s="69"/>
      <c r="J1937" s="136">
        <f>((('Mano Obra'!$M$4/30)*F1937)/D1937)*G1907</f>
        <v>0</v>
      </c>
    </row>
    <row r="1938" spans="1:10">
      <c r="A1938" s="558" t="s">
        <v>4197</v>
      </c>
      <c r="B1938" s="559">
        <f>VLOOKUP(A1938,'Mano Obra'!$B$3:$D$290,2,0)</f>
        <v>2090000.0000000002</v>
      </c>
      <c r="C1938" s="101">
        <v>1</v>
      </c>
      <c r="D1938" s="104">
        <f>VLOOKUP(A1938,'Mano Obra'!$B$2:$T$117,19,0)</f>
        <v>120456</v>
      </c>
      <c r="E1938" s="246">
        <f>H1900</f>
        <v>6.25E-2</v>
      </c>
      <c r="F1938" s="538">
        <f t="shared" ref="F1938:F1939" si="114">E1938*D1938*C1938</f>
        <v>7528.5</v>
      </c>
      <c r="G1938" s="557"/>
      <c r="H1938" s="121"/>
      <c r="J1938" s="136">
        <f>((('Mano Obra'!$M$5/30)*F1938)/D1938)*G1907</f>
        <v>0</v>
      </c>
    </row>
    <row r="1939" spans="1:10">
      <c r="A1939" s="558" t="s">
        <v>4186</v>
      </c>
      <c r="B1939" s="559">
        <f>VLOOKUP(A1939,'Mano Obra'!$B$3:$D$290,2,0)</f>
        <v>1100000</v>
      </c>
      <c r="C1939" s="101">
        <v>1</v>
      </c>
      <c r="D1939" s="104">
        <f>VLOOKUP(A1939,'Mano Obra'!$B$2:$T$117,19,0)</f>
        <v>72664</v>
      </c>
      <c r="E1939" s="246">
        <f>H1900</f>
        <v>6.25E-2</v>
      </c>
      <c r="F1939" s="538">
        <f t="shared" si="114"/>
        <v>4541.5</v>
      </c>
      <c r="G1939" s="557"/>
      <c r="H1939" s="120"/>
      <c r="J1939" s="136">
        <f>((('Mano Obra'!$M$6/30)*F1939)/D1939)*G1907</f>
        <v>0</v>
      </c>
    </row>
    <row r="1940" spans="1:10" ht="16.5">
      <c r="A1940" s="560" t="s">
        <v>4101</v>
      </c>
      <c r="B1940" s="560"/>
      <c r="C1940" s="560"/>
      <c r="D1940" s="560"/>
      <c r="E1940" s="560"/>
      <c r="F1940" s="560"/>
      <c r="G1940" s="560"/>
      <c r="H1940" s="105">
        <f>SUM(F1937:F1939)</f>
        <v>22484</v>
      </c>
      <c r="J1940" s="136"/>
    </row>
    <row r="1941" spans="1:10">
      <c r="A1941" s="227" t="s">
        <v>4237</v>
      </c>
      <c r="B1941" s="205"/>
      <c r="C1941" s="205"/>
      <c r="D1941" s="202"/>
      <c r="E1941" s="203"/>
      <c r="F1941" s="204"/>
      <c r="G1941" s="203"/>
      <c r="H1941" s="212"/>
    </row>
    <row r="1942" spans="1:10">
      <c r="A1942" s="561" t="s">
        <v>4224</v>
      </c>
      <c r="B1942" s="562"/>
      <c r="C1942" s="562"/>
      <c r="D1942" s="562"/>
      <c r="E1942" s="200"/>
      <c r="F1942" s="201" t="s">
        <v>4238</v>
      </c>
      <c r="G1942" s="200" t="s">
        <v>4239</v>
      </c>
      <c r="H1942" s="213"/>
    </row>
    <row r="1943" spans="1:10">
      <c r="A1943" s="223" t="s">
        <v>4097</v>
      </c>
      <c r="B1943" s="72"/>
      <c r="C1943" s="72"/>
      <c r="D1943" s="73"/>
      <c r="E1943" s="78"/>
      <c r="F1943" s="79">
        <v>0</v>
      </c>
      <c r="G1943" s="80">
        <f>F1943*H1908</f>
        <v>0</v>
      </c>
      <c r="H1943" s="212"/>
    </row>
    <row r="1944" spans="1:10">
      <c r="A1944" s="224" t="s">
        <v>4240</v>
      </c>
      <c r="B1944" s="81"/>
      <c r="C1944" s="81"/>
      <c r="D1944" s="82"/>
      <c r="E1944" s="78"/>
      <c r="F1944" s="79">
        <v>0</v>
      </c>
      <c r="G1944" s="80">
        <f>F1944*H1908</f>
        <v>0</v>
      </c>
      <c r="H1944" s="212"/>
    </row>
    <row r="1945" spans="1:10">
      <c r="A1945" s="224" t="s">
        <v>4</v>
      </c>
      <c r="B1945" s="81"/>
      <c r="C1945" s="81"/>
      <c r="D1945" s="82"/>
      <c r="E1945" s="78"/>
      <c r="F1945" s="79">
        <v>0</v>
      </c>
      <c r="G1945" s="80">
        <f>F1945*H1908</f>
        <v>0</v>
      </c>
      <c r="H1945" s="212"/>
    </row>
    <row r="1946" spans="1:10">
      <c r="A1946" s="225"/>
      <c r="B1946" s="83"/>
      <c r="C1946" s="75"/>
      <c r="D1946" s="84"/>
      <c r="E1946" s="85"/>
      <c r="F1946" s="86"/>
      <c r="G1946" s="87"/>
      <c r="H1946" s="214"/>
    </row>
    <row r="1947" spans="1:10">
      <c r="A1947" s="226"/>
      <c r="B1947" s="83"/>
      <c r="C1947" s="83"/>
      <c r="D1947" s="84"/>
      <c r="E1947" s="88"/>
      <c r="F1947" s="563" t="s">
        <v>4241</v>
      </c>
      <c r="G1947" s="564"/>
      <c r="H1947" s="233">
        <f>H1908+G1943+G1944+G1945</f>
        <v>1180538.3022499999</v>
      </c>
    </row>
    <row r="1948" spans="1:10">
      <c r="A1948" s="83"/>
      <c r="B1948" s="83"/>
      <c r="C1948" s="83"/>
      <c r="D1948" s="84"/>
      <c r="E1948" s="388"/>
      <c r="F1948" s="389"/>
      <c r="G1948" s="389"/>
      <c r="H1948" s="390"/>
    </row>
    <row r="1949" spans="1:10" ht="16.5">
      <c r="A1949" s="90"/>
      <c r="B1949" s="90"/>
      <c r="C1949" s="90"/>
      <c r="D1949" s="90"/>
      <c r="E1949" s="90"/>
      <c r="F1949" s="90"/>
      <c r="G1949" s="90"/>
      <c r="H1949" s="381"/>
    </row>
    <row r="1950" spans="1:10">
      <c r="A1950" s="579" t="s">
        <v>4225</v>
      </c>
      <c r="B1950" s="580"/>
      <c r="C1950" s="580"/>
      <c r="D1950" s="580"/>
      <c r="E1950" s="580"/>
      <c r="F1950" s="580"/>
      <c r="G1950" s="580"/>
      <c r="H1950" s="581"/>
    </row>
    <row r="1951" spans="1:10" ht="16.5">
      <c r="A1951" s="91"/>
      <c r="B1951" s="92"/>
      <c r="C1951" s="92"/>
      <c r="D1951" s="92"/>
      <c r="E1951" s="92"/>
      <c r="F1951" s="93"/>
      <c r="G1951" s="94"/>
      <c r="H1951" s="380">
        <f>ROUND((30/60)/8,4)</f>
        <v>6.25E-2</v>
      </c>
      <c r="I1951" s="115"/>
    </row>
    <row r="1952" spans="1:10">
      <c r="A1952" s="582" t="s">
        <v>4220</v>
      </c>
      <c r="B1952" s="584" t="str">
        <f>COSTOS!$C$14</f>
        <v>MODERNIZACION A TECNOLOGIA LED</v>
      </c>
      <c r="C1952" s="584"/>
      <c r="D1952" s="584"/>
      <c r="E1952" s="584"/>
      <c r="F1952" s="584"/>
      <c r="G1952" s="584"/>
      <c r="H1952" s="585" t="s">
        <v>4221</v>
      </c>
    </row>
    <row r="1953" spans="1:15">
      <c r="A1953" s="583"/>
      <c r="B1953" s="584"/>
      <c r="C1953" s="584"/>
      <c r="D1953" s="584"/>
      <c r="E1953" s="584"/>
      <c r="F1953" s="584"/>
      <c r="G1953" s="584"/>
      <c r="H1953" s="585"/>
    </row>
    <row r="1954" spans="1:15">
      <c r="A1954" s="583"/>
      <c r="B1954" s="584"/>
      <c r="C1954" s="584"/>
      <c r="D1954" s="584"/>
      <c r="E1954" s="584"/>
      <c r="F1954" s="584"/>
      <c r="G1954" s="584"/>
      <c r="H1954" s="585"/>
    </row>
    <row r="1955" spans="1:15" ht="15" customHeight="1">
      <c r="A1955" s="583"/>
      <c r="B1955" s="584"/>
      <c r="C1955" s="584"/>
      <c r="D1955" s="584"/>
      <c r="E1955" s="584"/>
      <c r="F1955" s="584"/>
      <c r="G1955" s="584"/>
      <c r="H1955" s="216">
        <f ca="1">TODAY()</f>
        <v>44889</v>
      </c>
      <c r="K1955" t="s">
        <v>4391</v>
      </c>
      <c r="L1955" t="s">
        <v>4392</v>
      </c>
      <c r="M1955" t="s">
        <v>4393</v>
      </c>
      <c r="N1955" t="s">
        <v>4394</v>
      </c>
    </row>
    <row r="1956" spans="1:15" ht="60.75" customHeight="1">
      <c r="A1956" s="228" t="s">
        <v>4222</v>
      </c>
      <c r="B1956" s="565" t="str">
        <f>COSTOS!$D$16</f>
        <v>Luminarias</v>
      </c>
      <c r="C1956" s="565"/>
      <c r="D1956" s="565"/>
      <c r="E1956" s="565"/>
      <c r="F1956" s="565"/>
      <c r="G1956" s="70" t="s">
        <v>4223</v>
      </c>
      <c r="H1956" s="391">
        <v>1.39</v>
      </c>
      <c r="K1956" s="62">
        <f>H1981</f>
        <v>1303649.0459999999</v>
      </c>
      <c r="L1956" s="62">
        <f>H1991</f>
        <v>22484</v>
      </c>
      <c r="M1956" s="62">
        <f>H1964</f>
        <v>4034.53125</v>
      </c>
      <c r="N1956" s="62">
        <f>H1985</f>
        <v>4800</v>
      </c>
    </row>
    <row r="1957" spans="1:15" ht="43.15" customHeight="1">
      <c r="A1957" s="229" t="s">
        <v>4224</v>
      </c>
      <c r="B1957" s="566" t="str">
        <f>VLOOKUP(H1956,COSTOS!C:M,2,0)</f>
        <v>Reflector Led baja eficiencia 200w</v>
      </c>
      <c r="C1957" s="567"/>
      <c r="D1957" s="567"/>
      <c r="E1957" s="568"/>
      <c r="F1957" s="71" t="s">
        <v>0</v>
      </c>
      <c r="G1957" s="356" t="str">
        <f>VLOOKUP(H1956,COSTOS!C:M,8,0)</f>
        <v>Und</v>
      </c>
      <c r="H1957" s="276"/>
      <c r="I1957" s="306"/>
      <c r="J1957" s="308"/>
      <c r="K1957" s="308"/>
      <c r="L1957" s="308"/>
    </row>
    <row r="1958" spans="1:15">
      <c r="A1958" s="230"/>
      <c r="B1958" s="112"/>
      <c r="C1958" s="112"/>
      <c r="D1958" s="112"/>
      <c r="E1958" s="113"/>
      <c r="F1958" s="114" t="s">
        <v>1</v>
      </c>
      <c r="G1958" s="356">
        <f>VLOOKUP(H1956,COSTOS!C:M,9,0)</f>
        <v>0</v>
      </c>
      <c r="H1958" s="357"/>
      <c r="I1958" s="307"/>
    </row>
    <row r="1959" spans="1:15" ht="16.5">
      <c r="A1959" s="231" t="s">
        <v>4226</v>
      </c>
      <c r="B1959" s="75"/>
      <c r="C1959" s="75"/>
      <c r="D1959" s="76"/>
      <c r="E1959" s="209"/>
      <c r="F1959" s="210"/>
      <c r="G1959" s="211" t="s">
        <v>4227</v>
      </c>
      <c r="H1959" s="217">
        <f>H1964+H1981+H1985+H1991</f>
        <v>1334967.5772499999</v>
      </c>
    </row>
    <row r="1960" spans="1:15" ht="39">
      <c r="A1960" s="569" t="s">
        <v>4224</v>
      </c>
      <c r="B1960" s="569"/>
      <c r="C1960" s="569"/>
      <c r="D1960" s="77" t="s">
        <v>0</v>
      </c>
      <c r="E1960" s="207" t="s">
        <v>4228</v>
      </c>
      <c r="F1960" s="208" t="s">
        <v>4215</v>
      </c>
      <c r="G1960" s="74" t="s">
        <v>2</v>
      </c>
      <c r="H1960" s="218" t="s">
        <v>4229</v>
      </c>
      <c r="K1960" s="309"/>
    </row>
    <row r="1961" spans="1:15">
      <c r="A1961" s="536" t="s">
        <v>3946</v>
      </c>
      <c r="B1961" s="570" t="str">
        <f>VLOOKUP(A1961,'Equip, Herr y Transp'!$B$2:$D$739,2,0)</f>
        <v>EQU</v>
      </c>
      <c r="C1961" s="570"/>
      <c r="D1961" s="95" t="str">
        <f>VLOOKUP(A1961,'Equip, Herr y Transp'!$B$2:$D$218,2,0)</f>
        <v>EQU</v>
      </c>
      <c r="E1961" s="95">
        <f>VLOOKUP(A1961,'Equip, Herr y Transp'!$B$2:$D$218,3,0)</f>
        <v>14130</v>
      </c>
      <c r="F1961" s="96">
        <f>H1951</f>
        <v>6.25E-2</v>
      </c>
      <c r="G1961" s="122">
        <f>F1961*E1961</f>
        <v>883.125</v>
      </c>
      <c r="H1961" s="118"/>
    </row>
    <row r="1962" spans="1:15">
      <c r="A1962" s="536" t="s">
        <v>3904</v>
      </c>
      <c r="B1962" s="570" t="str">
        <f>VLOOKUP(A1962,'Equip, Herr y Transp'!$B$2:$D$739,2,0)</f>
        <v>EQU</v>
      </c>
      <c r="C1962" s="570"/>
      <c r="D1962" s="95" t="str">
        <f>VLOOKUP(A1962,'Equip, Herr y Transp'!$B$2:$D$218,2,0)</f>
        <v>EQU</v>
      </c>
      <c r="E1962" s="95">
        <f>VLOOKUP(A1962,'Equip, Herr y Transp'!$B$2:$D$218,3,0)</f>
        <v>26672.5</v>
      </c>
      <c r="F1962" s="96">
        <f>H1951</f>
        <v>6.25E-2</v>
      </c>
      <c r="G1962" s="122">
        <f>F1962*E1962</f>
        <v>1667.03125</v>
      </c>
      <c r="H1962" s="117"/>
    </row>
    <row r="1963" spans="1:15">
      <c r="A1963" s="536" t="s">
        <v>3937</v>
      </c>
      <c r="B1963" s="570" t="str">
        <f>VLOOKUP(A1963,'Equip, Herr y Transp'!$B$2:$D$739,2,0)</f>
        <v>EQU</v>
      </c>
      <c r="C1963" s="570"/>
      <c r="D1963" s="95" t="str">
        <f>VLOOKUP(A1963,'Equip, Herr y Transp'!$B$2:$D$218,2,0)</f>
        <v>EQU</v>
      </c>
      <c r="E1963" s="95">
        <f>VLOOKUP(A1963,'Equip, Herr y Transp'!$B$2:$D$218,3,0)</f>
        <v>23750</v>
      </c>
      <c r="F1963" s="96">
        <f>H1951</f>
        <v>6.25E-2</v>
      </c>
      <c r="G1963" s="122">
        <f>F1963*E1963</f>
        <v>1484.375</v>
      </c>
      <c r="H1963" s="117"/>
    </row>
    <row r="1964" spans="1:15" ht="16.5">
      <c r="A1964" s="540" t="s">
        <v>4100</v>
      </c>
      <c r="B1964" s="541"/>
      <c r="C1964" s="541"/>
      <c r="D1964" s="541"/>
      <c r="E1964" s="541"/>
      <c r="F1964" s="541"/>
      <c r="G1964" s="541"/>
      <c r="H1964" s="97">
        <f>SUM(G1961:G1963)</f>
        <v>4034.53125</v>
      </c>
    </row>
    <row r="1965" spans="1:15" ht="16.5">
      <c r="A1965" s="571" t="s">
        <v>4230</v>
      </c>
      <c r="B1965" s="572"/>
      <c r="C1965" s="572"/>
      <c r="D1965" s="572"/>
      <c r="E1965" s="572"/>
      <c r="F1965" s="572"/>
      <c r="G1965" s="572"/>
      <c r="H1965" s="573"/>
      <c r="K1965" s="56"/>
      <c r="L1965" s="56"/>
      <c r="M1965" s="56"/>
      <c r="N1965" s="56"/>
      <c r="O1965" s="56"/>
    </row>
    <row r="1966" spans="1:15" ht="30" customHeight="1">
      <c r="A1966" s="574" t="s">
        <v>7</v>
      </c>
      <c r="B1966" s="575"/>
      <c r="C1966" s="109" t="s">
        <v>0</v>
      </c>
      <c r="D1966" s="110" t="s">
        <v>4098</v>
      </c>
      <c r="E1966" s="111" t="s">
        <v>1</v>
      </c>
      <c r="F1966" s="576" t="s">
        <v>4218</v>
      </c>
      <c r="G1966" s="576"/>
      <c r="H1966" s="215"/>
      <c r="K1966" s="56"/>
      <c r="L1966" s="56"/>
      <c r="M1966" s="56"/>
      <c r="N1966" s="56"/>
      <c r="O1966" s="56"/>
    </row>
    <row r="1967" spans="1:15">
      <c r="A1967" s="577" t="s">
        <v>4716</v>
      </c>
      <c r="B1967" s="578"/>
      <c r="C1967" s="98" t="str">
        <f>VLOOKUP(A1967,'Materiales '!$C$2:$F$1302,3,0)</f>
        <v>Und</v>
      </c>
      <c r="D1967" s="99">
        <f>VLOOKUP(A1967,'Materiales '!$C$2:$F$1302,4,0)</f>
        <v>1165010</v>
      </c>
      <c r="E1967" s="100">
        <v>1</v>
      </c>
      <c r="F1967" s="538">
        <f>E1967*D1967</f>
        <v>1165010</v>
      </c>
      <c r="G1967" s="539"/>
      <c r="H1967" s="121"/>
      <c r="I1967">
        <f>E1967*G1958</f>
        <v>0</v>
      </c>
      <c r="J1967" s="67"/>
      <c r="K1967" s="56"/>
      <c r="L1967" s="56"/>
      <c r="M1967" s="56"/>
      <c r="N1967" s="56"/>
      <c r="O1967" s="56"/>
    </row>
    <row r="1968" spans="1:15">
      <c r="A1968" s="577" t="s">
        <v>4214</v>
      </c>
      <c r="B1968" s="578"/>
      <c r="C1968" s="98" t="str">
        <f>VLOOKUP(A1968,'Materiales '!$C$2:$F$1302,3,0)</f>
        <v>Und</v>
      </c>
      <c r="D1968" s="99">
        <f>VLOOKUP(A1968,'Materiales '!$C$2:$F$1302,4,0)</f>
        <v>22848</v>
      </c>
      <c r="E1968" s="100">
        <v>1</v>
      </c>
      <c r="F1968" s="538">
        <f t="shared" ref="F1968:F1974" si="115">E1968*D1968</f>
        <v>22848</v>
      </c>
      <c r="G1968" s="539"/>
      <c r="H1968" s="121"/>
      <c r="I1968">
        <f>E1968*G1958</f>
        <v>0</v>
      </c>
      <c r="J1968" s="67"/>
      <c r="K1968" s="56"/>
      <c r="L1968" s="56"/>
      <c r="M1968" s="56"/>
      <c r="N1968" s="56"/>
      <c r="O1968" s="56"/>
    </row>
    <row r="1969" spans="1:15">
      <c r="A1969" s="536" t="s">
        <v>4484</v>
      </c>
      <c r="B1969" s="537" t="str">
        <f>VLOOKUP(A1969,'Materiales '!$C$2:$F$1302,3,0)</f>
        <v>Und</v>
      </c>
      <c r="C1969" s="98" t="str">
        <f>VLOOKUP(A1969,'Materiales '!$C$2:$F$1302,3,0)</f>
        <v>Und</v>
      </c>
      <c r="D1969" s="99">
        <f>VLOOKUP(A1969,'Materiales '!$C$2:$F$1302,4,0)</f>
        <v>21705.599999999999</v>
      </c>
      <c r="E1969" s="100">
        <v>2</v>
      </c>
      <c r="F1969" s="538">
        <f t="shared" si="115"/>
        <v>43411.199999999997</v>
      </c>
      <c r="G1969" s="539"/>
      <c r="H1969" s="121"/>
      <c r="I1969">
        <f>E1969*G1958</f>
        <v>0</v>
      </c>
      <c r="J1969" s="68"/>
      <c r="K1969" s="56"/>
      <c r="L1969" s="56"/>
      <c r="M1969" s="56"/>
      <c r="N1969" s="56"/>
      <c r="O1969" s="56"/>
    </row>
    <row r="1970" spans="1:15">
      <c r="A1970" s="536" t="s">
        <v>4489</v>
      </c>
      <c r="B1970" s="537" t="str">
        <f>VLOOKUP(A1970,'Materiales '!$C$2:$F$1302,3,0)</f>
        <v>Und</v>
      </c>
      <c r="C1970" s="98" t="str">
        <f>VLOOKUP(A1970,'Materiales '!$C$2:$F$1302,3,0)</f>
        <v>Und</v>
      </c>
      <c r="D1970" s="99">
        <f>VLOOKUP(A1970,'Materiales '!$C$2:$F$1302,4,0)</f>
        <v>8039.6399999999994</v>
      </c>
      <c r="E1970" s="100">
        <v>3</v>
      </c>
      <c r="F1970" s="538">
        <f t="shared" si="115"/>
        <v>24118.92</v>
      </c>
      <c r="G1970" s="539"/>
      <c r="H1970" s="121"/>
      <c r="I1970">
        <f>E1970*G1958</f>
        <v>0</v>
      </c>
      <c r="J1970" s="68"/>
      <c r="K1970" s="56"/>
      <c r="L1970" s="56"/>
      <c r="M1970" s="56"/>
      <c r="N1970" s="56"/>
      <c r="O1970" s="56"/>
    </row>
    <row r="1971" spans="1:15">
      <c r="A1971" s="536" t="s">
        <v>4554</v>
      </c>
      <c r="B1971" s="537" t="str">
        <f>VLOOKUP(A1971,'Materiales '!$C$2:$F$1302,3,0)</f>
        <v>Und</v>
      </c>
      <c r="C1971" s="98" t="str">
        <f>VLOOKUP(A1971,'Materiales '!$C$2:$F$1302,3,0)</f>
        <v>Und</v>
      </c>
      <c r="D1971" s="99">
        <f>VLOOKUP(A1971,'Materiales '!$C$2:$F$1302,4,0)</f>
        <v>2535.5329999999999</v>
      </c>
      <c r="E1971" s="100">
        <v>2</v>
      </c>
      <c r="F1971" s="538">
        <f t="shared" si="115"/>
        <v>5071.0659999999998</v>
      </c>
      <c r="G1971" s="539"/>
      <c r="H1971" s="121"/>
      <c r="I1971">
        <f>E1971*G1958</f>
        <v>0</v>
      </c>
      <c r="J1971" s="68"/>
      <c r="K1971" s="56"/>
      <c r="L1971" s="56"/>
      <c r="M1971" s="56"/>
      <c r="N1971" s="56"/>
      <c r="O1971" s="56"/>
    </row>
    <row r="1972" spans="1:15">
      <c r="A1972" s="536" t="s">
        <v>4450</v>
      </c>
      <c r="B1972" s="537" t="str">
        <f>VLOOKUP(A1972,'Materiales '!$C$2:$F$1302,3,0)</f>
        <v>Ml</v>
      </c>
      <c r="C1972" s="98" t="str">
        <f>VLOOKUP(A1972,'Materiales '!$C$2:$F$1302,3,0)</f>
        <v>Ml</v>
      </c>
      <c r="D1972" s="99">
        <f>VLOOKUP(A1972,'Materiales '!$C$2:$F$1302,4,0)</f>
        <v>6791.5679999999993</v>
      </c>
      <c r="E1972" s="100">
        <v>1</v>
      </c>
      <c r="F1972" s="538">
        <f t="shared" si="115"/>
        <v>6791.5679999999993</v>
      </c>
      <c r="G1972" s="539"/>
      <c r="H1972" s="121"/>
      <c r="I1972">
        <f>E1972*G1958</f>
        <v>0</v>
      </c>
      <c r="J1972" s="68"/>
      <c r="K1972" s="56"/>
      <c r="L1972" s="56"/>
      <c r="M1972" s="56"/>
      <c r="N1972" s="56"/>
      <c r="O1972" s="56"/>
    </row>
    <row r="1973" spans="1:15">
      <c r="A1973" s="536" t="s">
        <v>4493</v>
      </c>
      <c r="B1973" s="537" t="str">
        <f>VLOOKUP(A1973,'Materiales '!$C$2:$F$1302,3,0)</f>
        <v>Und</v>
      </c>
      <c r="C1973" s="98" t="str">
        <f>VLOOKUP(A1973,'Materiales '!$C$2:$F$1302,3,0)</f>
        <v>Und</v>
      </c>
      <c r="D1973" s="99">
        <f>VLOOKUP(A1973,'Materiales '!$C$2:$F$1302,4,0)</f>
        <v>232.76399999999998</v>
      </c>
      <c r="E1973" s="100">
        <v>3</v>
      </c>
      <c r="F1973" s="538">
        <f t="shared" si="115"/>
        <v>698.29199999999992</v>
      </c>
      <c r="G1973" s="539"/>
      <c r="H1973" s="121"/>
      <c r="I1973">
        <f>E1973*G1958</f>
        <v>0</v>
      </c>
      <c r="J1973" s="68"/>
      <c r="K1973" s="56"/>
      <c r="L1973" s="56"/>
      <c r="M1973" s="56"/>
      <c r="N1973" s="56"/>
      <c r="O1973" s="56"/>
    </row>
    <row r="1974" spans="1:15" ht="21.75" customHeight="1">
      <c r="A1974" s="536" t="s">
        <v>4639</v>
      </c>
      <c r="B1974" s="537" t="str">
        <f>VLOOKUP(A1974,'Materiales '!$C$2:$F$1302,3,0)</f>
        <v>Und</v>
      </c>
      <c r="C1974" s="98" t="str">
        <f>VLOOKUP(A1974,'Materiales '!$C$2:$F$1302,3,0)</f>
        <v>Und</v>
      </c>
      <c r="D1974" s="99">
        <f>VLOOKUP(A1974,'Materiales '!$C$2:$F$1302,4,0)</f>
        <v>35700</v>
      </c>
      <c r="E1974" s="100">
        <v>1</v>
      </c>
      <c r="F1974" s="538">
        <f t="shared" si="115"/>
        <v>35700</v>
      </c>
      <c r="G1974" s="539"/>
      <c r="H1974" s="121"/>
      <c r="I1974">
        <f>E1974*G1958</f>
        <v>0</v>
      </c>
      <c r="J1974" s="68"/>
      <c r="K1974" s="56"/>
      <c r="L1974" s="56"/>
      <c r="M1974" s="56"/>
      <c r="N1974" s="56"/>
      <c r="O1974" s="56"/>
    </row>
    <row r="1975" spans="1:15">
      <c r="A1975" s="536" t="s">
        <v>8</v>
      </c>
      <c r="B1975" s="537" t="str">
        <f>VLOOKUP(A1975,'Materiales '!$C$2:$F$1302,3,0)</f>
        <v>-</v>
      </c>
      <c r="C1975" s="98" t="str">
        <f>VLOOKUP(A1975,'Materiales '!$C$2:$F$1302,3,0)</f>
        <v>-</v>
      </c>
      <c r="D1975" s="99">
        <f>VLOOKUP(A1975,'Materiales '!$C$2:$F$1302,4,0)</f>
        <v>0</v>
      </c>
      <c r="E1975" s="100"/>
      <c r="F1975" s="538">
        <f>E1975*D1975</f>
        <v>0</v>
      </c>
      <c r="G1975" s="539"/>
      <c r="H1975" s="120"/>
      <c r="I1975">
        <f>E1975*G1958</f>
        <v>0</v>
      </c>
      <c r="J1975" s="68"/>
      <c r="K1975" s="56"/>
      <c r="L1975" s="56"/>
      <c r="M1975" s="56"/>
      <c r="N1975" s="56"/>
      <c r="O1975" s="56"/>
    </row>
    <row r="1976" spans="1:15">
      <c r="A1976" s="536" t="s">
        <v>8</v>
      </c>
      <c r="B1976" s="537" t="str">
        <f>VLOOKUP(A1976,'Materiales '!$C$2:$F$1302,3,0)</f>
        <v>-</v>
      </c>
      <c r="C1976" s="98" t="str">
        <f>VLOOKUP(A1976,'Materiales '!$C$2:$F$1302,3,0)</f>
        <v>-</v>
      </c>
      <c r="D1976" s="99">
        <f>VLOOKUP(A1976,'Materiales '!$C$2:$F$1302,4,0)</f>
        <v>0</v>
      </c>
      <c r="E1976" s="100"/>
      <c r="F1976" s="538">
        <f t="shared" ref="F1976:F1979" si="116">E1976*D1976</f>
        <v>0</v>
      </c>
      <c r="G1976" s="539"/>
      <c r="H1976" s="121"/>
      <c r="I1976">
        <f>E1976*G1958</f>
        <v>0</v>
      </c>
      <c r="J1976" s="68"/>
      <c r="K1976" s="56"/>
      <c r="L1976" s="56"/>
      <c r="M1976" s="56"/>
      <c r="N1976" s="56"/>
      <c r="O1976" s="56"/>
    </row>
    <row r="1977" spans="1:15">
      <c r="A1977" s="536" t="s">
        <v>8</v>
      </c>
      <c r="B1977" s="537" t="str">
        <f>VLOOKUP(A1977,'Materiales '!$C$2:$F$1302,3,0)</f>
        <v>-</v>
      </c>
      <c r="C1977" s="98" t="str">
        <f>VLOOKUP(A1977,'Materiales '!$C$2:$F$1302,3,0)</f>
        <v>-</v>
      </c>
      <c r="D1977" s="99">
        <f>VLOOKUP(A1977,'Materiales '!$C$2:$F$1302,4,0)</f>
        <v>0</v>
      </c>
      <c r="E1977" s="100"/>
      <c r="F1977" s="538">
        <f t="shared" si="116"/>
        <v>0</v>
      </c>
      <c r="G1977" s="539"/>
      <c r="H1977" s="121"/>
      <c r="I1977">
        <f>E1977*G1958</f>
        <v>0</v>
      </c>
      <c r="J1977" s="68"/>
      <c r="K1977" s="56"/>
      <c r="L1977" s="56"/>
      <c r="M1977" s="56"/>
      <c r="N1977" s="56"/>
      <c r="O1977" s="56"/>
    </row>
    <row r="1978" spans="1:15">
      <c r="A1978" s="536" t="s">
        <v>8</v>
      </c>
      <c r="B1978" s="537" t="str">
        <f>VLOOKUP(A1978,'Materiales '!$C$2:$F$1302,3,0)</f>
        <v>-</v>
      </c>
      <c r="C1978" s="98" t="str">
        <f>VLOOKUP(A1978,'Materiales '!$C$2:$F$1302,3,0)</f>
        <v>-</v>
      </c>
      <c r="D1978" s="99">
        <f>VLOOKUP(A1978,'Materiales '!$C$2:$F$1302,4,0)</f>
        <v>0</v>
      </c>
      <c r="E1978" s="100"/>
      <c r="F1978" s="538">
        <f t="shared" si="116"/>
        <v>0</v>
      </c>
      <c r="G1978" s="539"/>
      <c r="H1978" s="121"/>
      <c r="I1978">
        <f>E1978*G1958</f>
        <v>0</v>
      </c>
      <c r="J1978" s="68"/>
      <c r="K1978" s="56"/>
      <c r="L1978" s="56"/>
      <c r="M1978" s="56"/>
      <c r="N1978" s="56"/>
      <c r="O1978" s="56"/>
    </row>
    <row r="1979" spans="1:15">
      <c r="A1979" s="536" t="s">
        <v>8</v>
      </c>
      <c r="B1979" s="537" t="str">
        <f>VLOOKUP(A1979,'Materiales '!$C$2:$F$1302,3,0)</f>
        <v>-</v>
      </c>
      <c r="C1979" s="98" t="str">
        <f>VLOOKUP(A1979,'Materiales '!$C$2:$F$1302,3,0)</f>
        <v>-</v>
      </c>
      <c r="D1979" s="99">
        <f>VLOOKUP(A1979,'Materiales '!$C$2:$F$1302,4,0)</f>
        <v>0</v>
      </c>
      <c r="E1979" s="100"/>
      <c r="F1979" s="538">
        <f t="shared" si="116"/>
        <v>0</v>
      </c>
      <c r="G1979" s="539"/>
      <c r="H1979" s="121"/>
      <c r="I1979">
        <f>E1979*G1958</f>
        <v>0</v>
      </c>
      <c r="J1979" s="68"/>
      <c r="K1979" s="56"/>
      <c r="L1979" s="56"/>
      <c r="M1979" s="56"/>
      <c r="N1979" s="56"/>
      <c r="O1979" s="56"/>
    </row>
    <row r="1980" spans="1:15">
      <c r="A1980" s="536" t="s">
        <v>8</v>
      </c>
      <c r="B1980" s="537" t="str">
        <f>VLOOKUP(A1980,'Materiales '!$C$2:$F$1302,3,0)</f>
        <v>-</v>
      </c>
      <c r="C1980" s="98" t="str">
        <f>VLOOKUP(A1980,'Materiales '!$C$2:$F$1302,3,0)</f>
        <v>-</v>
      </c>
      <c r="D1980" s="99">
        <f>VLOOKUP(A1980,'Materiales '!$C$2:$F$1302,4,0)</f>
        <v>0</v>
      </c>
      <c r="E1980" s="100"/>
      <c r="F1980" s="538">
        <f>E1980*D1980</f>
        <v>0</v>
      </c>
      <c r="G1980" s="539"/>
      <c r="H1980" s="120"/>
      <c r="I1980">
        <f>E1980*G1958</f>
        <v>0</v>
      </c>
      <c r="J1980" s="68"/>
      <c r="K1980" s="56"/>
      <c r="L1980" s="56"/>
      <c r="M1980" s="56"/>
      <c r="N1980" s="56"/>
      <c r="O1980" s="56"/>
    </row>
    <row r="1981" spans="1:15" ht="16.5">
      <c r="A1981" s="540" t="s">
        <v>4099</v>
      </c>
      <c r="B1981" s="541"/>
      <c r="C1981" s="541"/>
      <c r="D1981" s="541"/>
      <c r="E1981" s="541"/>
      <c r="F1981" s="541"/>
      <c r="G1981" s="542"/>
      <c r="H1981" s="116">
        <f>SUM(F1967:F1980)</f>
        <v>1303649.0459999999</v>
      </c>
      <c r="J1981" s="68"/>
      <c r="K1981" s="56"/>
      <c r="L1981" s="56"/>
      <c r="M1981" s="56"/>
      <c r="N1981" s="56"/>
      <c r="O1981" s="56"/>
    </row>
    <row r="1982" spans="1:15" ht="16.5">
      <c r="A1982" s="543" t="s">
        <v>4231</v>
      </c>
      <c r="B1982" s="544"/>
      <c r="C1982" s="544"/>
      <c r="D1982" s="544"/>
      <c r="E1982" s="545"/>
      <c r="F1982" s="544"/>
      <c r="G1982" s="544"/>
      <c r="H1982" s="546"/>
      <c r="J1982" s="68"/>
      <c r="K1982" s="56"/>
      <c r="L1982" s="56"/>
      <c r="M1982" s="56"/>
      <c r="N1982" s="56"/>
      <c r="O1982" s="56"/>
    </row>
    <row r="1983" spans="1:15">
      <c r="A1983" s="547" t="s">
        <v>7</v>
      </c>
      <c r="B1983" s="548"/>
      <c r="C1983" s="108" t="s">
        <v>4232</v>
      </c>
      <c r="D1983" s="107" t="s">
        <v>4233</v>
      </c>
      <c r="E1983" s="206" t="s">
        <v>4234</v>
      </c>
      <c r="F1983" s="549" t="s">
        <v>4218</v>
      </c>
      <c r="G1983" s="549"/>
      <c r="H1983" s="119"/>
      <c r="K1983" s="56"/>
      <c r="L1983" s="56"/>
      <c r="M1983" s="56"/>
      <c r="N1983" s="56"/>
      <c r="O1983" s="56"/>
    </row>
    <row r="1984" spans="1:15">
      <c r="A1984" s="550" t="s">
        <v>3928</v>
      </c>
      <c r="B1984" s="551"/>
      <c r="C1984" s="232">
        <v>1</v>
      </c>
      <c r="D1984" s="102">
        <v>0.03</v>
      </c>
      <c r="E1984" s="103">
        <f>VLOOKUP(A1984,'Equip, Herr y Transp'!$B$2:$D$218,3,0)</f>
        <v>160000</v>
      </c>
      <c r="F1984" s="552">
        <f>E1984*D1984*C1984</f>
        <v>4800</v>
      </c>
      <c r="G1984" s="553"/>
      <c r="H1984" s="117"/>
      <c r="M1984" s="56"/>
    </row>
    <row r="1985" spans="1:10" ht="16.5">
      <c r="A1985" s="554" t="s">
        <v>4216</v>
      </c>
      <c r="B1985" s="555"/>
      <c r="C1985" s="555"/>
      <c r="D1985" s="555"/>
      <c r="E1985" s="555"/>
      <c r="F1985" s="555"/>
      <c r="G1985" s="555"/>
      <c r="H1985" s="105">
        <f>F1984</f>
        <v>4800</v>
      </c>
    </row>
    <row r="1986" spans="1:10" ht="16.5">
      <c r="A1986" s="543" t="s">
        <v>4235</v>
      </c>
      <c r="B1986" s="544"/>
      <c r="C1986" s="544"/>
      <c r="D1986" s="544"/>
      <c r="E1986" s="544"/>
      <c r="F1986" s="544"/>
      <c r="G1986" s="544"/>
      <c r="H1986" s="546"/>
    </row>
    <row r="1987" spans="1:10">
      <c r="A1987" s="547" t="s">
        <v>7</v>
      </c>
      <c r="B1987" s="548"/>
      <c r="C1987" s="106" t="s">
        <v>1</v>
      </c>
      <c r="D1987" s="107" t="s">
        <v>4236</v>
      </c>
      <c r="E1987" s="108" t="s">
        <v>4215</v>
      </c>
      <c r="F1987" s="547" t="s">
        <v>5</v>
      </c>
      <c r="G1987" s="556"/>
      <c r="H1987" s="119"/>
    </row>
    <row r="1988" spans="1:10">
      <c r="A1988" s="550" t="s">
        <v>4196</v>
      </c>
      <c r="B1988" s="551"/>
      <c r="C1988" s="101">
        <v>1</v>
      </c>
      <c r="D1988" s="104">
        <f>VLOOKUP(A1988,'Mano Obra'!$B$2:$T$117,19,0)</f>
        <v>166624</v>
      </c>
      <c r="E1988" s="246">
        <f>H1951</f>
        <v>6.25E-2</v>
      </c>
      <c r="F1988" s="538">
        <f>E1988*D1988*C1988</f>
        <v>10414</v>
      </c>
      <c r="G1988" s="557"/>
      <c r="H1988" s="121"/>
      <c r="I1988" s="69"/>
      <c r="J1988" s="136">
        <f>((('Mano Obra'!$M$4/30)*F1988)/D1988)*G1958</f>
        <v>0</v>
      </c>
    </row>
    <row r="1989" spans="1:10">
      <c r="A1989" s="558" t="s">
        <v>4197</v>
      </c>
      <c r="B1989" s="559">
        <f>VLOOKUP(A1989,'Mano Obra'!$B$3:$D$290,2,0)</f>
        <v>2090000.0000000002</v>
      </c>
      <c r="C1989" s="101">
        <v>1</v>
      </c>
      <c r="D1989" s="104">
        <f>VLOOKUP(A1989,'Mano Obra'!$B$2:$T$117,19,0)</f>
        <v>120456</v>
      </c>
      <c r="E1989" s="246">
        <f>H1951</f>
        <v>6.25E-2</v>
      </c>
      <c r="F1989" s="538">
        <f t="shared" ref="F1989:F1990" si="117">E1989*D1989*C1989</f>
        <v>7528.5</v>
      </c>
      <c r="G1989" s="557"/>
      <c r="H1989" s="121"/>
      <c r="J1989" s="136">
        <f>((('Mano Obra'!$M$5/30)*F1989)/D1989)*G1958</f>
        <v>0</v>
      </c>
    </row>
    <row r="1990" spans="1:10">
      <c r="A1990" s="558" t="s">
        <v>4186</v>
      </c>
      <c r="B1990" s="559">
        <f>VLOOKUP(A1990,'Mano Obra'!$B$3:$D$290,2,0)</f>
        <v>1100000</v>
      </c>
      <c r="C1990" s="101">
        <v>1</v>
      </c>
      <c r="D1990" s="104">
        <f>VLOOKUP(A1990,'Mano Obra'!$B$2:$T$117,19,0)</f>
        <v>72664</v>
      </c>
      <c r="E1990" s="246">
        <f>H1951</f>
        <v>6.25E-2</v>
      </c>
      <c r="F1990" s="538">
        <f t="shared" si="117"/>
        <v>4541.5</v>
      </c>
      <c r="G1990" s="557"/>
      <c r="H1990" s="120"/>
      <c r="J1990" s="136">
        <f>((('Mano Obra'!$M$6/30)*F1990)/D1990)*G1958</f>
        <v>0</v>
      </c>
    </row>
    <row r="1991" spans="1:10" ht="16.5">
      <c r="A1991" s="560" t="s">
        <v>4101</v>
      </c>
      <c r="B1991" s="560"/>
      <c r="C1991" s="560"/>
      <c r="D1991" s="560"/>
      <c r="E1991" s="560"/>
      <c r="F1991" s="560"/>
      <c r="G1991" s="560"/>
      <c r="H1991" s="105">
        <f>SUM(F1988:F1990)</f>
        <v>22484</v>
      </c>
      <c r="J1991" s="136"/>
    </row>
    <row r="1992" spans="1:10">
      <c r="A1992" s="227" t="s">
        <v>4237</v>
      </c>
      <c r="B1992" s="205"/>
      <c r="C1992" s="205"/>
      <c r="D1992" s="202"/>
      <c r="E1992" s="203"/>
      <c r="F1992" s="204"/>
      <c r="G1992" s="203"/>
      <c r="H1992" s="212"/>
    </row>
    <row r="1993" spans="1:10">
      <c r="A1993" s="561" t="s">
        <v>4224</v>
      </c>
      <c r="B1993" s="562"/>
      <c r="C1993" s="562"/>
      <c r="D1993" s="562"/>
      <c r="E1993" s="200"/>
      <c r="F1993" s="201" t="s">
        <v>4238</v>
      </c>
      <c r="G1993" s="200" t="s">
        <v>4239</v>
      </c>
      <c r="H1993" s="213"/>
    </row>
    <row r="1994" spans="1:10">
      <c r="A1994" s="223" t="s">
        <v>4097</v>
      </c>
      <c r="B1994" s="72"/>
      <c r="C1994" s="72"/>
      <c r="D1994" s="73"/>
      <c r="E1994" s="78"/>
      <c r="F1994" s="79">
        <v>0</v>
      </c>
      <c r="G1994" s="80">
        <f>F1994*H1959</f>
        <v>0</v>
      </c>
      <c r="H1994" s="212"/>
    </row>
    <row r="1995" spans="1:10">
      <c r="A1995" s="224" t="s">
        <v>4240</v>
      </c>
      <c r="B1995" s="81"/>
      <c r="C1995" s="81"/>
      <c r="D1995" s="82"/>
      <c r="E1995" s="78"/>
      <c r="F1995" s="79">
        <v>0</v>
      </c>
      <c r="G1995" s="80">
        <f>F1995*H1959</f>
        <v>0</v>
      </c>
      <c r="H1995" s="212"/>
    </row>
    <row r="1996" spans="1:10">
      <c r="A1996" s="224" t="s">
        <v>4</v>
      </c>
      <c r="B1996" s="81"/>
      <c r="C1996" s="81"/>
      <c r="D1996" s="82"/>
      <c r="E1996" s="78"/>
      <c r="F1996" s="79">
        <v>0</v>
      </c>
      <c r="G1996" s="80">
        <f>F1996*H1959</f>
        <v>0</v>
      </c>
      <c r="H1996" s="212"/>
    </row>
    <row r="1997" spans="1:10">
      <c r="A1997" s="225"/>
      <c r="B1997" s="83"/>
      <c r="C1997" s="75"/>
      <c r="D1997" s="84"/>
      <c r="E1997" s="85"/>
      <c r="F1997" s="86"/>
      <c r="G1997" s="87"/>
      <c r="H1997" s="214"/>
    </row>
    <row r="1998" spans="1:10">
      <c r="A1998" s="226"/>
      <c r="B1998" s="83"/>
      <c r="C1998" s="83"/>
      <c r="D1998" s="84"/>
      <c r="E1998" s="88"/>
      <c r="F1998" s="563" t="s">
        <v>4241</v>
      </c>
      <c r="G1998" s="564"/>
      <c r="H1998" s="233">
        <f>H1959+G1994+G1995+G1996</f>
        <v>1334967.5772499999</v>
      </c>
    </row>
    <row r="1999" spans="1:10">
      <c r="A1999" s="83"/>
      <c r="B1999" s="83"/>
      <c r="C1999" s="83"/>
      <c r="D1999" s="84"/>
      <c r="E1999" s="388"/>
      <c r="F1999" s="389"/>
      <c r="G1999" s="389"/>
      <c r="H1999" s="390"/>
    </row>
    <row r="2000" spans="1:10" ht="16.5">
      <c r="A2000" s="90"/>
      <c r="B2000" s="90"/>
      <c r="C2000" s="90"/>
      <c r="D2000" s="90"/>
      <c r="E2000" s="90"/>
      <c r="F2000" s="90"/>
      <c r="G2000" s="90"/>
      <c r="H2000" s="381"/>
    </row>
    <row r="2001" spans="1:15">
      <c r="A2001" s="579" t="s">
        <v>4225</v>
      </c>
      <c r="B2001" s="580"/>
      <c r="C2001" s="580"/>
      <c r="D2001" s="580"/>
      <c r="E2001" s="580"/>
      <c r="F2001" s="580"/>
      <c r="G2001" s="580"/>
      <c r="H2001" s="581"/>
    </row>
    <row r="2002" spans="1:15" ht="16.5">
      <c r="A2002" s="91"/>
      <c r="B2002" s="92"/>
      <c r="C2002" s="92"/>
      <c r="D2002" s="92"/>
      <c r="E2002" s="92"/>
      <c r="F2002" s="93"/>
      <c r="G2002" s="94"/>
      <c r="H2002" s="380">
        <f>ROUND((25/60)/8,4)</f>
        <v>5.21E-2</v>
      </c>
      <c r="I2002" s="115"/>
    </row>
    <row r="2003" spans="1:15">
      <c r="A2003" s="582" t="s">
        <v>4220</v>
      </c>
      <c r="B2003" s="584" t="str">
        <f>COSTOS!$C$14</f>
        <v>MODERNIZACION A TECNOLOGIA LED</v>
      </c>
      <c r="C2003" s="584"/>
      <c r="D2003" s="584"/>
      <c r="E2003" s="584"/>
      <c r="F2003" s="584"/>
      <c r="G2003" s="584"/>
      <c r="H2003" s="585" t="s">
        <v>4221</v>
      </c>
    </row>
    <row r="2004" spans="1:15">
      <c r="A2004" s="583"/>
      <c r="B2004" s="584"/>
      <c r="C2004" s="584"/>
      <c r="D2004" s="584"/>
      <c r="E2004" s="584"/>
      <c r="F2004" s="584"/>
      <c r="G2004" s="584"/>
      <c r="H2004" s="585"/>
    </row>
    <row r="2005" spans="1:15">
      <c r="A2005" s="583"/>
      <c r="B2005" s="584"/>
      <c r="C2005" s="584"/>
      <c r="D2005" s="584"/>
      <c r="E2005" s="584"/>
      <c r="F2005" s="584"/>
      <c r="G2005" s="584"/>
      <c r="H2005" s="585"/>
    </row>
    <row r="2006" spans="1:15" ht="15" customHeight="1">
      <c r="A2006" s="583"/>
      <c r="B2006" s="584"/>
      <c r="C2006" s="584"/>
      <c r="D2006" s="584"/>
      <c r="E2006" s="584"/>
      <c r="F2006" s="584"/>
      <c r="G2006" s="584"/>
      <c r="H2006" s="216">
        <f ca="1">TODAY()</f>
        <v>44889</v>
      </c>
      <c r="K2006" t="s">
        <v>4391</v>
      </c>
      <c r="L2006" t="s">
        <v>4392</v>
      </c>
      <c r="M2006" t="s">
        <v>4393</v>
      </c>
      <c r="N2006" t="s">
        <v>4394</v>
      </c>
    </row>
    <row r="2007" spans="1:15" ht="60.75" customHeight="1">
      <c r="A2007" s="228" t="s">
        <v>4222</v>
      </c>
      <c r="B2007" s="565" t="str">
        <f>COSTOS!$D$16</f>
        <v>Luminarias</v>
      </c>
      <c r="C2007" s="565"/>
      <c r="D2007" s="565"/>
      <c r="E2007" s="565"/>
      <c r="F2007" s="565"/>
      <c r="G2007" s="70" t="s">
        <v>4223</v>
      </c>
      <c r="H2007" s="391" t="s">
        <v>4712</v>
      </c>
      <c r="K2007" s="62">
        <f>H2032</f>
        <v>477075.04599999997</v>
      </c>
      <c r="L2007" s="62">
        <f>H2042</f>
        <v>18742.662399999997</v>
      </c>
      <c r="M2007" s="62">
        <f>H2015</f>
        <v>3363.18525</v>
      </c>
      <c r="N2007" s="62">
        <f>H2036</f>
        <v>4800</v>
      </c>
    </row>
    <row r="2008" spans="1:15" ht="43.15" customHeight="1">
      <c r="A2008" s="229" t="s">
        <v>4224</v>
      </c>
      <c r="B2008" s="566" t="str">
        <f>VLOOKUP(H2007,COSTOS!C:M,2,0)</f>
        <v>Luminaria con bombillo Led 20w</v>
      </c>
      <c r="C2008" s="567"/>
      <c r="D2008" s="567"/>
      <c r="E2008" s="568"/>
      <c r="F2008" s="71" t="s">
        <v>0</v>
      </c>
      <c r="G2008" s="356" t="str">
        <f>VLOOKUP(H2007,COSTOS!C:M,8,0)</f>
        <v>Und</v>
      </c>
      <c r="H2008" s="276"/>
      <c r="I2008" s="306"/>
      <c r="J2008" s="308"/>
      <c r="K2008" s="308"/>
      <c r="L2008" s="308"/>
    </row>
    <row r="2009" spans="1:15">
      <c r="A2009" s="230"/>
      <c r="B2009" s="112"/>
      <c r="C2009" s="112"/>
      <c r="D2009" s="112"/>
      <c r="E2009" s="113"/>
      <c r="F2009" s="114" t="s">
        <v>1</v>
      </c>
      <c r="G2009" s="356">
        <f>VLOOKUP(H2007,COSTOS!C:M,9,0)</f>
        <v>0</v>
      </c>
      <c r="H2009" s="357"/>
      <c r="I2009" s="307"/>
    </row>
    <row r="2010" spans="1:15" ht="16.5">
      <c r="A2010" s="231" t="s">
        <v>4226</v>
      </c>
      <c r="B2010" s="75"/>
      <c r="C2010" s="75"/>
      <c r="D2010" s="76"/>
      <c r="E2010" s="209"/>
      <c r="F2010" s="210"/>
      <c r="G2010" s="211" t="s">
        <v>4227</v>
      </c>
      <c r="H2010" s="217">
        <f>H2015+H2032+H2036+H2042</f>
        <v>503980.89364999993</v>
      </c>
    </row>
    <row r="2011" spans="1:15" ht="39">
      <c r="A2011" s="569" t="s">
        <v>4224</v>
      </c>
      <c r="B2011" s="569"/>
      <c r="C2011" s="569"/>
      <c r="D2011" s="77" t="s">
        <v>0</v>
      </c>
      <c r="E2011" s="207" t="s">
        <v>4228</v>
      </c>
      <c r="F2011" s="208" t="s">
        <v>4215</v>
      </c>
      <c r="G2011" s="74" t="s">
        <v>2</v>
      </c>
      <c r="H2011" s="218" t="s">
        <v>4229</v>
      </c>
      <c r="K2011" s="309"/>
    </row>
    <row r="2012" spans="1:15">
      <c r="A2012" s="536" t="s">
        <v>3946</v>
      </c>
      <c r="B2012" s="570" t="str">
        <f>VLOOKUP(A2012,'Equip, Herr y Transp'!$B$2:$D$739,2,0)</f>
        <v>EQU</v>
      </c>
      <c r="C2012" s="570"/>
      <c r="D2012" s="95" t="str">
        <f>VLOOKUP(A2012,'Equip, Herr y Transp'!$B$2:$D$218,2,0)</f>
        <v>EQU</v>
      </c>
      <c r="E2012" s="95">
        <f>VLOOKUP(A2012,'Equip, Herr y Transp'!$B$2:$D$218,3,0)</f>
        <v>14130</v>
      </c>
      <c r="F2012" s="96">
        <f>H2002</f>
        <v>5.21E-2</v>
      </c>
      <c r="G2012" s="122">
        <f>F2012*E2012</f>
        <v>736.173</v>
      </c>
      <c r="H2012" s="118"/>
    </row>
    <row r="2013" spans="1:15">
      <c r="A2013" s="536" t="s">
        <v>3904</v>
      </c>
      <c r="B2013" s="570" t="str">
        <f>VLOOKUP(A2013,'Equip, Herr y Transp'!$B$2:$D$739,2,0)</f>
        <v>EQU</v>
      </c>
      <c r="C2013" s="570"/>
      <c r="D2013" s="95" t="str">
        <f>VLOOKUP(A2013,'Equip, Herr y Transp'!$B$2:$D$218,2,0)</f>
        <v>EQU</v>
      </c>
      <c r="E2013" s="95">
        <f>VLOOKUP(A2013,'Equip, Herr y Transp'!$B$2:$D$218,3,0)</f>
        <v>26672.5</v>
      </c>
      <c r="F2013" s="96">
        <f>H2002</f>
        <v>5.21E-2</v>
      </c>
      <c r="G2013" s="122">
        <f>F2013*E2013</f>
        <v>1389.63725</v>
      </c>
      <c r="H2013" s="117"/>
    </row>
    <row r="2014" spans="1:15">
      <c r="A2014" s="536" t="s">
        <v>3937</v>
      </c>
      <c r="B2014" s="570" t="str">
        <f>VLOOKUP(A2014,'Equip, Herr y Transp'!$B$2:$D$739,2,0)</f>
        <v>EQU</v>
      </c>
      <c r="C2014" s="570"/>
      <c r="D2014" s="95" t="str">
        <f>VLOOKUP(A2014,'Equip, Herr y Transp'!$B$2:$D$218,2,0)</f>
        <v>EQU</v>
      </c>
      <c r="E2014" s="95">
        <f>VLOOKUP(A2014,'Equip, Herr y Transp'!$B$2:$D$218,3,0)</f>
        <v>23750</v>
      </c>
      <c r="F2014" s="96">
        <f>H2002</f>
        <v>5.21E-2</v>
      </c>
      <c r="G2014" s="122">
        <f>F2014*E2014</f>
        <v>1237.375</v>
      </c>
      <c r="H2014" s="117"/>
    </row>
    <row r="2015" spans="1:15" ht="16.5">
      <c r="A2015" s="540" t="s">
        <v>4100</v>
      </c>
      <c r="B2015" s="541"/>
      <c r="C2015" s="541"/>
      <c r="D2015" s="541"/>
      <c r="E2015" s="541"/>
      <c r="F2015" s="541"/>
      <c r="G2015" s="541"/>
      <c r="H2015" s="97">
        <f>SUM(G2012:G2014)</f>
        <v>3363.18525</v>
      </c>
    </row>
    <row r="2016" spans="1:15" ht="16.5">
      <c r="A2016" s="571" t="s">
        <v>4230</v>
      </c>
      <c r="B2016" s="572"/>
      <c r="C2016" s="572"/>
      <c r="D2016" s="572"/>
      <c r="E2016" s="572"/>
      <c r="F2016" s="572"/>
      <c r="G2016" s="572"/>
      <c r="H2016" s="573"/>
      <c r="K2016" s="56"/>
      <c r="L2016" s="56"/>
      <c r="M2016" s="56"/>
      <c r="N2016" s="56"/>
      <c r="O2016" s="56"/>
    </row>
    <row r="2017" spans="1:15" ht="30" customHeight="1">
      <c r="A2017" s="574" t="s">
        <v>7</v>
      </c>
      <c r="B2017" s="575"/>
      <c r="C2017" s="109" t="s">
        <v>0</v>
      </c>
      <c r="D2017" s="110" t="s">
        <v>4098</v>
      </c>
      <c r="E2017" s="111" t="s">
        <v>1</v>
      </c>
      <c r="F2017" s="576" t="s">
        <v>4218</v>
      </c>
      <c r="G2017" s="576"/>
      <c r="H2017" s="215"/>
      <c r="K2017" s="56"/>
      <c r="L2017" s="56"/>
      <c r="M2017" s="56"/>
      <c r="N2017" s="56"/>
      <c r="O2017" s="56"/>
    </row>
    <row r="2018" spans="1:15">
      <c r="A2018" s="577" t="s">
        <v>4722</v>
      </c>
      <c r="B2018" s="578"/>
      <c r="C2018" s="98" t="str">
        <f>VLOOKUP(A2018,'Materiales '!$C$2:$F$1302,3,0)</f>
        <v>Und</v>
      </c>
      <c r="D2018" s="99">
        <f>VLOOKUP(A2018,'Materiales '!$C$2:$F$1302,4,0)</f>
        <v>251328.00000000003</v>
      </c>
      <c r="E2018" s="100">
        <v>1</v>
      </c>
      <c r="F2018" s="538">
        <f>E2018*D2018</f>
        <v>251328.00000000003</v>
      </c>
      <c r="G2018" s="539"/>
      <c r="H2018" s="121"/>
      <c r="I2018">
        <f>E2018*G2009</f>
        <v>0</v>
      </c>
      <c r="J2018" s="67"/>
      <c r="K2018" s="56"/>
      <c r="L2018" s="56"/>
      <c r="M2018" s="56"/>
      <c r="N2018" s="56"/>
      <c r="O2018" s="56"/>
    </row>
    <row r="2019" spans="1:15">
      <c r="A2019" s="577" t="s">
        <v>4214</v>
      </c>
      <c r="B2019" s="578"/>
      <c r="C2019" s="98" t="str">
        <f>VLOOKUP(A2019,'Materiales '!$C$2:$F$1302,3,0)</f>
        <v>Und</v>
      </c>
      <c r="D2019" s="99">
        <f>VLOOKUP(A2019,'Materiales '!$C$2:$F$1302,4,0)</f>
        <v>22848</v>
      </c>
      <c r="E2019" s="100">
        <v>1</v>
      </c>
      <c r="F2019" s="538">
        <f t="shared" ref="F2019:F2025" si="118">E2019*D2019</f>
        <v>22848</v>
      </c>
      <c r="G2019" s="539"/>
      <c r="H2019" s="121"/>
      <c r="I2019">
        <f>E2019*G2009</f>
        <v>0</v>
      </c>
      <c r="J2019" s="67"/>
      <c r="K2019" s="56"/>
      <c r="L2019" s="56"/>
      <c r="M2019" s="56"/>
      <c r="N2019" s="56"/>
      <c r="O2019" s="56"/>
    </row>
    <row r="2020" spans="1:15">
      <c r="A2020" s="536" t="s">
        <v>4484</v>
      </c>
      <c r="B2020" s="537" t="str">
        <f>VLOOKUP(A2020,'Materiales '!$C$2:$F$1302,3,0)</f>
        <v>Und</v>
      </c>
      <c r="C2020" s="98" t="str">
        <f>VLOOKUP(A2020,'Materiales '!$C$2:$F$1302,3,0)</f>
        <v>Und</v>
      </c>
      <c r="D2020" s="99">
        <f>VLOOKUP(A2020,'Materiales '!$C$2:$F$1302,4,0)</f>
        <v>21705.599999999999</v>
      </c>
      <c r="E2020" s="100">
        <v>2</v>
      </c>
      <c r="F2020" s="538">
        <f t="shared" si="118"/>
        <v>43411.199999999997</v>
      </c>
      <c r="G2020" s="539"/>
      <c r="H2020" s="121"/>
      <c r="I2020">
        <f>E2020*G2009</f>
        <v>0</v>
      </c>
      <c r="J2020" s="68"/>
      <c r="K2020" s="56"/>
      <c r="L2020" s="56"/>
      <c r="M2020" s="56"/>
      <c r="N2020" s="56"/>
      <c r="O2020" s="56"/>
    </row>
    <row r="2021" spans="1:15">
      <c r="A2021" s="536" t="s">
        <v>4489</v>
      </c>
      <c r="B2021" s="537" t="str">
        <f>VLOOKUP(A2021,'Materiales '!$C$2:$F$1302,3,0)</f>
        <v>Und</v>
      </c>
      <c r="C2021" s="98" t="str">
        <f>VLOOKUP(A2021,'Materiales '!$C$2:$F$1302,3,0)</f>
        <v>Und</v>
      </c>
      <c r="D2021" s="99">
        <f>VLOOKUP(A2021,'Materiales '!$C$2:$F$1302,4,0)</f>
        <v>8039.6399999999994</v>
      </c>
      <c r="E2021" s="100">
        <v>3</v>
      </c>
      <c r="F2021" s="538">
        <f t="shared" si="118"/>
        <v>24118.92</v>
      </c>
      <c r="G2021" s="539"/>
      <c r="H2021" s="121"/>
      <c r="I2021">
        <f>E2021*G2009</f>
        <v>0</v>
      </c>
      <c r="J2021" s="68"/>
      <c r="K2021" s="56"/>
      <c r="L2021" s="56"/>
      <c r="M2021" s="56"/>
      <c r="N2021" s="56"/>
      <c r="O2021" s="56"/>
    </row>
    <row r="2022" spans="1:15">
      <c r="A2022" s="536" t="s">
        <v>4554</v>
      </c>
      <c r="B2022" s="537" t="str">
        <f>VLOOKUP(A2022,'Materiales '!$C$2:$F$1302,3,0)</f>
        <v>Und</v>
      </c>
      <c r="C2022" s="98" t="str">
        <f>VLOOKUP(A2022,'Materiales '!$C$2:$F$1302,3,0)</f>
        <v>Und</v>
      </c>
      <c r="D2022" s="99">
        <f>VLOOKUP(A2022,'Materiales '!$C$2:$F$1302,4,0)</f>
        <v>2535.5329999999999</v>
      </c>
      <c r="E2022" s="100">
        <v>2</v>
      </c>
      <c r="F2022" s="538">
        <f t="shared" si="118"/>
        <v>5071.0659999999998</v>
      </c>
      <c r="G2022" s="539"/>
      <c r="H2022" s="121"/>
      <c r="I2022">
        <f>E2022*G2009</f>
        <v>0</v>
      </c>
      <c r="J2022" s="68"/>
      <c r="K2022" s="56"/>
      <c r="L2022" s="56"/>
      <c r="M2022" s="56"/>
      <c r="N2022" s="56"/>
      <c r="O2022" s="56"/>
    </row>
    <row r="2023" spans="1:15">
      <c r="A2023" s="536" t="s">
        <v>4450</v>
      </c>
      <c r="B2023" s="537" t="str">
        <f>VLOOKUP(A2023,'Materiales '!$C$2:$F$1302,3,0)</f>
        <v>Ml</v>
      </c>
      <c r="C2023" s="98" t="str">
        <f>VLOOKUP(A2023,'Materiales '!$C$2:$F$1302,3,0)</f>
        <v>Ml</v>
      </c>
      <c r="D2023" s="99">
        <f>VLOOKUP(A2023,'Materiales '!$C$2:$F$1302,4,0)</f>
        <v>6791.5679999999993</v>
      </c>
      <c r="E2023" s="100">
        <v>1</v>
      </c>
      <c r="F2023" s="538">
        <f t="shared" si="118"/>
        <v>6791.5679999999993</v>
      </c>
      <c r="G2023" s="539"/>
      <c r="H2023" s="121"/>
      <c r="I2023">
        <f>E2023*G2009</f>
        <v>0</v>
      </c>
      <c r="J2023" s="68"/>
      <c r="K2023" s="56"/>
      <c r="L2023" s="56"/>
      <c r="M2023" s="56"/>
      <c r="N2023" s="56"/>
      <c r="O2023" s="56"/>
    </row>
    <row r="2024" spans="1:15">
      <c r="A2024" s="536" t="s">
        <v>4493</v>
      </c>
      <c r="B2024" s="537" t="str">
        <f>VLOOKUP(A2024,'Materiales '!$C$2:$F$1302,3,0)</f>
        <v>Und</v>
      </c>
      <c r="C2024" s="98" t="str">
        <f>VLOOKUP(A2024,'Materiales '!$C$2:$F$1302,3,0)</f>
        <v>Und</v>
      </c>
      <c r="D2024" s="99">
        <f>VLOOKUP(A2024,'Materiales '!$C$2:$F$1302,4,0)</f>
        <v>232.76399999999998</v>
      </c>
      <c r="E2024" s="100">
        <v>3</v>
      </c>
      <c r="F2024" s="538">
        <f t="shared" si="118"/>
        <v>698.29199999999992</v>
      </c>
      <c r="G2024" s="539"/>
      <c r="H2024" s="121"/>
      <c r="I2024">
        <f>E2024*G2009</f>
        <v>0</v>
      </c>
      <c r="J2024" s="68"/>
      <c r="K2024" s="56"/>
      <c r="L2024" s="56"/>
      <c r="M2024" s="56"/>
      <c r="N2024" s="56"/>
      <c r="O2024" s="56"/>
    </row>
    <row r="2025" spans="1:15" ht="21.75" customHeight="1">
      <c r="A2025" s="536" t="s">
        <v>4435</v>
      </c>
      <c r="B2025" s="537" t="str">
        <f>VLOOKUP(A2025,'Materiales '!$C$2:$F$1302,3,0)</f>
        <v>Und</v>
      </c>
      <c r="C2025" s="98" t="str">
        <f>VLOOKUP(A2025,'Materiales '!$C$2:$F$1302,3,0)</f>
        <v>Und</v>
      </c>
      <c r="D2025" s="99">
        <f>VLOOKUP(A2025,'Materiales '!$C$2:$F$1302,4,0)</f>
        <v>122808</v>
      </c>
      <c r="E2025" s="100">
        <v>1</v>
      </c>
      <c r="F2025" s="538">
        <f t="shared" si="118"/>
        <v>122808</v>
      </c>
      <c r="G2025" s="539"/>
      <c r="H2025" s="121"/>
      <c r="I2025">
        <f>E2025*G2009</f>
        <v>0</v>
      </c>
      <c r="J2025" s="68"/>
      <c r="K2025" s="56"/>
      <c r="L2025" s="56"/>
      <c r="M2025" s="56"/>
      <c r="N2025" s="56"/>
      <c r="O2025" s="56"/>
    </row>
    <row r="2026" spans="1:15">
      <c r="A2026" s="536" t="s">
        <v>8</v>
      </c>
      <c r="B2026" s="537" t="str">
        <f>VLOOKUP(A2026,'Materiales '!$C$2:$F$1302,3,0)</f>
        <v>-</v>
      </c>
      <c r="C2026" s="98" t="str">
        <f>VLOOKUP(A2026,'Materiales '!$C$2:$F$1302,3,0)</f>
        <v>-</v>
      </c>
      <c r="D2026" s="99">
        <f>VLOOKUP(A2026,'Materiales '!$C$2:$F$1302,4,0)</f>
        <v>0</v>
      </c>
      <c r="E2026" s="100"/>
      <c r="F2026" s="538">
        <f>E2026*D2026</f>
        <v>0</v>
      </c>
      <c r="G2026" s="539"/>
      <c r="H2026" s="120"/>
      <c r="I2026">
        <f>E2026*G2009</f>
        <v>0</v>
      </c>
      <c r="J2026" s="68"/>
      <c r="K2026" s="56"/>
      <c r="L2026" s="56"/>
      <c r="M2026" s="56"/>
      <c r="N2026" s="56"/>
      <c r="O2026" s="56"/>
    </row>
    <row r="2027" spans="1:15">
      <c r="A2027" s="536" t="s">
        <v>8</v>
      </c>
      <c r="B2027" s="537" t="str">
        <f>VLOOKUP(A2027,'Materiales '!$C$2:$F$1302,3,0)</f>
        <v>-</v>
      </c>
      <c r="C2027" s="98" t="str">
        <f>VLOOKUP(A2027,'Materiales '!$C$2:$F$1302,3,0)</f>
        <v>-</v>
      </c>
      <c r="D2027" s="99">
        <f>VLOOKUP(A2027,'Materiales '!$C$2:$F$1302,4,0)</f>
        <v>0</v>
      </c>
      <c r="E2027" s="100"/>
      <c r="F2027" s="538">
        <f t="shared" ref="F2027:F2030" si="119">E2027*D2027</f>
        <v>0</v>
      </c>
      <c r="G2027" s="539"/>
      <c r="H2027" s="121"/>
      <c r="I2027">
        <f>E2027*G2009</f>
        <v>0</v>
      </c>
      <c r="J2027" s="68"/>
      <c r="K2027" s="56"/>
      <c r="L2027" s="56"/>
      <c r="M2027" s="56"/>
      <c r="N2027" s="56"/>
      <c r="O2027" s="56"/>
    </row>
    <row r="2028" spans="1:15">
      <c r="A2028" s="536" t="s">
        <v>8</v>
      </c>
      <c r="B2028" s="537" t="str">
        <f>VLOOKUP(A2028,'Materiales '!$C$2:$F$1302,3,0)</f>
        <v>-</v>
      </c>
      <c r="C2028" s="98" t="str">
        <f>VLOOKUP(A2028,'Materiales '!$C$2:$F$1302,3,0)</f>
        <v>-</v>
      </c>
      <c r="D2028" s="99">
        <f>VLOOKUP(A2028,'Materiales '!$C$2:$F$1302,4,0)</f>
        <v>0</v>
      </c>
      <c r="E2028" s="100"/>
      <c r="F2028" s="538">
        <f t="shared" si="119"/>
        <v>0</v>
      </c>
      <c r="G2028" s="539"/>
      <c r="H2028" s="121"/>
      <c r="I2028">
        <f>E2028*G2009</f>
        <v>0</v>
      </c>
      <c r="J2028" s="68"/>
      <c r="K2028" s="56"/>
      <c r="L2028" s="56"/>
      <c r="M2028" s="56"/>
      <c r="N2028" s="56"/>
      <c r="O2028" s="56"/>
    </row>
    <row r="2029" spans="1:15">
      <c r="A2029" s="536" t="s">
        <v>8</v>
      </c>
      <c r="B2029" s="537" t="str">
        <f>VLOOKUP(A2029,'Materiales '!$C$2:$F$1302,3,0)</f>
        <v>-</v>
      </c>
      <c r="C2029" s="98" t="str">
        <f>VLOOKUP(A2029,'Materiales '!$C$2:$F$1302,3,0)</f>
        <v>-</v>
      </c>
      <c r="D2029" s="99">
        <f>VLOOKUP(A2029,'Materiales '!$C$2:$F$1302,4,0)</f>
        <v>0</v>
      </c>
      <c r="E2029" s="100"/>
      <c r="F2029" s="538">
        <f t="shared" si="119"/>
        <v>0</v>
      </c>
      <c r="G2029" s="539"/>
      <c r="H2029" s="121"/>
      <c r="I2029">
        <f>E2029*G2009</f>
        <v>0</v>
      </c>
      <c r="J2029" s="68"/>
      <c r="K2029" s="56"/>
      <c r="L2029" s="56"/>
      <c r="M2029" s="56"/>
      <c r="N2029" s="56"/>
      <c r="O2029" s="56"/>
    </row>
    <row r="2030" spans="1:15">
      <c r="A2030" s="536" t="s">
        <v>8</v>
      </c>
      <c r="B2030" s="537" t="str">
        <f>VLOOKUP(A2030,'Materiales '!$C$2:$F$1302,3,0)</f>
        <v>-</v>
      </c>
      <c r="C2030" s="98" t="str">
        <f>VLOOKUP(A2030,'Materiales '!$C$2:$F$1302,3,0)</f>
        <v>-</v>
      </c>
      <c r="D2030" s="99">
        <f>VLOOKUP(A2030,'Materiales '!$C$2:$F$1302,4,0)</f>
        <v>0</v>
      </c>
      <c r="E2030" s="100"/>
      <c r="F2030" s="538">
        <f t="shared" si="119"/>
        <v>0</v>
      </c>
      <c r="G2030" s="539"/>
      <c r="H2030" s="121"/>
      <c r="I2030">
        <f>E2030*G2009</f>
        <v>0</v>
      </c>
      <c r="J2030" s="68"/>
      <c r="K2030" s="56"/>
      <c r="L2030" s="56"/>
      <c r="M2030" s="56"/>
      <c r="N2030" s="56"/>
      <c r="O2030" s="56"/>
    </row>
    <row r="2031" spans="1:15">
      <c r="A2031" s="536" t="s">
        <v>8</v>
      </c>
      <c r="B2031" s="537" t="str">
        <f>VLOOKUP(A2031,'Materiales '!$C$2:$F$1302,3,0)</f>
        <v>-</v>
      </c>
      <c r="C2031" s="98" t="str">
        <f>VLOOKUP(A2031,'Materiales '!$C$2:$F$1302,3,0)</f>
        <v>-</v>
      </c>
      <c r="D2031" s="99">
        <f>VLOOKUP(A2031,'Materiales '!$C$2:$F$1302,4,0)</f>
        <v>0</v>
      </c>
      <c r="E2031" s="100"/>
      <c r="F2031" s="538">
        <f>E2031*D2031</f>
        <v>0</v>
      </c>
      <c r="G2031" s="539"/>
      <c r="H2031" s="120"/>
      <c r="I2031">
        <f>E2031*G2009</f>
        <v>0</v>
      </c>
      <c r="J2031" s="68"/>
      <c r="K2031" s="56"/>
      <c r="L2031" s="56"/>
      <c r="M2031" s="56"/>
      <c r="N2031" s="56"/>
      <c r="O2031" s="56"/>
    </row>
    <row r="2032" spans="1:15" ht="16.5">
      <c r="A2032" s="540" t="s">
        <v>4099</v>
      </c>
      <c r="B2032" s="541"/>
      <c r="C2032" s="541"/>
      <c r="D2032" s="541"/>
      <c r="E2032" s="541"/>
      <c r="F2032" s="541"/>
      <c r="G2032" s="542"/>
      <c r="H2032" s="116">
        <f>SUM(F2018:F2031)</f>
        <v>477075.04599999997</v>
      </c>
      <c r="J2032" s="68"/>
      <c r="K2032" s="56"/>
      <c r="L2032" s="56"/>
      <c r="M2032" s="56"/>
      <c r="N2032" s="56"/>
      <c r="O2032" s="56"/>
    </row>
    <row r="2033" spans="1:15" ht="16.5">
      <c r="A2033" s="543" t="s">
        <v>4231</v>
      </c>
      <c r="B2033" s="544"/>
      <c r="C2033" s="544"/>
      <c r="D2033" s="544"/>
      <c r="E2033" s="545"/>
      <c r="F2033" s="544"/>
      <c r="G2033" s="544"/>
      <c r="H2033" s="546"/>
      <c r="J2033" s="68"/>
      <c r="K2033" s="56"/>
      <c r="L2033" s="56"/>
      <c r="M2033" s="56"/>
      <c r="N2033" s="56"/>
      <c r="O2033" s="56"/>
    </row>
    <row r="2034" spans="1:15">
      <c r="A2034" s="547" t="s">
        <v>7</v>
      </c>
      <c r="B2034" s="548"/>
      <c r="C2034" s="108" t="s">
        <v>4232</v>
      </c>
      <c r="D2034" s="107" t="s">
        <v>4233</v>
      </c>
      <c r="E2034" s="206" t="s">
        <v>4234</v>
      </c>
      <c r="F2034" s="549" t="s">
        <v>4218</v>
      </c>
      <c r="G2034" s="549"/>
      <c r="H2034" s="119"/>
      <c r="K2034" s="56"/>
      <c r="L2034" s="56"/>
      <c r="M2034" s="56"/>
      <c r="N2034" s="56"/>
      <c r="O2034" s="56"/>
    </row>
    <row r="2035" spans="1:15">
      <c r="A2035" s="550" t="s">
        <v>3928</v>
      </c>
      <c r="B2035" s="551"/>
      <c r="C2035" s="232">
        <v>1</v>
      </c>
      <c r="D2035" s="102">
        <v>0.03</v>
      </c>
      <c r="E2035" s="103">
        <f>VLOOKUP(A2035,'Equip, Herr y Transp'!$B$2:$D$218,3,0)</f>
        <v>160000</v>
      </c>
      <c r="F2035" s="552">
        <f>E2035*D2035*C2035</f>
        <v>4800</v>
      </c>
      <c r="G2035" s="553"/>
      <c r="H2035" s="117"/>
      <c r="M2035" s="56"/>
    </row>
    <row r="2036" spans="1:15" ht="16.5">
      <c r="A2036" s="554" t="s">
        <v>4216</v>
      </c>
      <c r="B2036" s="555"/>
      <c r="C2036" s="555"/>
      <c r="D2036" s="555"/>
      <c r="E2036" s="555"/>
      <c r="F2036" s="555"/>
      <c r="G2036" s="555"/>
      <c r="H2036" s="105">
        <f>F2035</f>
        <v>4800</v>
      </c>
    </row>
    <row r="2037" spans="1:15" ht="16.5">
      <c r="A2037" s="543" t="s">
        <v>4235</v>
      </c>
      <c r="B2037" s="544"/>
      <c r="C2037" s="544"/>
      <c r="D2037" s="544"/>
      <c r="E2037" s="544"/>
      <c r="F2037" s="544"/>
      <c r="G2037" s="544"/>
      <c r="H2037" s="546"/>
    </row>
    <row r="2038" spans="1:15">
      <c r="A2038" s="547" t="s">
        <v>7</v>
      </c>
      <c r="B2038" s="548"/>
      <c r="C2038" s="106" t="s">
        <v>1</v>
      </c>
      <c r="D2038" s="107" t="s">
        <v>4236</v>
      </c>
      <c r="E2038" s="108" t="s">
        <v>4215</v>
      </c>
      <c r="F2038" s="547" t="s">
        <v>5</v>
      </c>
      <c r="G2038" s="556"/>
      <c r="H2038" s="119"/>
    </row>
    <row r="2039" spans="1:15">
      <c r="A2039" s="550" t="s">
        <v>4196</v>
      </c>
      <c r="B2039" s="551"/>
      <c r="C2039" s="101">
        <v>1</v>
      </c>
      <c r="D2039" s="104">
        <f>VLOOKUP(A2039,'Mano Obra'!$B$2:$T$117,19,0)</f>
        <v>166624</v>
      </c>
      <c r="E2039" s="246">
        <f>H2002</f>
        <v>5.21E-2</v>
      </c>
      <c r="F2039" s="538">
        <f>E2039*D2039*C2039</f>
        <v>8681.1103999999996</v>
      </c>
      <c r="G2039" s="557"/>
      <c r="H2039" s="121"/>
      <c r="I2039" s="69"/>
      <c r="J2039" s="136">
        <f>((('Mano Obra'!$M$4/30)*F2039)/D2039)*G2009</f>
        <v>0</v>
      </c>
    </row>
    <row r="2040" spans="1:15">
      <c r="A2040" s="558" t="s">
        <v>4197</v>
      </c>
      <c r="B2040" s="559">
        <f>VLOOKUP(A2040,'Mano Obra'!$B$3:$D$290,2,0)</f>
        <v>2090000.0000000002</v>
      </c>
      <c r="C2040" s="101">
        <v>1</v>
      </c>
      <c r="D2040" s="104">
        <f>VLOOKUP(A2040,'Mano Obra'!$B$2:$T$117,19,0)</f>
        <v>120456</v>
      </c>
      <c r="E2040" s="246">
        <f>H2002</f>
        <v>5.21E-2</v>
      </c>
      <c r="F2040" s="538">
        <f t="shared" ref="F2040:F2041" si="120">E2040*D2040*C2040</f>
        <v>6275.7575999999999</v>
      </c>
      <c r="G2040" s="557"/>
      <c r="H2040" s="121"/>
      <c r="J2040" s="136">
        <f>((('Mano Obra'!$M$5/30)*F2040)/D2040)*G2009</f>
        <v>0</v>
      </c>
    </row>
    <row r="2041" spans="1:15">
      <c r="A2041" s="558" t="s">
        <v>4186</v>
      </c>
      <c r="B2041" s="559">
        <f>VLOOKUP(A2041,'Mano Obra'!$B$3:$D$290,2,0)</f>
        <v>1100000</v>
      </c>
      <c r="C2041" s="101">
        <v>1</v>
      </c>
      <c r="D2041" s="104">
        <f>VLOOKUP(A2041,'Mano Obra'!$B$2:$T$117,19,0)</f>
        <v>72664</v>
      </c>
      <c r="E2041" s="246">
        <f>H2002</f>
        <v>5.21E-2</v>
      </c>
      <c r="F2041" s="538">
        <f t="shared" si="120"/>
        <v>3785.7944000000002</v>
      </c>
      <c r="G2041" s="557"/>
      <c r="H2041" s="120"/>
      <c r="J2041" s="136">
        <f>((('Mano Obra'!$M$6/30)*F2041)/D2041)*G2009</f>
        <v>0</v>
      </c>
    </row>
    <row r="2042" spans="1:15" ht="16.5">
      <c r="A2042" s="560" t="s">
        <v>4101</v>
      </c>
      <c r="B2042" s="560"/>
      <c r="C2042" s="560"/>
      <c r="D2042" s="560"/>
      <c r="E2042" s="560"/>
      <c r="F2042" s="560"/>
      <c r="G2042" s="560"/>
      <c r="H2042" s="105">
        <f>SUM(F2039:F2041)</f>
        <v>18742.662399999997</v>
      </c>
      <c r="J2042" s="136"/>
    </row>
    <row r="2043" spans="1:15">
      <c r="A2043" s="227" t="s">
        <v>4237</v>
      </c>
      <c r="B2043" s="205"/>
      <c r="C2043" s="205"/>
      <c r="D2043" s="202"/>
      <c r="E2043" s="203"/>
      <c r="F2043" s="204"/>
      <c r="G2043" s="203"/>
      <c r="H2043" s="212"/>
    </row>
    <row r="2044" spans="1:15">
      <c r="A2044" s="561" t="s">
        <v>4224</v>
      </c>
      <c r="B2044" s="562"/>
      <c r="C2044" s="562"/>
      <c r="D2044" s="562"/>
      <c r="E2044" s="200"/>
      <c r="F2044" s="201" t="s">
        <v>4238</v>
      </c>
      <c r="G2044" s="200" t="s">
        <v>4239</v>
      </c>
      <c r="H2044" s="213"/>
    </row>
    <row r="2045" spans="1:15">
      <c r="A2045" s="223" t="s">
        <v>4097</v>
      </c>
      <c r="B2045" s="72"/>
      <c r="C2045" s="72"/>
      <c r="D2045" s="73"/>
      <c r="E2045" s="78"/>
      <c r="F2045" s="79">
        <v>0</v>
      </c>
      <c r="G2045" s="80">
        <f>F2045*H2010</f>
        <v>0</v>
      </c>
      <c r="H2045" s="212"/>
    </row>
    <row r="2046" spans="1:15">
      <c r="A2046" s="224" t="s">
        <v>4240</v>
      </c>
      <c r="B2046" s="81"/>
      <c r="C2046" s="81"/>
      <c r="D2046" s="82"/>
      <c r="E2046" s="78"/>
      <c r="F2046" s="79">
        <v>0</v>
      </c>
      <c r="G2046" s="80">
        <f>F2046*H2010</f>
        <v>0</v>
      </c>
      <c r="H2046" s="212"/>
    </row>
    <row r="2047" spans="1:15">
      <c r="A2047" s="224" t="s">
        <v>4</v>
      </c>
      <c r="B2047" s="81"/>
      <c r="C2047" s="81"/>
      <c r="D2047" s="82"/>
      <c r="E2047" s="78"/>
      <c r="F2047" s="79">
        <v>0</v>
      </c>
      <c r="G2047" s="80">
        <f>F2047*H2010</f>
        <v>0</v>
      </c>
      <c r="H2047" s="212"/>
    </row>
    <row r="2048" spans="1:15">
      <c r="A2048" s="225"/>
      <c r="B2048" s="83"/>
      <c r="C2048" s="75"/>
      <c r="D2048" s="84"/>
      <c r="E2048" s="85"/>
      <c r="F2048" s="86"/>
      <c r="G2048" s="87"/>
      <c r="H2048" s="214"/>
    </row>
    <row r="2049" spans="1:14">
      <c r="A2049" s="226"/>
      <c r="B2049" s="83"/>
      <c r="C2049" s="83"/>
      <c r="D2049" s="84"/>
      <c r="E2049" s="88"/>
      <c r="F2049" s="563" t="s">
        <v>4241</v>
      </c>
      <c r="G2049" s="564"/>
      <c r="H2049" s="233">
        <f>H2010+G2045+G2046+G2047</f>
        <v>503980.89364999993</v>
      </c>
    </row>
    <row r="2050" spans="1:14">
      <c r="A2050" s="83"/>
      <c r="B2050" s="83"/>
      <c r="C2050" s="83"/>
      <c r="D2050" s="84"/>
      <c r="E2050" s="388"/>
      <c r="F2050" s="389"/>
      <c r="G2050" s="389"/>
      <c r="H2050" s="390"/>
    </row>
    <row r="2051" spans="1:14" ht="16.5">
      <c r="A2051" s="90"/>
      <c r="B2051" s="90"/>
      <c r="C2051" s="90"/>
      <c r="D2051" s="90"/>
      <c r="E2051" s="90"/>
      <c r="F2051" s="90"/>
      <c r="G2051" s="90"/>
      <c r="H2051" s="381"/>
    </row>
    <row r="2052" spans="1:14">
      <c r="A2052" s="579" t="s">
        <v>4225</v>
      </c>
      <c r="B2052" s="580"/>
      <c r="C2052" s="580"/>
      <c r="D2052" s="580"/>
      <c r="E2052" s="580"/>
      <c r="F2052" s="580"/>
      <c r="G2052" s="580"/>
      <c r="H2052" s="581"/>
    </row>
    <row r="2053" spans="1:14" ht="16.5">
      <c r="A2053" s="91"/>
      <c r="B2053" s="92"/>
      <c r="C2053" s="92"/>
      <c r="D2053" s="92"/>
      <c r="E2053" s="92"/>
      <c r="F2053" s="93"/>
      <c r="G2053" s="94"/>
      <c r="H2053" s="380">
        <f>ROUND((25/60)/8,4)</f>
        <v>5.21E-2</v>
      </c>
      <c r="I2053" s="115"/>
    </row>
    <row r="2054" spans="1:14">
      <c r="A2054" s="582" t="s">
        <v>4220</v>
      </c>
      <c r="B2054" s="584" t="str">
        <f>COSTOS!$C$14</f>
        <v>MODERNIZACION A TECNOLOGIA LED</v>
      </c>
      <c r="C2054" s="584"/>
      <c r="D2054" s="584"/>
      <c r="E2054" s="584"/>
      <c r="F2054" s="584"/>
      <c r="G2054" s="584"/>
      <c r="H2054" s="585" t="s">
        <v>4221</v>
      </c>
    </row>
    <row r="2055" spans="1:14">
      <c r="A2055" s="583"/>
      <c r="B2055" s="584"/>
      <c r="C2055" s="584"/>
      <c r="D2055" s="584"/>
      <c r="E2055" s="584"/>
      <c r="F2055" s="584"/>
      <c r="G2055" s="584"/>
      <c r="H2055" s="585"/>
    </row>
    <row r="2056" spans="1:14">
      <c r="A2056" s="583"/>
      <c r="B2056" s="584"/>
      <c r="C2056" s="584"/>
      <c r="D2056" s="584"/>
      <c r="E2056" s="584"/>
      <c r="F2056" s="584"/>
      <c r="G2056" s="584"/>
      <c r="H2056" s="585"/>
    </row>
    <row r="2057" spans="1:14" ht="15" customHeight="1">
      <c r="A2057" s="583"/>
      <c r="B2057" s="584"/>
      <c r="C2057" s="584"/>
      <c r="D2057" s="584"/>
      <c r="E2057" s="584"/>
      <c r="F2057" s="584"/>
      <c r="G2057" s="584"/>
      <c r="H2057" s="216">
        <f ca="1">TODAY()</f>
        <v>44889</v>
      </c>
      <c r="K2057" t="s">
        <v>4391</v>
      </c>
      <c r="L2057" t="s">
        <v>4392</v>
      </c>
      <c r="M2057" t="s">
        <v>4393</v>
      </c>
      <c r="N2057" t="s">
        <v>4394</v>
      </c>
    </row>
    <row r="2058" spans="1:14" ht="60.75" customHeight="1">
      <c r="A2058" s="228" t="s">
        <v>4222</v>
      </c>
      <c r="B2058" s="565" t="str">
        <f>COSTOS!$D$16</f>
        <v>Luminarias</v>
      </c>
      <c r="C2058" s="565"/>
      <c r="D2058" s="565"/>
      <c r="E2058" s="565"/>
      <c r="F2058" s="565"/>
      <c r="G2058" s="70" t="s">
        <v>4223</v>
      </c>
      <c r="H2058" s="391">
        <v>1.41</v>
      </c>
      <c r="K2058" s="62">
        <f>H2083</f>
        <v>579177.04599999997</v>
      </c>
      <c r="L2058" s="62">
        <f>H2093</f>
        <v>18742.662399999997</v>
      </c>
      <c r="M2058" s="62">
        <f>H2066</f>
        <v>3363.18525</v>
      </c>
      <c r="N2058" s="62">
        <f>H2087</f>
        <v>4800</v>
      </c>
    </row>
    <row r="2059" spans="1:14" ht="43.15" customHeight="1">
      <c r="A2059" s="229" t="s">
        <v>4224</v>
      </c>
      <c r="B2059" s="566" t="str">
        <f>VLOOKUP(H2058,COSTOS!C:M,2,0)</f>
        <v>Luminaria Led baja eficiencia 30w</v>
      </c>
      <c r="C2059" s="567"/>
      <c r="D2059" s="567"/>
      <c r="E2059" s="568"/>
      <c r="F2059" s="71" t="s">
        <v>0</v>
      </c>
      <c r="G2059" s="356" t="str">
        <f>VLOOKUP(H2058,COSTOS!C:M,8,0)</f>
        <v>Und</v>
      </c>
      <c r="H2059" s="276"/>
      <c r="I2059" s="306"/>
      <c r="J2059" s="308"/>
      <c r="K2059" s="308"/>
      <c r="L2059" s="308"/>
    </row>
    <row r="2060" spans="1:14">
      <c r="A2060" s="230"/>
      <c r="B2060" s="112"/>
      <c r="C2060" s="112"/>
      <c r="D2060" s="112"/>
      <c r="E2060" s="113"/>
      <c r="F2060" s="114" t="s">
        <v>1</v>
      </c>
      <c r="G2060" s="356">
        <f>VLOOKUP(H2058,COSTOS!C:M,9,0)</f>
        <v>0</v>
      </c>
      <c r="H2060" s="357"/>
      <c r="I2060" s="307"/>
    </row>
    <row r="2061" spans="1:14" ht="16.5">
      <c r="A2061" s="231" t="s">
        <v>4226</v>
      </c>
      <c r="B2061" s="75"/>
      <c r="C2061" s="75"/>
      <c r="D2061" s="76"/>
      <c r="E2061" s="209"/>
      <c r="F2061" s="210"/>
      <c r="G2061" s="211" t="s">
        <v>4227</v>
      </c>
      <c r="H2061" s="217">
        <f>H2066+H2083+H2087+H2093</f>
        <v>606082.89364999998</v>
      </c>
    </row>
    <row r="2062" spans="1:14" ht="39">
      <c r="A2062" s="569" t="s">
        <v>4224</v>
      </c>
      <c r="B2062" s="569"/>
      <c r="C2062" s="569"/>
      <c r="D2062" s="77" t="s">
        <v>0</v>
      </c>
      <c r="E2062" s="207" t="s">
        <v>4228</v>
      </c>
      <c r="F2062" s="208" t="s">
        <v>4215</v>
      </c>
      <c r="G2062" s="74" t="s">
        <v>2</v>
      </c>
      <c r="H2062" s="218" t="s">
        <v>4229</v>
      </c>
      <c r="K2062" s="309"/>
    </row>
    <row r="2063" spans="1:14">
      <c r="A2063" s="536" t="s">
        <v>3946</v>
      </c>
      <c r="B2063" s="570" t="str">
        <f>VLOOKUP(A2063,'Equip, Herr y Transp'!$B$2:$D$739,2,0)</f>
        <v>EQU</v>
      </c>
      <c r="C2063" s="570"/>
      <c r="D2063" s="95" t="str">
        <f>VLOOKUP(A2063,'Equip, Herr y Transp'!$B$2:$D$218,2,0)</f>
        <v>EQU</v>
      </c>
      <c r="E2063" s="95">
        <f>VLOOKUP(A2063,'Equip, Herr y Transp'!$B$2:$D$218,3,0)</f>
        <v>14130</v>
      </c>
      <c r="F2063" s="96">
        <f>H2053</f>
        <v>5.21E-2</v>
      </c>
      <c r="G2063" s="122">
        <f>F2063*E2063</f>
        <v>736.173</v>
      </c>
      <c r="H2063" s="118"/>
    </row>
    <row r="2064" spans="1:14">
      <c r="A2064" s="536" t="s">
        <v>3904</v>
      </c>
      <c r="B2064" s="570" t="str">
        <f>VLOOKUP(A2064,'Equip, Herr y Transp'!$B$2:$D$739,2,0)</f>
        <v>EQU</v>
      </c>
      <c r="C2064" s="570"/>
      <c r="D2064" s="95" t="str">
        <f>VLOOKUP(A2064,'Equip, Herr y Transp'!$B$2:$D$218,2,0)</f>
        <v>EQU</v>
      </c>
      <c r="E2064" s="95">
        <f>VLOOKUP(A2064,'Equip, Herr y Transp'!$B$2:$D$218,3,0)</f>
        <v>26672.5</v>
      </c>
      <c r="F2064" s="96">
        <f>H2053</f>
        <v>5.21E-2</v>
      </c>
      <c r="G2064" s="122">
        <f>F2064*E2064</f>
        <v>1389.63725</v>
      </c>
      <c r="H2064" s="117"/>
    </row>
    <row r="2065" spans="1:15">
      <c r="A2065" s="536" t="s">
        <v>3937</v>
      </c>
      <c r="B2065" s="570" t="str">
        <f>VLOOKUP(A2065,'Equip, Herr y Transp'!$B$2:$D$739,2,0)</f>
        <v>EQU</v>
      </c>
      <c r="C2065" s="570"/>
      <c r="D2065" s="95" t="str">
        <f>VLOOKUP(A2065,'Equip, Herr y Transp'!$B$2:$D$218,2,0)</f>
        <v>EQU</v>
      </c>
      <c r="E2065" s="95">
        <f>VLOOKUP(A2065,'Equip, Herr y Transp'!$B$2:$D$218,3,0)</f>
        <v>23750</v>
      </c>
      <c r="F2065" s="96">
        <f>H2053</f>
        <v>5.21E-2</v>
      </c>
      <c r="G2065" s="122">
        <f>F2065*E2065</f>
        <v>1237.375</v>
      </c>
      <c r="H2065" s="117"/>
    </row>
    <row r="2066" spans="1:15" ht="16.5">
      <c r="A2066" s="540" t="s">
        <v>4100</v>
      </c>
      <c r="B2066" s="541"/>
      <c r="C2066" s="541"/>
      <c r="D2066" s="541"/>
      <c r="E2066" s="541"/>
      <c r="F2066" s="541"/>
      <c r="G2066" s="541"/>
      <c r="H2066" s="97">
        <f>SUM(G2063:G2065)</f>
        <v>3363.18525</v>
      </c>
    </row>
    <row r="2067" spans="1:15" ht="16.5">
      <c r="A2067" s="571" t="s">
        <v>4230</v>
      </c>
      <c r="B2067" s="572"/>
      <c r="C2067" s="572"/>
      <c r="D2067" s="572"/>
      <c r="E2067" s="572"/>
      <c r="F2067" s="572"/>
      <c r="G2067" s="572"/>
      <c r="H2067" s="573"/>
      <c r="K2067" s="56"/>
      <c r="L2067" s="56"/>
      <c r="M2067" s="56"/>
      <c r="N2067" s="56"/>
      <c r="O2067" s="56"/>
    </row>
    <row r="2068" spans="1:15" ht="30" customHeight="1">
      <c r="A2068" s="574" t="s">
        <v>7</v>
      </c>
      <c r="B2068" s="575"/>
      <c r="C2068" s="109" t="s">
        <v>0</v>
      </c>
      <c r="D2068" s="110" t="s">
        <v>4098</v>
      </c>
      <c r="E2068" s="111" t="s">
        <v>1</v>
      </c>
      <c r="F2068" s="576" t="s">
        <v>4218</v>
      </c>
      <c r="G2068" s="576"/>
      <c r="H2068" s="215"/>
      <c r="K2068" s="56"/>
      <c r="L2068" s="56"/>
      <c r="M2068" s="56"/>
      <c r="N2068" s="56"/>
      <c r="O2068" s="56"/>
    </row>
    <row r="2069" spans="1:15">
      <c r="A2069" s="577" t="s">
        <v>4723</v>
      </c>
      <c r="B2069" s="578"/>
      <c r="C2069" s="98" t="str">
        <f>VLOOKUP(A2069,'Materiales '!$C$2:$F$1302,3,0)</f>
        <v>Und</v>
      </c>
      <c r="D2069" s="99">
        <f>VLOOKUP(A2069,'Materiales '!$C$2:$F$1302,4,0)</f>
        <v>353430</v>
      </c>
      <c r="E2069" s="100">
        <v>1</v>
      </c>
      <c r="F2069" s="538">
        <f>E2069*D2069</f>
        <v>353430</v>
      </c>
      <c r="G2069" s="539"/>
      <c r="H2069" s="121"/>
      <c r="I2069">
        <f>E2069*G2060</f>
        <v>0</v>
      </c>
      <c r="J2069" s="67"/>
      <c r="K2069" s="56"/>
      <c r="L2069" s="56"/>
      <c r="M2069" s="56"/>
      <c r="N2069" s="56"/>
      <c r="O2069" s="56"/>
    </row>
    <row r="2070" spans="1:15">
      <c r="A2070" s="577" t="s">
        <v>4214</v>
      </c>
      <c r="B2070" s="578"/>
      <c r="C2070" s="98" t="str">
        <f>VLOOKUP(A2070,'Materiales '!$C$2:$F$1302,3,0)</f>
        <v>Und</v>
      </c>
      <c r="D2070" s="99">
        <f>VLOOKUP(A2070,'Materiales '!$C$2:$F$1302,4,0)</f>
        <v>22848</v>
      </c>
      <c r="E2070" s="100">
        <v>1</v>
      </c>
      <c r="F2070" s="538">
        <f t="shared" ref="F2070:F2076" si="121">E2070*D2070</f>
        <v>22848</v>
      </c>
      <c r="G2070" s="539"/>
      <c r="H2070" s="121"/>
      <c r="I2070">
        <f>E2070*G2060</f>
        <v>0</v>
      </c>
      <c r="J2070" s="67"/>
      <c r="K2070" s="56"/>
      <c r="L2070" s="56"/>
      <c r="M2070" s="56"/>
      <c r="N2070" s="56"/>
      <c r="O2070" s="56"/>
    </row>
    <row r="2071" spans="1:15">
      <c r="A2071" s="536" t="s">
        <v>4484</v>
      </c>
      <c r="B2071" s="537" t="str">
        <f>VLOOKUP(A2071,'Materiales '!$C$2:$F$1302,3,0)</f>
        <v>Und</v>
      </c>
      <c r="C2071" s="98" t="str">
        <f>VLOOKUP(A2071,'Materiales '!$C$2:$F$1302,3,0)</f>
        <v>Und</v>
      </c>
      <c r="D2071" s="99">
        <f>VLOOKUP(A2071,'Materiales '!$C$2:$F$1302,4,0)</f>
        <v>21705.599999999999</v>
      </c>
      <c r="E2071" s="100">
        <v>2</v>
      </c>
      <c r="F2071" s="538">
        <f t="shared" si="121"/>
        <v>43411.199999999997</v>
      </c>
      <c r="G2071" s="539"/>
      <c r="H2071" s="121"/>
      <c r="I2071">
        <f>E2071*G2060</f>
        <v>0</v>
      </c>
      <c r="J2071" s="68"/>
      <c r="K2071" s="56"/>
      <c r="L2071" s="56"/>
      <c r="M2071" s="56"/>
      <c r="N2071" s="56"/>
      <c r="O2071" s="56"/>
    </row>
    <row r="2072" spans="1:15">
      <c r="A2072" s="536" t="s">
        <v>4489</v>
      </c>
      <c r="B2072" s="537" t="str">
        <f>VLOOKUP(A2072,'Materiales '!$C$2:$F$1302,3,0)</f>
        <v>Und</v>
      </c>
      <c r="C2072" s="98" t="str">
        <f>VLOOKUP(A2072,'Materiales '!$C$2:$F$1302,3,0)</f>
        <v>Und</v>
      </c>
      <c r="D2072" s="99">
        <f>VLOOKUP(A2072,'Materiales '!$C$2:$F$1302,4,0)</f>
        <v>8039.6399999999994</v>
      </c>
      <c r="E2072" s="100">
        <v>3</v>
      </c>
      <c r="F2072" s="538">
        <f t="shared" si="121"/>
        <v>24118.92</v>
      </c>
      <c r="G2072" s="539"/>
      <c r="H2072" s="121"/>
      <c r="I2072">
        <f>E2072*G2060</f>
        <v>0</v>
      </c>
      <c r="J2072" s="68"/>
      <c r="K2072" s="56"/>
      <c r="L2072" s="56"/>
      <c r="M2072" s="56"/>
      <c r="N2072" s="56"/>
      <c r="O2072" s="56"/>
    </row>
    <row r="2073" spans="1:15">
      <c r="A2073" s="536" t="s">
        <v>4554</v>
      </c>
      <c r="B2073" s="537" t="str">
        <f>VLOOKUP(A2073,'Materiales '!$C$2:$F$1302,3,0)</f>
        <v>Und</v>
      </c>
      <c r="C2073" s="98" t="str">
        <f>VLOOKUP(A2073,'Materiales '!$C$2:$F$1302,3,0)</f>
        <v>Und</v>
      </c>
      <c r="D2073" s="99">
        <f>VLOOKUP(A2073,'Materiales '!$C$2:$F$1302,4,0)</f>
        <v>2535.5329999999999</v>
      </c>
      <c r="E2073" s="100">
        <v>2</v>
      </c>
      <c r="F2073" s="538">
        <f t="shared" si="121"/>
        <v>5071.0659999999998</v>
      </c>
      <c r="G2073" s="539"/>
      <c r="H2073" s="121"/>
      <c r="I2073">
        <f>E2073*G2060</f>
        <v>0</v>
      </c>
      <c r="J2073" s="68"/>
      <c r="K2073" s="56"/>
      <c r="L2073" s="56"/>
      <c r="M2073" s="56"/>
      <c r="N2073" s="56"/>
      <c r="O2073" s="56"/>
    </row>
    <row r="2074" spans="1:15">
      <c r="A2074" s="536" t="s">
        <v>4450</v>
      </c>
      <c r="B2074" s="537" t="str">
        <f>VLOOKUP(A2074,'Materiales '!$C$2:$F$1302,3,0)</f>
        <v>Ml</v>
      </c>
      <c r="C2074" s="98" t="str">
        <f>VLOOKUP(A2074,'Materiales '!$C$2:$F$1302,3,0)</f>
        <v>Ml</v>
      </c>
      <c r="D2074" s="99">
        <f>VLOOKUP(A2074,'Materiales '!$C$2:$F$1302,4,0)</f>
        <v>6791.5679999999993</v>
      </c>
      <c r="E2074" s="100">
        <v>1</v>
      </c>
      <c r="F2074" s="538">
        <f t="shared" si="121"/>
        <v>6791.5679999999993</v>
      </c>
      <c r="G2074" s="539"/>
      <c r="H2074" s="121"/>
      <c r="I2074">
        <f>E2074*G2060</f>
        <v>0</v>
      </c>
      <c r="J2074" s="68"/>
      <c r="K2074" s="56"/>
      <c r="L2074" s="56"/>
      <c r="M2074" s="56"/>
      <c r="N2074" s="56"/>
      <c r="O2074" s="56"/>
    </row>
    <row r="2075" spans="1:15">
      <c r="A2075" s="536" t="s">
        <v>4493</v>
      </c>
      <c r="B2075" s="537" t="str">
        <f>VLOOKUP(A2075,'Materiales '!$C$2:$F$1302,3,0)</f>
        <v>Und</v>
      </c>
      <c r="C2075" s="98" t="str">
        <f>VLOOKUP(A2075,'Materiales '!$C$2:$F$1302,3,0)</f>
        <v>Und</v>
      </c>
      <c r="D2075" s="99">
        <f>VLOOKUP(A2075,'Materiales '!$C$2:$F$1302,4,0)</f>
        <v>232.76399999999998</v>
      </c>
      <c r="E2075" s="100">
        <v>3</v>
      </c>
      <c r="F2075" s="538">
        <f t="shared" si="121"/>
        <v>698.29199999999992</v>
      </c>
      <c r="G2075" s="539"/>
      <c r="H2075" s="121"/>
      <c r="I2075">
        <f>E2075*G2060</f>
        <v>0</v>
      </c>
      <c r="J2075" s="68"/>
      <c r="K2075" s="56"/>
      <c r="L2075" s="56"/>
      <c r="M2075" s="56"/>
      <c r="N2075" s="56"/>
      <c r="O2075" s="56"/>
    </row>
    <row r="2076" spans="1:15" ht="21.75" customHeight="1">
      <c r="A2076" s="536" t="s">
        <v>4435</v>
      </c>
      <c r="B2076" s="537" t="str">
        <f>VLOOKUP(A2076,'Materiales '!$C$2:$F$1302,3,0)</f>
        <v>Und</v>
      </c>
      <c r="C2076" s="98" t="str">
        <f>VLOOKUP(A2076,'Materiales '!$C$2:$F$1302,3,0)</f>
        <v>Und</v>
      </c>
      <c r="D2076" s="99">
        <f>VLOOKUP(A2076,'Materiales '!$C$2:$F$1302,4,0)</f>
        <v>122808</v>
      </c>
      <c r="E2076" s="100">
        <v>1</v>
      </c>
      <c r="F2076" s="538">
        <f t="shared" si="121"/>
        <v>122808</v>
      </c>
      <c r="G2076" s="539"/>
      <c r="H2076" s="121"/>
      <c r="I2076">
        <f>E2076*G2060</f>
        <v>0</v>
      </c>
      <c r="J2076" s="68"/>
      <c r="K2076" s="56"/>
      <c r="L2076" s="56"/>
      <c r="M2076" s="56"/>
      <c r="N2076" s="56"/>
      <c r="O2076" s="56"/>
    </row>
    <row r="2077" spans="1:15">
      <c r="A2077" s="536" t="s">
        <v>8</v>
      </c>
      <c r="B2077" s="537" t="str">
        <f>VLOOKUP(A2077,'Materiales '!$C$2:$F$1302,3,0)</f>
        <v>-</v>
      </c>
      <c r="C2077" s="98" t="str">
        <f>VLOOKUP(A2077,'Materiales '!$C$2:$F$1302,3,0)</f>
        <v>-</v>
      </c>
      <c r="D2077" s="99">
        <f>VLOOKUP(A2077,'Materiales '!$C$2:$F$1302,4,0)</f>
        <v>0</v>
      </c>
      <c r="E2077" s="100"/>
      <c r="F2077" s="538">
        <f>E2077*D2077</f>
        <v>0</v>
      </c>
      <c r="G2077" s="539"/>
      <c r="H2077" s="120"/>
      <c r="I2077">
        <f>E2077*G2060</f>
        <v>0</v>
      </c>
      <c r="J2077" s="68"/>
      <c r="K2077" s="56"/>
      <c r="L2077" s="56"/>
      <c r="M2077" s="56"/>
      <c r="N2077" s="56"/>
      <c r="O2077" s="56"/>
    </row>
    <row r="2078" spans="1:15">
      <c r="A2078" s="536" t="s">
        <v>8</v>
      </c>
      <c r="B2078" s="537" t="str">
        <f>VLOOKUP(A2078,'Materiales '!$C$2:$F$1302,3,0)</f>
        <v>-</v>
      </c>
      <c r="C2078" s="98" t="str">
        <f>VLOOKUP(A2078,'Materiales '!$C$2:$F$1302,3,0)</f>
        <v>-</v>
      </c>
      <c r="D2078" s="99">
        <f>VLOOKUP(A2078,'Materiales '!$C$2:$F$1302,4,0)</f>
        <v>0</v>
      </c>
      <c r="E2078" s="100"/>
      <c r="F2078" s="538">
        <f t="shared" ref="F2078:F2081" si="122">E2078*D2078</f>
        <v>0</v>
      </c>
      <c r="G2078" s="539"/>
      <c r="H2078" s="121"/>
      <c r="I2078">
        <f>E2078*G2060</f>
        <v>0</v>
      </c>
      <c r="J2078" s="68"/>
      <c r="K2078" s="56"/>
      <c r="L2078" s="56"/>
      <c r="M2078" s="56"/>
      <c r="N2078" s="56"/>
      <c r="O2078" s="56"/>
    </row>
    <row r="2079" spans="1:15">
      <c r="A2079" s="536" t="s">
        <v>8</v>
      </c>
      <c r="B2079" s="537" t="str">
        <f>VLOOKUP(A2079,'Materiales '!$C$2:$F$1302,3,0)</f>
        <v>-</v>
      </c>
      <c r="C2079" s="98" t="str">
        <f>VLOOKUP(A2079,'Materiales '!$C$2:$F$1302,3,0)</f>
        <v>-</v>
      </c>
      <c r="D2079" s="99">
        <f>VLOOKUP(A2079,'Materiales '!$C$2:$F$1302,4,0)</f>
        <v>0</v>
      </c>
      <c r="E2079" s="100"/>
      <c r="F2079" s="538">
        <f t="shared" si="122"/>
        <v>0</v>
      </c>
      <c r="G2079" s="539"/>
      <c r="H2079" s="121"/>
      <c r="I2079">
        <f>E2079*G2060</f>
        <v>0</v>
      </c>
      <c r="J2079" s="68"/>
      <c r="K2079" s="56"/>
      <c r="L2079" s="56"/>
      <c r="M2079" s="56"/>
      <c r="N2079" s="56"/>
      <c r="O2079" s="56"/>
    </row>
    <row r="2080" spans="1:15">
      <c r="A2080" s="536" t="s">
        <v>8</v>
      </c>
      <c r="B2080" s="537" t="str">
        <f>VLOOKUP(A2080,'Materiales '!$C$2:$F$1302,3,0)</f>
        <v>-</v>
      </c>
      <c r="C2080" s="98" t="str">
        <f>VLOOKUP(A2080,'Materiales '!$C$2:$F$1302,3,0)</f>
        <v>-</v>
      </c>
      <c r="D2080" s="99">
        <f>VLOOKUP(A2080,'Materiales '!$C$2:$F$1302,4,0)</f>
        <v>0</v>
      </c>
      <c r="E2080" s="100"/>
      <c r="F2080" s="538">
        <f t="shared" si="122"/>
        <v>0</v>
      </c>
      <c r="G2080" s="539"/>
      <c r="H2080" s="121"/>
      <c r="I2080">
        <f>E2080*G2060</f>
        <v>0</v>
      </c>
      <c r="J2080" s="68"/>
      <c r="K2080" s="56"/>
      <c r="L2080" s="56"/>
      <c r="M2080" s="56"/>
      <c r="N2080" s="56"/>
      <c r="O2080" s="56"/>
    </row>
    <row r="2081" spans="1:15">
      <c r="A2081" s="536" t="s">
        <v>8</v>
      </c>
      <c r="B2081" s="537" t="str">
        <f>VLOOKUP(A2081,'Materiales '!$C$2:$F$1302,3,0)</f>
        <v>-</v>
      </c>
      <c r="C2081" s="98" t="str">
        <f>VLOOKUP(A2081,'Materiales '!$C$2:$F$1302,3,0)</f>
        <v>-</v>
      </c>
      <c r="D2081" s="99">
        <f>VLOOKUP(A2081,'Materiales '!$C$2:$F$1302,4,0)</f>
        <v>0</v>
      </c>
      <c r="E2081" s="100"/>
      <c r="F2081" s="538">
        <f t="shared" si="122"/>
        <v>0</v>
      </c>
      <c r="G2081" s="539"/>
      <c r="H2081" s="121"/>
      <c r="I2081">
        <f>E2081*G2060</f>
        <v>0</v>
      </c>
      <c r="J2081" s="68"/>
      <c r="K2081" s="56"/>
      <c r="L2081" s="56"/>
      <c r="M2081" s="56"/>
      <c r="N2081" s="56"/>
      <c r="O2081" s="56"/>
    </row>
    <row r="2082" spans="1:15">
      <c r="A2082" s="536" t="s">
        <v>8</v>
      </c>
      <c r="B2082" s="537" t="str">
        <f>VLOOKUP(A2082,'Materiales '!$C$2:$F$1302,3,0)</f>
        <v>-</v>
      </c>
      <c r="C2082" s="98" t="str">
        <f>VLOOKUP(A2082,'Materiales '!$C$2:$F$1302,3,0)</f>
        <v>-</v>
      </c>
      <c r="D2082" s="99">
        <f>VLOOKUP(A2082,'Materiales '!$C$2:$F$1302,4,0)</f>
        <v>0</v>
      </c>
      <c r="E2082" s="100"/>
      <c r="F2082" s="538">
        <f>E2082*D2082</f>
        <v>0</v>
      </c>
      <c r="G2082" s="539"/>
      <c r="H2082" s="120"/>
      <c r="I2082">
        <f>E2082*G2060</f>
        <v>0</v>
      </c>
      <c r="J2082" s="68"/>
      <c r="K2082" s="56"/>
      <c r="L2082" s="56"/>
      <c r="M2082" s="56"/>
      <c r="N2082" s="56"/>
      <c r="O2082" s="56"/>
    </row>
    <row r="2083" spans="1:15" ht="16.5">
      <c r="A2083" s="540" t="s">
        <v>4099</v>
      </c>
      <c r="B2083" s="541"/>
      <c r="C2083" s="541"/>
      <c r="D2083" s="541"/>
      <c r="E2083" s="541"/>
      <c r="F2083" s="541"/>
      <c r="G2083" s="542"/>
      <c r="H2083" s="116">
        <f>SUM(F2069:F2082)</f>
        <v>579177.04599999997</v>
      </c>
      <c r="J2083" s="68"/>
      <c r="K2083" s="56"/>
      <c r="L2083" s="56"/>
      <c r="M2083" s="56"/>
      <c r="N2083" s="56"/>
      <c r="O2083" s="56"/>
    </row>
    <row r="2084" spans="1:15" ht="16.5">
      <c r="A2084" s="543" t="s">
        <v>4231</v>
      </c>
      <c r="B2084" s="544"/>
      <c r="C2084" s="544"/>
      <c r="D2084" s="544"/>
      <c r="E2084" s="545"/>
      <c r="F2084" s="544"/>
      <c r="G2084" s="544"/>
      <c r="H2084" s="546"/>
      <c r="J2084" s="68"/>
      <c r="K2084" s="56"/>
      <c r="L2084" s="56"/>
      <c r="M2084" s="56"/>
      <c r="N2084" s="56"/>
      <c r="O2084" s="56"/>
    </row>
    <row r="2085" spans="1:15">
      <c r="A2085" s="547" t="s">
        <v>7</v>
      </c>
      <c r="B2085" s="548"/>
      <c r="C2085" s="108" t="s">
        <v>4232</v>
      </c>
      <c r="D2085" s="107" t="s">
        <v>4233</v>
      </c>
      <c r="E2085" s="206" t="s">
        <v>4234</v>
      </c>
      <c r="F2085" s="549" t="s">
        <v>4218</v>
      </c>
      <c r="G2085" s="549"/>
      <c r="H2085" s="119"/>
      <c r="K2085" s="56"/>
      <c r="L2085" s="56"/>
      <c r="M2085" s="56"/>
      <c r="N2085" s="56"/>
      <c r="O2085" s="56"/>
    </row>
    <row r="2086" spans="1:15">
      <c r="A2086" s="550" t="s">
        <v>3928</v>
      </c>
      <c r="B2086" s="551"/>
      <c r="C2086" s="232">
        <v>1</v>
      </c>
      <c r="D2086" s="102">
        <v>0.03</v>
      </c>
      <c r="E2086" s="103">
        <f>VLOOKUP(A2086,'Equip, Herr y Transp'!$B$2:$D$218,3,0)</f>
        <v>160000</v>
      </c>
      <c r="F2086" s="552">
        <f>E2086*D2086*C2086</f>
        <v>4800</v>
      </c>
      <c r="G2086" s="553"/>
      <c r="H2086" s="117"/>
      <c r="M2086" s="56"/>
    </row>
    <row r="2087" spans="1:15" ht="16.5">
      <c r="A2087" s="554" t="s">
        <v>4216</v>
      </c>
      <c r="B2087" s="555"/>
      <c r="C2087" s="555"/>
      <c r="D2087" s="555"/>
      <c r="E2087" s="555"/>
      <c r="F2087" s="555"/>
      <c r="G2087" s="555"/>
      <c r="H2087" s="105">
        <f>F2086</f>
        <v>4800</v>
      </c>
    </row>
    <row r="2088" spans="1:15" ht="16.5">
      <c r="A2088" s="543" t="s">
        <v>4235</v>
      </c>
      <c r="B2088" s="544"/>
      <c r="C2088" s="544"/>
      <c r="D2088" s="544"/>
      <c r="E2088" s="544"/>
      <c r="F2088" s="544"/>
      <c r="G2088" s="544"/>
      <c r="H2088" s="546"/>
    </row>
    <row r="2089" spans="1:15">
      <c r="A2089" s="547" t="s">
        <v>7</v>
      </c>
      <c r="B2089" s="548"/>
      <c r="C2089" s="106" t="s">
        <v>1</v>
      </c>
      <c r="D2089" s="107" t="s">
        <v>4236</v>
      </c>
      <c r="E2089" s="108" t="s">
        <v>4215</v>
      </c>
      <c r="F2089" s="547" t="s">
        <v>5</v>
      </c>
      <c r="G2089" s="556"/>
      <c r="H2089" s="119"/>
    </row>
    <row r="2090" spans="1:15">
      <c r="A2090" s="550" t="s">
        <v>4196</v>
      </c>
      <c r="B2090" s="551"/>
      <c r="C2090" s="101">
        <v>1</v>
      </c>
      <c r="D2090" s="104">
        <f>VLOOKUP(A2090,'Mano Obra'!$B$2:$T$117,19,0)</f>
        <v>166624</v>
      </c>
      <c r="E2090" s="246">
        <f>H2053</f>
        <v>5.21E-2</v>
      </c>
      <c r="F2090" s="538">
        <f>E2090*D2090*C2090</f>
        <v>8681.1103999999996</v>
      </c>
      <c r="G2090" s="557"/>
      <c r="H2090" s="121"/>
      <c r="I2090" s="69"/>
      <c r="J2090" s="136">
        <f>((('Mano Obra'!$M$4/30)*F2090)/D2090)*G2060</f>
        <v>0</v>
      </c>
    </row>
    <row r="2091" spans="1:15">
      <c r="A2091" s="558" t="s">
        <v>4197</v>
      </c>
      <c r="B2091" s="559">
        <f>VLOOKUP(A2091,'Mano Obra'!$B$3:$D$290,2,0)</f>
        <v>2090000.0000000002</v>
      </c>
      <c r="C2091" s="101">
        <v>1</v>
      </c>
      <c r="D2091" s="104">
        <f>VLOOKUP(A2091,'Mano Obra'!$B$2:$T$117,19,0)</f>
        <v>120456</v>
      </c>
      <c r="E2091" s="246">
        <f>H2053</f>
        <v>5.21E-2</v>
      </c>
      <c r="F2091" s="538">
        <f t="shared" ref="F2091:F2092" si="123">E2091*D2091*C2091</f>
        <v>6275.7575999999999</v>
      </c>
      <c r="G2091" s="557"/>
      <c r="H2091" s="121"/>
      <c r="J2091" s="136">
        <f>((('Mano Obra'!$M$5/30)*F2091)/D2091)*G2060</f>
        <v>0</v>
      </c>
    </row>
    <row r="2092" spans="1:15">
      <c r="A2092" s="558" t="s">
        <v>4186</v>
      </c>
      <c r="B2092" s="559">
        <f>VLOOKUP(A2092,'Mano Obra'!$B$3:$D$290,2,0)</f>
        <v>1100000</v>
      </c>
      <c r="C2092" s="101">
        <v>1</v>
      </c>
      <c r="D2092" s="104">
        <f>VLOOKUP(A2092,'Mano Obra'!$B$2:$T$117,19,0)</f>
        <v>72664</v>
      </c>
      <c r="E2092" s="246">
        <f>H2053</f>
        <v>5.21E-2</v>
      </c>
      <c r="F2092" s="538">
        <f t="shared" si="123"/>
        <v>3785.7944000000002</v>
      </c>
      <c r="G2092" s="557"/>
      <c r="H2092" s="120"/>
      <c r="J2092" s="136">
        <f>((('Mano Obra'!$M$6/30)*F2092)/D2092)*G2060</f>
        <v>0</v>
      </c>
    </row>
    <row r="2093" spans="1:15" ht="16.5">
      <c r="A2093" s="560" t="s">
        <v>4101</v>
      </c>
      <c r="B2093" s="560"/>
      <c r="C2093" s="560"/>
      <c r="D2093" s="560"/>
      <c r="E2093" s="560"/>
      <c r="F2093" s="560"/>
      <c r="G2093" s="560"/>
      <c r="H2093" s="105">
        <f>SUM(F2090:F2092)</f>
        <v>18742.662399999997</v>
      </c>
      <c r="J2093" s="136"/>
    </row>
    <row r="2094" spans="1:15">
      <c r="A2094" s="227" t="s">
        <v>4237</v>
      </c>
      <c r="B2094" s="205"/>
      <c r="C2094" s="205"/>
      <c r="D2094" s="202"/>
      <c r="E2094" s="203"/>
      <c r="F2094" s="204"/>
      <c r="G2094" s="203"/>
      <c r="H2094" s="212"/>
    </row>
    <row r="2095" spans="1:15">
      <c r="A2095" s="561" t="s">
        <v>4224</v>
      </c>
      <c r="B2095" s="562"/>
      <c r="C2095" s="562"/>
      <c r="D2095" s="562"/>
      <c r="E2095" s="200"/>
      <c r="F2095" s="201" t="s">
        <v>4238</v>
      </c>
      <c r="G2095" s="200" t="s">
        <v>4239</v>
      </c>
      <c r="H2095" s="213"/>
    </row>
    <row r="2096" spans="1:15">
      <c r="A2096" s="223" t="s">
        <v>4097</v>
      </c>
      <c r="B2096" s="72"/>
      <c r="C2096" s="72"/>
      <c r="D2096" s="73"/>
      <c r="E2096" s="78"/>
      <c r="F2096" s="79">
        <v>0</v>
      </c>
      <c r="G2096" s="80">
        <f>F2096*H2061</f>
        <v>0</v>
      </c>
      <c r="H2096" s="212"/>
    </row>
    <row r="2097" spans="1:14">
      <c r="A2097" s="224" t="s">
        <v>4240</v>
      </c>
      <c r="B2097" s="81"/>
      <c r="C2097" s="81"/>
      <c r="D2097" s="82"/>
      <c r="E2097" s="78"/>
      <c r="F2097" s="79">
        <v>0</v>
      </c>
      <c r="G2097" s="80">
        <f>F2097*H2061</f>
        <v>0</v>
      </c>
      <c r="H2097" s="212"/>
    </row>
    <row r="2098" spans="1:14">
      <c r="A2098" s="224" t="s">
        <v>4</v>
      </c>
      <c r="B2098" s="81"/>
      <c r="C2098" s="81"/>
      <c r="D2098" s="82"/>
      <c r="E2098" s="78"/>
      <c r="F2098" s="79">
        <v>0</v>
      </c>
      <c r="G2098" s="80">
        <f>F2098*H2061</f>
        <v>0</v>
      </c>
      <c r="H2098" s="212"/>
    </row>
    <row r="2099" spans="1:14">
      <c r="A2099" s="225"/>
      <c r="B2099" s="83"/>
      <c r="C2099" s="75"/>
      <c r="D2099" s="84"/>
      <c r="E2099" s="85"/>
      <c r="F2099" s="86"/>
      <c r="G2099" s="87"/>
      <c r="H2099" s="214"/>
    </row>
    <row r="2100" spans="1:14">
      <c r="A2100" s="226"/>
      <c r="B2100" s="83"/>
      <c r="C2100" s="83"/>
      <c r="D2100" s="84"/>
      <c r="E2100" s="88"/>
      <c r="F2100" s="563" t="s">
        <v>4241</v>
      </c>
      <c r="G2100" s="564"/>
      <c r="H2100" s="233">
        <f>H2061+G2096+G2097+G2098</f>
        <v>606082.89364999998</v>
      </c>
    </row>
    <row r="2101" spans="1:14">
      <c r="A2101" s="83"/>
      <c r="B2101" s="83"/>
      <c r="C2101" s="83"/>
      <c r="D2101" s="84"/>
      <c r="E2101" s="388"/>
      <c r="F2101" s="389"/>
      <c r="G2101" s="389"/>
      <c r="H2101" s="390"/>
    </row>
    <row r="2102" spans="1:14" ht="16.5">
      <c r="A2102" s="90"/>
      <c r="B2102" s="90"/>
      <c r="C2102" s="90"/>
      <c r="D2102" s="90"/>
      <c r="E2102" s="90"/>
      <c r="F2102" s="90"/>
      <c r="G2102" s="90"/>
      <c r="H2102" s="381"/>
    </row>
    <row r="2103" spans="1:14">
      <c r="A2103" s="579" t="s">
        <v>4225</v>
      </c>
      <c r="B2103" s="580"/>
      <c r="C2103" s="580"/>
      <c r="D2103" s="580"/>
      <c r="E2103" s="580"/>
      <c r="F2103" s="580"/>
      <c r="G2103" s="580"/>
      <c r="H2103" s="581"/>
    </row>
    <row r="2104" spans="1:14" ht="16.5">
      <c r="A2104" s="91"/>
      <c r="B2104" s="92"/>
      <c r="C2104" s="92"/>
      <c r="D2104" s="92"/>
      <c r="E2104" s="92"/>
      <c r="F2104" s="93"/>
      <c r="G2104" s="94"/>
      <c r="H2104" s="380">
        <f>ROUND((25/60)/8,4)</f>
        <v>5.21E-2</v>
      </c>
      <c r="I2104" s="115"/>
    </row>
    <row r="2105" spans="1:14">
      <c r="A2105" s="582" t="s">
        <v>4220</v>
      </c>
      <c r="B2105" s="584" t="str">
        <f>COSTOS!$C$14</f>
        <v>MODERNIZACION A TECNOLOGIA LED</v>
      </c>
      <c r="C2105" s="584"/>
      <c r="D2105" s="584"/>
      <c r="E2105" s="584"/>
      <c r="F2105" s="584"/>
      <c r="G2105" s="584"/>
      <c r="H2105" s="585" t="s">
        <v>4221</v>
      </c>
    </row>
    <row r="2106" spans="1:14">
      <c r="A2106" s="583"/>
      <c r="B2106" s="584"/>
      <c r="C2106" s="584"/>
      <c r="D2106" s="584"/>
      <c r="E2106" s="584"/>
      <c r="F2106" s="584"/>
      <c r="G2106" s="584"/>
      <c r="H2106" s="585"/>
    </row>
    <row r="2107" spans="1:14">
      <c r="A2107" s="583"/>
      <c r="B2107" s="584"/>
      <c r="C2107" s="584"/>
      <c r="D2107" s="584"/>
      <c r="E2107" s="584"/>
      <c r="F2107" s="584"/>
      <c r="G2107" s="584"/>
      <c r="H2107" s="585"/>
    </row>
    <row r="2108" spans="1:14" ht="15" customHeight="1">
      <c r="A2108" s="583"/>
      <c r="B2108" s="584"/>
      <c r="C2108" s="584"/>
      <c r="D2108" s="584"/>
      <c r="E2108" s="584"/>
      <c r="F2108" s="584"/>
      <c r="G2108" s="584"/>
      <c r="H2108" s="216">
        <f ca="1">TODAY()</f>
        <v>44889</v>
      </c>
      <c r="K2108" t="s">
        <v>4391</v>
      </c>
      <c r="L2108" t="s">
        <v>4392</v>
      </c>
      <c r="M2108" t="s">
        <v>4393</v>
      </c>
      <c r="N2108" t="s">
        <v>4394</v>
      </c>
    </row>
    <row r="2109" spans="1:14" ht="60.75" customHeight="1">
      <c r="A2109" s="228" t="s">
        <v>4222</v>
      </c>
      <c r="B2109" s="565" t="str">
        <f>COSTOS!$D$16</f>
        <v>Luminarias</v>
      </c>
      <c r="C2109" s="565"/>
      <c r="D2109" s="565"/>
      <c r="E2109" s="565"/>
      <c r="F2109" s="565"/>
      <c r="G2109" s="70" t="s">
        <v>4223</v>
      </c>
      <c r="H2109" s="391">
        <v>1.42</v>
      </c>
      <c r="K2109" s="62">
        <f>H2134</f>
        <v>631537.04600000009</v>
      </c>
      <c r="L2109" s="62">
        <f>H2144</f>
        <v>18742.662399999997</v>
      </c>
      <c r="M2109" s="62">
        <f>H2117</f>
        <v>3363.18525</v>
      </c>
      <c r="N2109" s="62">
        <f>H2138</f>
        <v>4800</v>
      </c>
    </row>
    <row r="2110" spans="1:14" ht="43.15" customHeight="1">
      <c r="A2110" s="229" t="s">
        <v>4224</v>
      </c>
      <c r="B2110" s="566" t="str">
        <f>VLOOKUP(H2109,COSTOS!C:M,2,0)</f>
        <v>Luminaria Led baja eficiencia 60w</v>
      </c>
      <c r="C2110" s="567"/>
      <c r="D2110" s="567"/>
      <c r="E2110" s="568"/>
      <c r="F2110" s="71" t="s">
        <v>0</v>
      </c>
      <c r="G2110" s="356" t="str">
        <f>VLOOKUP(H2109,COSTOS!C:M,8,0)</f>
        <v>Und</v>
      </c>
      <c r="H2110" s="276"/>
      <c r="I2110" s="306"/>
      <c r="J2110" s="308"/>
      <c r="K2110" s="308"/>
      <c r="L2110" s="308"/>
    </row>
    <row r="2111" spans="1:14">
      <c r="A2111" s="230"/>
      <c r="B2111" s="112"/>
      <c r="C2111" s="112"/>
      <c r="D2111" s="112"/>
      <c r="E2111" s="113"/>
      <c r="F2111" s="114" t="s">
        <v>1</v>
      </c>
      <c r="G2111" s="356">
        <f>VLOOKUP(H2109,COSTOS!C:M,9,0)</f>
        <v>0</v>
      </c>
      <c r="H2111" s="357"/>
      <c r="I2111" s="307"/>
    </row>
    <row r="2112" spans="1:14" ht="16.5">
      <c r="A2112" s="231" t="s">
        <v>4226</v>
      </c>
      <c r="B2112" s="75"/>
      <c r="C2112" s="75"/>
      <c r="D2112" s="76"/>
      <c r="E2112" s="209"/>
      <c r="F2112" s="210"/>
      <c r="G2112" s="211" t="s">
        <v>4227</v>
      </c>
      <c r="H2112" s="217">
        <f>H2117+H2134+H2138+H2144</f>
        <v>658442.8936500001</v>
      </c>
    </row>
    <row r="2113" spans="1:15" ht="39">
      <c r="A2113" s="569" t="s">
        <v>4224</v>
      </c>
      <c r="B2113" s="569"/>
      <c r="C2113" s="569"/>
      <c r="D2113" s="77" t="s">
        <v>0</v>
      </c>
      <c r="E2113" s="207" t="s">
        <v>4228</v>
      </c>
      <c r="F2113" s="208" t="s">
        <v>4215</v>
      </c>
      <c r="G2113" s="74" t="s">
        <v>2</v>
      </c>
      <c r="H2113" s="218" t="s">
        <v>4229</v>
      </c>
      <c r="K2113" s="309"/>
    </row>
    <row r="2114" spans="1:15">
      <c r="A2114" s="536" t="s">
        <v>3946</v>
      </c>
      <c r="B2114" s="570" t="str">
        <f>VLOOKUP(A2114,'Equip, Herr y Transp'!$B$2:$D$739,2,0)</f>
        <v>EQU</v>
      </c>
      <c r="C2114" s="570"/>
      <c r="D2114" s="95" t="str">
        <f>VLOOKUP(A2114,'Equip, Herr y Transp'!$B$2:$D$218,2,0)</f>
        <v>EQU</v>
      </c>
      <c r="E2114" s="95">
        <f>VLOOKUP(A2114,'Equip, Herr y Transp'!$B$2:$D$218,3,0)</f>
        <v>14130</v>
      </c>
      <c r="F2114" s="96">
        <f>H2104</f>
        <v>5.21E-2</v>
      </c>
      <c r="G2114" s="122">
        <f>F2114*E2114</f>
        <v>736.173</v>
      </c>
      <c r="H2114" s="118"/>
    </row>
    <row r="2115" spans="1:15">
      <c r="A2115" s="536" t="s">
        <v>3904</v>
      </c>
      <c r="B2115" s="570" t="str">
        <f>VLOOKUP(A2115,'Equip, Herr y Transp'!$B$2:$D$739,2,0)</f>
        <v>EQU</v>
      </c>
      <c r="C2115" s="570"/>
      <c r="D2115" s="95" t="str">
        <f>VLOOKUP(A2115,'Equip, Herr y Transp'!$B$2:$D$218,2,0)</f>
        <v>EQU</v>
      </c>
      <c r="E2115" s="95">
        <f>VLOOKUP(A2115,'Equip, Herr y Transp'!$B$2:$D$218,3,0)</f>
        <v>26672.5</v>
      </c>
      <c r="F2115" s="96">
        <f>H2104</f>
        <v>5.21E-2</v>
      </c>
      <c r="G2115" s="122">
        <f>F2115*E2115</f>
        <v>1389.63725</v>
      </c>
      <c r="H2115" s="117"/>
    </row>
    <row r="2116" spans="1:15">
      <c r="A2116" s="536" t="s">
        <v>3937</v>
      </c>
      <c r="B2116" s="570" t="str">
        <f>VLOOKUP(A2116,'Equip, Herr y Transp'!$B$2:$D$739,2,0)</f>
        <v>EQU</v>
      </c>
      <c r="C2116" s="570"/>
      <c r="D2116" s="95" t="str">
        <f>VLOOKUP(A2116,'Equip, Herr y Transp'!$B$2:$D$218,2,0)</f>
        <v>EQU</v>
      </c>
      <c r="E2116" s="95">
        <f>VLOOKUP(A2116,'Equip, Herr y Transp'!$B$2:$D$218,3,0)</f>
        <v>23750</v>
      </c>
      <c r="F2116" s="96">
        <f>H2104</f>
        <v>5.21E-2</v>
      </c>
      <c r="G2116" s="122">
        <f>F2116*E2116</f>
        <v>1237.375</v>
      </c>
      <c r="H2116" s="117"/>
    </row>
    <row r="2117" spans="1:15" ht="16.5">
      <c r="A2117" s="540" t="s">
        <v>4100</v>
      </c>
      <c r="B2117" s="541"/>
      <c r="C2117" s="541"/>
      <c r="D2117" s="541"/>
      <c r="E2117" s="541"/>
      <c r="F2117" s="541"/>
      <c r="G2117" s="541"/>
      <c r="H2117" s="97">
        <f>SUM(G2114:G2116)</f>
        <v>3363.18525</v>
      </c>
    </row>
    <row r="2118" spans="1:15" ht="16.5">
      <c r="A2118" s="571" t="s">
        <v>4230</v>
      </c>
      <c r="B2118" s="572"/>
      <c r="C2118" s="572"/>
      <c r="D2118" s="572"/>
      <c r="E2118" s="572"/>
      <c r="F2118" s="572"/>
      <c r="G2118" s="572"/>
      <c r="H2118" s="573"/>
      <c r="K2118" s="56"/>
      <c r="L2118" s="56"/>
      <c r="M2118" s="56"/>
      <c r="N2118" s="56"/>
      <c r="O2118" s="56"/>
    </row>
    <row r="2119" spans="1:15" ht="30" customHeight="1">
      <c r="A2119" s="574" t="s">
        <v>7</v>
      </c>
      <c r="B2119" s="575"/>
      <c r="C2119" s="109" t="s">
        <v>0</v>
      </c>
      <c r="D2119" s="110" t="s">
        <v>4098</v>
      </c>
      <c r="E2119" s="111" t="s">
        <v>1</v>
      </c>
      <c r="F2119" s="576" t="s">
        <v>4218</v>
      </c>
      <c r="G2119" s="576"/>
      <c r="H2119" s="215"/>
      <c r="K2119" s="56"/>
      <c r="L2119" s="56"/>
      <c r="M2119" s="56"/>
      <c r="N2119" s="56"/>
      <c r="O2119" s="56"/>
    </row>
    <row r="2120" spans="1:15">
      <c r="A2120" s="577" t="s">
        <v>4724</v>
      </c>
      <c r="B2120" s="578"/>
      <c r="C2120" s="98" t="str">
        <f>VLOOKUP(A2120,'Materiales '!$C$2:$F$1302,3,0)</f>
        <v>Und</v>
      </c>
      <c r="D2120" s="99">
        <f>VLOOKUP(A2120,'Materiales '!$C$2:$F$1302,4,0)</f>
        <v>405790.00000000006</v>
      </c>
      <c r="E2120" s="100">
        <v>1</v>
      </c>
      <c r="F2120" s="538">
        <f>E2120*D2120</f>
        <v>405790.00000000006</v>
      </c>
      <c r="G2120" s="539"/>
      <c r="H2120" s="121"/>
      <c r="I2120">
        <f>E2120*G2111</f>
        <v>0</v>
      </c>
      <c r="J2120" s="67"/>
      <c r="K2120" s="56"/>
      <c r="L2120" s="56"/>
      <c r="M2120" s="56"/>
      <c r="N2120" s="56"/>
      <c r="O2120" s="56"/>
    </row>
    <row r="2121" spans="1:15">
      <c r="A2121" s="577" t="s">
        <v>4214</v>
      </c>
      <c r="B2121" s="578"/>
      <c r="C2121" s="98" t="str">
        <f>VLOOKUP(A2121,'Materiales '!$C$2:$F$1302,3,0)</f>
        <v>Und</v>
      </c>
      <c r="D2121" s="99">
        <f>VLOOKUP(A2121,'Materiales '!$C$2:$F$1302,4,0)</f>
        <v>22848</v>
      </c>
      <c r="E2121" s="100">
        <v>1</v>
      </c>
      <c r="F2121" s="538">
        <f t="shared" ref="F2121:F2127" si="124">E2121*D2121</f>
        <v>22848</v>
      </c>
      <c r="G2121" s="539"/>
      <c r="H2121" s="121"/>
      <c r="I2121">
        <f>E2121*G2111</f>
        <v>0</v>
      </c>
      <c r="J2121" s="67"/>
      <c r="K2121" s="56"/>
      <c r="L2121" s="56"/>
      <c r="M2121" s="56"/>
      <c r="N2121" s="56"/>
      <c r="O2121" s="56"/>
    </row>
    <row r="2122" spans="1:15">
      <c r="A2122" s="536" t="s">
        <v>4484</v>
      </c>
      <c r="B2122" s="537" t="str">
        <f>VLOOKUP(A2122,'Materiales '!$C$2:$F$1302,3,0)</f>
        <v>Und</v>
      </c>
      <c r="C2122" s="98" t="str">
        <f>VLOOKUP(A2122,'Materiales '!$C$2:$F$1302,3,0)</f>
        <v>Und</v>
      </c>
      <c r="D2122" s="99">
        <f>VLOOKUP(A2122,'Materiales '!$C$2:$F$1302,4,0)</f>
        <v>21705.599999999999</v>
      </c>
      <c r="E2122" s="100">
        <v>2</v>
      </c>
      <c r="F2122" s="538">
        <f t="shared" si="124"/>
        <v>43411.199999999997</v>
      </c>
      <c r="G2122" s="539"/>
      <c r="H2122" s="121"/>
      <c r="I2122">
        <f>E2122*G2111</f>
        <v>0</v>
      </c>
      <c r="J2122" s="68"/>
      <c r="K2122" s="56"/>
      <c r="L2122" s="56"/>
      <c r="M2122" s="56"/>
      <c r="N2122" s="56"/>
      <c r="O2122" s="56"/>
    </row>
    <row r="2123" spans="1:15">
      <c r="A2123" s="536" t="s">
        <v>4489</v>
      </c>
      <c r="B2123" s="537" t="str">
        <f>VLOOKUP(A2123,'Materiales '!$C$2:$F$1302,3,0)</f>
        <v>Und</v>
      </c>
      <c r="C2123" s="98" t="str">
        <f>VLOOKUP(A2123,'Materiales '!$C$2:$F$1302,3,0)</f>
        <v>Und</v>
      </c>
      <c r="D2123" s="99">
        <f>VLOOKUP(A2123,'Materiales '!$C$2:$F$1302,4,0)</f>
        <v>8039.6399999999994</v>
      </c>
      <c r="E2123" s="100">
        <v>3</v>
      </c>
      <c r="F2123" s="538">
        <f t="shared" si="124"/>
        <v>24118.92</v>
      </c>
      <c r="G2123" s="539"/>
      <c r="H2123" s="121"/>
      <c r="I2123">
        <f>E2123*G2111</f>
        <v>0</v>
      </c>
      <c r="J2123" s="68"/>
      <c r="K2123" s="56"/>
      <c r="L2123" s="56"/>
      <c r="M2123" s="56"/>
      <c r="N2123" s="56"/>
      <c r="O2123" s="56"/>
    </row>
    <row r="2124" spans="1:15">
      <c r="A2124" s="536" t="s">
        <v>4554</v>
      </c>
      <c r="B2124" s="537" t="str">
        <f>VLOOKUP(A2124,'Materiales '!$C$2:$F$1302,3,0)</f>
        <v>Und</v>
      </c>
      <c r="C2124" s="98" t="str">
        <f>VLOOKUP(A2124,'Materiales '!$C$2:$F$1302,3,0)</f>
        <v>Und</v>
      </c>
      <c r="D2124" s="99">
        <f>VLOOKUP(A2124,'Materiales '!$C$2:$F$1302,4,0)</f>
        <v>2535.5329999999999</v>
      </c>
      <c r="E2124" s="100">
        <v>2</v>
      </c>
      <c r="F2124" s="538">
        <f t="shared" si="124"/>
        <v>5071.0659999999998</v>
      </c>
      <c r="G2124" s="539"/>
      <c r="H2124" s="121"/>
      <c r="I2124">
        <f>E2124*G2111</f>
        <v>0</v>
      </c>
      <c r="J2124" s="68"/>
      <c r="K2124" s="56"/>
      <c r="L2124" s="56"/>
      <c r="M2124" s="56"/>
      <c r="N2124" s="56"/>
      <c r="O2124" s="56"/>
    </row>
    <row r="2125" spans="1:15">
      <c r="A2125" s="536" t="s">
        <v>4450</v>
      </c>
      <c r="B2125" s="537" t="str">
        <f>VLOOKUP(A2125,'Materiales '!$C$2:$F$1302,3,0)</f>
        <v>Ml</v>
      </c>
      <c r="C2125" s="98" t="str">
        <f>VLOOKUP(A2125,'Materiales '!$C$2:$F$1302,3,0)</f>
        <v>Ml</v>
      </c>
      <c r="D2125" s="99">
        <f>VLOOKUP(A2125,'Materiales '!$C$2:$F$1302,4,0)</f>
        <v>6791.5679999999993</v>
      </c>
      <c r="E2125" s="100">
        <v>1</v>
      </c>
      <c r="F2125" s="538">
        <f t="shared" si="124"/>
        <v>6791.5679999999993</v>
      </c>
      <c r="G2125" s="539"/>
      <c r="H2125" s="121"/>
      <c r="I2125">
        <f>E2125*G2111</f>
        <v>0</v>
      </c>
      <c r="J2125" s="68"/>
      <c r="K2125" s="56"/>
      <c r="L2125" s="56"/>
      <c r="M2125" s="56"/>
      <c r="N2125" s="56"/>
      <c r="O2125" s="56"/>
    </row>
    <row r="2126" spans="1:15">
      <c r="A2126" s="536" t="s">
        <v>4493</v>
      </c>
      <c r="B2126" s="537" t="str">
        <f>VLOOKUP(A2126,'Materiales '!$C$2:$F$1302,3,0)</f>
        <v>Und</v>
      </c>
      <c r="C2126" s="98" t="str">
        <f>VLOOKUP(A2126,'Materiales '!$C$2:$F$1302,3,0)</f>
        <v>Und</v>
      </c>
      <c r="D2126" s="99">
        <f>VLOOKUP(A2126,'Materiales '!$C$2:$F$1302,4,0)</f>
        <v>232.76399999999998</v>
      </c>
      <c r="E2126" s="100">
        <v>3</v>
      </c>
      <c r="F2126" s="538">
        <f t="shared" si="124"/>
        <v>698.29199999999992</v>
      </c>
      <c r="G2126" s="539"/>
      <c r="H2126" s="121"/>
      <c r="I2126">
        <f>E2126*G2111</f>
        <v>0</v>
      </c>
      <c r="J2126" s="68"/>
      <c r="K2126" s="56"/>
      <c r="L2126" s="56"/>
      <c r="M2126" s="56"/>
      <c r="N2126" s="56"/>
      <c r="O2126" s="56"/>
    </row>
    <row r="2127" spans="1:15" ht="21.75" customHeight="1">
      <c r="A2127" s="536" t="s">
        <v>4435</v>
      </c>
      <c r="B2127" s="537" t="str">
        <f>VLOOKUP(A2127,'Materiales '!$C$2:$F$1302,3,0)</f>
        <v>Und</v>
      </c>
      <c r="C2127" s="98" t="str">
        <f>VLOOKUP(A2127,'Materiales '!$C$2:$F$1302,3,0)</f>
        <v>Und</v>
      </c>
      <c r="D2127" s="99">
        <f>VLOOKUP(A2127,'Materiales '!$C$2:$F$1302,4,0)</f>
        <v>122808</v>
      </c>
      <c r="E2127" s="100">
        <v>1</v>
      </c>
      <c r="F2127" s="538">
        <f t="shared" si="124"/>
        <v>122808</v>
      </c>
      <c r="G2127" s="539"/>
      <c r="H2127" s="121"/>
      <c r="I2127">
        <f>E2127*G2111</f>
        <v>0</v>
      </c>
      <c r="J2127" s="68"/>
      <c r="K2127" s="56"/>
      <c r="L2127" s="56"/>
      <c r="M2127" s="56"/>
      <c r="N2127" s="56"/>
      <c r="O2127" s="56"/>
    </row>
    <row r="2128" spans="1:15">
      <c r="A2128" s="536" t="s">
        <v>8</v>
      </c>
      <c r="B2128" s="537" t="str">
        <f>VLOOKUP(A2128,'Materiales '!$C$2:$F$1302,3,0)</f>
        <v>-</v>
      </c>
      <c r="C2128" s="98" t="str">
        <f>VLOOKUP(A2128,'Materiales '!$C$2:$F$1302,3,0)</f>
        <v>-</v>
      </c>
      <c r="D2128" s="99">
        <f>VLOOKUP(A2128,'Materiales '!$C$2:$F$1302,4,0)</f>
        <v>0</v>
      </c>
      <c r="E2128" s="100"/>
      <c r="F2128" s="538">
        <f>E2128*D2128</f>
        <v>0</v>
      </c>
      <c r="G2128" s="539"/>
      <c r="H2128" s="120"/>
      <c r="I2128">
        <f>E2128*G2111</f>
        <v>0</v>
      </c>
      <c r="J2128" s="68"/>
      <c r="K2128" s="56"/>
      <c r="L2128" s="56"/>
      <c r="M2128" s="56"/>
      <c r="N2128" s="56"/>
      <c r="O2128" s="56"/>
    </row>
    <row r="2129" spans="1:15">
      <c r="A2129" s="536" t="s">
        <v>8</v>
      </c>
      <c r="B2129" s="537" t="str">
        <f>VLOOKUP(A2129,'Materiales '!$C$2:$F$1302,3,0)</f>
        <v>-</v>
      </c>
      <c r="C2129" s="98" t="str">
        <f>VLOOKUP(A2129,'Materiales '!$C$2:$F$1302,3,0)</f>
        <v>-</v>
      </c>
      <c r="D2129" s="99">
        <f>VLOOKUP(A2129,'Materiales '!$C$2:$F$1302,4,0)</f>
        <v>0</v>
      </c>
      <c r="E2129" s="100"/>
      <c r="F2129" s="538">
        <f t="shared" ref="F2129:F2132" si="125">E2129*D2129</f>
        <v>0</v>
      </c>
      <c r="G2129" s="539"/>
      <c r="H2129" s="121"/>
      <c r="I2129">
        <f>E2129*G2111</f>
        <v>0</v>
      </c>
      <c r="J2129" s="68"/>
      <c r="K2129" s="56"/>
      <c r="L2129" s="56"/>
      <c r="M2129" s="56"/>
      <c r="N2129" s="56"/>
      <c r="O2129" s="56"/>
    </row>
    <row r="2130" spans="1:15">
      <c r="A2130" s="536" t="s">
        <v>8</v>
      </c>
      <c r="B2130" s="537" t="str">
        <f>VLOOKUP(A2130,'Materiales '!$C$2:$F$1302,3,0)</f>
        <v>-</v>
      </c>
      <c r="C2130" s="98" t="str">
        <f>VLOOKUP(A2130,'Materiales '!$C$2:$F$1302,3,0)</f>
        <v>-</v>
      </c>
      <c r="D2130" s="99">
        <f>VLOOKUP(A2130,'Materiales '!$C$2:$F$1302,4,0)</f>
        <v>0</v>
      </c>
      <c r="E2130" s="100"/>
      <c r="F2130" s="538">
        <f t="shared" si="125"/>
        <v>0</v>
      </c>
      <c r="G2130" s="539"/>
      <c r="H2130" s="121"/>
      <c r="I2130">
        <f>E2130*G2111</f>
        <v>0</v>
      </c>
      <c r="J2130" s="68"/>
      <c r="K2130" s="56"/>
      <c r="L2130" s="56"/>
      <c r="M2130" s="56"/>
      <c r="N2130" s="56"/>
      <c r="O2130" s="56"/>
    </row>
    <row r="2131" spans="1:15">
      <c r="A2131" s="536" t="s">
        <v>8</v>
      </c>
      <c r="B2131" s="537" t="str">
        <f>VLOOKUP(A2131,'Materiales '!$C$2:$F$1302,3,0)</f>
        <v>-</v>
      </c>
      <c r="C2131" s="98" t="str">
        <f>VLOOKUP(A2131,'Materiales '!$C$2:$F$1302,3,0)</f>
        <v>-</v>
      </c>
      <c r="D2131" s="99">
        <f>VLOOKUP(A2131,'Materiales '!$C$2:$F$1302,4,0)</f>
        <v>0</v>
      </c>
      <c r="E2131" s="100"/>
      <c r="F2131" s="538">
        <f t="shared" si="125"/>
        <v>0</v>
      </c>
      <c r="G2131" s="539"/>
      <c r="H2131" s="121"/>
      <c r="I2131">
        <f>E2131*G2111</f>
        <v>0</v>
      </c>
      <c r="J2131" s="68"/>
      <c r="K2131" s="56"/>
      <c r="L2131" s="56"/>
      <c r="M2131" s="56"/>
      <c r="N2131" s="56"/>
      <c r="O2131" s="56"/>
    </row>
    <row r="2132" spans="1:15">
      <c r="A2132" s="536" t="s">
        <v>8</v>
      </c>
      <c r="B2132" s="537" t="str">
        <f>VLOOKUP(A2132,'Materiales '!$C$2:$F$1302,3,0)</f>
        <v>-</v>
      </c>
      <c r="C2132" s="98" t="str">
        <f>VLOOKUP(A2132,'Materiales '!$C$2:$F$1302,3,0)</f>
        <v>-</v>
      </c>
      <c r="D2132" s="99">
        <f>VLOOKUP(A2132,'Materiales '!$C$2:$F$1302,4,0)</f>
        <v>0</v>
      </c>
      <c r="E2132" s="100"/>
      <c r="F2132" s="538">
        <f t="shared" si="125"/>
        <v>0</v>
      </c>
      <c r="G2132" s="539"/>
      <c r="H2132" s="121"/>
      <c r="I2132">
        <f>E2132*G2111</f>
        <v>0</v>
      </c>
      <c r="J2132" s="68"/>
      <c r="K2132" s="56"/>
      <c r="L2132" s="56"/>
      <c r="M2132" s="56"/>
      <c r="N2132" s="56"/>
      <c r="O2132" s="56"/>
    </row>
    <row r="2133" spans="1:15">
      <c r="A2133" s="536" t="s">
        <v>8</v>
      </c>
      <c r="B2133" s="537" t="str">
        <f>VLOOKUP(A2133,'Materiales '!$C$2:$F$1302,3,0)</f>
        <v>-</v>
      </c>
      <c r="C2133" s="98" t="str">
        <f>VLOOKUP(A2133,'Materiales '!$C$2:$F$1302,3,0)</f>
        <v>-</v>
      </c>
      <c r="D2133" s="99">
        <f>VLOOKUP(A2133,'Materiales '!$C$2:$F$1302,4,0)</f>
        <v>0</v>
      </c>
      <c r="E2133" s="100"/>
      <c r="F2133" s="538">
        <f>E2133*D2133</f>
        <v>0</v>
      </c>
      <c r="G2133" s="539"/>
      <c r="H2133" s="120"/>
      <c r="I2133">
        <f>E2133*G2111</f>
        <v>0</v>
      </c>
      <c r="J2133" s="68"/>
      <c r="K2133" s="56"/>
      <c r="L2133" s="56"/>
      <c r="M2133" s="56"/>
      <c r="N2133" s="56"/>
      <c r="O2133" s="56"/>
    </row>
    <row r="2134" spans="1:15" ht="16.5">
      <c r="A2134" s="540" t="s">
        <v>4099</v>
      </c>
      <c r="B2134" s="541"/>
      <c r="C2134" s="541"/>
      <c r="D2134" s="541"/>
      <c r="E2134" s="541"/>
      <c r="F2134" s="541"/>
      <c r="G2134" s="542"/>
      <c r="H2134" s="116">
        <f>SUM(F2120:F2133)</f>
        <v>631537.04600000009</v>
      </c>
      <c r="J2134" s="68"/>
      <c r="K2134" s="56"/>
      <c r="L2134" s="56"/>
      <c r="M2134" s="56"/>
      <c r="N2134" s="56"/>
      <c r="O2134" s="56"/>
    </row>
    <row r="2135" spans="1:15" ht="16.5">
      <c r="A2135" s="543" t="s">
        <v>4231</v>
      </c>
      <c r="B2135" s="544"/>
      <c r="C2135" s="544"/>
      <c r="D2135" s="544"/>
      <c r="E2135" s="545"/>
      <c r="F2135" s="544"/>
      <c r="G2135" s="544"/>
      <c r="H2135" s="546"/>
      <c r="J2135" s="68"/>
      <c r="K2135" s="56"/>
      <c r="L2135" s="56"/>
      <c r="M2135" s="56"/>
      <c r="N2135" s="56"/>
      <c r="O2135" s="56"/>
    </row>
    <row r="2136" spans="1:15">
      <c r="A2136" s="547" t="s">
        <v>7</v>
      </c>
      <c r="B2136" s="548"/>
      <c r="C2136" s="108" t="s">
        <v>4232</v>
      </c>
      <c r="D2136" s="107" t="s">
        <v>4233</v>
      </c>
      <c r="E2136" s="206" t="s">
        <v>4234</v>
      </c>
      <c r="F2136" s="549" t="s">
        <v>4218</v>
      </c>
      <c r="G2136" s="549"/>
      <c r="H2136" s="119"/>
      <c r="K2136" s="56"/>
      <c r="L2136" s="56"/>
      <c r="M2136" s="56"/>
      <c r="N2136" s="56"/>
      <c r="O2136" s="56"/>
    </row>
    <row r="2137" spans="1:15">
      <c r="A2137" s="550" t="s">
        <v>3928</v>
      </c>
      <c r="B2137" s="551"/>
      <c r="C2137" s="232">
        <v>1</v>
      </c>
      <c r="D2137" s="102">
        <v>0.03</v>
      </c>
      <c r="E2137" s="103">
        <f>VLOOKUP(A2137,'Equip, Herr y Transp'!$B$2:$D$218,3,0)</f>
        <v>160000</v>
      </c>
      <c r="F2137" s="552">
        <f>E2137*D2137*C2137</f>
        <v>4800</v>
      </c>
      <c r="G2137" s="553"/>
      <c r="H2137" s="117"/>
      <c r="M2137" s="56"/>
    </row>
    <row r="2138" spans="1:15" ht="16.5">
      <c r="A2138" s="554" t="s">
        <v>4216</v>
      </c>
      <c r="B2138" s="555"/>
      <c r="C2138" s="555"/>
      <c r="D2138" s="555"/>
      <c r="E2138" s="555"/>
      <c r="F2138" s="555"/>
      <c r="G2138" s="555"/>
      <c r="H2138" s="105">
        <f>F2137</f>
        <v>4800</v>
      </c>
    </row>
    <row r="2139" spans="1:15" ht="16.5">
      <c r="A2139" s="543" t="s">
        <v>4235</v>
      </c>
      <c r="B2139" s="544"/>
      <c r="C2139" s="544"/>
      <c r="D2139" s="544"/>
      <c r="E2139" s="544"/>
      <c r="F2139" s="544"/>
      <c r="G2139" s="544"/>
      <c r="H2139" s="546"/>
    </row>
    <row r="2140" spans="1:15">
      <c r="A2140" s="547" t="s">
        <v>7</v>
      </c>
      <c r="B2140" s="548"/>
      <c r="C2140" s="106" t="s">
        <v>1</v>
      </c>
      <c r="D2140" s="107" t="s">
        <v>4236</v>
      </c>
      <c r="E2140" s="108" t="s">
        <v>4215</v>
      </c>
      <c r="F2140" s="547" t="s">
        <v>5</v>
      </c>
      <c r="G2140" s="556"/>
      <c r="H2140" s="119"/>
    </row>
    <row r="2141" spans="1:15">
      <c r="A2141" s="550" t="s">
        <v>4196</v>
      </c>
      <c r="B2141" s="551"/>
      <c r="C2141" s="101">
        <v>1</v>
      </c>
      <c r="D2141" s="104">
        <f>VLOOKUP(A2141,'Mano Obra'!$B$2:$T$117,19,0)</f>
        <v>166624</v>
      </c>
      <c r="E2141" s="246">
        <f>H2104</f>
        <v>5.21E-2</v>
      </c>
      <c r="F2141" s="538">
        <f>E2141*D2141*C2141</f>
        <v>8681.1103999999996</v>
      </c>
      <c r="G2141" s="557"/>
      <c r="H2141" s="121"/>
      <c r="I2141" s="69"/>
      <c r="J2141" s="136">
        <f>((('Mano Obra'!$M$4/30)*F2141)/D2141)*G2111</f>
        <v>0</v>
      </c>
    </row>
    <row r="2142" spans="1:15">
      <c r="A2142" s="558" t="s">
        <v>4197</v>
      </c>
      <c r="B2142" s="559">
        <f>VLOOKUP(A2142,'Mano Obra'!$B$3:$D$290,2,0)</f>
        <v>2090000.0000000002</v>
      </c>
      <c r="C2142" s="101">
        <v>1</v>
      </c>
      <c r="D2142" s="104">
        <f>VLOOKUP(A2142,'Mano Obra'!$B$2:$T$117,19,0)</f>
        <v>120456</v>
      </c>
      <c r="E2142" s="246">
        <f>H2104</f>
        <v>5.21E-2</v>
      </c>
      <c r="F2142" s="538">
        <f t="shared" ref="F2142:F2143" si="126">E2142*D2142*C2142</f>
        <v>6275.7575999999999</v>
      </c>
      <c r="G2142" s="557"/>
      <c r="H2142" s="121"/>
      <c r="J2142" s="136">
        <f>((('Mano Obra'!$M$5/30)*F2142)/D2142)*G2111</f>
        <v>0</v>
      </c>
    </row>
    <row r="2143" spans="1:15">
      <c r="A2143" s="558" t="s">
        <v>4186</v>
      </c>
      <c r="B2143" s="559">
        <f>VLOOKUP(A2143,'Mano Obra'!$B$3:$D$290,2,0)</f>
        <v>1100000</v>
      </c>
      <c r="C2143" s="101">
        <v>1</v>
      </c>
      <c r="D2143" s="104">
        <f>VLOOKUP(A2143,'Mano Obra'!$B$2:$T$117,19,0)</f>
        <v>72664</v>
      </c>
      <c r="E2143" s="246">
        <f>H2104</f>
        <v>5.21E-2</v>
      </c>
      <c r="F2143" s="538">
        <f t="shared" si="126"/>
        <v>3785.7944000000002</v>
      </c>
      <c r="G2143" s="557"/>
      <c r="H2143" s="120"/>
      <c r="J2143" s="136">
        <f>((('Mano Obra'!$M$6/30)*F2143)/D2143)*G2111</f>
        <v>0</v>
      </c>
    </row>
    <row r="2144" spans="1:15" ht="16.5">
      <c r="A2144" s="560" t="s">
        <v>4101</v>
      </c>
      <c r="B2144" s="560"/>
      <c r="C2144" s="560"/>
      <c r="D2144" s="560"/>
      <c r="E2144" s="560"/>
      <c r="F2144" s="560"/>
      <c r="G2144" s="560"/>
      <c r="H2144" s="105">
        <f>SUM(F2141:F2143)</f>
        <v>18742.662399999997</v>
      </c>
      <c r="J2144" s="136"/>
    </row>
    <row r="2145" spans="1:14">
      <c r="A2145" s="227" t="s">
        <v>4237</v>
      </c>
      <c r="B2145" s="205"/>
      <c r="C2145" s="205"/>
      <c r="D2145" s="202"/>
      <c r="E2145" s="203"/>
      <c r="F2145" s="204"/>
      <c r="G2145" s="203"/>
      <c r="H2145" s="212"/>
    </row>
    <row r="2146" spans="1:14">
      <c r="A2146" s="561" t="s">
        <v>4224</v>
      </c>
      <c r="B2146" s="562"/>
      <c r="C2146" s="562"/>
      <c r="D2146" s="562"/>
      <c r="E2146" s="200"/>
      <c r="F2146" s="201" t="s">
        <v>4238</v>
      </c>
      <c r="G2146" s="200" t="s">
        <v>4239</v>
      </c>
      <c r="H2146" s="213"/>
    </row>
    <row r="2147" spans="1:14">
      <c r="A2147" s="223" t="s">
        <v>4097</v>
      </c>
      <c r="B2147" s="72"/>
      <c r="C2147" s="72"/>
      <c r="D2147" s="73"/>
      <c r="E2147" s="78"/>
      <c r="F2147" s="79">
        <v>0</v>
      </c>
      <c r="G2147" s="80">
        <f>F2147*H2112</f>
        <v>0</v>
      </c>
      <c r="H2147" s="212"/>
    </row>
    <row r="2148" spans="1:14">
      <c r="A2148" s="224" t="s">
        <v>4240</v>
      </c>
      <c r="B2148" s="81"/>
      <c r="C2148" s="81"/>
      <c r="D2148" s="82"/>
      <c r="E2148" s="78"/>
      <c r="F2148" s="79">
        <v>0</v>
      </c>
      <c r="G2148" s="80">
        <f>F2148*H2112</f>
        <v>0</v>
      </c>
      <c r="H2148" s="212"/>
    </row>
    <row r="2149" spans="1:14">
      <c r="A2149" s="224" t="s">
        <v>4</v>
      </c>
      <c r="B2149" s="81"/>
      <c r="C2149" s="81"/>
      <c r="D2149" s="82"/>
      <c r="E2149" s="78"/>
      <c r="F2149" s="79">
        <v>0</v>
      </c>
      <c r="G2149" s="80">
        <f>F2149*H2112</f>
        <v>0</v>
      </c>
      <c r="H2149" s="212"/>
    </row>
    <row r="2150" spans="1:14">
      <c r="A2150" s="225"/>
      <c r="B2150" s="83"/>
      <c r="C2150" s="75"/>
      <c r="D2150" s="84"/>
      <c r="E2150" s="85"/>
      <c r="F2150" s="86"/>
      <c r="G2150" s="87"/>
      <c r="H2150" s="214"/>
    </row>
    <row r="2151" spans="1:14">
      <c r="A2151" s="226"/>
      <c r="B2151" s="83"/>
      <c r="C2151" s="83"/>
      <c r="D2151" s="84"/>
      <c r="E2151" s="88"/>
      <c r="F2151" s="563" t="s">
        <v>4241</v>
      </c>
      <c r="G2151" s="564"/>
      <c r="H2151" s="233">
        <f>H2112+G2147+G2148+G2149</f>
        <v>658442.8936500001</v>
      </c>
    </row>
    <row r="2152" spans="1:14">
      <c r="A2152" s="83"/>
      <c r="B2152" s="83"/>
      <c r="C2152" s="83"/>
      <c r="D2152" s="84"/>
      <c r="E2152" s="388"/>
      <c r="F2152" s="389"/>
      <c r="G2152" s="389"/>
      <c r="H2152" s="390"/>
    </row>
    <row r="2153" spans="1:14" ht="16.5">
      <c r="A2153" s="90"/>
      <c r="B2153" s="90"/>
      <c r="C2153" s="90"/>
      <c r="D2153" s="90"/>
      <c r="E2153" s="90"/>
      <c r="F2153" s="90"/>
      <c r="G2153" s="90"/>
      <c r="H2153" s="381"/>
    </row>
    <row r="2154" spans="1:14">
      <c r="A2154" s="579" t="s">
        <v>4225</v>
      </c>
      <c r="B2154" s="580"/>
      <c r="C2154" s="580"/>
      <c r="D2154" s="580"/>
      <c r="E2154" s="580"/>
      <c r="F2154" s="580"/>
      <c r="G2154" s="580"/>
      <c r="H2154" s="581"/>
    </row>
    <row r="2155" spans="1:14" ht="16.5">
      <c r="A2155" s="91"/>
      <c r="B2155" s="92"/>
      <c r="C2155" s="92"/>
      <c r="D2155" s="92"/>
      <c r="E2155" s="92"/>
      <c r="F2155" s="93"/>
      <c r="G2155" s="94"/>
      <c r="H2155" s="380">
        <f>ROUND((25/60)/8,4)</f>
        <v>5.21E-2</v>
      </c>
      <c r="I2155" s="115"/>
    </row>
    <row r="2156" spans="1:14">
      <c r="A2156" s="582" t="s">
        <v>4220</v>
      </c>
      <c r="B2156" s="584" t="str">
        <f>COSTOS!$C$14</f>
        <v>MODERNIZACION A TECNOLOGIA LED</v>
      </c>
      <c r="C2156" s="584"/>
      <c r="D2156" s="584"/>
      <c r="E2156" s="584"/>
      <c r="F2156" s="584"/>
      <c r="G2156" s="584"/>
      <c r="H2156" s="585" t="s">
        <v>4221</v>
      </c>
    </row>
    <row r="2157" spans="1:14">
      <c r="A2157" s="583"/>
      <c r="B2157" s="584"/>
      <c r="C2157" s="584"/>
      <c r="D2157" s="584"/>
      <c r="E2157" s="584"/>
      <c r="F2157" s="584"/>
      <c r="G2157" s="584"/>
      <c r="H2157" s="585"/>
    </row>
    <row r="2158" spans="1:14">
      <c r="A2158" s="583"/>
      <c r="B2158" s="584"/>
      <c r="C2158" s="584"/>
      <c r="D2158" s="584"/>
      <c r="E2158" s="584"/>
      <c r="F2158" s="584"/>
      <c r="G2158" s="584"/>
      <c r="H2158" s="585"/>
    </row>
    <row r="2159" spans="1:14" ht="15" customHeight="1">
      <c r="A2159" s="583"/>
      <c r="B2159" s="584"/>
      <c r="C2159" s="584"/>
      <c r="D2159" s="584"/>
      <c r="E2159" s="584"/>
      <c r="F2159" s="584"/>
      <c r="G2159" s="584"/>
      <c r="H2159" s="216">
        <f ca="1">TODAY()</f>
        <v>44889</v>
      </c>
      <c r="K2159" t="s">
        <v>4391</v>
      </c>
      <c r="L2159" t="s">
        <v>4392</v>
      </c>
      <c r="M2159" t="s">
        <v>4393</v>
      </c>
      <c r="N2159" t="s">
        <v>4394</v>
      </c>
    </row>
    <row r="2160" spans="1:14" ht="60.75" customHeight="1">
      <c r="A2160" s="228" t="s">
        <v>4222</v>
      </c>
      <c r="B2160" s="565" t="str">
        <f>COSTOS!$D$16</f>
        <v>Luminarias</v>
      </c>
      <c r="C2160" s="565"/>
      <c r="D2160" s="565"/>
      <c r="E2160" s="565"/>
      <c r="F2160" s="565"/>
      <c r="G2160" s="70" t="s">
        <v>4223</v>
      </c>
      <c r="H2160" s="391">
        <v>1.43</v>
      </c>
      <c r="K2160" s="62">
        <f>H2185</f>
        <v>268388.50639999995</v>
      </c>
      <c r="L2160" s="62">
        <f>H2195</f>
        <v>18742.662399999997</v>
      </c>
      <c r="M2160" s="62">
        <f>H2168</f>
        <v>1973.548</v>
      </c>
      <c r="N2160" s="62">
        <f>H2189</f>
        <v>4800</v>
      </c>
    </row>
    <row r="2161" spans="1:15" ht="43.15" customHeight="1">
      <c r="A2161" s="229" t="s">
        <v>4224</v>
      </c>
      <c r="B2161" s="566" t="str">
        <f>VLOOKUP(H2160,COSTOS!C:M,2,0)</f>
        <v>Bala de piso Led 18w</v>
      </c>
      <c r="C2161" s="567"/>
      <c r="D2161" s="567"/>
      <c r="E2161" s="568"/>
      <c r="F2161" s="71" t="s">
        <v>0</v>
      </c>
      <c r="G2161" s="356" t="str">
        <f>VLOOKUP(H2160,COSTOS!C:M,8,0)</f>
        <v>Und</v>
      </c>
      <c r="H2161" s="276"/>
      <c r="I2161" s="306"/>
      <c r="J2161" s="308"/>
      <c r="K2161" s="308"/>
      <c r="L2161" s="308"/>
    </row>
    <row r="2162" spans="1:15">
      <c r="A2162" s="230"/>
      <c r="B2162" s="112"/>
      <c r="C2162" s="112"/>
      <c r="D2162" s="112"/>
      <c r="E2162" s="113"/>
      <c r="F2162" s="114" t="s">
        <v>1</v>
      </c>
      <c r="G2162" s="356">
        <f>VLOOKUP(H2160,COSTOS!C:M,9,0)</f>
        <v>0</v>
      </c>
      <c r="H2162" s="357"/>
      <c r="I2162" s="307"/>
    </row>
    <row r="2163" spans="1:15" ht="16.5">
      <c r="A2163" s="231" t="s">
        <v>4226</v>
      </c>
      <c r="B2163" s="75"/>
      <c r="C2163" s="75"/>
      <c r="D2163" s="76"/>
      <c r="E2163" s="209"/>
      <c r="F2163" s="210"/>
      <c r="G2163" s="211" t="s">
        <v>4227</v>
      </c>
      <c r="H2163" s="217">
        <f>H2168+H2185+H2189+H2195</f>
        <v>293904.71679999994</v>
      </c>
    </row>
    <row r="2164" spans="1:15" ht="39">
      <c r="A2164" s="569" t="s">
        <v>4224</v>
      </c>
      <c r="B2164" s="569"/>
      <c r="C2164" s="569"/>
      <c r="D2164" s="77" t="s">
        <v>0</v>
      </c>
      <c r="E2164" s="207" t="s">
        <v>4228</v>
      </c>
      <c r="F2164" s="208" t="s">
        <v>4215</v>
      </c>
      <c r="G2164" s="74" t="s">
        <v>2</v>
      </c>
      <c r="H2164" s="218" t="s">
        <v>4229</v>
      </c>
      <c r="K2164" s="309"/>
    </row>
    <row r="2165" spans="1:15">
      <c r="A2165" s="536" t="s">
        <v>3946</v>
      </c>
      <c r="B2165" s="570" t="str">
        <f>VLOOKUP(A2165,'Equip, Herr y Transp'!$B$2:$D$739,2,0)</f>
        <v>EQU</v>
      </c>
      <c r="C2165" s="570"/>
      <c r="D2165" s="95" t="str">
        <f>VLOOKUP(A2165,'Equip, Herr y Transp'!$B$2:$D$218,2,0)</f>
        <v>EQU</v>
      </c>
      <c r="E2165" s="95">
        <f>VLOOKUP(A2165,'Equip, Herr y Transp'!$B$2:$D$218,3,0)</f>
        <v>14130</v>
      </c>
      <c r="F2165" s="96">
        <f>H2155</f>
        <v>5.21E-2</v>
      </c>
      <c r="G2165" s="122">
        <f>F2165*E2165</f>
        <v>736.173</v>
      </c>
      <c r="H2165" s="118"/>
    </row>
    <row r="2166" spans="1:15">
      <c r="A2166" s="536" t="s">
        <v>3937</v>
      </c>
      <c r="B2166" s="570" t="str">
        <f>VLOOKUP(A2166,'Equip, Herr y Transp'!$B$2:$D$739,2,0)</f>
        <v>EQU</v>
      </c>
      <c r="C2166" s="570"/>
      <c r="D2166" s="95" t="str">
        <f>VLOOKUP(A2166,'Equip, Herr y Transp'!$B$2:$D$218,2,0)</f>
        <v>EQU</v>
      </c>
      <c r="E2166" s="95">
        <f>VLOOKUP(A2166,'Equip, Herr y Transp'!$B$2:$D$218,3,0)</f>
        <v>23750</v>
      </c>
      <c r="F2166" s="96">
        <f>H2155</f>
        <v>5.21E-2</v>
      </c>
      <c r="G2166" s="122">
        <f>F2166*E2166</f>
        <v>1237.375</v>
      </c>
      <c r="H2166" s="117"/>
    </row>
    <row r="2167" spans="1:15">
      <c r="A2167" s="536" t="s">
        <v>8</v>
      </c>
      <c r="B2167" s="570">
        <f>VLOOKUP(A2167,'Equip, Herr y Transp'!$B$2:$D$739,2,0)</f>
        <v>0</v>
      </c>
      <c r="C2167" s="570"/>
      <c r="D2167" s="95">
        <f>VLOOKUP(A2167,'Equip, Herr y Transp'!$B$2:$D$218,2,0)</f>
        <v>0</v>
      </c>
      <c r="E2167" s="95">
        <f>VLOOKUP(A2167,'Equip, Herr y Transp'!$B$2:$D$218,3,0)</f>
        <v>0</v>
      </c>
      <c r="F2167" s="96">
        <f>H2155</f>
        <v>5.21E-2</v>
      </c>
      <c r="G2167" s="122">
        <f>F2167*E2167</f>
        <v>0</v>
      </c>
      <c r="H2167" s="117"/>
    </row>
    <row r="2168" spans="1:15" ht="16.5">
      <c r="A2168" s="540" t="s">
        <v>4100</v>
      </c>
      <c r="B2168" s="541"/>
      <c r="C2168" s="541"/>
      <c r="D2168" s="541"/>
      <c r="E2168" s="541"/>
      <c r="F2168" s="541"/>
      <c r="G2168" s="541"/>
      <c r="H2168" s="97">
        <f>SUM(G2165:G2167)</f>
        <v>1973.548</v>
      </c>
    </row>
    <row r="2169" spans="1:15" ht="16.5">
      <c r="A2169" s="571" t="s">
        <v>4230</v>
      </c>
      <c r="B2169" s="572"/>
      <c r="C2169" s="572"/>
      <c r="D2169" s="572"/>
      <c r="E2169" s="572"/>
      <c r="F2169" s="572"/>
      <c r="G2169" s="572"/>
      <c r="H2169" s="573"/>
      <c r="K2169" s="56"/>
      <c r="L2169" s="56"/>
      <c r="M2169" s="56"/>
      <c r="N2169" s="56"/>
      <c r="O2169" s="56"/>
    </row>
    <row r="2170" spans="1:15" ht="30" customHeight="1">
      <c r="A2170" s="574" t="s">
        <v>7</v>
      </c>
      <c r="B2170" s="575"/>
      <c r="C2170" s="109" t="s">
        <v>0</v>
      </c>
      <c r="D2170" s="110" t="s">
        <v>4098</v>
      </c>
      <c r="E2170" s="111" t="s">
        <v>1</v>
      </c>
      <c r="F2170" s="576" t="s">
        <v>4218</v>
      </c>
      <c r="G2170" s="576"/>
      <c r="H2170" s="215"/>
      <c r="K2170" s="56"/>
      <c r="L2170" s="56"/>
      <c r="M2170" s="56"/>
      <c r="N2170" s="56"/>
      <c r="O2170" s="56"/>
    </row>
    <row r="2171" spans="1:15">
      <c r="A2171" s="577" t="s">
        <v>4725</v>
      </c>
      <c r="B2171" s="578"/>
      <c r="C2171" s="98" t="str">
        <f>VLOOKUP(A2171,'Materiales '!$C$2:$F$1302,3,0)</f>
        <v>Und</v>
      </c>
      <c r="D2171" s="99">
        <f>VLOOKUP(A2171,'Materiales '!$C$2:$F$1302,4,0)</f>
        <v>235905.59999999998</v>
      </c>
      <c r="E2171" s="100">
        <v>1</v>
      </c>
      <c r="F2171" s="538">
        <f>E2171*D2171</f>
        <v>235905.59999999998</v>
      </c>
      <c r="G2171" s="539"/>
      <c r="H2171" s="121"/>
      <c r="I2171">
        <f>E2171*G2162</f>
        <v>0</v>
      </c>
      <c r="J2171" s="67"/>
      <c r="K2171" s="56"/>
      <c r="L2171" s="56"/>
      <c r="M2171" s="56"/>
      <c r="N2171" s="56"/>
      <c r="O2171" s="56"/>
    </row>
    <row r="2172" spans="1:15">
      <c r="A2172" s="577" t="s">
        <v>4636</v>
      </c>
      <c r="B2172" s="578"/>
      <c r="C2172" s="98" t="str">
        <f>VLOOKUP(A2172,'Materiales '!$C$2:$F$1302,3,0)</f>
        <v>Und</v>
      </c>
      <c r="D2172" s="99">
        <f>VLOOKUP(A2172,'Materiales '!$C$2:$F$1302,4,0)</f>
        <v>13994.4</v>
      </c>
      <c r="E2172" s="100">
        <v>1</v>
      </c>
      <c r="F2172" s="538">
        <f t="shared" ref="F2172:F2178" si="127">E2172*D2172</f>
        <v>13994.4</v>
      </c>
      <c r="G2172" s="539"/>
      <c r="H2172" s="121"/>
      <c r="I2172">
        <f>E2172*G2162</f>
        <v>0</v>
      </c>
      <c r="J2172" s="67"/>
      <c r="K2172" s="56"/>
      <c r="L2172" s="56"/>
      <c r="M2172" s="56"/>
      <c r="N2172" s="56"/>
      <c r="O2172" s="56"/>
    </row>
    <row r="2173" spans="1:15">
      <c r="A2173" s="536" t="s">
        <v>4597</v>
      </c>
      <c r="B2173" s="537" t="str">
        <f>VLOOKUP(A2173,'Materiales '!$C$2:$F$1302,3,0)</f>
        <v>Und</v>
      </c>
      <c r="C2173" s="98" t="str">
        <f>VLOOKUP(A2173,'Materiales '!$C$2:$F$1302,3,0)</f>
        <v>Und</v>
      </c>
      <c r="D2173" s="99">
        <f>VLOOKUP(A2173,'Materiales '!$C$2:$F$1302,4,0)</f>
        <v>22446.732</v>
      </c>
      <c r="E2173" s="100">
        <v>0.2</v>
      </c>
      <c r="F2173" s="538">
        <f t="shared" si="127"/>
        <v>4489.3464000000004</v>
      </c>
      <c r="G2173" s="539"/>
      <c r="H2173" s="121"/>
      <c r="I2173">
        <f>E2173*G2162</f>
        <v>0</v>
      </c>
      <c r="J2173" s="68"/>
      <c r="K2173" s="56"/>
      <c r="L2173" s="56"/>
      <c r="M2173" s="56"/>
      <c r="N2173" s="56"/>
      <c r="O2173" s="56"/>
    </row>
    <row r="2174" spans="1:15">
      <c r="A2174" s="536" t="s">
        <v>4450</v>
      </c>
      <c r="B2174" s="537" t="str">
        <f>VLOOKUP(A2174,'Materiales '!$C$2:$F$1302,3,0)</f>
        <v>Ml</v>
      </c>
      <c r="C2174" s="98" t="str">
        <f>VLOOKUP(A2174,'Materiales '!$C$2:$F$1302,3,0)</f>
        <v>Ml</v>
      </c>
      <c r="D2174" s="99">
        <f>VLOOKUP(A2174,'Materiales '!$C$2:$F$1302,4,0)</f>
        <v>6791.5679999999993</v>
      </c>
      <c r="E2174" s="100">
        <v>1</v>
      </c>
      <c r="F2174" s="538">
        <f t="shared" si="127"/>
        <v>6791.5679999999993</v>
      </c>
      <c r="G2174" s="539"/>
      <c r="H2174" s="121"/>
      <c r="I2174">
        <f>E2174*G2162</f>
        <v>0</v>
      </c>
      <c r="J2174" s="68"/>
      <c r="K2174" s="56"/>
      <c r="L2174" s="56"/>
      <c r="M2174" s="56"/>
      <c r="N2174" s="56"/>
      <c r="O2174" s="56"/>
    </row>
    <row r="2175" spans="1:15">
      <c r="A2175" s="536" t="s">
        <v>4493</v>
      </c>
      <c r="B2175" s="537" t="str">
        <f>VLOOKUP(A2175,'Materiales '!$C$2:$F$1302,3,0)</f>
        <v>Und</v>
      </c>
      <c r="C2175" s="98" t="str">
        <f>VLOOKUP(A2175,'Materiales '!$C$2:$F$1302,3,0)</f>
        <v>Und</v>
      </c>
      <c r="D2175" s="99">
        <f>VLOOKUP(A2175,'Materiales '!$C$2:$F$1302,4,0)</f>
        <v>232.76399999999998</v>
      </c>
      <c r="E2175" s="100">
        <v>3</v>
      </c>
      <c r="F2175" s="538">
        <f t="shared" si="127"/>
        <v>698.29199999999992</v>
      </c>
      <c r="G2175" s="539"/>
      <c r="H2175" s="121"/>
      <c r="I2175">
        <f>E2175*G2162</f>
        <v>0</v>
      </c>
      <c r="J2175" s="68"/>
      <c r="K2175" s="56"/>
      <c r="L2175" s="56"/>
      <c r="M2175" s="56"/>
      <c r="N2175" s="56"/>
      <c r="O2175" s="56"/>
    </row>
    <row r="2176" spans="1:15">
      <c r="A2176" s="536" t="s">
        <v>4637</v>
      </c>
      <c r="B2176" s="537" t="str">
        <f>VLOOKUP(A2176,'Materiales '!$C$2:$F$1302,3,0)</f>
        <v>Und</v>
      </c>
      <c r="C2176" s="98" t="str">
        <f>VLOOKUP(A2176,'Materiales '!$C$2:$F$1302,3,0)</f>
        <v>Und</v>
      </c>
      <c r="D2176" s="99">
        <f>VLOOKUP(A2176,'Materiales '!$C$2:$F$1302,4,0)</f>
        <v>14280</v>
      </c>
      <c r="E2176" s="100">
        <v>0.1</v>
      </c>
      <c r="F2176" s="538">
        <f t="shared" si="127"/>
        <v>1428</v>
      </c>
      <c r="G2176" s="539"/>
      <c r="H2176" s="121"/>
      <c r="I2176">
        <f>E2176*G2162</f>
        <v>0</v>
      </c>
      <c r="J2176" s="68"/>
      <c r="K2176" s="56"/>
      <c r="L2176" s="56"/>
      <c r="M2176" s="56"/>
      <c r="N2176" s="56"/>
      <c r="O2176" s="56"/>
    </row>
    <row r="2177" spans="1:15">
      <c r="A2177" s="536" t="s">
        <v>4638</v>
      </c>
      <c r="B2177" s="537" t="str">
        <f>VLOOKUP(A2177,'Materiales '!$C$2:$F$1302,3,0)</f>
        <v>Und</v>
      </c>
      <c r="C2177" s="98" t="str">
        <f>VLOOKUP(A2177,'Materiales '!$C$2:$F$1302,3,0)</f>
        <v>Und</v>
      </c>
      <c r="D2177" s="99">
        <f>VLOOKUP(A2177,'Materiales '!$C$2:$F$1302,4,0)</f>
        <v>4426.8</v>
      </c>
      <c r="E2177" s="100">
        <v>1</v>
      </c>
      <c r="F2177" s="538">
        <f t="shared" si="127"/>
        <v>4426.8</v>
      </c>
      <c r="G2177" s="539"/>
      <c r="H2177" s="121"/>
      <c r="I2177">
        <f>E2177*G2162</f>
        <v>0</v>
      </c>
      <c r="J2177" s="68"/>
      <c r="K2177" s="56"/>
      <c r="L2177" s="56"/>
      <c r="M2177" s="56"/>
      <c r="N2177" s="56"/>
      <c r="O2177" s="56"/>
    </row>
    <row r="2178" spans="1:15" ht="21.75" customHeight="1">
      <c r="A2178" s="536" t="s">
        <v>4574</v>
      </c>
      <c r="B2178" s="537" t="str">
        <f>VLOOKUP(A2178,'Materiales '!$C$2:$F$1302,3,0)</f>
        <v>Und</v>
      </c>
      <c r="C2178" s="98" t="str">
        <f>VLOOKUP(A2178,'Materiales '!$C$2:$F$1302,3,0)</f>
        <v>Und</v>
      </c>
      <c r="D2178" s="99">
        <f>VLOOKUP(A2178,'Materiales '!$C$2:$F$1302,4,0)</f>
        <v>654.5</v>
      </c>
      <c r="E2178" s="100">
        <v>1</v>
      </c>
      <c r="F2178" s="538">
        <f t="shared" si="127"/>
        <v>654.5</v>
      </c>
      <c r="G2178" s="539"/>
      <c r="H2178" s="121"/>
      <c r="I2178">
        <f>E2178*G2162</f>
        <v>0</v>
      </c>
      <c r="J2178" s="68"/>
      <c r="K2178" s="56"/>
      <c r="L2178" s="56"/>
      <c r="M2178" s="56"/>
      <c r="N2178" s="56"/>
      <c r="O2178" s="56"/>
    </row>
    <row r="2179" spans="1:15">
      <c r="A2179" s="536" t="s">
        <v>8</v>
      </c>
      <c r="B2179" s="537" t="str">
        <f>VLOOKUP(A2179,'Materiales '!$C$2:$F$1302,3,0)</f>
        <v>-</v>
      </c>
      <c r="C2179" s="98" t="str">
        <f>VLOOKUP(A2179,'Materiales '!$C$2:$F$1302,3,0)</f>
        <v>-</v>
      </c>
      <c r="D2179" s="99">
        <f>VLOOKUP(A2179,'Materiales '!$C$2:$F$1302,4,0)</f>
        <v>0</v>
      </c>
      <c r="E2179" s="100"/>
      <c r="F2179" s="538">
        <f>E2179*D2179</f>
        <v>0</v>
      </c>
      <c r="G2179" s="539"/>
      <c r="H2179" s="120"/>
      <c r="I2179">
        <f>E2179*G2162</f>
        <v>0</v>
      </c>
      <c r="J2179" s="68"/>
      <c r="K2179" s="56"/>
      <c r="L2179" s="56"/>
      <c r="M2179" s="56"/>
      <c r="N2179" s="56"/>
      <c r="O2179" s="56"/>
    </row>
    <row r="2180" spans="1:15">
      <c r="A2180" s="536" t="s">
        <v>8</v>
      </c>
      <c r="B2180" s="537" t="str">
        <f>VLOOKUP(A2180,'Materiales '!$C$2:$F$1302,3,0)</f>
        <v>-</v>
      </c>
      <c r="C2180" s="98" t="str">
        <f>VLOOKUP(A2180,'Materiales '!$C$2:$F$1302,3,0)</f>
        <v>-</v>
      </c>
      <c r="D2180" s="99">
        <f>VLOOKUP(A2180,'Materiales '!$C$2:$F$1302,4,0)</f>
        <v>0</v>
      </c>
      <c r="E2180" s="100"/>
      <c r="F2180" s="538">
        <f t="shared" ref="F2180:F2183" si="128">E2180*D2180</f>
        <v>0</v>
      </c>
      <c r="G2180" s="539"/>
      <c r="H2180" s="121"/>
      <c r="I2180">
        <f>E2180*G2162</f>
        <v>0</v>
      </c>
      <c r="J2180" s="68"/>
      <c r="K2180" s="56"/>
      <c r="L2180" s="56"/>
      <c r="M2180" s="56"/>
      <c r="N2180" s="56"/>
      <c r="O2180" s="56"/>
    </row>
    <row r="2181" spans="1:15">
      <c r="A2181" s="536" t="s">
        <v>8</v>
      </c>
      <c r="B2181" s="537" t="str">
        <f>VLOOKUP(A2181,'Materiales '!$C$2:$F$1302,3,0)</f>
        <v>-</v>
      </c>
      <c r="C2181" s="98" t="str">
        <f>VLOOKUP(A2181,'Materiales '!$C$2:$F$1302,3,0)</f>
        <v>-</v>
      </c>
      <c r="D2181" s="99">
        <f>VLOOKUP(A2181,'Materiales '!$C$2:$F$1302,4,0)</f>
        <v>0</v>
      </c>
      <c r="E2181" s="100"/>
      <c r="F2181" s="538">
        <f t="shared" si="128"/>
        <v>0</v>
      </c>
      <c r="G2181" s="539"/>
      <c r="H2181" s="121"/>
      <c r="I2181">
        <f>E2181*G2162</f>
        <v>0</v>
      </c>
      <c r="J2181" s="68"/>
      <c r="K2181" s="56"/>
      <c r="L2181" s="56"/>
      <c r="M2181" s="56"/>
      <c r="N2181" s="56"/>
      <c r="O2181" s="56"/>
    </row>
    <row r="2182" spans="1:15">
      <c r="A2182" s="536" t="s">
        <v>8</v>
      </c>
      <c r="B2182" s="537" t="str">
        <f>VLOOKUP(A2182,'Materiales '!$C$2:$F$1302,3,0)</f>
        <v>-</v>
      </c>
      <c r="C2182" s="98" t="str">
        <f>VLOOKUP(A2182,'Materiales '!$C$2:$F$1302,3,0)</f>
        <v>-</v>
      </c>
      <c r="D2182" s="99">
        <f>VLOOKUP(A2182,'Materiales '!$C$2:$F$1302,4,0)</f>
        <v>0</v>
      </c>
      <c r="E2182" s="100"/>
      <c r="F2182" s="538">
        <f t="shared" si="128"/>
        <v>0</v>
      </c>
      <c r="G2182" s="539"/>
      <c r="H2182" s="121"/>
      <c r="I2182">
        <f>E2182*G2162</f>
        <v>0</v>
      </c>
      <c r="J2182" s="68"/>
      <c r="K2182" s="56"/>
      <c r="L2182" s="56"/>
      <c r="M2182" s="56"/>
      <c r="N2182" s="56"/>
      <c r="O2182" s="56"/>
    </row>
    <row r="2183" spans="1:15">
      <c r="A2183" s="536" t="s">
        <v>8</v>
      </c>
      <c r="B2183" s="537" t="str">
        <f>VLOOKUP(A2183,'Materiales '!$C$2:$F$1302,3,0)</f>
        <v>-</v>
      </c>
      <c r="C2183" s="98" t="str">
        <f>VLOOKUP(A2183,'Materiales '!$C$2:$F$1302,3,0)</f>
        <v>-</v>
      </c>
      <c r="D2183" s="99">
        <f>VLOOKUP(A2183,'Materiales '!$C$2:$F$1302,4,0)</f>
        <v>0</v>
      </c>
      <c r="E2183" s="100"/>
      <c r="F2183" s="538">
        <f t="shared" si="128"/>
        <v>0</v>
      </c>
      <c r="G2183" s="539"/>
      <c r="H2183" s="121"/>
      <c r="I2183">
        <f>E2183*G2162</f>
        <v>0</v>
      </c>
      <c r="J2183" s="68"/>
      <c r="K2183" s="56"/>
      <c r="L2183" s="56"/>
      <c r="M2183" s="56"/>
      <c r="N2183" s="56"/>
      <c r="O2183" s="56"/>
    </row>
    <row r="2184" spans="1:15">
      <c r="A2184" s="536" t="s">
        <v>8</v>
      </c>
      <c r="B2184" s="537" t="str">
        <f>VLOOKUP(A2184,'Materiales '!$C$2:$F$1302,3,0)</f>
        <v>-</v>
      </c>
      <c r="C2184" s="98" t="str">
        <f>VLOOKUP(A2184,'Materiales '!$C$2:$F$1302,3,0)</f>
        <v>-</v>
      </c>
      <c r="D2184" s="99">
        <f>VLOOKUP(A2184,'Materiales '!$C$2:$F$1302,4,0)</f>
        <v>0</v>
      </c>
      <c r="E2184" s="100"/>
      <c r="F2184" s="538">
        <f>E2184*D2184</f>
        <v>0</v>
      </c>
      <c r="G2184" s="539"/>
      <c r="H2184" s="120"/>
      <c r="I2184">
        <f>E2184*G2162</f>
        <v>0</v>
      </c>
      <c r="J2184" s="68"/>
      <c r="K2184" s="56"/>
      <c r="L2184" s="56"/>
      <c r="M2184" s="56"/>
      <c r="N2184" s="56"/>
      <c r="O2184" s="56"/>
    </row>
    <row r="2185" spans="1:15" ht="16.5">
      <c r="A2185" s="540" t="s">
        <v>4099</v>
      </c>
      <c r="B2185" s="541"/>
      <c r="C2185" s="541"/>
      <c r="D2185" s="541"/>
      <c r="E2185" s="541"/>
      <c r="F2185" s="541"/>
      <c r="G2185" s="542"/>
      <c r="H2185" s="116">
        <f>SUM(F2171:F2184)</f>
        <v>268388.50639999995</v>
      </c>
      <c r="J2185" s="68"/>
      <c r="K2185" s="56"/>
      <c r="L2185" s="56"/>
      <c r="M2185" s="56"/>
      <c r="N2185" s="56"/>
      <c r="O2185" s="56"/>
    </row>
    <row r="2186" spans="1:15" ht="16.5">
      <c r="A2186" s="543" t="s">
        <v>4231</v>
      </c>
      <c r="B2186" s="544"/>
      <c r="C2186" s="544"/>
      <c r="D2186" s="544"/>
      <c r="E2186" s="545"/>
      <c r="F2186" s="544"/>
      <c r="G2186" s="544"/>
      <c r="H2186" s="546"/>
      <c r="J2186" s="68"/>
      <c r="K2186" s="56"/>
      <c r="L2186" s="56"/>
      <c r="M2186" s="56"/>
      <c r="N2186" s="56"/>
      <c r="O2186" s="56"/>
    </row>
    <row r="2187" spans="1:15">
      <c r="A2187" s="547" t="s">
        <v>7</v>
      </c>
      <c r="B2187" s="548"/>
      <c r="C2187" s="108" t="s">
        <v>4232</v>
      </c>
      <c r="D2187" s="107" t="s">
        <v>4233</v>
      </c>
      <c r="E2187" s="206" t="s">
        <v>4234</v>
      </c>
      <c r="F2187" s="549" t="s">
        <v>4218</v>
      </c>
      <c r="G2187" s="549"/>
      <c r="H2187" s="119"/>
      <c r="K2187" s="56"/>
      <c r="L2187" s="56"/>
      <c r="M2187" s="56"/>
      <c r="N2187" s="56"/>
      <c r="O2187" s="56"/>
    </row>
    <row r="2188" spans="1:15">
      <c r="A2188" s="550" t="s">
        <v>3928</v>
      </c>
      <c r="B2188" s="551"/>
      <c r="C2188" s="232">
        <v>1</v>
      </c>
      <c r="D2188" s="102">
        <v>0.03</v>
      </c>
      <c r="E2188" s="103">
        <f>VLOOKUP(A2188,'Equip, Herr y Transp'!$B$2:$D$218,3,0)</f>
        <v>160000</v>
      </c>
      <c r="F2188" s="552">
        <f>E2188*D2188*C2188</f>
        <v>4800</v>
      </c>
      <c r="G2188" s="553"/>
      <c r="H2188" s="117"/>
      <c r="M2188" s="56"/>
    </row>
    <row r="2189" spans="1:15" ht="16.5">
      <c r="A2189" s="554" t="s">
        <v>4216</v>
      </c>
      <c r="B2189" s="555"/>
      <c r="C2189" s="555"/>
      <c r="D2189" s="555"/>
      <c r="E2189" s="555"/>
      <c r="F2189" s="555"/>
      <c r="G2189" s="555"/>
      <c r="H2189" s="105">
        <f>F2188</f>
        <v>4800</v>
      </c>
    </row>
    <row r="2190" spans="1:15" ht="16.5">
      <c r="A2190" s="543" t="s">
        <v>4235</v>
      </c>
      <c r="B2190" s="544"/>
      <c r="C2190" s="544"/>
      <c r="D2190" s="544"/>
      <c r="E2190" s="544"/>
      <c r="F2190" s="544"/>
      <c r="G2190" s="544"/>
      <c r="H2190" s="546"/>
    </row>
    <row r="2191" spans="1:15">
      <c r="A2191" s="547" t="s">
        <v>7</v>
      </c>
      <c r="B2191" s="548"/>
      <c r="C2191" s="106" t="s">
        <v>1</v>
      </c>
      <c r="D2191" s="107" t="s">
        <v>4236</v>
      </c>
      <c r="E2191" s="108" t="s">
        <v>4215</v>
      </c>
      <c r="F2191" s="547" t="s">
        <v>5</v>
      </c>
      <c r="G2191" s="556"/>
      <c r="H2191" s="119"/>
    </row>
    <row r="2192" spans="1:15">
      <c r="A2192" s="550" t="s">
        <v>4196</v>
      </c>
      <c r="B2192" s="551"/>
      <c r="C2192" s="101">
        <v>1</v>
      </c>
      <c r="D2192" s="104">
        <f>VLOOKUP(A2192,'Mano Obra'!$B$2:$T$117,19,0)</f>
        <v>166624</v>
      </c>
      <c r="E2192" s="246">
        <f>H2155</f>
        <v>5.21E-2</v>
      </c>
      <c r="F2192" s="538">
        <f>E2192*D2192*C2192</f>
        <v>8681.1103999999996</v>
      </c>
      <c r="G2192" s="557"/>
      <c r="H2192" s="121"/>
      <c r="I2192" s="69"/>
      <c r="J2192" s="136">
        <f>((('Mano Obra'!$M$4/30)*F2192)/D2192)*G2162</f>
        <v>0</v>
      </c>
    </row>
    <row r="2193" spans="1:10">
      <c r="A2193" s="558" t="s">
        <v>4197</v>
      </c>
      <c r="B2193" s="559">
        <f>VLOOKUP(A2193,'Mano Obra'!$B$3:$D$290,2,0)</f>
        <v>2090000.0000000002</v>
      </c>
      <c r="C2193" s="101">
        <v>1</v>
      </c>
      <c r="D2193" s="104">
        <f>VLOOKUP(A2193,'Mano Obra'!$B$2:$T$117,19,0)</f>
        <v>120456</v>
      </c>
      <c r="E2193" s="246">
        <f>H2155</f>
        <v>5.21E-2</v>
      </c>
      <c r="F2193" s="538">
        <f t="shared" ref="F2193:F2194" si="129">E2193*D2193*C2193</f>
        <v>6275.7575999999999</v>
      </c>
      <c r="G2193" s="557"/>
      <c r="H2193" s="121"/>
      <c r="J2193" s="136">
        <f>((('Mano Obra'!$M$5/30)*F2193)/D2193)*G2162</f>
        <v>0</v>
      </c>
    </row>
    <row r="2194" spans="1:10">
      <c r="A2194" s="558" t="s">
        <v>4186</v>
      </c>
      <c r="B2194" s="559">
        <f>VLOOKUP(A2194,'Mano Obra'!$B$3:$D$290,2,0)</f>
        <v>1100000</v>
      </c>
      <c r="C2194" s="101">
        <v>1</v>
      </c>
      <c r="D2194" s="104">
        <f>VLOOKUP(A2194,'Mano Obra'!$B$2:$T$117,19,0)</f>
        <v>72664</v>
      </c>
      <c r="E2194" s="246">
        <f>H2155</f>
        <v>5.21E-2</v>
      </c>
      <c r="F2194" s="538">
        <f t="shared" si="129"/>
        <v>3785.7944000000002</v>
      </c>
      <c r="G2194" s="557"/>
      <c r="H2194" s="120"/>
      <c r="J2194" s="136">
        <f>((('Mano Obra'!$M$6/30)*F2194)/D2194)*G2162</f>
        <v>0</v>
      </c>
    </row>
    <row r="2195" spans="1:10" ht="16.5">
      <c r="A2195" s="560" t="s">
        <v>4101</v>
      </c>
      <c r="B2195" s="560"/>
      <c r="C2195" s="560"/>
      <c r="D2195" s="560"/>
      <c r="E2195" s="560"/>
      <c r="F2195" s="560"/>
      <c r="G2195" s="560"/>
      <c r="H2195" s="105">
        <f>SUM(F2192:F2194)</f>
        <v>18742.662399999997</v>
      </c>
      <c r="J2195" s="136"/>
    </row>
    <row r="2196" spans="1:10">
      <c r="A2196" s="227" t="s">
        <v>4237</v>
      </c>
      <c r="B2196" s="205"/>
      <c r="C2196" s="205"/>
      <c r="D2196" s="202"/>
      <c r="E2196" s="203"/>
      <c r="F2196" s="204"/>
      <c r="G2196" s="203"/>
      <c r="H2196" s="212"/>
    </row>
    <row r="2197" spans="1:10">
      <c r="A2197" s="561" t="s">
        <v>4224</v>
      </c>
      <c r="B2197" s="562"/>
      <c r="C2197" s="562"/>
      <c r="D2197" s="562"/>
      <c r="E2197" s="200"/>
      <c r="F2197" s="201" t="s">
        <v>4238</v>
      </c>
      <c r="G2197" s="200" t="s">
        <v>4239</v>
      </c>
      <c r="H2197" s="213"/>
    </row>
    <row r="2198" spans="1:10">
      <c r="A2198" s="223" t="s">
        <v>4097</v>
      </c>
      <c r="B2198" s="72"/>
      <c r="C2198" s="72"/>
      <c r="D2198" s="73"/>
      <c r="E2198" s="78"/>
      <c r="F2198" s="79">
        <v>0</v>
      </c>
      <c r="G2198" s="80">
        <f>F2198*H2163</f>
        <v>0</v>
      </c>
      <c r="H2198" s="212"/>
    </row>
    <row r="2199" spans="1:10">
      <c r="A2199" s="224" t="s">
        <v>4240</v>
      </c>
      <c r="B2199" s="81"/>
      <c r="C2199" s="81"/>
      <c r="D2199" s="82"/>
      <c r="E2199" s="78"/>
      <c r="F2199" s="79">
        <v>0</v>
      </c>
      <c r="G2199" s="80">
        <f>F2199*H2163</f>
        <v>0</v>
      </c>
      <c r="H2199" s="212"/>
    </row>
    <row r="2200" spans="1:10">
      <c r="A2200" s="224" t="s">
        <v>4</v>
      </c>
      <c r="B2200" s="81"/>
      <c r="C2200" s="81"/>
      <c r="D2200" s="82"/>
      <c r="E2200" s="78"/>
      <c r="F2200" s="79">
        <v>0</v>
      </c>
      <c r="G2200" s="80">
        <f>F2200*H2163</f>
        <v>0</v>
      </c>
      <c r="H2200" s="212"/>
    </row>
    <row r="2201" spans="1:10">
      <c r="A2201" s="225"/>
      <c r="B2201" s="83"/>
      <c r="C2201" s="75"/>
      <c r="D2201" s="84"/>
      <c r="E2201" s="85"/>
      <c r="F2201" s="86"/>
      <c r="G2201" s="87"/>
      <c r="H2201" s="214"/>
    </row>
    <row r="2202" spans="1:10">
      <c r="A2202" s="226"/>
      <c r="B2202" s="83"/>
      <c r="C2202" s="83"/>
      <c r="D2202" s="84"/>
      <c r="E2202" s="88"/>
      <c r="F2202" s="563" t="s">
        <v>4241</v>
      </c>
      <c r="G2202" s="564"/>
      <c r="H2202" s="233">
        <f>H2163+G2198+G2199+G2200</f>
        <v>293904.71679999994</v>
      </c>
    </row>
    <row r="2203" spans="1:10">
      <c r="A2203" s="83"/>
      <c r="B2203" s="83"/>
      <c r="C2203" s="83"/>
      <c r="D2203" s="84"/>
      <c r="E2203" s="388"/>
      <c r="F2203" s="389"/>
      <c r="G2203" s="389"/>
      <c r="H2203" s="390"/>
    </row>
    <row r="2204" spans="1:10">
      <c r="A2204" s="83"/>
      <c r="B2204" s="83"/>
      <c r="C2204" s="83"/>
      <c r="D2204" s="84"/>
      <c r="E2204" s="388"/>
      <c r="F2204" s="389"/>
      <c r="G2204" s="389"/>
      <c r="H2204" s="390"/>
    </row>
    <row r="2205" spans="1:10" ht="16.5">
      <c r="A2205" s="90"/>
      <c r="B2205" s="90"/>
      <c r="C2205" s="90"/>
      <c r="D2205" s="90"/>
      <c r="E2205" s="90"/>
      <c r="F2205" s="90"/>
      <c r="G2205" s="90"/>
      <c r="H2205" s="381"/>
    </row>
    <row r="2206" spans="1:10">
      <c r="A2206" s="579" t="s">
        <v>4225</v>
      </c>
      <c r="B2206" s="580"/>
      <c r="C2206" s="580"/>
      <c r="D2206" s="580"/>
      <c r="E2206" s="580"/>
      <c r="F2206" s="580"/>
      <c r="G2206" s="580"/>
      <c r="H2206" s="581"/>
    </row>
    <row r="2207" spans="1:10" ht="16.5">
      <c r="A2207" s="91"/>
      <c r="B2207" s="92"/>
      <c r="C2207" s="92"/>
      <c r="D2207" s="92"/>
      <c r="E2207" s="92"/>
      <c r="F2207" s="93"/>
      <c r="G2207" s="94"/>
      <c r="H2207" s="380">
        <f>ROUND((25/60)/8,4)</f>
        <v>5.21E-2</v>
      </c>
      <c r="I2207" s="115"/>
    </row>
    <row r="2208" spans="1:10">
      <c r="A2208" s="582" t="s">
        <v>4220</v>
      </c>
      <c r="B2208" s="584" t="str">
        <f>COSTOS!$C$14</f>
        <v>MODERNIZACION A TECNOLOGIA LED</v>
      </c>
      <c r="C2208" s="584"/>
      <c r="D2208" s="584"/>
      <c r="E2208" s="584"/>
      <c r="F2208" s="584"/>
      <c r="G2208" s="584"/>
      <c r="H2208" s="585" t="s">
        <v>4221</v>
      </c>
    </row>
    <row r="2209" spans="1:15">
      <c r="A2209" s="583"/>
      <c r="B2209" s="584"/>
      <c r="C2209" s="584"/>
      <c r="D2209" s="584"/>
      <c r="E2209" s="584"/>
      <c r="F2209" s="584"/>
      <c r="G2209" s="584"/>
      <c r="H2209" s="585"/>
    </row>
    <row r="2210" spans="1:15">
      <c r="A2210" s="583"/>
      <c r="B2210" s="584"/>
      <c r="C2210" s="584"/>
      <c r="D2210" s="584"/>
      <c r="E2210" s="584"/>
      <c r="F2210" s="584"/>
      <c r="G2210" s="584"/>
      <c r="H2210" s="585"/>
    </row>
    <row r="2211" spans="1:15" ht="15" customHeight="1">
      <c r="A2211" s="583"/>
      <c r="B2211" s="584"/>
      <c r="C2211" s="584"/>
      <c r="D2211" s="584"/>
      <c r="E2211" s="584"/>
      <c r="F2211" s="584"/>
      <c r="G2211" s="584"/>
      <c r="H2211" s="216">
        <f ca="1">TODAY()</f>
        <v>44889</v>
      </c>
      <c r="K2211" t="s">
        <v>4391</v>
      </c>
      <c r="L2211" t="s">
        <v>4392</v>
      </c>
      <c r="M2211" t="s">
        <v>4393</v>
      </c>
      <c r="N2211" t="s">
        <v>4394</v>
      </c>
    </row>
    <row r="2212" spans="1:15" ht="60.75" customHeight="1">
      <c r="A2212" s="228" t="s">
        <v>4222</v>
      </c>
      <c r="B2212" s="565" t="str">
        <f>COSTOS!$D$16</f>
        <v>Luminarias</v>
      </c>
      <c r="C2212" s="565"/>
      <c r="D2212" s="565"/>
      <c r="E2212" s="565"/>
      <c r="F2212" s="565"/>
      <c r="G2212" s="70" t="s">
        <v>4223</v>
      </c>
      <c r="H2212" s="391">
        <v>1.44</v>
      </c>
      <c r="K2212" s="62">
        <f>H2237</f>
        <v>125000.45599999999</v>
      </c>
      <c r="L2212" s="62">
        <f>H2247</f>
        <v>18742.662399999997</v>
      </c>
      <c r="M2212" s="62">
        <f>H2220</f>
        <v>2377.1927500000002</v>
      </c>
      <c r="N2212" s="62">
        <f>H2241</f>
        <v>4800</v>
      </c>
    </row>
    <row r="2213" spans="1:15" ht="43.15" customHeight="1">
      <c r="A2213" s="229" t="s">
        <v>4224</v>
      </c>
      <c r="B2213" s="566" t="str">
        <f>VLOOKUP(H2212,COSTOS!C:M,2,0)</f>
        <v>Spot Led 18w</v>
      </c>
      <c r="C2213" s="567"/>
      <c r="D2213" s="567"/>
      <c r="E2213" s="568"/>
      <c r="F2213" s="71" t="s">
        <v>0</v>
      </c>
      <c r="G2213" s="356" t="str">
        <f>VLOOKUP(H2212,COSTOS!C:M,8,0)</f>
        <v>Und</v>
      </c>
      <c r="H2213" s="276"/>
      <c r="I2213" s="306"/>
      <c r="J2213" s="308"/>
      <c r="K2213" s="308"/>
      <c r="L2213" s="308"/>
    </row>
    <row r="2214" spans="1:15">
      <c r="A2214" s="230"/>
      <c r="B2214" s="112"/>
      <c r="C2214" s="112"/>
      <c r="D2214" s="112"/>
      <c r="E2214" s="113"/>
      <c r="F2214" s="114" t="s">
        <v>1</v>
      </c>
      <c r="G2214" s="356">
        <f>VLOOKUP(H2212,COSTOS!C:M,9,0)</f>
        <v>0</v>
      </c>
      <c r="H2214" s="357"/>
      <c r="I2214" s="307"/>
    </row>
    <row r="2215" spans="1:15" ht="16.5">
      <c r="A2215" s="231" t="s">
        <v>4226</v>
      </c>
      <c r="B2215" s="75"/>
      <c r="C2215" s="75"/>
      <c r="D2215" s="76"/>
      <c r="E2215" s="209"/>
      <c r="F2215" s="210"/>
      <c r="G2215" s="211" t="s">
        <v>4227</v>
      </c>
      <c r="H2215" s="217">
        <f>H2220+H2237+H2241+H2247</f>
        <v>150920.31114999999</v>
      </c>
    </row>
    <row r="2216" spans="1:15" ht="39">
      <c r="A2216" s="569" t="s">
        <v>4224</v>
      </c>
      <c r="B2216" s="569"/>
      <c r="C2216" s="569"/>
      <c r="D2216" s="77" t="s">
        <v>0</v>
      </c>
      <c r="E2216" s="207" t="s">
        <v>4228</v>
      </c>
      <c r="F2216" s="208" t="s">
        <v>4215</v>
      </c>
      <c r="G2216" s="74" t="s">
        <v>2</v>
      </c>
      <c r="H2216" s="218" t="s">
        <v>4229</v>
      </c>
      <c r="K2216" s="309"/>
    </row>
    <row r="2217" spans="1:15">
      <c r="A2217" s="536" t="s">
        <v>3946</v>
      </c>
      <c r="B2217" s="570" t="str">
        <f>VLOOKUP(A2217,'Equip, Herr y Transp'!$B$2:$D$739,2,0)</f>
        <v>EQU</v>
      </c>
      <c r="C2217" s="570"/>
      <c r="D2217" s="95" t="str">
        <f>VLOOKUP(A2217,'Equip, Herr y Transp'!$B$2:$D$218,2,0)</f>
        <v>EQU</v>
      </c>
      <c r="E2217" s="95">
        <f>VLOOKUP(A2217,'Equip, Herr y Transp'!$B$2:$D$218,3,0)</f>
        <v>14130</v>
      </c>
      <c r="F2217" s="96">
        <f>H2207</f>
        <v>5.21E-2</v>
      </c>
      <c r="G2217" s="122">
        <f>F2217*E2217</f>
        <v>736.173</v>
      </c>
      <c r="H2217" s="118"/>
    </row>
    <row r="2218" spans="1:15">
      <c r="A2218" s="536" t="s">
        <v>3937</v>
      </c>
      <c r="B2218" s="570" t="str">
        <f>VLOOKUP(A2218,'Equip, Herr y Transp'!$B$2:$D$739,2,0)</f>
        <v>EQU</v>
      </c>
      <c r="C2218" s="570"/>
      <c r="D2218" s="95" t="str">
        <f>VLOOKUP(A2218,'Equip, Herr y Transp'!$B$2:$D$218,2,0)</f>
        <v>EQU</v>
      </c>
      <c r="E2218" s="95">
        <f>VLOOKUP(A2218,'Equip, Herr y Transp'!$B$2:$D$218,3,0)</f>
        <v>23750</v>
      </c>
      <c r="F2218" s="96">
        <f>H2207</f>
        <v>5.21E-2</v>
      </c>
      <c r="G2218" s="122">
        <f>F2218*E2218</f>
        <v>1237.375</v>
      </c>
      <c r="H2218" s="117"/>
    </row>
    <row r="2219" spans="1:15">
      <c r="A2219" s="536" t="s">
        <v>3903</v>
      </c>
      <c r="B2219" s="570" t="str">
        <f>VLOOKUP(A2219,'Equip, Herr y Transp'!$B$2:$D$739,2,0)</f>
        <v>EQU</v>
      </c>
      <c r="C2219" s="570"/>
      <c r="D2219" s="95" t="str">
        <f>VLOOKUP(A2219,'Equip, Herr y Transp'!$B$2:$D$218,2,0)</f>
        <v>EQU</v>
      </c>
      <c r="E2219" s="95">
        <f>VLOOKUP(A2219,'Equip, Herr y Transp'!$B$2:$D$218,3,0)</f>
        <v>7747.5</v>
      </c>
      <c r="F2219" s="96">
        <f>H2207</f>
        <v>5.21E-2</v>
      </c>
      <c r="G2219" s="122">
        <f>F2219*E2219</f>
        <v>403.64474999999999</v>
      </c>
      <c r="H2219" s="117"/>
    </row>
    <row r="2220" spans="1:15" ht="16.5">
      <c r="A2220" s="540" t="s">
        <v>4100</v>
      </c>
      <c r="B2220" s="541"/>
      <c r="C2220" s="541"/>
      <c r="D2220" s="541"/>
      <c r="E2220" s="541"/>
      <c r="F2220" s="541"/>
      <c r="G2220" s="541"/>
      <c r="H2220" s="97">
        <f>SUM(G2217:G2219)</f>
        <v>2377.1927500000002</v>
      </c>
    </row>
    <row r="2221" spans="1:15" ht="16.5">
      <c r="A2221" s="571" t="s">
        <v>4230</v>
      </c>
      <c r="B2221" s="572"/>
      <c r="C2221" s="572"/>
      <c r="D2221" s="572"/>
      <c r="E2221" s="572"/>
      <c r="F2221" s="572"/>
      <c r="G2221" s="572"/>
      <c r="H2221" s="573"/>
      <c r="K2221" s="56"/>
      <c r="L2221" s="56"/>
      <c r="M2221" s="56"/>
      <c r="N2221" s="56"/>
      <c r="O2221" s="56"/>
    </row>
    <row r="2222" spans="1:15" ht="30" customHeight="1">
      <c r="A2222" s="574" t="s">
        <v>7</v>
      </c>
      <c r="B2222" s="575"/>
      <c r="C2222" s="109" t="s">
        <v>0</v>
      </c>
      <c r="D2222" s="110" t="s">
        <v>4098</v>
      </c>
      <c r="E2222" s="111" t="s">
        <v>1</v>
      </c>
      <c r="F2222" s="576" t="s">
        <v>4218</v>
      </c>
      <c r="G2222" s="576"/>
      <c r="H2222" s="215"/>
      <c r="K2222" s="56"/>
      <c r="L2222" s="56"/>
      <c r="M2222" s="56"/>
      <c r="N2222" s="56"/>
      <c r="O2222" s="56"/>
    </row>
    <row r="2223" spans="1:15">
      <c r="A2223" s="577" t="s">
        <v>4726</v>
      </c>
      <c r="B2223" s="578"/>
      <c r="C2223" s="98" t="str">
        <f>VLOOKUP(A2223,'Materiales '!$C$2:$F$1302,3,0)</f>
        <v>Und</v>
      </c>
      <c r="D2223" s="99">
        <f>VLOOKUP(A2223,'Materiales '!$C$2:$F$1302,4,0)</f>
        <v>94864.895999999993</v>
      </c>
      <c r="E2223" s="100">
        <v>1</v>
      </c>
      <c r="F2223" s="538">
        <f>E2223*D2223</f>
        <v>94864.895999999993</v>
      </c>
      <c r="G2223" s="539"/>
      <c r="H2223" s="121"/>
      <c r="I2223">
        <f>E2223*G2214</f>
        <v>0</v>
      </c>
      <c r="J2223" s="67"/>
      <c r="K2223" s="56"/>
      <c r="L2223" s="56"/>
      <c r="M2223" s="56"/>
      <c r="N2223" s="56"/>
      <c r="O2223" s="56"/>
    </row>
    <row r="2224" spans="1:15">
      <c r="A2224" s="577" t="s">
        <v>4636</v>
      </c>
      <c r="B2224" s="578"/>
      <c r="C2224" s="98" t="str">
        <f>VLOOKUP(A2224,'Materiales '!$C$2:$F$1302,3,0)</f>
        <v>Und</v>
      </c>
      <c r="D2224" s="99">
        <f>VLOOKUP(A2224,'Materiales '!$C$2:$F$1302,4,0)</f>
        <v>13994.4</v>
      </c>
      <c r="E2224" s="100">
        <v>1</v>
      </c>
      <c r="F2224" s="538">
        <f t="shared" ref="F2224:F2230" si="130">E2224*D2224</f>
        <v>13994.4</v>
      </c>
      <c r="G2224" s="539"/>
      <c r="H2224" s="121"/>
      <c r="I2224">
        <f>E2224*G2214</f>
        <v>0</v>
      </c>
      <c r="J2224" s="67"/>
      <c r="K2224" s="56"/>
      <c r="L2224" s="56"/>
      <c r="M2224" s="56"/>
      <c r="N2224" s="56"/>
      <c r="O2224" s="56"/>
    </row>
    <row r="2225" spans="1:15">
      <c r="A2225" s="536" t="s">
        <v>4639</v>
      </c>
      <c r="B2225" s="537" t="str">
        <f>VLOOKUP(A2225,'Materiales '!$C$2:$F$1302,3,0)</f>
        <v>Und</v>
      </c>
      <c r="C2225" s="98" t="str">
        <f>VLOOKUP(A2225,'Materiales '!$C$2:$F$1302,3,0)</f>
        <v>Und</v>
      </c>
      <c r="D2225" s="99">
        <f>VLOOKUP(A2225,'Materiales '!$C$2:$F$1302,4,0)</f>
        <v>35700</v>
      </c>
      <c r="E2225" s="100">
        <v>0.1</v>
      </c>
      <c r="F2225" s="538">
        <f t="shared" si="130"/>
        <v>3570</v>
      </c>
      <c r="G2225" s="539"/>
      <c r="H2225" s="121"/>
      <c r="I2225">
        <f>E2225*G2214</f>
        <v>0</v>
      </c>
      <c r="J2225" s="68"/>
      <c r="K2225" s="56"/>
      <c r="L2225" s="56"/>
      <c r="M2225" s="56"/>
      <c r="N2225" s="56"/>
      <c r="O2225" s="56"/>
    </row>
    <row r="2226" spans="1:15">
      <c r="A2226" s="536" t="s">
        <v>4450</v>
      </c>
      <c r="B2226" s="537" t="str">
        <f>VLOOKUP(A2226,'Materiales '!$C$2:$F$1302,3,0)</f>
        <v>Ml</v>
      </c>
      <c r="C2226" s="98" t="str">
        <f>VLOOKUP(A2226,'Materiales '!$C$2:$F$1302,3,0)</f>
        <v>Ml</v>
      </c>
      <c r="D2226" s="99">
        <f>VLOOKUP(A2226,'Materiales '!$C$2:$F$1302,4,0)</f>
        <v>6791.5679999999993</v>
      </c>
      <c r="E2226" s="100">
        <v>1</v>
      </c>
      <c r="F2226" s="538">
        <f t="shared" si="130"/>
        <v>6791.5679999999993</v>
      </c>
      <c r="G2226" s="539"/>
      <c r="H2226" s="121"/>
      <c r="I2226">
        <f>E2226*G2214</f>
        <v>0</v>
      </c>
      <c r="J2226" s="68"/>
      <c r="K2226" s="56"/>
      <c r="L2226" s="56"/>
      <c r="M2226" s="56"/>
      <c r="N2226" s="56"/>
      <c r="O2226" s="56"/>
    </row>
    <row r="2227" spans="1:15">
      <c r="A2227" s="536" t="s">
        <v>4493</v>
      </c>
      <c r="B2227" s="537" t="str">
        <f>VLOOKUP(A2227,'Materiales '!$C$2:$F$1302,3,0)</f>
        <v>Und</v>
      </c>
      <c r="C2227" s="98" t="str">
        <f>VLOOKUP(A2227,'Materiales '!$C$2:$F$1302,3,0)</f>
        <v>Und</v>
      </c>
      <c r="D2227" s="99">
        <f>VLOOKUP(A2227,'Materiales '!$C$2:$F$1302,4,0)</f>
        <v>232.76399999999998</v>
      </c>
      <c r="E2227" s="100">
        <v>3</v>
      </c>
      <c r="F2227" s="538">
        <f t="shared" si="130"/>
        <v>698.29199999999992</v>
      </c>
      <c r="G2227" s="539"/>
      <c r="H2227" s="121"/>
      <c r="I2227">
        <f>E2227*G2214</f>
        <v>0</v>
      </c>
      <c r="J2227" s="68"/>
      <c r="K2227" s="56"/>
      <c r="L2227" s="56"/>
      <c r="M2227" s="56"/>
      <c r="N2227" s="56"/>
      <c r="O2227" s="56"/>
    </row>
    <row r="2228" spans="1:15">
      <c r="A2228" s="536" t="s">
        <v>4638</v>
      </c>
      <c r="B2228" s="537" t="str">
        <f>VLOOKUP(A2228,'Materiales '!$C$2:$F$1302,3,0)</f>
        <v>Und</v>
      </c>
      <c r="C2228" s="98" t="str">
        <f>VLOOKUP(A2228,'Materiales '!$C$2:$F$1302,3,0)</f>
        <v>Und</v>
      </c>
      <c r="D2228" s="99">
        <f>VLOOKUP(A2228,'Materiales '!$C$2:$F$1302,4,0)</f>
        <v>4426.8</v>
      </c>
      <c r="E2228" s="100">
        <v>1</v>
      </c>
      <c r="F2228" s="538">
        <f t="shared" si="130"/>
        <v>4426.8</v>
      </c>
      <c r="G2228" s="539"/>
      <c r="H2228" s="121"/>
      <c r="I2228">
        <f>E2228*G2214</f>
        <v>0</v>
      </c>
      <c r="J2228" s="68"/>
      <c r="K2228" s="56"/>
      <c r="L2228" s="56"/>
      <c r="M2228" s="56"/>
      <c r="N2228" s="56"/>
      <c r="O2228" s="56"/>
    </row>
    <row r="2229" spans="1:15">
      <c r="A2229" s="536" t="s">
        <v>4574</v>
      </c>
      <c r="B2229" s="537" t="str">
        <f>VLOOKUP(A2229,'Materiales '!$C$2:$F$1302,3,0)</f>
        <v>Und</v>
      </c>
      <c r="C2229" s="98" t="str">
        <f>VLOOKUP(A2229,'Materiales '!$C$2:$F$1302,3,0)</f>
        <v>Und</v>
      </c>
      <c r="D2229" s="99">
        <f>VLOOKUP(A2229,'Materiales '!$C$2:$F$1302,4,0)</f>
        <v>654.5</v>
      </c>
      <c r="E2229" s="100">
        <v>1</v>
      </c>
      <c r="F2229" s="538">
        <f t="shared" si="130"/>
        <v>654.5</v>
      </c>
      <c r="G2229" s="539"/>
      <c r="H2229" s="121"/>
      <c r="I2229">
        <f>E2229*G2214</f>
        <v>0</v>
      </c>
      <c r="J2229" s="68"/>
      <c r="K2229" s="56"/>
      <c r="L2229" s="56"/>
      <c r="M2229" s="56"/>
      <c r="N2229" s="56"/>
      <c r="O2229" s="56"/>
    </row>
    <row r="2230" spans="1:15" ht="21.75" customHeight="1">
      <c r="A2230" s="536" t="s">
        <v>8</v>
      </c>
      <c r="B2230" s="537" t="str">
        <f>VLOOKUP(A2230,'Materiales '!$C$2:$F$1302,3,0)</f>
        <v>-</v>
      </c>
      <c r="C2230" s="98" t="str">
        <f>VLOOKUP(A2230,'Materiales '!$C$2:$F$1302,3,0)</f>
        <v>-</v>
      </c>
      <c r="D2230" s="99">
        <f>VLOOKUP(A2230,'Materiales '!$C$2:$F$1302,4,0)</f>
        <v>0</v>
      </c>
      <c r="E2230" s="100"/>
      <c r="F2230" s="538">
        <f t="shared" si="130"/>
        <v>0</v>
      </c>
      <c r="G2230" s="539"/>
      <c r="H2230" s="121"/>
      <c r="I2230">
        <f>E2230*G2214</f>
        <v>0</v>
      </c>
      <c r="J2230" s="68"/>
      <c r="K2230" s="56"/>
      <c r="L2230" s="56"/>
      <c r="M2230" s="56"/>
      <c r="N2230" s="56"/>
      <c r="O2230" s="56"/>
    </row>
    <row r="2231" spans="1:15">
      <c r="A2231" s="536" t="s">
        <v>8</v>
      </c>
      <c r="B2231" s="537" t="str">
        <f>VLOOKUP(A2231,'Materiales '!$C$2:$F$1302,3,0)</f>
        <v>-</v>
      </c>
      <c r="C2231" s="98" t="str">
        <f>VLOOKUP(A2231,'Materiales '!$C$2:$F$1302,3,0)</f>
        <v>-</v>
      </c>
      <c r="D2231" s="99">
        <f>VLOOKUP(A2231,'Materiales '!$C$2:$F$1302,4,0)</f>
        <v>0</v>
      </c>
      <c r="E2231" s="100"/>
      <c r="F2231" s="538">
        <f>E2231*D2231</f>
        <v>0</v>
      </c>
      <c r="G2231" s="539"/>
      <c r="H2231" s="120"/>
      <c r="I2231">
        <f>E2231*G2214</f>
        <v>0</v>
      </c>
      <c r="J2231" s="68"/>
      <c r="K2231" s="56"/>
      <c r="L2231" s="56"/>
      <c r="M2231" s="56"/>
      <c r="N2231" s="56"/>
      <c r="O2231" s="56"/>
    </row>
    <row r="2232" spans="1:15">
      <c r="A2232" s="536" t="s">
        <v>8</v>
      </c>
      <c r="B2232" s="537" t="str">
        <f>VLOOKUP(A2232,'Materiales '!$C$2:$F$1302,3,0)</f>
        <v>-</v>
      </c>
      <c r="C2232" s="98" t="str">
        <f>VLOOKUP(A2232,'Materiales '!$C$2:$F$1302,3,0)</f>
        <v>-</v>
      </c>
      <c r="D2232" s="99">
        <f>VLOOKUP(A2232,'Materiales '!$C$2:$F$1302,4,0)</f>
        <v>0</v>
      </c>
      <c r="E2232" s="100"/>
      <c r="F2232" s="538">
        <f t="shared" ref="F2232:F2235" si="131">E2232*D2232</f>
        <v>0</v>
      </c>
      <c r="G2232" s="539"/>
      <c r="H2232" s="121"/>
      <c r="I2232">
        <f>E2232*G2214</f>
        <v>0</v>
      </c>
      <c r="J2232" s="68"/>
      <c r="K2232" s="56"/>
      <c r="L2232" s="56"/>
      <c r="M2232" s="56"/>
      <c r="N2232" s="56"/>
      <c r="O2232" s="56"/>
    </row>
    <row r="2233" spans="1:15">
      <c r="A2233" s="536" t="s">
        <v>8</v>
      </c>
      <c r="B2233" s="537" t="str">
        <f>VLOOKUP(A2233,'Materiales '!$C$2:$F$1302,3,0)</f>
        <v>-</v>
      </c>
      <c r="C2233" s="98" t="str">
        <f>VLOOKUP(A2233,'Materiales '!$C$2:$F$1302,3,0)</f>
        <v>-</v>
      </c>
      <c r="D2233" s="99">
        <f>VLOOKUP(A2233,'Materiales '!$C$2:$F$1302,4,0)</f>
        <v>0</v>
      </c>
      <c r="E2233" s="100"/>
      <c r="F2233" s="538">
        <f t="shared" si="131"/>
        <v>0</v>
      </c>
      <c r="G2233" s="539"/>
      <c r="H2233" s="121"/>
      <c r="I2233">
        <f>E2233*G2214</f>
        <v>0</v>
      </c>
      <c r="J2233" s="68"/>
      <c r="K2233" s="56"/>
      <c r="L2233" s="56"/>
      <c r="M2233" s="56"/>
      <c r="N2233" s="56"/>
      <c r="O2233" s="56"/>
    </row>
    <row r="2234" spans="1:15">
      <c r="A2234" s="536" t="s">
        <v>8</v>
      </c>
      <c r="B2234" s="537" t="str">
        <f>VLOOKUP(A2234,'Materiales '!$C$2:$F$1302,3,0)</f>
        <v>-</v>
      </c>
      <c r="C2234" s="98" t="str">
        <f>VLOOKUP(A2234,'Materiales '!$C$2:$F$1302,3,0)</f>
        <v>-</v>
      </c>
      <c r="D2234" s="99">
        <f>VLOOKUP(A2234,'Materiales '!$C$2:$F$1302,4,0)</f>
        <v>0</v>
      </c>
      <c r="E2234" s="100"/>
      <c r="F2234" s="538">
        <f t="shared" si="131"/>
        <v>0</v>
      </c>
      <c r="G2234" s="539"/>
      <c r="H2234" s="121"/>
      <c r="I2234">
        <f>E2234*G2214</f>
        <v>0</v>
      </c>
      <c r="J2234" s="68"/>
      <c r="K2234" s="56"/>
      <c r="L2234" s="56"/>
      <c r="M2234" s="56"/>
      <c r="N2234" s="56"/>
      <c r="O2234" s="56"/>
    </row>
    <row r="2235" spans="1:15">
      <c r="A2235" s="536" t="s">
        <v>8</v>
      </c>
      <c r="B2235" s="537" t="str">
        <f>VLOOKUP(A2235,'Materiales '!$C$2:$F$1302,3,0)</f>
        <v>-</v>
      </c>
      <c r="C2235" s="98" t="str">
        <f>VLOOKUP(A2235,'Materiales '!$C$2:$F$1302,3,0)</f>
        <v>-</v>
      </c>
      <c r="D2235" s="99">
        <f>VLOOKUP(A2235,'Materiales '!$C$2:$F$1302,4,0)</f>
        <v>0</v>
      </c>
      <c r="E2235" s="100"/>
      <c r="F2235" s="538">
        <f t="shared" si="131"/>
        <v>0</v>
      </c>
      <c r="G2235" s="539"/>
      <c r="H2235" s="121"/>
      <c r="I2235">
        <f>E2235*G2214</f>
        <v>0</v>
      </c>
      <c r="J2235" s="68"/>
      <c r="K2235" s="56"/>
      <c r="L2235" s="56"/>
      <c r="M2235" s="56"/>
      <c r="N2235" s="56"/>
      <c r="O2235" s="56"/>
    </row>
    <row r="2236" spans="1:15">
      <c r="A2236" s="536" t="s">
        <v>8</v>
      </c>
      <c r="B2236" s="537" t="str">
        <f>VLOOKUP(A2236,'Materiales '!$C$2:$F$1302,3,0)</f>
        <v>-</v>
      </c>
      <c r="C2236" s="98" t="str">
        <f>VLOOKUP(A2236,'Materiales '!$C$2:$F$1302,3,0)</f>
        <v>-</v>
      </c>
      <c r="D2236" s="99">
        <f>VLOOKUP(A2236,'Materiales '!$C$2:$F$1302,4,0)</f>
        <v>0</v>
      </c>
      <c r="E2236" s="100"/>
      <c r="F2236" s="538">
        <f>E2236*D2236</f>
        <v>0</v>
      </c>
      <c r="G2236" s="539"/>
      <c r="H2236" s="120"/>
      <c r="I2236">
        <f>E2236*G2214</f>
        <v>0</v>
      </c>
      <c r="J2236" s="68"/>
      <c r="K2236" s="56"/>
      <c r="L2236" s="56"/>
      <c r="M2236" s="56"/>
      <c r="N2236" s="56"/>
      <c r="O2236" s="56"/>
    </row>
    <row r="2237" spans="1:15" ht="16.5">
      <c r="A2237" s="540" t="s">
        <v>4099</v>
      </c>
      <c r="B2237" s="541"/>
      <c r="C2237" s="541"/>
      <c r="D2237" s="541"/>
      <c r="E2237" s="541"/>
      <c r="F2237" s="541"/>
      <c r="G2237" s="542"/>
      <c r="H2237" s="116">
        <f>SUM(F2223:F2236)</f>
        <v>125000.45599999999</v>
      </c>
      <c r="J2237" s="68"/>
      <c r="K2237" s="56"/>
      <c r="L2237" s="56"/>
      <c r="M2237" s="56"/>
      <c r="N2237" s="56"/>
      <c r="O2237" s="56"/>
    </row>
    <row r="2238" spans="1:15" ht="16.5">
      <c r="A2238" s="543" t="s">
        <v>4231</v>
      </c>
      <c r="B2238" s="544"/>
      <c r="C2238" s="544"/>
      <c r="D2238" s="544"/>
      <c r="E2238" s="545"/>
      <c r="F2238" s="544"/>
      <c r="G2238" s="544"/>
      <c r="H2238" s="546"/>
      <c r="J2238" s="68"/>
      <c r="K2238" s="56"/>
      <c r="L2238" s="56"/>
      <c r="M2238" s="56"/>
      <c r="N2238" s="56"/>
      <c r="O2238" s="56"/>
    </row>
    <row r="2239" spans="1:15">
      <c r="A2239" s="547" t="s">
        <v>7</v>
      </c>
      <c r="B2239" s="548"/>
      <c r="C2239" s="108" t="s">
        <v>4232</v>
      </c>
      <c r="D2239" s="107" t="s">
        <v>4233</v>
      </c>
      <c r="E2239" s="206" t="s">
        <v>4234</v>
      </c>
      <c r="F2239" s="549" t="s">
        <v>4218</v>
      </c>
      <c r="G2239" s="549"/>
      <c r="H2239" s="119"/>
      <c r="K2239" s="56"/>
      <c r="L2239" s="56"/>
      <c r="M2239" s="56"/>
      <c r="N2239" s="56"/>
      <c r="O2239" s="56"/>
    </row>
    <row r="2240" spans="1:15">
      <c r="A2240" s="550" t="s">
        <v>3928</v>
      </c>
      <c r="B2240" s="551"/>
      <c r="C2240" s="232">
        <v>1</v>
      </c>
      <c r="D2240" s="102">
        <v>0.03</v>
      </c>
      <c r="E2240" s="103">
        <f>VLOOKUP(A2240,'Equip, Herr y Transp'!$B$2:$D$218,3,0)</f>
        <v>160000</v>
      </c>
      <c r="F2240" s="552">
        <f>E2240*D2240*C2240</f>
        <v>4800</v>
      </c>
      <c r="G2240" s="553"/>
      <c r="H2240" s="117"/>
      <c r="M2240" s="56"/>
    </row>
    <row r="2241" spans="1:10" ht="16.5">
      <c r="A2241" s="554" t="s">
        <v>4216</v>
      </c>
      <c r="B2241" s="555"/>
      <c r="C2241" s="555"/>
      <c r="D2241" s="555"/>
      <c r="E2241" s="555"/>
      <c r="F2241" s="555"/>
      <c r="G2241" s="555"/>
      <c r="H2241" s="105">
        <f>F2240</f>
        <v>4800</v>
      </c>
    </row>
    <row r="2242" spans="1:10" ht="16.5">
      <c r="A2242" s="543" t="s">
        <v>4235</v>
      </c>
      <c r="B2242" s="544"/>
      <c r="C2242" s="544"/>
      <c r="D2242" s="544"/>
      <c r="E2242" s="544"/>
      <c r="F2242" s="544"/>
      <c r="G2242" s="544"/>
      <c r="H2242" s="546"/>
    </row>
    <row r="2243" spans="1:10">
      <c r="A2243" s="547" t="s">
        <v>7</v>
      </c>
      <c r="B2243" s="548"/>
      <c r="C2243" s="106" t="s">
        <v>1</v>
      </c>
      <c r="D2243" s="107" t="s">
        <v>4236</v>
      </c>
      <c r="E2243" s="108" t="s">
        <v>4215</v>
      </c>
      <c r="F2243" s="547" t="s">
        <v>5</v>
      </c>
      <c r="G2243" s="556"/>
      <c r="H2243" s="119"/>
    </row>
    <row r="2244" spans="1:10">
      <c r="A2244" s="550" t="s">
        <v>4196</v>
      </c>
      <c r="B2244" s="551"/>
      <c r="C2244" s="101">
        <v>1</v>
      </c>
      <c r="D2244" s="104">
        <f>VLOOKUP(A2244,'Mano Obra'!$B$2:$T$117,19,0)</f>
        <v>166624</v>
      </c>
      <c r="E2244" s="246">
        <f>H2207</f>
        <v>5.21E-2</v>
      </c>
      <c r="F2244" s="538">
        <f>E2244*D2244*C2244</f>
        <v>8681.1103999999996</v>
      </c>
      <c r="G2244" s="557"/>
      <c r="H2244" s="121"/>
      <c r="I2244" s="69"/>
      <c r="J2244" s="136">
        <f>((('Mano Obra'!$M$4/30)*F2244)/D2244)*G2214</f>
        <v>0</v>
      </c>
    </row>
    <row r="2245" spans="1:10">
      <c r="A2245" s="558" t="s">
        <v>4197</v>
      </c>
      <c r="B2245" s="559">
        <f>VLOOKUP(A2245,'Mano Obra'!$B$3:$D$290,2,0)</f>
        <v>2090000.0000000002</v>
      </c>
      <c r="C2245" s="101">
        <v>1</v>
      </c>
      <c r="D2245" s="104">
        <f>VLOOKUP(A2245,'Mano Obra'!$B$2:$T$117,19,0)</f>
        <v>120456</v>
      </c>
      <c r="E2245" s="246">
        <f>H2207</f>
        <v>5.21E-2</v>
      </c>
      <c r="F2245" s="538">
        <f t="shared" ref="F2245:F2246" si="132">E2245*D2245*C2245</f>
        <v>6275.7575999999999</v>
      </c>
      <c r="G2245" s="557"/>
      <c r="H2245" s="121"/>
      <c r="J2245" s="136">
        <f>((('Mano Obra'!$M$5/30)*F2245)/D2245)*G2214</f>
        <v>0</v>
      </c>
    </row>
    <row r="2246" spans="1:10">
      <c r="A2246" s="558" t="s">
        <v>4186</v>
      </c>
      <c r="B2246" s="559">
        <f>VLOOKUP(A2246,'Mano Obra'!$B$3:$D$290,2,0)</f>
        <v>1100000</v>
      </c>
      <c r="C2246" s="101">
        <v>1</v>
      </c>
      <c r="D2246" s="104">
        <f>VLOOKUP(A2246,'Mano Obra'!$B$2:$T$117,19,0)</f>
        <v>72664</v>
      </c>
      <c r="E2246" s="246">
        <f>H2207</f>
        <v>5.21E-2</v>
      </c>
      <c r="F2246" s="538">
        <f t="shared" si="132"/>
        <v>3785.7944000000002</v>
      </c>
      <c r="G2246" s="557"/>
      <c r="H2246" s="120"/>
      <c r="J2246" s="136">
        <f>((('Mano Obra'!$M$6/30)*F2246)/D2246)*G2214</f>
        <v>0</v>
      </c>
    </row>
    <row r="2247" spans="1:10" ht="16.5">
      <c r="A2247" s="560" t="s">
        <v>4101</v>
      </c>
      <c r="B2247" s="560"/>
      <c r="C2247" s="560"/>
      <c r="D2247" s="560"/>
      <c r="E2247" s="560"/>
      <c r="F2247" s="560"/>
      <c r="G2247" s="560"/>
      <c r="H2247" s="105">
        <f>SUM(F2244:F2246)</f>
        <v>18742.662399999997</v>
      </c>
      <c r="J2247" s="136"/>
    </row>
    <row r="2248" spans="1:10">
      <c r="A2248" s="227" t="s">
        <v>4237</v>
      </c>
      <c r="B2248" s="205"/>
      <c r="C2248" s="205"/>
      <c r="D2248" s="202"/>
      <c r="E2248" s="203"/>
      <c r="F2248" s="204"/>
      <c r="G2248" s="203"/>
      <c r="H2248" s="212"/>
    </row>
    <row r="2249" spans="1:10">
      <c r="A2249" s="561" t="s">
        <v>4224</v>
      </c>
      <c r="B2249" s="562"/>
      <c r="C2249" s="562"/>
      <c r="D2249" s="562"/>
      <c r="E2249" s="200"/>
      <c r="F2249" s="201" t="s">
        <v>4238</v>
      </c>
      <c r="G2249" s="200" t="s">
        <v>4239</v>
      </c>
      <c r="H2249" s="213"/>
    </row>
    <row r="2250" spans="1:10">
      <c r="A2250" s="223" t="s">
        <v>4097</v>
      </c>
      <c r="B2250" s="72"/>
      <c r="C2250" s="72"/>
      <c r="D2250" s="73"/>
      <c r="E2250" s="78"/>
      <c r="F2250" s="79">
        <v>0</v>
      </c>
      <c r="G2250" s="80">
        <f>F2250*H2215</f>
        <v>0</v>
      </c>
      <c r="H2250" s="212"/>
    </row>
    <row r="2251" spans="1:10">
      <c r="A2251" s="224" t="s">
        <v>4240</v>
      </c>
      <c r="B2251" s="81"/>
      <c r="C2251" s="81"/>
      <c r="D2251" s="82"/>
      <c r="E2251" s="78"/>
      <c r="F2251" s="79">
        <v>0</v>
      </c>
      <c r="G2251" s="80">
        <f>F2251*H2215</f>
        <v>0</v>
      </c>
      <c r="H2251" s="212"/>
    </row>
    <row r="2252" spans="1:10">
      <c r="A2252" s="224" t="s">
        <v>4</v>
      </c>
      <c r="B2252" s="81"/>
      <c r="C2252" s="81"/>
      <c r="D2252" s="82"/>
      <c r="E2252" s="78"/>
      <c r="F2252" s="79">
        <v>0</v>
      </c>
      <c r="G2252" s="80">
        <f>F2252*H2215</f>
        <v>0</v>
      </c>
      <c r="H2252" s="212"/>
    </row>
    <row r="2253" spans="1:10">
      <c r="A2253" s="225"/>
      <c r="B2253" s="83"/>
      <c r="C2253" s="75"/>
      <c r="D2253" s="84"/>
      <c r="E2253" s="85"/>
      <c r="F2253" s="86"/>
      <c r="G2253" s="87"/>
      <c r="H2253" s="214"/>
    </row>
    <row r="2254" spans="1:10">
      <c r="A2254" s="226"/>
      <c r="B2254" s="83"/>
      <c r="C2254" s="83"/>
      <c r="D2254" s="84"/>
      <c r="E2254" s="88"/>
      <c r="F2254" s="563" t="s">
        <v>4241</v>
      </c>
      <c r="G2254" s="564"/>
      <c r="H2254" s="233">
        <f>H2215+G2250+G2251+G2252</f>
        <v>150920.31114999999</v>
      </c>
    </row>
    <row r="2255" spans="1:10">
      <c r="A2255" s="83"/>
      <c r="B2255" s="83"/>
      <c r="C2255" s="83"/>
      <c r="D2255" s="84"/>
      <c r="E2255" s="388"/>
      <c r="F2255" s="389"/>
      <c r="G2255" s="389"/>
      <c r="H2255" s="390"/>
    </row>
    <row r="2256" spans="1:10" ht="16.5">
      <c r="A2256" s="90"/>
      <c r="B2256" s="90"/>
      <c r="C2256" s="90"/>
      <c r="D2256" s="90"/>
      <c r="E2256" s="90"/>
      <c r="F2256" s="90"/>
      <c r="G2256" s="90"/>
      <c r="H2256" s="381"/>
    </row>
    <row r="2257" spans="1:15">
      <c r="A2257" s="579" t="s">
        <v>4225</v>
      </c>
      <c r="B2257" s="580"/>
      <c r="C2257" s="580"/>
      <c r="D2257" s="580"/>
      <c r="E2257" s="580"/>
      <c r="F2257" s="580"/>
      <c r="G2257" s="580"/>
      <c r="H2257" s="581"/>
    </row>
    <row r="2258" spans="1:15" ht="16.5">
      <c r="A2258" s="91"/>
      <c r="B2258" s="92"/>
      <c r="C2258" s="92"/>
      <c r="D2258" s="92"/>
      <c r="E2258" s="92"/>
      <c r="F2258" s="93"/>
      <c r="G2258" s="94"/>
      <c r="H2258" s="380">
        <f>ROUND((25/60)/8,4)</f>
        <v>5.21E-2</v>
      </c>
      <c r="I2258" s="115"/>
    </row>
    <row r="2259" spans="1:15">
      <c r="A2259" s="582" t="s">
        <v>4220</v>
      </c>
      <c r="B2259" s="584" t="str">
        <f>COSTOS!$C$14</f>
        <v>MODERNIZACION A TECNOLOGIA LED</v>
      </c>
      <c r="C2259" s="584"/>
      <c r="D2259" s="584"/>
      <c r="E2259" s="584"/>
      <c r="F2259" s="584"/>
      <c r="G2259" s="584"/>
      <c r="H2259" s="585" t="s">
        <v>4221</v>
      </c>
    </row>
    <row r="2260" spans="1:15">
      <c r="A2260" s="583"/>
      <c r="B2260" s="584"/>
      <c r="C2260" s="584"/>
      <c r="D2260" s="584"/>
      <c r="E2260" s="584"/>
      <c r="F2260" s="584"/>
      <c r="G2260" s="584"/>
      <c r="H2260" s="585"/>
    </row>
    <row r="2261" spans="1:15">
      <c r="A2261" s="583"/>
      <c r="B2261" s="584"/>
      <c r="C2261" s="584"/>
      <c r="D2261" s="584"/>
      <c r="E2261" s="584"/>
      <c r="F2261" s="584"/>
      <c r="G2261" s="584"/>
      <c r="H2261" s="585"/>
    </row>
    <row r="2262" spans="1:15" ht="15" customHeight="1">
      <c r="A2262" s="583"/>
      <c r="B2262" s="584"/>
      <c r="C2262" s="584"/>
      <c r="D2262" s="584"/>
      <c r="E2262" s="584"/>
      <c r="F2262" s="584"/>
      <c r="G2262" s="584"/>
      <c r="H2262" s="216">
        <f ca="1">TODAY()</f>
        <v>44889</v>
      </c>
      <c r="K2262" t="s">
        <v>4391</v>
      </c>
      <c r="L2262" t="s">
        <v>4392</v>
      </c>
      <c r="M2262" t="s">
        <v>4393</v>
      </c>
      <c r="N2262" t="s">
        <v>4394</v>
      </c>
    </row>
    <row r="2263" spans="1:15" ht="60.75" customHeight="1">
      <c r="A2263" s="228" t="s">
        <v>4222</v>
      </c>
      <c r="B2263" s="565" t="str">
        <f>COSTOS!$D$16</f>
        <v>Luminarias</v>
      </c>
      <c r="C2263" s="565"/>
      <c r="D2263" s="565"/>
      <c r="E2263" s="565"/>
      <c r="F2263" s="565"/>
      <c r="G2263" s="70" t="s">
        <v>4223</v>
      </c>
      <c r="H2263" s="391">
        <v>1.45</v>
      </c>
      <c r="K2263" s="62">
        <f>H2288</f>
        <v>531846.57080833113</v>
      </c>
      <c r="L2263" s="62">
        <f>H2298</f>
        <v>18742.662399999997</v>
      </c>
      <c r="M2263" s="62">
        <f>H2271</f>
        <v>2377.1927500000002</v>
      </c>
      <c r="N2263" s="62">
        <f>H2292</f>
        <v>4800</v>
      </c>
    </row>
    <row r="2264" spans="1:15" ht="43.15" customHeight="1">
      <c r="A2264" s="229" t="s">
        <v>4224</v>
      </c>
      <c r="B2264" s="566" t="str">
        <f>VLOOKUP(H2263,COSTOS!C:M,2,0)</f>
        <v>Luminaria Metal Halide 70w</v>
      </c>
      <c r="C2264" s="567"/>
      <c r="D2264" s="567"/>
      <c r="E2264" s="568"/>
      <c r="F2264" s="71" t="s">
        <v>0</v>
      </c>
      <c r="G2264" s="356" t="str">
        <f>VLOOKUP(H2263,COSTOS!C:M,8,0)</f>
        <v>Und</v>
      </c>
      <c r="H2264" s="276"/>
      <c r="I2264" s="306"/>
      <c r="J2264" s="308"/>
      <c r="K2264" s="308"/>
      <c r="L2264" s="308"/>
    </row>
    <row r="2265" spans="1:15">
      <c r="A2265" s="230"/>
      <c r="B2265" s="112"/>
      <c r="C2265" s="112"/>
      <c r="D2265" s="112"/>
      <c r="E2265" s="113"/>
      <c r="F2265" s="114" t="s">
        <v>1</v>
      </c>
      <c r="G2265" s="356">
        <f>VLOOKUP(H2263,COSTOS!C:M,9,0)</f>
        <v>0</v>
      </c>
      <c r="H2265" s="357"/>
      <c r="I2265" s="307"/>
    </row>
    <row r="2266" spans="1:15" ht="16.5">
      <c r="A2266" s="231" t="s">
        <v>4226</v>
      </c>
      <c r="B2266" s="75"/>
      <c r="C2266" s="75"/>
      <c r="D2266" s="76"/>
      <c r="E2266" s="209"/>
      <c r="F2266" s="210"/>
      <c r="G2266" s="211" t="s">
        <v>4227</v>
      </c>
      <c r="H2266" s="217">
        <f>H2271+H2288+H2292+H2298</f>
        <v>557766.42595833121</v>
      </c>
    </row>
    <row r="2267" spans="1:15" ht="39">
      <c r="A2267" s="569" t="s">
        <v>4224</v>
      </c>
      <c r="B2267" s="569"/>
      <c r="C2267" s="569"/>
      <c r="D2267" s="77" t="s">
        <v>0</v>
      </c>
      <c r="E2267" s="207" t="s">
        <v>4228</v>
      </c>
      <c r="F2267" s="208" t="s">
        <v>4215</v>
      </c>
      <c r="G2267" s="74" t="s">
        <v>2</v>
      </c>
      <c r="H2267" s="218" t="s">
        <v>4229</v>
      </c>
      <c r="K2267" s="309"/>
    </row>
    <row r="2268" spans="1:15">
      <c r="A2268" s="536" t="s">
        <v>3946</v>
      </c>
      <c r="B2268" s="570" t="str">
        <f>VLOOKUP(A2268,'Equip, Herr y Transp'!$B$2:$D$739,2,0)</f>
        <v>EQU</v>
      </c>
      <c r="C2268" s="570"/>
      <c r="D2268" s="95" t="str">
        <f>VLOOKUP(A2268,'Equip, Herr y Transp'!$B$2:$D$218,2,0)</f>
        <v>EQU</v>
      </c>
      <c r="E2268" s="95">
        <f>VLOOKUP(A2268,'Equip, Herr y Transp'!$B$2:$D$218,3,0)</f>
        <v>14130</v>
      </c>
      <c r="F2268" s="96">
        <f>H2258</f>
        <v>5.21E-2</v>
      </c>
      <c r="G2268" s="122">
        <f>F2268*E2268</f>
        <v>736.173</v>
      </c>
      <c r="H2268" s="118"/>
    </row>
    <row r="2269" spans="1:15">
      <c r="A2269" s="536" t="s">
        <v>3937</v>
      </c>
      <c r="B2269" s="570" t="str">
        <f>VLOOKUP(A2269,'Equip, Herr y Transp'!$B$2:$D$739,2,0)</f>
        <v>EQU</v>
      </c>
      <c r="C2269" s="570"/>
      <c r="D2269" s="95" t="str">
        <f>VLOOKUP(A2269,'Equip, Herr y Transp'!$B$2:$D$218,2,0)</f>
        <v>EQU</v>
      </c>
      <c r="E2269" s="95">
        <f>VLOOKUP(A2269,'Equip, Herr y Transp'!$B$2:$D$218,3,0)</f>
        <v>23750</v>
      </c>
      <c r="F2269" s="96">
        <f>H2258</f>
        <v>5.21E-2</v>
      </c>
      <c r="G2269" s="122">
        <f>F2269*E2269</f>
        <v>1237.375</v>
      </c>
      <c r="H2269" s="117"/>
    </row>
    <row r="2270" spans="1:15">
      <c r="A2270" s="536" t="s">
        <v>3903</v>
      </c>
      <c r="B2270" s="570" t="str">
        <f>VLOOKUP(A2270,'Equip, Herr y Transp'!$B$2:$D$739,2,0)</f>
        <v>EQU</v>
      </c>
      <c r="C2270" s="570"/>
      <c r="D2270" s="95" t="str">
        <f>VLOOKUP(A2270,'Equip, Herr y Transp'!$B$2:$D$218,2,0)</f>
        <v>EQU</v>
      </c>
      <c r="E2270" s="95">
        <f>VLOOKUP(A2270,'Equip, Herr y Transp'!$B$2:$D$218,3,0)</f>
        <v>7747.5</v>
      </c>
      <c r="F2270" s="96">
        <f>H2258</f>
        <v>5.21E-2</v>
      </c>
      <c r="G2270" s="122">
        <f>F2270*E2270</f>
        <v>403.64474999999999</v>
      </c>
      <c r="H2270" s="117"/>
    </row>
    <row r="2271" spans="1:15" ht="16.5">
      <c r="A2271" s="540" t="s">
        <v>4100</v>
      </c>
      <c r="B2271" s="541"/>
      <c r="C2271" s="541"/>
      <c r="D2271" s="541"/>
      <c r="E2271" s="541"/>
      <c r="F2271" s="541"/>
      <c r="G2271" s="541"/>
      <c r="H2271" s="97">
        <f>SUM(G2268:G2270)</f>
        <v>2377.1927500000002</v>
      </c>
    </row>
    <row r="2272" spans="1:15" ht="16.5">
      <c r="A2272" s="571" t="s">
        <v>4230</v>
      </c>
      <c r="B2272" s="572"/>
      <c r="C2272" s="572"/>
      <c r="D2272" s="572"/>
      <c r="E2272" s="572"/>
      <c r="F2272" s="572"/>
      <c r="G2272" s="572"/>
      <c r="H2272" s="573"/>
      <c r="K2272" s="56"/>
      <c r="L2272" s="56"/>
      <c r="M2272" s="56"/>
      <c r="N2272" s="56"/>
      <c r="O2272" s="56"/>
    </row>
    <row r="2273" spans="1:15" ht="30" customHeight="1">
      <c r="A2273" s="574" t="s">
        <v>7</v>
      </c>
      <c r="B2273" s="575"/>
      <c r="C2273" s="109" t="s">
        <v>0</v>
      </c>
      <c r="D2273" s="110" t="s">
        <v>4098</v>
      </c>
      <c r="E2273" s="111" t="s">
        <v>1</v>
      </c>
      <c r="F2273" s="576" t="s">
        <v>4218</v>
      </c>
      <c r="G2273" s="576"/>
      <c r="H2273" s="215"/>
      <c r="K2273" s="56"/>
      <c r="L2273" s="56"/>
      <c r="M2273" s="56"/>
      <c r="N2273" s="56"/>
      <c r="O2273" s="56"/>
    </row>
    <row r="2274" spans="1:15">
      <c r="A2274" s="577" t="s">
        <v>4730</v>
      </c>
      <c r="B2274" s="578"/>
      <c r="C2274" s="98" t="str">
        <f>VLOOKUP(A2274,'Materiales '!$C$2:$F$1302,3,0)</f>
        <v>Und</v>
      </c>
      <c r="D2274" s="99">
        <f>VLOOKUP(A2274,'Materiales '!$C$2:$F$1302,4,0)</f>
        <v>306099.5248083311</v>
      </c>
      <c r="E2274" s="100">
        <v>1</v>
      </c>
      <c r="F2274" s="538">
        <f>E2274*D2274</f>
        <v>306099.5248083311</v>
      </c>
      <c r="G2274" s="539"/>
      <c r="H2274" s="121"/>
      <c r="I2274">
        <f>E2274*G2265</f>
        <v>0</v>
      </c>
      <c r="J2274" s="67"/>
      <c r="K2274" s="56"/>
      <c r="L2274" s="56"/>
      <c r="M2274" s="56"/>
      <c r="N2274" s="56"/>
      <c r="O2274" s="56"/>
    </row>
    <row r="2275" spans="1:15">
      <c r="A2275" s="577" t="s">
        <v>4214</v>
      </c>
      <c r="B2275" s="578"/>
      <c r="C2275" s="98" t="str">
        <f>VLOOKUP(A2275,'Materiales '!$C$2:$F$1302,3,0)</f>
        <v>Und</v>
      </c>
      <c r="D2275" s="99">
        <f>VLOOKUP(A2275,'Materiales '!$C$2:$F$1302,4,0)</f>
        <v>22848</v>
      </c>
      <c r="E2275" s="100">
        <v>1</v>
      </c>
      <c r="F2275" s="538">
        <f t="shared" ref="F2275:F2281" si="133">E2275*D2275</f>
        <v>22848</v>
      </c>
      <c r="G2275" s="539"/>
      <c r="H2275" s="121"/>
      <c r="I2275">
        <f>E2275*G2265</f>
        <v>0</v>
      </c>
      <c r="J2275" s="67"/>
      <c r="K2275" s="56"/>
      <c r="L2275" s="56"/>
      <c r="M2275" s="56"/>
      <c r="N2275" s="56"/>
      <c r="O2275" s="56"/>
    </row>
    <row r="2276" spans="1:15">
      <c r="A2276" s="536" t="s">
        <v>4484</v>
      </c>
      <c r="B2276" s="537" t="str">
        <f>VLOOKUP(A2276,'Materiales '!$C$2:$F$1302,3,0)</f>
        <v>Und</v>
      </c>
      <c r="C2276" s="98" t="str">
        <f>VLOOKUP(A2276,'Materiales '!$C$2:$F$1302,3,0)</f>
        <v>Und</v>
      </c>
      <c r="D2276" s="99">
        <f>VLOOKUP(A2276,'Materiales '!$C$2:$F$1302,4,0)</f>
        <v>21705.599999999999</v>
      </c>
      <c r="E2276" s="100">
        <v>2</v>
      </c>
      <c r="F2276" s="538">
        <f t="shared" si="133"/>
        <v>43411.199999999997</v>
      </c>
      <c r="G2276" s="539"/>
      <c r="H2276" s="121"/>
      <c r="I2276">
        <f>E2276*G2265</f>
        <v>0</v>
      </c>
      <c r="J2276" s="68"/>
      <c r="K2276" s="56"/>
      <c r="L2276" s="56"/>
      <c r="M2276" s="56"/>
      <c r="N2276" s="56"/>
      <c r="O2276" s="56"/>
    </row>
    <row r="2277" spans="1:15">
      <c r="A2277" s="536" t="s">
        <v>4489</v>
      </c>
      <c r="B2277" s="537" t="str">
        <f>VLOOKUP(A2277,'Materiales '!$C$2:$F$1302,3,0)</f>
        <v>Und</v>
      </c>
      <c r="C2277" s="98" t="str">
        <f>VLOOKUP(A2277,'Materiales '!$C$2:$F$1302,3,0)</f>
        <v>Und</v>
      </c>
      <c r="D2277" s="99">
        <f>VLOOKUP(A2277,'Materiales '!$C$2:$F$1302,4,0)</f>
        <v>8039.6399999999994</v>
      </c>
      <c r="E2277" s="100">
        <v>3</v>
      </c>
      <c r="F2277" s="538">
        <f t="shared" si="133"/>
        <v>24118.92</v>
      </c>
      <c r="G2277" s="539"/>
      <c r="H2277" s="121"/>
      <c r="I2277">
        <f>E2277*G2265</f>
        <v>0</v>
      </c>
      <c r="J2277" s="68"/>
      <c r="K2277" s="56"/>
      <c r="L2277" s="56"/>
      <c r="M2277" s="56"/>
      <c r="N2277" s="56"/>
      <c r="O2277" s="56"/>
    </row>
    <row r="2278" spans="1:15">
      <c r="A2278" s="536" t="s">
        <v>4554</v>
      </c>
      <c r="B2278" s="537" t="str">
        <f>VLOOKUP(A2278,'Materiales '!$C$2:$F$1302,3,0)</f>
        <v>Und</v>
      </c>
      <c r="C2278" s="98" t="str">
        <f>VLOOKUP(A2278,'Materiales '!$C$2:$F$1302,3,0)</f>
        <v>Und</v>
      </c>
      <c r="D2278" s="99">
        <f>VLOOKUP(A2278,'Materiales '!$C$2:$F$1302,4,0)</f>
        <v>2535.5329999999999</v>
      </c>
      <c r="E2278" s="100">
        <v>2</v>
      </c>
      <c r="F2278" s="538">
        <f t="shared" si="133"/>
        <v>5071.0659999999998</v>
      </c>
      <c r="G2278" s="539"/>
      <c r="H2278" s="121"/>
      <c r="I2278">
        <f>E2278*G2265</f>
        <v>0</v>
      </c>
      <c r="J2278" s="68"/>
      <c r="K2278" s="56"/>
      <c r="L2278" s="56"/>
      <c r="M2278" s="56"/>
      <c r="N2278" s="56"/>
      <c r="O2278" s="56"/>
    </row>
    <row r="2279" spans="1:15">
      <c r="A2279" s="536" t="s">
        <v>4450</v>
      </c>
      <c r="B2279" s="537" t="str">
        <f>VLOOKUP(A2279,'Materiales '!$C$2:$F$1302,3,0)</f>
        <v>Ml</v>
      </c>
      <c r="C2279" s="98" t="str">
        <f>VLOOKUP(A2279,'Materiales '!$C$2:$F$1302,3,0)</f>
        <v>Ml</v>
      </c>
      <c r="D2279" s="99">
        <f>VLOOKUP(A2279,'Materiales '!$C$2:$F$1302,4,0)</f>
        <v>6791.5679999999993</v>
      </c>
      <c r="E2279" s="100">
        <v>1</v>
      </c>
      <c r="F2279" s="538">
        <f t="shared" si="133"/>
        <v>6791.5679999999993</v>
      </c>
      <c r="G2279" s="539"/>
      <c r="H2279" s="121"/>
      <c r="I2279">
        <f>E2279*G2265</f>
        <v>0</v>
      </c>
      <c r="J2279" s="68"/>
      <c r="K2279" s="56"/>
      <c r="L2279" s="56"/>
      <c r="M2279" s="56"/>
      <c r="N2279" s="56"/>
      <c r="O2279" s="56"/>
    </row>
    <row r="2280" spans="1:15">
      <c r="A2280" s="536" t="s">
        <v>4493</v>
      </c>
      <c r="B2280" s="537" t="str">
        <f>VLOOKUP(A2280,'Materiales '!$C$2:$F$1302,3,0)</f>
        <v>Und</v>
      </c>
      <c r="C2280" s="98" t="str">
        <f>VLOOKUP(A2280,'Materiales '!$C$2:$F$1302,3,0)</f>
        <v>Und</v>
      </c>
      <c r="D2280" s="99">
        <f>VLOOKUP(A2280,'Materiales '!$C$2:$F$1302,4,0)</f>
        <v>232.76399999999998</v>
      </c>
      <c r="E2280" s="100">
        <v>3</v>
      </c>
      <c r="F2280" s="538">
        <f t="shared" si="133"/>
        <v>698.29199999999992</v>
      </c>
      <c r="G2280" s="539"/>
      <c r="H2280" s="121"/>
      <c r="I2280">
        <f>E2280*G2265</f>
        <v>0</v>
      </c>
      <c r="J2280" s="68"/>
      <c r="K2280" s="56"/>
      <c r="L2280" s="56"/>
      <c r="M2280" s="56"/>
      <c r="N2280" s="56"/>
      <c r="O2280" s="56"/>
    </row>
    <row r="2281" spans="1:15" ht="21.75" customHeight="1">
      <c r="A2281" s="536" t="s">
        <v>4435</v>
      </c>
      <c r="B2281" s="537" t="str">
        <f>VLOOKUP(A2281,'Materiales '!$C$2:$F$1302,3,0)</f>
        <v>Und</v>
      </c>
      <c r="C2281" s="98" t="str">
        <f>VLOOKUP(A2281,'Materiales '!$C$2:$F$1302,3,0)</f>
        <v>Und</v>
      </c>
      <c r="D2281" s="99">
        <f>VLOOKUP(A2281,'Materiales '!$C$2:$F$1302,4,0)</f>
        <v>122808</v>
      </c>
      <c r="E2281" s="100">
        <v>1</v>
      </c>
      <c r="F2281" s="538">
        <f t="shared" si="133"/>
        <v>122808</v>
      </c>
      <c r="G2281" s="539"/>
      <c r="H2281" s="121"/>
      <c r="I2281">
        <f>E2281*G2265</f>
        <v>0</v>
      </c>
      <c r="J2281" s="68"/>
      <c r="K2281" s="56"/>
      <c r="L2281" s="56"/>
      <c r="M2281" s="56"/>
      <c r="N2281" s="56"/>
      <c r="O2281" s="56"/>
    </row>
    <row r="2282" spans="1:15">
      <c r="A2282" s="536" t="s">
        <v>8</v>
      </c>
      <c r="B2282" s="537" t="str">
        <f>VLOOKUP(A2282,'Materiales '!$C$2:$F$1302,3,0)</f>
        <v>-</v>
      </c>
      <c r="C2282" s="98" t="str">
        <f>VLOOKUP(A2282,'Materiales '!$C$2:$F$1302,3,0)</f>
        <v>-</v>
      </c>
      <c r="D2282" s="99">
        <f>VLOOKUP(A2282,'Materiales '!$C$2:$F$1302,4,0)</f>
        <v>0</v>
      </c>
      <c r="E2282" s="100"/>
      <c r="F2282" s="538">
        <f>E2282*D2282</f>
        <v>0</v>
      </c>
      <c r="G2282" s="539"/>
      <c r="H2282" s="120"/>
      <c r="I2282">
        <f>E2282*G2265</f>
        <v>0</v>
      </c>
      <c r="J2282" s="68"/>
      <c r="K2282" s="56"/>
      <c r="L2282" s="56"/>
      <c r="M2282" s="56"/>
      <c r="N2282" s="56"/>
      <c r="O2282" s="56"/>
    </row>
    <row r="2283" spans="1:15">
      <c r="A2283" s="536" t="s">
        <v>8</v>
      </c>
      <c r="B2283" s="537" t="str">
        <f>VLOOKUP(A2283,'Materiales '!$C$2:$F$1302,3,0)</f>
        <v>-</v>
      </c>
      <c r="C2283" s="98" t="str">
        <f>VLOOKUP(A2283,'Materiales '!$C$2:$F$1302,3,0)</f>
        <v>-</v>
      </c>
      <c r="D2283" s="99">
        <f>VLOOKUP(A2283,'Materiales '!$C$2:$F$1302,4,0)</f>
        <v>0</v>
      </c>
      <c r="E2283" s="100"/>
      <c r="F2283" s="538">
        <f t="shared" ref="F2283:F2286" si="134">E2283*D2283</f>
        <v>0</v>
      </c>
      <c r="G2283" s="539"/>
      <c r="H2283" s="121"/>
      <c r="I2283">
        <f>E2283*G2265</f>
        <v>0</v>
      </c>
      <c r="J2283" s="68"/>
      <c r="K2283" s="56"/>
      <c r="L2283" s="56"/>
      <c r="M2283" s="56"/>
      <c r="N2283" s="56"/>
      <c r="O2283" s="56"/>
    </row>
    <row r="2284" spans="1:15">
      <c r="A2284" s="536" t="s">
        <v>8</v>
      </c>
      <c r="B2284" s="537" t="str">
        <f>VLOOKUP(A2284,'Materiales '!$C$2:$F$1302,3,0)</f>
        <v>-</v>
      </c>
      <c r="C2284" s="98" t="str">
        <f>VLOOKUP(A2284,'Materiales '!$C$2:$F$1302,3,0)</f>
        <v>-</v>
      </c>
      <c r="D2284" s="99">
        <f>VLOOKUP(A2284,'Materiales '!$C$2:$F$1302,4,0)</f>
        <v>0</v>
      </c>
      <c r="E2284" s="100"/>
      <c r="F2284" s="538">
        <f t="shared" si="134"/>
        <v>0</v>
      </c>
      <c r="G2284" s="539"/>
      <c r="H2284" s="121"/>
      <c r="I2284">
        <f>E2284*G2265</f>
        <v>0</v>
      </c>
      <c r="J2284" s="68"/>
      <c r="K2284" s="56"/>
      <c r="L2284" s="56"/>
      <c r="M2284" s="56"/>
      <c r="N2284" s="56"/>
      <c r="O2284" s="56"/>
    </row>
    <row r="2285" spans="1:15">
      <c r="A2285" s="536" t="s">
        <v>8</v>
      </c>
      <c r="B2285" s="537" t="str">
        <f>VLOOKUP(A2285,'Materiales '!$C$2:$F$1302,3,0)</f>
        <v>-</v>
      </c>
      <c r="C2285" s="98" t="str">
        <f>VLOOKUP(A2285,'Materiales '!$C$2:$F$1302,3,0)</f>
        <v>-</v>
      </c>
      <c r="D2285" s="99">
        <f>VLOOKUP(A2285,'Materiales '!$C$2:$F$1302,4,0)</f>
        <v>0</v>
      </c>
      <c r="E2285" s="100"/>
      <c r="F2285" s="538">
        <f t="shared" si="134"/>
        <v>0</v>
      </c>
      <c r="G2285" s="539"/>
      <c r="H2285" s="121"/>
      <c r="I2285">
        <f>E2285*G2265</f>
        <v>0</v>
      </c>
      <c r="J2285" s="68"/>
      <c r="K2285" s="56"/>
      <c r="L2285" s="56"/>
      <c r="M2285" s="56"/>
      <c r="N2285" s="56"/>
      <c r="O2285" s="56"/>
    </row>
    <row r="2286" spans="1:15">
      <c r="A2286" s="536" t="s">
        <v>8</v>
      </c>
      <c r="B2286" s="537" t="str">
        <f>VLOOKUP(A2286,'Materiales '!$C$2:$F$1302,3,0)</f>
        <v>-</v>
      </c>
      <c r="C2286" s="98" t="str">
        <f>VLOOKUP(A2286,'Materiales '!$C$2:$F$1302,3,0)</f>
        <v>-</v>
      </c>
      <c r="D2286" s="99">
        <f>VLOOKUP(A2286,'Materiales '!$C$2:$F$1302,4,0)</f>
        <v>0</v>
      </c>
      <c r="E2286" s="100"/>
      <c r="F2286" s="538">
        <f t="shared" si="134"/>
        <v>0</v>
      </c>
      <c r="G2286" s="539"/>
      <c r="H2286" s="121"/>
      <c r="I2286">
        <f>E2286*G2265</f>
        <v>0</v>
      </c>
      <c r="J2286" s="68"/>
      <c r="K2286" s="56"/>
      <c r="L2286" s="56"/>
      <c r="M2286" s="56"/>
      <c r="N2286" s="56"/>
      <c r="O2286" s="56"/>
    </row>
    <row r="2287" spans="1:15">
      <c r="A2287" s="536" t="s">
        <v>8</v>
      </c>
      <c r="B2287" s="537" t="str">
        <f>VLOOKUP(A2287,'Materiales '!$C$2:$F$1302,3,0)</f>
        <v>-</v>
      </c>
      <c r="C2287" s="98" t="str">
        <f>VLOOKUP(A2287,'Materiales '!$C$2:$F$1302,3,0)</f>
        <v>-</v>
      </c>
      <c r="D2287" s="99">
        <f>VLOOKUP(A2287,'Materiales '!$C$2:$F$1302,4,0)</f>
        <v>0</v>
      </c>
      <c r="E2287" s="100"/>
      <c r="F2287" s="538">
        <f>E2287*D2287</f>
        <v>0</v>
      </c>
      <c r="G2287" s="539"/>
      <c r="H2287" s="120"/>
      <c r="I2287">
        <f>E2287*G2265</f>
        <v>0</v>
      </c>
      <c r="J2287" s="68"/>
      <c r="K2287" s="56"/>
      <c r="L2287" s="56"/>
      <c r="M2287" s="56"/>
      <c r="N2287" s="56"/>
      <c r="O2287" s="56"/>
    </row>
    <row r="2288" spans="1:15" ht="16.5">
      <c r="A2288" s="540" t="s">
        <v>4099</v>
      </c>
      <c r="B2288" s="541"/>
      <c r="C2288" s="541"/>
      <c r="D2288" s="541"/>
      <c r="E2288" s="541"/>
      <c r="F2288" s="541"/>
      <c r="G2288" s="542"/>
      <c r="H2288" s="116">
        <f>SUM(F2274:F2287)</f>
        <v>531846.57080833113</v>
      </c>
      <c r="J2288" s="68"/>
      <c r="K2288" s="56"/>
      <c r="L2288" s="56"/>
      <c r="M2288" s="56"/>
      <c r="N2288" s="56"/>
      <c r="O2288" s="56"/>
    </row>
    <row r="2289" spans="1:15" ht="16.5">
      <c r="A2289" s="543" t="s">
        <v>4231</v>
      </c>
      <c r="B2289" s="544"/>
      <c r="C2289" s="544"/>
      <c r="D2289" s="544"/>
      <c r="E2289" s="545"/>
      <c r="F2289" s="544"/>
      <c r="G2289" s="544"/>
      <c r="H2289" s="546"/>
      <c r="J2289" s="68"/>
      <c r="K2289" s="56"/>
      <c r="L2289" s="56"/>
      <c r="M2289" s="56"/>
      <c r="N2289" s="56"/>
      <c r="O2289" s="56"/>
    </row>
    <row r="2290" spans="1:15">
      <c r="A2290" s="547" t="s">
        <v>7</v>
      </c>
      <c r="B2290" s="548"/>
      <c r="C2290" s="108" t="s">
        <v>4232</v>
      </c>
      <c r="D2290" s="107" t="s">
        <v>4233</v>
      </c>
      <c r="E2290" s="206" t="s">
        <v>4234</v>
      </c>
      <c r="F2290" s="549" t="s">
        <v>4218</v>
      </c>
      <c r="G2290" s="549"/>
      <c r="H2290" s="119"/>
      <c r="K2290" s="56"/>
      <c r="L2290" s="56"/>
      <c r="M2290" s="56"/>
      <c r="N2290" s="56"/>
      <c r="O2290" s="56"/>
    </row>
    <row r="2291" spans="1:15">
      <c r="A2291" s="550" t="s">
        <v>3928</v>
      </c>
      <c r="B2291" s="551"/>
      <c r="C2291" s="232">
        <v>1</v>
      </c>
      <c r="D2291" s="102">
        <v>0.03</v>
      </c>
      <c r="E2291" s="103">
        <f>VLOOKUP(A2291,'Equip, Herr y Transp'!$B$2:$D$218,3,0)</f>
        <v>160000</v>
      </c>
      <c r="F2291" s="552">
        <f>E2291*D2291*C2291</f>
        <v>4800</v>
      </c>
      <c r="G2291" s="553"/>
      <c r="H2291" s="117"/>
      <c r="M2291" s="56"/>
    </row>
    <row r="2292" spans="1:15" ht="16.5">
      <c r="A2292" s="554" t="s">
        <v>4216</v>
      </c>
      <c r="B2292" s="555"/>
      <c r="C2292" s="555"/>
      <c r="D2292" s="555"/>
      <c r="E2292" s="555"/>
      <c r="F2292" s="555"/>
      <c r="G2292" s="555"/>
      <c r="H2292" s="105">
        <f>F2291</f>
        <v>4800</v>
      </c>
    </row>
    <row r="2293" spans="1:15" ht="16.5">
      <c r="A2293" s="543" t="s">
        <v>4235</v>
      </c>
      <c r="B2293" s="544"/>
      <c r="C2293" s="544"/>
      <c r="D2293" s="544"/>
      <c r="E2293" s="544"/>
      <c r="F2293" s="544"/>
      <c r="G2293" s="544"/>
      <c r="H2293" s="546"/>
    </row>
    <row r="2294" spans="1:15">
      <c r="A2294" s="547" t="s">
        <v>7</v>
      </c>
      <c r="B2294" s="548"/>
      <c r="C2294" s="106" t="s">
        <v>1</v>
      </c>
      <c r="D2294" s="107" t="s">
        <v>4236</v>
      </c>
      <c r="E2294" s="108" t="s">
        <v>4215</v>
      </c>
      <c r="F2294" s="547" t="s">
        <v>5</v>
      </c>
      <c r="G2294" s="556"/>
      <c r="H2294" s="119"/>
    </row>
    <row r="2295" spans="1:15">
      <c r="A2295" s="550" t="s">
        <v>4196</v>
      </c>
      <c r="B2295" s="551"/>
      <c r="C2295" s="101">
        <v>1</v>
      </c>
      <c r="D2295" s="104">
        <f>VLOOKUP(A2295,'Mano Obra'!$B$2:$T$117,19,0)</f>
        <v>166624</v>
      </c>
      <c r="E2295" s="246">
        <f>H2258</f>
        <v>5.21E-2</v>
      </c>
      <c r="F2295" s="538">
        <f>E2295*D2295*C2295</f>
        <v>8681.1103999999996</v>
      </c>
      <c r="G2295" s="557"/>
      <c r="H2295" s="121"/>
      <c r="I2295" s="69"/>
      <c r="J2295" s="136">
        <f>((('Mano Obra'!$M$4/30)*F2295)/D2295)*G2265</f>
        <v>0</v>
      </c>
    </row>
    <row r="2296" spans="1:15">
      <c r="A2296" s="558" t="s">
        <v>4197</v>
      </c>
      <c r="B2296" s="559">
        <f>VLOOKUP(A2296,'Mano Obra'!$B$3:$D$290,2,0)</f>
        <v>2090000.0000000002</v>
      </c>
      <c r="C2296" s="101">
        <v>1</v>
      </c>
      <c r="D2296" s="104">
        <f>VLOOKUP(A2296,'Mano Obra'!$B$2:$T$117,19,0)</f>
        <v>120456</v>
      </c>
      <c r="E2296" s="246">
        <f>H2258</f>
        <v>5.21E-2</v>
      </c>
      <c r="F2296" s="538">
        <f t="shared" ref="F2296:F2297" si="135">E2296*D2296*C2296</f>
        <v>6275.7575999999999</v>
      </c>
      <c r="G2296" s="557"/>
      <c r="H2296" s="121"/>
      <c r="J2296" s="136">
        <f>((('Mano Obra'!$M$5/30)*F2296)/D2296)*G2265</f>
        <v>0</v>
      </c>
    </row>
    <row r="2297" spans="1:15">
      <c r="A2297" s="558" t="s">
        <v>4186</v>
      </c>
      <c r="B2297" s="559">
        <f>VLOOKUP(A2297,'Mano Obra'!$B$3:$D$290,2,0)</f>
        <v>1100000</v>
      </c>
      <c r="C2297" s="101">
        <v>1</v>
      </c>
      <c r="D2297" s="104">
        <f>VLOOKUP(A2297,'Mano Obra'!$B$2:$T$117,19,0)</f>
        <v>72664</v>
      </c>
      <c r="E2297" s="246">
        <f>H2258</f>
        <v>5.21E-2</v>
      </c>
      <c r="F2297" s="538">
        <f t="shared" si="135"/>
        <v>3785.7944000000002</v>
      </c>
      <c r="G2297" s="557"/>
      <c r="H2297" s="120"/>
      <c r="J2297" s="136">
        <f>((('Mano Obra'!$M$6/30)*F2297)/D2297)*G2265</f>
        <v>0</v>
      </c>
    </row>
    <row r="2298" spans="1:15" ht="16.5">
      <c r="A2298" s="560" t="s">
        <v>4101</v>
      </c>
      <c r="B2298" s="560"/>
      <c r="C2298" s="560"/>
      <c r="D2298" s="560"/>
      <c r="E2298" s="560"/>
      <c r="F2298" s="560"/>
      <c r="G2298" s="560"/>
      <c r="H2298" s="105">
        <f>SUM(F2295:F2297)</f>
        <v>18742.662399999997</v>
      </c>
      <c r="J2298" s="136"/>
    </row>
    <row r="2299" spans="1:15">
      <c r="A2299" s="227" t="s">
        <v>4237</v>
      </c>
      <c r="B2299" s="205"/>
      <c r="C2299" s="205"/>
      <c r="D2299" s="202"/>
      <c r="E2299" s="203"/>
      <c r="F2299" s="204"/>
      <c r="G2299" s="203"/>
      <c r="H2299" s="212"/>
    </row>
    <row r="2300" spans="1:15">
      <c r="A2300" s="561" t="s">
        <v>4224</v>
      </c>
      <c r="B2300" s="562"/>
      <c r="C2300" s="562"/>
      <c r="D2300" s="562"/>
      <c r="E2300" s="200"/>
      <c r="F2300" s="201" t="s">
        <v>4238</v>
      </c>
      <c r="G2300" s="200" t="s">
        <v>4239</v>
      </c>
      <c r="H2300" s="213"/>
    </row>
    <row r="2301" spans="1:15">
      <c r="A2301" s="223" t="s">
        <v>4097</v>
      </c>
      <c r="B2301" s="72"/>
      <c r="C2301" s="72"/>
      <c r="D2301" s="73"/>
      <c r="E2301" s="78"/>
      <c r="F2301" s="79">
        <v>0</v>
      </c>
      <c r="G2301" s="80">
        <f>F2301*H2266</f>
        <v>0</v>
      </c>
      <c r="H2301" s="212"/>
    </row>
    <row r="2302" spans="1:15">
      <c r="A2302" s="224" t="s">
        <v>4240</v>
      </c>
      <c r="B2302" s="81"/>
      <c r="C2302" s="81"/>
      <c r="D2302" s="82"/>
      <c r="E2302" s="78"/>
      <c r="F2302" s="79">
        <v>0</v>
      </c>
      <c r="G2302" s="80">
        <f>F2302*H2266</f>
        <v>0</v>
      </c>
      <c r="H2302" s="212"/>
    </row>
    <row r="2303" spans="1:15">
      <c r="A2303" s="224" t="s">
        <v>4</v>
      </c>
      <c r="B2303" s="81"/>
      <c r="C2303" s="81"/>
      <c r="D2303" s="82"/>
      <c r="E2303" s="78"/>
      <c r="F2303" s="79">
        <v>0</v>
      </c>
      <c r="G2303" s="80">
        <f>F2303*H2266</f>
        <v>0</v>
      </c>
      <c r="H2303" s="212"/>
    </row>
    <row r="2304" spans="1:15">
      <c r="A2304" s="225"/>
      <c r="B2304" s="83"/>
      <c r="C2304" s="75"/>
      <c r="D2304" s="84"/>
      <c r="E2304" s="85"/>
      <c r="F2304" s="86"/>
      <c r="G2304" s="87"/>
      <c r="H2304" s="214"/>
    </row>
    <row r="2305" spans="1:14">
      <c r="A2305" s="226"/>
      <c r="B2305" s="83"/>
      <c r="C2305" s="83"/>
      <c r="D2305" s="84"/>
      <c r="E2305" s="88"/>
      <c r="F2305" s="563" t="s">
        <v>4241</v>
      </c>
      <c r="G2305" s="564"/>
      <c r="H2305" s="233">
        <f>H2266+G2301+G2302+G2303</f>
        <v>557766.42595833121</v>
      </c>
    </row>
    <row r="2306" spans="1:14">
      <c r="A2306" s="83"/>
      <c r="B2306" s="83"/>
      <c r="C2306" s="83"/>
      <c r="D2306" s="84"/>
      <c r="E2306" s="388"/>
      <c r="F2306" s="389"/>
      <c r="G2306" s="389"/>
      <c r="H2306" s="390"/>
    </row>
    <row r="2307" spans="1:14" ht="16.5">
      <c r="A2307" s="90"/>
      <c r="B2307" s="90"/>
      <c r="C2307" s="90"/>
      <c r="D2307" s="90"/>
      <c r="E2307" s="90"/>
      <c r="F2307" s="90"/>
      <c r="G2307" s="90"/>
      <c r="H2307" s="381"/>
    </row>
    <row r="2308" spans="1:14">
      <c r="A2308" s="579" t="s">
        <v>4225</v>
      </c>
      <c r="B2308" s="580"/>
      <c r="C2308" s="580"/>
      <c r="D2308" s="580"/>
      <c r="E2308" s="580"/>
      <c r="F2308" s="580"/>
      <c r="G2308" s="580"/>
      <c r="H2308" s="581"/>
    </row>
    <row r="2309" spans="1:14" ht="16.5">
      <c r="A2309" s="91"/>
      <c r="B2309" s="92"/>
      <c r="C2309" s="92"/>
      <c r="D2309" s="92"/>
      <c r="E2309" s="92"/>
      <c r="F2309" s="93"/>
      <c r="G2309" s="94"/>
      <c r="H2309" s="380">
        <f>ROUND((25/60)/8,4)</f>
        <v>5.21E-2</v>
      </c>
      <c r="I2309" s="115"/>
    </row>
    <row r="2310" spans="1:14">
      <c r="A2310" s="582" t="s">
        <v>4220</v>
      </c>
      <c r="B2310" s="584" t="str">
        <f>COSTOS!$C$14</f>
        <v>MODERNIZACION A TECNOLOGIA LED</v>
      </c>
      <c r="C2310" s="584"/>
      <c r="D2310" s="584"/>
      <c r="E2310" s="584"/>
      <c r="F2310" s="584"/>
      <c r="G2310" s="584"/>
      <c r="H2310" s="585" t="s">
        <v>4221</v>
      </c>
    </row>
    <row r="2311" spans="1:14">
      <c r="A2311" s="583"/>
      <c r="B2311" s="584"/>
      <c r="C2311" s="584"/>
      <c r="D2311" s="584"/>
      <c r="E2311" s="584"/>
      <c r="F2311" s="584"/>
      <c r="G2311" s="584"/>
      <c r="H2311" s="585"/>
    </row>
    <row r="2312" spans="1:14">
      <c r="A2312" s="583"/>
      <c r="B2312" s="584"/>
      <c r="C2312" s="584"/>
      <c r="D2312" s="584"/>
      <c r="E2312" s="584"/>
      <c r="F2312" s="584"/>
      <c r="G2312" s="584"/>
      <c r="H2312" s="585"/>
    </row>
    <row r="2313" spans="1:14" ht="15" customHeight="1">
      <c r="A2313" s="583"/>
      <c r="B2313" s="584"/>
      <c r="C2313" s="584"/>
      <c r="D2313" s="584"/>
      <c r="E2313" s="584"/>
      <c r="F2313" s="584"/>
      <c r="G2313" s="584"/>
      <c r="H2313" s="216">
        <f ca="1">TODAY()</f>
        <v>44889</v>
      </c>
      <c r="K2313" t="s">
        <v>4391</v>
      </c>
      <c r="L2313" t="s">
        <v>4392</v>
      </c>
      <c r="M2313" t="s">
        <v>4393</v>
      </c>
      <c r="N2313" t="s">
        <v>4394</v>
      </c>
    </row>
    <row r="2314" spans="1:14" ht="60.75" customHeight="1">
      <c r="A2314" s="228" t="s">
        <v>4222</v>
      </c>
      <c r="B2314" s="565" t="str">
        <f>COSTOS!$D$16</f>
        <v>Luminarias</v>
      </c>
      <c r="C2314" s="565"/>
      <c r="D2314" s="565"/>
      <c r="E2314" s="565"/>
      <c r="F2314" s="565"/>
      <c r="G2314" s="70" t="s">
        <v>4223</v>
      </c>
      <c r="H2314" s="391">
        <v>1.46</v>
      </c>
      <c r="K2314" s="62">
        <f>H2339</f>
        <v>861620.70136135293</v>
      </c>
      <c r="L2314" s="62">
        <f>H2349</f>
        <v>18742.662399999997</v>
      </c>
      <c r="M2314" s="62">
        <f>H2322</f>
        <v>2377.1927500000002</v>
      </c>
      <c r="N2314" s="62">
        <f>H2343</f>
        <v>4800</v>
      </c>
    </row>
    <row r="2315" spans="1:14" ht="43.15" customHeight="1">
      <c r="A2315" s="229" t="s">
        <v>4224</v>
      </c>
      <c r="B2315" s="566" t="str">
        <f>VLOOKUP(H2314,COSTOS!C:M,2,0)</f>
        <v>Reflector Sodio 150w</v>
      </c>
      <c r="C2315" s="567"/>
      <c r="D2315" s="567"/>
      <c r="E2315" s="568"/>
      <c r="F2315" s="71" t="s">
        <v>0</v>
      </c>
      <c r="G2315" s="356" t="str">
        <f>VLOOKUP(H2314,COSTOS!C:M,8,0)</f>
        <v>Und</v>
      </c>
      <c r="H2315" s="276"/>
      <c r="I2315" s="306"/>
      <c r="J2315" s="308"/>
      <c r="K2315" s="308"/>
      <c r="L2315" s="308"/>
    </row>
    <row r="2316" spans="1:14">
      <c r="A2316" s="230"/>
      <c r="B2316" s="112"/>
      <c r="C2316" s="112"/>
      <c r="D2316" s="112"/>
      <c r="E2316" s="113"/>
      <c r="F2316" s="114" t="s">
        <v>1</v>
      </c>
      <c r="G2316" s="356">
        <f>VLOOKUP(H2314,COSTOS!C:M,9,0)</f>
        <v>0</v>
      </c>
      <c r="H2316" s="357"/>
      <c r="I2316" s="307"/>
    </row>
    <row r="2317" spans="1:14" ht="16.5">
      <c r="A2317" s="231" t="s">
        <v>4226</v>
      </c>
      <c r="B2317" s="75"/>
      <c r="C2317" s="75"/>
      <c r="D2317" s="76"/>
      <c r="E2317" s="209"/>
      <c r="F2317" s="210"/>
      <c r="G2317" s="211" t="s">
        <v>4227</v>
      </c>
      <c r="H2317" s="217">
        <f>H2322+H2339+H2343+H2349</f>
        <v>887540.556511353</v>
      </c>
    </row>
    <row r="2318" spans="1:14" ht="39">
      <c r="A2318" s="569" t="s">
        <v>4224</v>
      </c>
      <c r="B2318" s="569"/>
      <c r="C2318" s="569"/>
      <c r="D2318" s="77" t="s">
        <v>0</v>
      </c>
      <c r="E2318" s="207" t="s">
        <v>4228</v>
      </c>
      <c r="F2318" s="208" t="s">
        <v>4215</v>
      </c>
      <c r="G2318" s="74" t="s">
        <v>2</v>
      </c>
      <c r="H2318" s="218" t="s">
        <v>4229</v>
      </c>
      <c r="K2318" s="309"/>
    </row>
    <row r="2319" spans="1:14">
      <c r="A2319" s="536" t="s">
        <v>3946</v>
      </c>
      <c r="B2319" s="570" t="str">
        <f>VLOOKUP(A2319,'Equip, Herr y Transp'!$B$2:$D$739,2,0)</f>
        <v>EQU</v>
      </c>
      <c r="C2319" s="570"/>
      <c r="D2319" s="95" t="str">
        <f>VLOOKUP(A2319,'Equip, Herr y Transp'!$B$2:$D$218,2,0)</f>
        <v>EQU</v>
      </c>
      <c r="E2319" s="95">
        <f>VLOOKUP(A2319,'Equip, Herr y Transp'!$B$2:$D$218,3,0)</f>
        <v>14130</v>
      </c>
      <c r="F2319" s="96">
        <f>H2309</f>
        <v>5.21E-2</v>
      </c>
      <c r="G2319" s="122">
        <f>F2319*E2319</f>
        <v>736.173</v>
      </c>
      <c r="H2319" s="118"/>
    </row>
    <row r="2320" spans="1:14">
      <c r="A2320" s="536" t="s">
        <v>3937</v>
      </c>
      <c r="B2320" s="570" t="str">
        <f>VLOOKUP(A2320,'Equip, Herr y Transp'!$B$2:$D$739,2,0)</f>
        <v>EQU</v>
      </c>
      <c r="C2320" s="570"/>
      <c r="D2320" s="95" t="str">
        <f>VLOOKUP(A2320,'Equip, Herr y Transp'!$B$2:$D$218,2,0)</f>
        <v>EQU</v>
      </c>
      <c r="E2320" s="95">
        <f>VLOOKUP(A2320,'Equip, Herr y Transp'!$B$2:$D$218,3,0)</f>
        <v>23750</v>
      </c>
      <c r="F2320" s="96">
        <f>H2309</f>
        <v>5.21E-2</v>
      </c>
      <c r="G2320" s="122">
        <f>F2320*E2320</f>
        <v>1237.375</v>
      </c>
      <c r="H2320" s="117"/>
    </row>
    <row r="2321" spans="1:15">
      <c r="A2321" s="536" t="s">
        <v>3903</v>
      </c>
      <c r="B2321" s="570" t="str">
        <f>VLOOKUP(A2321,'Equip, Herr y Transp'!$B$2:$D$739,2,0)</f>
        <v>EQU</v>
      </c>
      <c r="C2321" s="570"/>
      <c r="D2321" s="95" t="str">
        <f>VLOOKUP(A2321,'Equip, Herr y Transp'!$B$2:$D$218,2,0)</f>
        <v>EQU</v>
      </c>
      <c r="E2321" s="95">
        <f>VLOOKUP(A2321,'Equip, Herr y Transp'!$B$2:$D$218,3,0)</f>
        <v>7747.5</v>
      </c>
      <c r="F2321" s="96">
        <f>H2309</f>
        <v>5.21E-2</v>
      </c>
      <c r="G2321" s="122">
        <f>F2321*E2321</f>
        <v>403.64474999999999</v>
      </c>
      <c r="H2321" s="117"/>
    </row>
    <row r="2322" spans="1:15" ht="16.5">
      <c r="A2322" s="540" t="s">
        <v>4100</v>
      </c>
      <c r="B2322" s="541"/>
      <c r="C2322" s="541"/>
      <c r="D2322" s="541"/>
      <c r="E2322" s="541"/>
      <c r="F2322" s="541"/>
      <c r="G2322" s="541"/>
      <c r="H2322" s="97">
        <f>SUM(G2319:G2321)</f>
        <v>2377.1927500000002</v>
      </c>
    </row>
    <row r="2323" spans="1:15" ht="16.5">
      <c r="A2323" s="571" t="s">
        <v>4230</v>
      </c>
      <c r="B2323" s="572"/>
      <c r="C2323" s="572"/>
      <c r="D2323" s="572"/>
      <c r="E2323" s="572"/>
      <c r="F2323" s="572"/>
      <c r="G2323" s="572"/>
      <c r="H2323" s="573"/>
      <c r="K2323" s="56"/>
      <c r="L2323" s="56"/>
      <c r="M2323" s="56"/>
      <c r="N2323" s="56"/>
      <c r="O2323" s="56"/>
    </row>
    <row r="2324" spans="1:15" ht="30" customHeight="1">
      <c r="A2324" s="574" t="s">
        <v>7</v>
      </c>
      <c r="B2324" s="575"/>
      <c r="C2324" s="109" t="s">
        <v>0</v>
      </c>
      <c r="D2324" s="110" t="s">
        <v>4098</v>
      </c>
      <c r="E2324" s="111" t="s">
        <v>1</v>
      </c>
      <c r="F2324" s="576" t="s">
        <v>4218</v>
      </c>
      <c r="G2324" s="576"/>
      <c r="H2324" s="215"/>
      <c r="K2324" s="56"/>
      <c r="L2324" s="56"/>
      <c r="M2324" s="56"/>
      <c r="N2324" s="56"/>
      <c r="O2324" s="56"/>
    </row>
    <row r="2325" spans="1:15">
      <c r="A2325" s="577" t="s">
        <v>4731</v>
      </c>
      <c r="B2325" s="578"/>
      <c r="C2325" s="98" t="str">
        <f>VLOOKUP(A2325,'Materiales '!$C$2:$F$1302,3,0)</f>
        <v>Und</v>
      </c>
      <c r="D2325" s="99">
        <f>VLOOKUP(A2325,'Materiales '!$C$2:$F$1302,4,0)</f>
        <v>659681.62836135295</v>
      </c>
      <c r="E2325" s="100">
        <v>1</v>
      </c>
      <c r="F2325" s="538">
        <f>E2325*D2325</f>
        <v>659681.62836135295</v>
      </c>
      <c r="G2325" s="539"/>
      <c r="H2325" s="121"/>
      <c r="I2325">
        <f>E2325*G2316</f>
        <v>0</v>
      </c>
      <c r="J2325" s="67"/>
      <c r="K2325" s="56"/>
      <c r="L2325" s="56"/>
      <c r="M2325" s="56"/>
      <c r="N2325" s="56"/>
      <c r="O2325" s="56"/>
    </row>
    <row r="2326" spans="1:15">
      <c r="A2326" s="577" t="s">
        <v>4214</v>
      </c>
      <c r="B2326" s="578"/>
      <c r="C2326" s="98" t="str">
        <f>VLOOKUP(A2326,'Materiales '!$C$2:$F$1302,3,0)</f>
        <v>Und</v>
      </c>
      <c r="D2326" s="99">
        <f>VLOOKUP(A2326,'Materiales '!$C$2:$F$1302,4,0)</f>
        <v>22848</v>
      </c>
      <c r="E2326" s="100">
        <v>1</v>
      </c>
      <c r="F2326" s="538">
        <f t="shared" ref="F2326:F2332" si="136">E2326*D2326</f>
        <v>22848</v>
      </c>
      <c r="G2326" s="539"/>
      <c r="H2326" s="121"/>
      <c r="I2326">
        <f>E2326*G2316</f>
        <v>0</v>
      </c>
      <c r="J2326" s="67"/>
      <c r="K2326" s="56"/>
      <c r="L2326" s="56"/>
      <c r="M2326" s="56"/>
      <c r="N2326" s="56"/>
      <c r="O2326" s="56"/>
    </row>
    <row r="2327" spans="1:15">
      <c r="A2327" s="536" t="s">
        <v>4484</v>
      </c>
      <c r="B2327" s="537" t="str">
        <f>VLOOKUP(A2327,'Materiales '!$C$2:$F$1302,3,0)</f>
        <v>Und</v>
      </c>
      <c r="C2327" s="98" t="str">
        <f>VLOOKUP(A2327,'Materiales '!$C$2:$F$1302,3,0)</f>
        <v>Und</v>
      </c>
      <c r="D2327" s="99">
        <f>VLOOKUP(A2327,'Materiales '!$C$2:$F$1302,4,0)</f>
        <v>21705.599999999999</v>
      </c>
      <c r="E2327" s="100">
        <v>2</v>
      </c>
      <c r="F2327" s="538">
        <f t="shared" si="136"/>
        <v>43411.199999999997</v>
      </c>
      <c r="G2327" s="539"/>
      <c r="H2327" s="121"/>
      <c r="I2327">
        <f>E2327*G2316</f>
        <v>0</v>
      </c>
      <c r="J2327" s="68"/>
      <c r="K2327" s="56"/>
      <c r="L2327" s="56"/>
      <c r="M2327" s="56"/>
      <c r="N2327" s="56"/>
      <c r="O2327" s="56"/>
    </row>
    <row r="2328" spans="1:15">
      <c r="A2328" s="536" t="s">
        <v>4489</v>
      </c>
      <c r="B2328" s="537" t="str">
        <f>VLOOKUP(A2328,'Materiales '!$C$2:$F$1302,3,0)</f>
        <v>Und</v>
      </c>
      <c r="C2328" s="98" t="str">
        <f>VLOOKUP(A2328,'Materiales '!$C$2:$F$1302,3,0)</f>
        <v>Und</v>
      </c>
      <c r="D2328" s="99">
        <f>VLOOKUP(A2328,'Materiales '!$C$2:$F$1302,4,0)</f>
        <v>8039.6399999999994</v>
      </c>
      <c r="E2328" s="100">
        <v>3</v>
      </c>
      <c r="F2328" s="538">
        <f t="shared" si="136"/>
        <v>24118.92</v>
      </c>
      <c r="G2328" s="539"/>
      <c r="H2328" s="121"/>
      <c r="I2328">
        <f>E2328*G2316</f>
        <v>0</v>
      </c>
      <c r="J2328" s="68"/>
      <c r="K2328" s="56"/>
      <c r="L2328" s="56"/>
      <c r="M2328" s="56"/>
      <c r="N2328" s="56"/>
      <c r="O2328" s="56"/>
    </row>
    <row r="2329" spans="1:15">
      <c r="A2329" s="536" t="s">
        <v>4554</v>
      </c>
      <c r="B2329" s="537" t="str">
        <f>VLOOKUP(A2329,'Materiales '!$C$2:$F$1302,3,0)</f>
        <v>Und</v>
      </c>
      <c r="C2329" s="98" t="str">
        <f>VLOOKUP(A2329,'Materiales '!$C$2:$F$1302,3,0)</f>
        <v>Und</v>
      </c>
      <c r="D2329" s="99">
        <f>VLOOKUP(A2329,'Materiales '!$C$2:$F$1302,4,0)</f>
        <v>2535.5329999999999</v>
      </c>
      <c r="E2329" s="100">
        <v>2</v>
      </c>
      <c r="F2329" s="538">
        <f t="shared" si="136"/>
        <v>5071.0659999999998</v>
      </c>
      <c r="G2329" s="539"/>
      <c r="H2329" s="121"/>
      <c r="I2329">
        <f>E2329*G2316</f>
        <v>0</v>
      </c>
      <c r="J2329" s="68"/>
      <c r="K2329" s="56"/>
      <c r="L2329" s="56"/>
      <c r="M2329" s="56"/>
      <c r="N2329" s="56"/>
      <c r="O2329" s="56"/>
    </row>
    <row r="2330" spans="1:15">
      <c r="A2330" s="536" t="s">
        <v>4450</v>
      </c>
      <c r="B2330" s="537" t="str">
        <f>VLOOKUP(A2330,'Materiales '!$C$2:$F$1302,3,0)</f>
        <v>Ml</v>
      </c>
      <c r="C2330" s="98" t="str">
        <f>VLOOKUP(A2330,'Materiales '!$C$2:$F$1302,3,0)</f>
        <v>Ml</v>
      </c>
      <c r="D2330" s="99">
        <f>VLOOKUP(A2330,'Materiales '!$C$2:$F$1302,4,0)</f>
        <v>6791.5679999999993</v>
      </c>
      <c r="E2330" s="100">
        <v>1</v>
      </c>
      <c r="F2330" s="538">
        <f t="shared" si="136"/>
        <v>6791.5679999999993</v>
      </c>
      <c r="G2330" s="539"/>
      <c r="H2330" s="121"/>
      <c r="I2330">
        <f>E2330*G2316</f>
        <v>0</v>
      </c>
      <c r="J2330" s="68"/>
      <c r="K2330" s="56"/>
      <c r="L2330" s="56"/>
      <c r="M2330" s="56"/>
      <c r="N2330" s="56"/>
      <c r="O2330" s="56"/>
    </row>
    <row r="2331" spans="1:15">
      <c r="A2331" s="536" t="s">
        <v>4493</v>
      </c>
      <c r="B2331" s="537" t="str">
        <f>VLOOKUP(A2331,'Materiales '!$C$2:$F$1302,3,0)</f>
        <v>Und</v>
      </c>
      <c r="C2331" s="98" t="str">
        <f>VLOOKUP(A2331,'Materiales '!$C$2:$F$1302,3,0)</f>
        <v>Und</v>
      </c>
      <c r="D2331" s="99">
        <f>VLOOKUP(A2331,'Materiales '!$C$2:$F$1302,4,0)</f>
        <v>232.76399999999998</v>
      </c>
      <c r="E2331" s="100">
        <v>3</v>
      </c>
      <c r="F2331" s="538">
        <f t="shared" si="136"/>
        <v>698.29199999999992</v>
      </c>
      <c r="G2331" s="539"/>
      <c r="H2331" s="121"/>
      <c r="I2331">
        <f>E2331*G2316</f>
        <v>0</v>
      </c>
      <c r="J2331" s="68"/>
      <c r="K2331" s="56"/>
      <c r="L2331" s="56"/>
      <c r="M2331" s="56"/>
      <c r="N2331" s="56"/>
      <c r="O2331" s="56"/>
    </row>
    <row r="2332" spans="1:15" ht="21.75" customHeight="1">
      <c r="A2332" s="536" t="s">
        <v>4499</v>
      </c>
      <c r="B2332" s="537" t="str">
        <f>VLOOKUP(A2332,'Materiales '!$C$2:$F$1302,3,0)</f>
        <v>Und</v>
      </c>
      <c r="C2332" s="98" t="str">
        <f>VLOOKUP(A2332,'Materiales '!$C$2:$F$1302,3,0)</f>
        <v>Und</v>
      </c>
      <c r="D2332" s="99">
        <f>VLOOKUP(A2332,'Materiales '!$C$2:$F$1302,4,0)</f>
        <v>198000.05399999997</v>
      </c>
      <c r="E2332" s="100">
        <v>0.5</v>
      </c>
      <c r="F2332" s="538">
        <f t="shared" si="136"/>
        <v>99000.026999999987</v>
      </c>
      <c r="G2332" s="539"/>
      <c r="H2332" s="121"/>
      <c r="I2332">
        <f>E2332*G2316</f>
        <v>0</v>
      </c>
      <c r="J2332" s="68"/>
      <c r="K2332" s="56"/>
      <c r="L2332" s="56"/>
      <c r="M2332" s="56"/>
      <c r="N2332" s="56"/>
      <c r="O2332" s="56"/>
    </row>
    <row r="2333" spans="1:15">
      <c r="A2333" s="536" t="s">
        <v>8</v>
      </c>
      <c r="B2333" s="537" t="str">
        <f>VLOOKUP(A2333,'Materiales '!$C$2:$F$1302,3,0)</f>
        <v>-</v>
      </c>
      <c r="C2333" s="98" t="str">
        <f>VLOOKUP(A2333,'Materiales '!$C$2:$F$1302,3,0)</f>
        <v>-</v>
      </c>
      <c r="D2333" s="99">
        <f>VLOOKUP(A2333,'Materiales '!$C$2:$F$1302,4,0)</f>
        <v>0</v>
      </c>
      <c r="E2333" s="100"/>
      <c r="F2333" s="538">
        <f>E2333*D2333</f>
        <v>0</v>
      </c>
      <c r="G2333" s="539"/>
      <c r="H2333" s="120"/>
      <c r="I2333">
        <f>E2333*G2316</f>
        <v>0</v>
      </c>
      <c r="J2333" s="68"/>
      <c r="K2333" s="56"/>
      <c r="L2333" s="56"/>
      <c r="M2333" s="56"/>
      <c r="N2333" s="56"/>
      <c r="O2333" s="56"/>
    </row>
    <row r="2334" spans="1:15">
      <c r="A2334" s="536" t="s">
        <v>8</v>
      </c>
      <c r="B2334" s="537" t="str">
        <f>VLOOKUP(A2334,'Materiales '!$C$2:$F$1302,3,0)</f>
        <v>-</v>
      </c>
      <c r="C2334" s="98" t="str">
        <f>VLOOKUP(A2334,'Materiales '!$C$2:$F$1302,3,0)</f>
        <v>-</v>
      </c>
      <c r="D2334" s="99">
        <f>VLOOKUP(A2334,'Materiales '!$C$2:$F$1302,4,0)</f>
        <v>0</v>
      </c>
      <c r="E2334" s="100"/>
      <c r="F2334" s="538">
        <f t="shared" ref="F2334:F2337" si="137">E2334*D2334</f>
        <v>0</v>
      </c>
      <c r="G2334" s="539"/>
      <c r="H2334" s="121"/>
      <c r="I2334">
        <f>E2334*G2316</f>
        <v>0</v>
      </c>
      <c r="J2334" s="68"/>
      <c r="K2334" s="56"/>
      <c r="L2334" s="56"/>
      <c r="M2334" s="56"/>
      <c r="N2334" s="56"/>
      <c r="O2334" s="56"/>
    </row>
    <row r="2335" spans="1:15">
      <c r="A2335" s="536" t="s">
        <v>8</v>
      </c>
      <c r="B2335" s="537" t="str">
        <f>VLOOKUP(A2335,'Materiales '!$C$2:$F$1302,3,0)</f>
        <v>-</v>
      </c>
      <c r="C2335" s="98" t="str">
        <f>VLOOKUP(A2335,'Materiales '!$C$2:$F$1302,3,0)</f>
        <v>-</v>
      </c>
      <c r="D2335" s="99">
        <f>VLOOKUP(A2335,'Materiales '!$C$2:$F$1302,4,0)</f>
        <v>0</v>
      </c>
      <c r="E2335" s="100"/>
      <c r="F2335" s="538">
        <f t="shared" si="137"/>
        <v>0</v>
      </c>
      <c r="G2335" s="539"/>
      <c r="H2335" s="121"/>
      <c r="I2335">
        <f>E2335*G2316</f>
        <v>0</v>
      </c>
      <c r="J2335" s="68"/>
      <c r="K2335" s="56"/>
      <c r="L2335" s="56"/>
      <c r="M2335" s="56"/>
      <c r="N2335" s="56"/>
      <c r="O2335" s="56"/>
    </row>
    <row r="2336" spans="1:15">
      <c r="A2336" s="536" t="s">
        <v>8</v>
      </c>
      <c r="B2336" s="537" t="str">
        <f>VLOOKUP(A2336,'Materiales '!$C$2:$F$1302,3,0)</f>
        <v>-</v>
      </c>
      <c r="C2336" s="98" t="str">
        <f>VLOOKUP(A2336,'Materiales '!$C$2:$F$1302,3,0)</f>
        <v>-</v>
      </c>
      <c r="D2336" s="99">
        <f>VLOOKUP(A2336,'Materiales '!$C$2:$F$1302,4,0)</f>
        <v>0</v>
      </c>
      <c r="E2336" s="100"/>
      <c r="F2336" s="538">
        <f t="shared" si="137"/>
        <v>0</v>
      </c>
      <c r="G2336" s="539"/>
      <c r="H2336" s="121"/>
      <c r="I2336">
        <f>E2336*G2316</f>
        <v>0</v>
      </c>
      <c r="J2336" s="68"/>
      <c r="K2336" s="56"/>
      <c r="L2336" s="56"/>
      <c r="M2336" s="56"/>
      <c r="N2336" s="56"/>
      <c r="O2336" s="56"/>
    </row>
    <row r="2337" spans="1:15">
      <c r="A2337" s="536" t="s">
        <v>8</v>
      </c>
      <c r="B2337" s="537" t="str">
        <f>VLOOKUP(A2337,'Materiales '!$C$2:$F$1302,3,0)</f>
        <v>-</v>
      </c>
      <c r="C2337" s="98" t="str">
        <f>VLOOKUP(A2337,'Materiales '!$C$2:$F$1302,3,0)</f>
        <v>-</v>
      </c>
      <c r="D2337" s="99">
        <f>VLOOKUP(A2337,'Materiales '!$C$2:$F$1302,4,0)</f>
        <v>0</v>
      </c>
      <c r="E2337" s="100"/>
      <c r="F2337" s="538">
        <f t="shared" si="137"/>
        <v>0</v>
      </c>
      <c r="G2337" s="539"/>
      <c r="H2337" s="121"/>
      <c r="I2337">
        <f>E2337*G2316</f>
        <v>0</v>
      </c>
      <c r="J2337" s="68"/>
      <c r="K2337" s="56"/>
      <c r="L2337" s="56"/>
      <c r="M2337" s="56"/>
      <c r="N2337" s="56"/>
      <c r="O2337" s="56"/>
    </row>
    <row r="2338" spans="1:15">
      <c r="A2338" s="536" t="s">
        <v>8</v>
      </c>
      <c r="B2338" s="537" t="str">
        <f>VLOOKUP(A2338,'Materiales '!$C$2:$F$1302,3,0)</f>
        <v>-</v>
      </c>
      <c r="C2338" s="98" t="str">
        <f>VLOOKUP(A2338,'Materiales '!$C$2:$F$1302,3,0)</f>
        <v>-</v>
      </c>
      <c r="D2338" s="99">
        <f>VLOOKUP(A2338,'Materiales '!$C$2:$F$1302,4,0)</f>
        <v>0</v>
      </c>
      <c r="E2338" s="100"/>
      <c r="F2338" s="538">
        <f>E2338*D2338</f>
        <v>0</v>
      </c>
      <c r="G2338" s="539"/>
      <c r="H2338" s="120"/>
      <c r="I2338">
        <f>E2338*G2316</f>
        <v>0</v>
      </c>
      <c r="J2338" s="68"/>
      <c r="K2338" s="56"/>
      <c r="L2338" s="56"/>
      <c r="M2338" s="56"/>
      <c r="N2338" s="56"/>
      <c r="O2338" s="56"/>
    </row>
    <row r="2339" spans="1:15" ht="16.5">
      <c r="A2339" s="540" t="s">
        <v>4099</v>
      </c>
      <c r="B2339" s="541"/>
      <c r="C2339" s="541"/>
      <c r="D2339" s="541"/>
      <c r="E2339" s="541"/>
      <c r="F2339" s="541"/>
      <c r="G2339" s="542"/>
      <c r="H2339" s="116">
        <f>SUM(F2325:F2338)</f>
        <v>861620.70136135293</v>
      </c>
      <c r="J2339" s="68"/>
      <c r="K2339" s="56"/>
      <c r="L2339" s="56"/>
      <c r="M2339" s="56"/>
      <c r="N2339" s="56"/>
      <c r="O2339" s="56"/>
    </row>
    <row r="2340" spans="1:15" ht="16.5">
      <c r="A2340" s="543" t="s">
        <v>4231</v>
      </c>
      <c r="B2340" s="544"/>
      <c r="C2340" s="544"/>
      <c r="D2340" s="544"/>
      <c r="E2340" s="545"/>
      <c r="F2340" s="544"/>
      <c r="G2340" s="544"/>
      <c r="H2340" s="546"/>
      <c r="J2340" s="68"/>
      <c r="K2340" s="56"/>
      <c r="L2340" s="56"/>
      <c r="M2340" s="56"/>
      <c r="N2340" s="56"/>
      <c r="O2340" s="56"/>
    </row>
    <row r="2341" spans="1:15">
      <c r="A2341" s="547" t="s">
        <v>7</v>
      </c>
      <c r="B2341" s="548"/>
      <c r="C2341" s="108" t="s">
        <v>4232</v>
      </c>
      <c r="D2341" s="107" t="s">
        <v>4233</v>
      </c>
      <c r="E2341" s="206" t="s">
        <v>4234</v>
      </c>
      <c r="F2341" s="549" t="s">
        <v>4218</v>
      </c>
      <c r="G2341" s="549"/>
      <c r="H2341" s="119"/>
      <c r="K2341" s="56"/>
      <c r="L2341" s="56"/>
      <c r="M2341" s="56"/>
      <c r="N2341" s="56"/>
      <c r="O2341" s="56"/>
    </row>
    <row r="2342" spans="1:15">
      <c r="A2342" s="550" t="s">
        <v>3928</v>
      </c>
      <c r="B2342" s="551"/>
      <c r="C2342" s="232">
        <v>1</v>
      </c>
      <c r="D2342" s="102">
        <v>0.03</v>
      </c>
      <c r="E2342" s="103">
        <f>VLOOKUP(A2342,'Equip, Herr y Transp'!$B$2:$D$218,3,0)</f>
        <v>160000</v>
      </c>
      <c r="F2342" s="552">
        <f>E2342*D2342*C2342</f>
        <v>4800</v>
      </c>
      <c r="G2342" s="553"/>
      <c r="H2342" s="117"/>
      <c r="M2342" s="56"/>
    </row>
    <row r="2343" spans="1:15" ht="16.5">
      <c r="A2343" s="554" t="s">
        <v>4216</v>
      </c>
      <c r="B2343" s="555"/>
      <c r="C2343" s="555"/>
      <c r="D2343" s="555"/>
      <c r="E2343" s="555"/>
      <c r="F2343" s="555"/>
      <c r="G2343" s="555"/>
      <c r="H2343" s="105">
        <f>F2342</f>
        <v>4800</v>
      </c>
    </row>
    <row r="2344" spans="1:15" ht="16.5">
      <c r="A2344" s="543" t="s">
        <v>4235</v>
      </c>
      <c r="B2344" s="544"/>
      <c r="C2344" s="544"/>
      <c r="D2344" s="544"/>
      <c r="E2344" s="544"/>
      <c r="F2344" s="544"/>
      <c r="G2344" s="544"/>
      <c r="H2344" s="546"/>
    </row>
    <row r="2345" spans="1:15">
      <c r="A2345" s="547" t="s">
        <v>7</v>
      </c>
      <c r="B2345" s="548"/>
      <c r="C2345" s="106" t="s">
        <v>1</v>
      </c>
      <c r="D2345" s="107" t="s">
        <v>4236</v>
      </c>
      <c r="E2345" s="108" t="s">
        <v>4215</v>
      </c>
      <c r="F2345" s="547" t="s">
        <v>5</v>
      </c>
      <c r="G2345" s="556"/>
      <c r="H2345" s="119"/>
    </row>
    <row r="2346" spans="1:15">
      <c r="A2346" s="550" t="s">
        <v>4196</v>
      </c>
      <c r="B2346" s="551"/>
      <c r="C2346" s="101">
        <v>1</v>
      </c>
      <c r="D2346" s="104">
        <f>VLOOKUP(A2346,'Mano Obra'!$B$2:$T$117,19,0)</f>
        <v>166624</v>
      </c>
      <c r="E2346" s="246">
        <f>H2309</f>
        <v>5.21E-2</v>
      </c>
      <c r="F2346" s="538">
        <f>E2346*D2346*C2346</f>
        <v>8681.1103999999996</v>
      </c>
      <c r="G2346" s="557"/>
      <c r="H2346" s="121"/>
      <c r="I2346" s="69"/>
      <c r="J2346" s="136">
        <f>((('Mano Obra'!$M$4/30)*F2346)/D2346)*G2316</f>
        <v>0</v>
      </c>
    </row>
    <row r="2347" spans="1:15">
      <c r="A2347" s="558" t="s">
        <v>4197</v>
      </c>
      <c r="B2347" s="559">
        <f>VLOOKUP(A2347,'Mano Obra'!$B$3:$D$290,2,0)</f>
        <v>2090000.0000000002</v>
      </c>
      <c r="C2347" s="101">
        <v>1</v>
      </c>
      <c r="D2347" s="104">
        <f>VLOOKUP(A2347,'Mano Obra'!$B$2:$T$117,19,0)</f>
        <v>120456</v>
      </c>
      <c r="E2347" s="246">
        <f>H2309</f>
        <v>5.21E-2</v>
      </c>
      <c r="F2347" s="538">
        <f t="shared" ref="F2347:F2348" si="138">E2347*D2347*C2347</f>
        <v>6275.7575999999999</v>
      </c>
      <c r="G2347" s="557"/>
      <c r="H2347" s="121"/>
      <c r="J2347" s="136">
        <f>((('Mano Obra'!$M$5/30)*F2347)/D2347)*G2316</f>
        <v>0</v>
      </c>
    </row>
    <row r="2348" spans="1:15">
      <c r="A2348" s="558" t="s">
        <v>4186</v>
      </c>
      <c r="B2348" s="559">
        <f>VLOOKUP(A2348,'Mano Obra'!$B$3:$D$290,2,0)</f>
        <v>1100000</v>
      </c>
      <c r="C2348" s="101">
        <v>1</v>
      </c>
      <c r="D2348" s="104">
        <f>VLOOKUP(A2348,'Mano Obra'!$B$2:$T$117,19,0)</f>
        <v>72664</v>
      </c>
      <c r="E2348" s="246">
        <f>H2309</f>
        <v>5.21E-2</v>
      </c>
      <c r="F2348" s="538">
        <f t="shared" si="138"/>
        <v>3785.7944000000002</v>
      </c>
      <c r="G2348" s="557"/>
      <c r="H2348" s="120"/>
      <c r="J2348" s="136">
        <f>((('Mano Obra'!$M$6/30)*F2348)/D2348)*G2316</f>
        <v>0</v>
      </c>
    </row>
    <row r="2349" spans="1:15" ht="16.5">
      <c r="A2349" s="560" t="s">
        <v>4101</v>
      </c>
      <c r="B2349" s="560"/>
      <c r="C2349" s="560"/>
      <c r="D2349" s="560"/>
      <c r="E2349" s="560"/>
      <c r="F2349" s="560"/>
      <c r="G2349" s="560"/>
      <c r="H2349" s="105">
        <f>SUM(F2346:F2348)</f>
        <v>18742.662399999997</v>
      </c>
      <c r="J2349" s="136"/>
    </row>
    <row r="2350" spans="1:15">
      <c r="A2350" s="227" t="s">
        <v>4237</v>
      </c>
      <c r="B2350" s="205"/>
      <c r="C2350" s="205"/>
      <c r="D2350" s="202"/>
      <c r="E2350" s="203"/>
      <c r="F2350" s="204"/>
      <c r="G2350" s="203"/>
      <c r="H2350" s="212"/>
    </row>
    <row r="2351" spans="1:15">
      <c r="A2351" s="561" t="s">
        <v>4224</v>
      </c>
      <c r="B2351" s="562"/>
      <c r="C2351" s="562"/>
      <c r="D2351" s="562"/>
      <c r="E2351" s="200"/>
      <c r="F2351" s="201" t="s">
        <v>4238</v>
      </c>
      <c r="G2351" s="200" t="s">
        <v>4239</v>
      </c>
      <c r="H2351" s="213"/>
    </row>
    <row r="2352" spans="1:15">
      <c r="A2352" s="223" t="s">
        <v>4097</v>
      </c>
      <c r="B2352" s="72"/>
      <c r="C2352" s="72"/>
      <c r="D2352" s="73"/>
      <c r="E2352" s="78"/>
      <c r="F2352" s="79">
        <v>0</v>
      </c>
      <c r="G2352" s="80">
        <f>F2352*H2317</f>
        <v>0</v>
      </c>
      <c r="H2352" s="212"/>
    </row>
    <row r="2353" spans="1:14">
      <c r="A2353" s="224" t="s">
        <v>4240</v>
      </c>
      <c r="B2353" s="81"/>
      <c r="C2353" s="81"/>
      <c r="D2353" s="82"/>
      <c r="E2353" s="78"/>
      <c r="F2353" s="79">
        <v>0</v>
      </c>
      <c r="G2353" s="80">
        <f>F2353*H2317</f>
        <v>0</v>
      </c>
      <c r="H2353" s="212"/>
    </row>
    <row r="2354" spans="1:14">
      <c r="A2354" s="224" t="s">
        <v>4</v>
      </c>
      <c r="B2354" s="81"/>
      <c r="C2354" s="81"/>
      <c r="D2354" s="82"/>
      <c r="E2354" s="78"/>
      <c r="F2354" s="79">
        <v>0</v>
      </c>
      <c r="G2354" s="80">
        <f>F2354*H2317</f>
        <v>0</v>
      </c>
      <c r="H2354" s="212"/>
    </row>
    <row r="2355" spans="1:14">
      <c r="A2355" s="225"/>
      <c r="B2355" s="83"/>
      <c r="C2355" s="75"/>
      <c r="D2355" s="84"/>
      <c r="E2355" s="85"/>
      <c r="F2355" s="86"/>
      <c r="G2355" s="87"/>
      <c r="H2355" s="214"/>
    </row>
    <row r="2356" spans="1:14">
      <c r="A2356" s="226"/>
      <c r="B2356" s="83"/>
      <c r="C2356" s="83"/>
      <c r="D2356" s="84"/>
      <c r="E2356" s="88"/>
      <c r="F2356" s="563" t="s">
        <v>4241</v>
      </c>
      <c r="G2356" s="564"/>
      <c r="H2356" s="233">
        <f>H2317+G2352+G2353+G2354</f>
        <v>887540.556511353</v>
      </c>
    </row>
    <row r="2357" spans="1:14">
      <c r="A2357" s="83"/>
      <c r="B2357" s="83"/>
      <c r="C2357" s="83"/>
      <c r="D2357" s="84"/>
      <c r="E2357" s="388"/>
      <c r="F2357" s="389"/>
      <c r="G2357" s="389"/>
      <c r="H2357" s="390"/>
    </row>
    <row r="2358" spans="1:14" ht="16.5">
      <c r="A2358" s="90"/>
      <c r="B2358" s="90"/>
      <c r="C2358" s="90"/>
      <c r="D2358" s="90"/>
      <c r="E2358" s="90"/>
      <c r="F2358" s="90"/>
      <c r="G2358" s="90"/>
      <c r="H2358" s="381"/>
    </row>
    <row r="2359" spans="1:14">
      <c r="A2359" s="579" t="s">
        <v>4225</v>
      </c>
      <c r="B2359" s="580"/>
      <c r="C2359" s="580"/>
      <c r="D2359" s="580"/>
      <c r="E2359" s="580"/>
      <c r="F2359" s="580"/>
      <c r="G2359" s="580"/>
      <c r="H2359" s="581"/>
    </row>
    <row r="2360" spans="1:14" ht="16.5">
      <c r="A2360" s="91"/>
      <c r="B2360" s="92"/>
      <c r="C2360" s="92"/>
      <c r="D2360" s="92"/>
      <c r="E2360" s="92"/>
      <c r="F2360" s="93"/>
      <c r="G2360" s="94"/>
      <c r="H2360" s="380">
        <f>ROUND((25/60)/8,4)</f>
        <v>5.21E-2</v>
      </c>
      <c r="I2360" s="115"/>
    </row>
    <row r="2361" spans="1:14">
      <c r="A2361" s="582" t="s">
        <v>4220</v>
      </c>
      <c r="B2361" s="584" t="str">
        <f>COSTOS!$C$14</f>
        <v>MODERNIZACION A TECNOLOGIA LED</v>
      </c>
      <c r="C2361" s="584"/>
      <c r="D2361" s="584"/>
      <c r="E2361" s="584"/>
      <c r="F2361" s="584"/>
      <c r="G2361" s="584"/>
      <c r="H2361" s="585" t="s">
        <v>4221</v>
      </c>
    </row>
    <row r="2362" spans="1:14">
      <c r="A2362" s="583"/>
      <c r="B2362" s="584"/>
      <c r="C2362" s="584"/>
      <c r="D2362" s="584"/>
      <c r="E2362" s="584"/>
      <c r="F2362" s="584"/>
      <c r="G2362" s="584"/>
      <c r="H2362" s="585"/>
    </row>
    <row r="2363" spans="1:14">
      <c r="A2363" s="583"/>
      <c r="B2363" s="584"/>
      <c r="C2363" s="584"/>
      <c r="D2363" s="584"/>
      <c r="E2363" s="584"/>
      <c r="F2363" s="584"/>
      <c r="G2363" s="584"/>
      <c r="H2363" s="585"/>
    </row>
    <row r="2364" spans="1:14" ht="15" customHeight="1">
      <c r="A2364" s="583"/>
      <c r="B2364" s="584"/>
      <c r="C2364" s="584"/>
      <c r="D2364" s="584"/>
      <c r="E2364" s="584"/>
      <c r="F2364" s="584"/>
      <c r="G2364" s="584"/>
      <c r="H2364" s="216">
        <f ca="1">TODAY()</f>
        <v>44889</v>
      </c>
      <c r="K2364" t="s">
        <v>4391</v>
      </c>
      <c r="L2364" t="s">
        <v>4392</v>
      </c>
      <c r="M2364" t="s">
        <v>4393</v>
      </c>
      <c r="N2364" t="s">
        <v>4394</v>
      </c>
    </row>
    <row r="2365" spans="1:14" ht="60.75" customHeight="1">
      <c r="A2365" s="228" t="s">
        <v>4222</v>
      </c>
      <c r="B2365" s="565" t="str">
        <f>COSTOS!$D$16</f>
        <v>Luminarias</v>
      </c>
      <c r="C2365" s="565"/>
      <c r="D2365" s="565"/>
      <c r="E2365" s="565"/>
      <c r="F2365" s="565"/>
      <c r="G2365" s="70" t="s">
        <v>4223</v>
      </c>
      <c r="H2365" s="391">
        <v>1.47</v>
      </c>
      <c r="K2365" s="62">
        <f>H2390</f>
        <v>952236.30965274759</v>
      </c>
      <c r="L2365" s="62">
        <f>H2400</f>
        <v>18742.662399999997</v>
      </c>
      <c r="M2365" s="62">
        <f>H2373</f>
        <v>2377.1927500000002</v>
      </c>
      <c r="N2365" s="62">
        <f>H2394</f>
        <v>4800</v>
      </c>
    </row>
    <row r="2366" spans="1:14" ht="43.15" customHeight="1">
      <c r="A2366" s="229" t="s">
        <v>4224</v>
      </c>
      <c r="B2366" s="566" t="str">
        <f>VLOOKUP(H2365,COSTOS!C:M,2,0)</f>
        <v>Reflector Sodio 400w</v>
      </c>
      <c r="C2366" s="567"/>
      <c r="D2366" s="567"/>
      <c r="E2366" s="568"/>
      <c r="F2366" s="71" t="s">
        <v>0</v>
      </c>
      <c r="G2366" s="356" t="str">
        <f>VLOOKUP(H2365,COSTOS!C:M,8,0)</f>
        <v>Und</v>
      </c>
      <c r="H2366" s="276"/>
      <c r="I2366" s="306"/>
      <c r="J2366" s="308"/>
      <c r="K2366" s="308"/>
      <c r="L2366" s="308"/>
    </row>
    <row r="2367" spans="1:14">
      <c r="A2367" s="230"/>
      <c r="B2367" s="112"/>
      <c r="C2367" s="112"/>
      <c r="D2367" s="112"/>
      <c r="E2367" s="113"/>
      <c r="F2367" s="114" t="s">
        <v>1</v>
      </c>
      <c r="G2367" s="356">
        <f>VLOOKUP(H2365,COSTOS!C:M,9,0)</f>
        <v>0</v>
      </c>
      <c r="H2367" s="357"/>
      <c r="I2367" s="307"/>
    </row>
    <row r="2368" spans="1:14" ht="16.5">
      <c r="A2368" s="231" t="s">
        <v>4226</v>
      </c>
      <c r="B2368" s="75"/>
      <c r="C2368" s="75"/>
      <c r="D2368" s="76"/>
      <c r="E2368" s="209"/>
      <c r="F2368" s="210"/>
      <c r="G2368" s="211" t="s">
        <v>4227</v>
      </c>
      <c r="H2368" s="217">
        <f>H2373+H2390+H2394+H2400</f>
        <v>978156.16480274766</v>
      </c>
    </row>
    <row r="2369" spans="1:15" ht="39">
      <c r="A2369" s="569" t="s">
        <v>4224</v>
      </c>
      <c r="B2369" s="569"/>
      <c r="C2369" s="569"/>
      <c r="D2369" s="77" t="s">
        <v>0</v>
      </c>
      <c r="E2369" s="207" t="s">
        <v>4228</v>
      </c>
      <c r="F2369" s="208" t="s">
        <v>4215</v>
      </c>
      <c r="G2369" s="74" t="s">
        <v>2</v>
      </c>
      <c r="H2369" s="218" t="s">
        <v>4229</v>
      </c>
      <c r="K2369" s="309"/>
    </row>
    <row r="2370" spans="1:15">
      <c r="A2370" s="536" t="s">
        <v>3946</v>
      </c>
      <c r="B2370" s="570" t="str">
        <f>VLOOKUP(A2370,'Equip, Herr y Transp'!$B$2:$D$739,2,0)</f>
        <v>EQU</v>
      </c>
      <c r="C2370" s="570"/>
      <c r="D2370" s="95" t="str">
        <f>VLOOKUP(A2370,'Equip, Herr y Transp'!$B$2:$D$218,2,0)</f>
        <v>EQU</v>
      </c>
      <c r="E2370" s="95">
        <f>VLOOKUP(A2370,'Equip, Herr y Transp'!$B$2:$D$218,3,0)</f>
        <v>14130</v>
      </c>
      <c r="F2370" s="96">
        <f>H2360</f>
        <v>5.21E-2</v>
      </c>
      <c r="G2370" s="122">
        <f>F2370*E2370</f>
        <v>736.173</v>
      </c>
      <c r="H2370" s="118"/>
    </row>
    <row r="2371" spans="1:15">
      <c r="A2371" s="536" t="s">
        <v>3937</v>
      </c>
      <c r="B2371" s="570" t="str">
        <f>VLOOKUP(A2371,'Equip, Herr y Transp'!$B$2:$D$739,2,0)</f>
        <v>EQU</v>
      </c>
      <c r="C2371" s="570"/>
      <c r="D2371" s="95" t="str">
        <f>VLOOKUP(A2371,'Equip, Herr y Transp'!$B$2:$D$218,2,0)</f>
        <v>EQU</v>
      </c>
      <c r="E2371" s="95">
        <f>VLOOKUP(A2371,'Equip, Herr y Transp'!$B$2:$D$218,3,0)</f>
        <v>23750</v>
      </c>
      <c r="F2371" s="96">
        <f>H2360</f>
        <v>5.21E-2</v>
      </c>
      <c r="G2371" s="122">
        <f>F2371*E2371</f>
        <v>1237.375</v>
      </c>
      <c r="H2371" s="117"/>
    </row>
    <row r="2372" spans="1:15">
      <c r="A2372" s="536" t="s">
        <v>3903</v>
      </c>
      <c r="B2372" s="570" t="str">
        <f>VLOOKUP(A2372,'Equip, Herr y Transp'!$B$2:$D$739,2,0)</f>
        <v>EQU</v>
      </c>
      <c r="C2372" s="570"/>
      <c r="D2372" s="95" t="str">
        <f>VLOOKUP(A2372,'Equip, Herr y Transp'!$B$2:$D$218,2,0)</f>
        <v>EQU</v>
      </c>
      <c r="E2372" s="95">
        <f>VLOOKUP(A2372,'Equip, Herr y Transp'!$B$2:$D$218,3,0)</f>
        <v>7747.5</v>
      </c>
      <c r="F2372" s="96">
        <f>H2360</f>
        <v>5.21E-2</v>
      </c>
      <c r="G2372" s="122">
        <f>F2372*E2372</f>
        <v>403.64474999999999</v>
      </c>
      <c r="H2372" s="117"/>
    </row>
    <row r="2373" spans="1:15" ht="16.5">
      <c r="A2373" s="540" t="s">
        <v>4100</v>
      </c>
      <c r="B2373" s="541"/>
      <c r="C2373" s="541"/>
      <c r="D2373" s="541"/>
      <c r="E2373" s="541"/>
      <c r="F2373" s="541"/>
      <c r="G2373" s="541"/>
      <c r="H2373" s="97">
        <f>SUM(G2370:G2372)</f>
        <v>2377.1927500000002</v>
      </c>
    </row>
    <row r="2374" spans="1:15" ht="16.5">
      <c r="A2374" s="571" t="s">
        <v>4230</v>
      </c>
      <c r="B2374" s="572"/>
      <c r="C2374" s="572"/>
      <c r="D2374" s="572"/>
      <c r="E2374" s="572"/>
      <c r="F2374" s="572"/>
      <c r="G2374" s="572"/>
      <c r="H2374" s="573"/>
      <c r="K2374" s="56"/>
      <c r="L2374" s="56"/>
      <c r="M2374" s="56"/>
      <c r="N2374" s="56"/>
      <c r="O2374" s="56"/>
    </row>
    <row r="2375" spans="1:15" ht="30" customHeight="1">
      <c r="A2375" s="574" t="s">
        <v>7</v>
      </c>
      <c r="B2375" s="575"/>
      <c r="C2375" s="109" t="s">
        <v>0</v>
      </c>
      <c r="D2375" s="110" t="s">
        <v>4098</v>
      </c>
      <c r="E2375" s="111" t="s">
        <v>1</v>
      </c>
      <c r="F2375" s="576" t="s">
        <v>4218</v>
      </c>
      <c r="G2375" s="576"/>
      <c r="H2375" s="215"/>
      <c r="K2375" s="56"/>
      <c r="L2375" s="56"/>
      <c r="M2375" s="56"/>
      <c r="N2375" s="56"/>
      <c r="O2375" s="56"/>
    </row>
    <row r="2376" spans="1:15">
      <c r="A2376" s="577" t="s">
        <v>4732</v>
      </c>
      <c r="B2376" s="578"/>
      <c r="C2376" s="98" t="str">
        <f>VLOOKUP(A2376,'Materiales '!$C$2:$F$1302,3,0)</f>
        <v>Und</v>
      </c>
      <c r="D2376" s="99">
        <f>VLOOKUP(A2376,'Materiales '!$C$2:$F$1302,4,0)</f>
        <v>750297.23665274761</v>
      </c>
      <c r="E2376" s="100">
        <v>1</v>
      </c>
      <c r="F2376" s="538">
        <f>E2376*D2376</f>
        <v>750297.23665274761</v>
      </c>
      <c r="G2376" s="539"/>
      <c r="H2376" s="121"/>
      <c r="I2376">
        <f>E2376*G2367</f>
        <v>0</v>
      </c>
      <c r="J2376" s="67"/>
      <c r="K2376" s="56"/>
      <c r="L2376" s="56"/>
      <c r="M2376" s="56"/>
      <c r="N2376" s="56"/>
      <c r="O2376" s="56"/>
    </row>
    <row r="2377" spans="1:15">
      <c r="A2377" s="577" t="s">
        <v>4214</v>
      </c>
      <c r="B2377" s="578"/>
      <c r="C2377" s="98" t="str">
        <f>VLOOKUP(A2377,'Materiales '!$C$2:$F$1302,3,0)</f>
        <v>Und</v>
      </c>
      <c r="D2377" s="99">
        <f>VLOOKUP(A2377,'Materiales '!$C$2:$F$1302,4,0)</f>
        <v>22848</v>
      </c>
      <c r="E2377" s="100">
        <v>1</v>
      </c>
      <c r="F2377" s="538">
        <f t="shared" ref="F2377:F2383" si="139">E2377*D2377</f>
        <v>22848</v>
      </c>
      <c r="G2377" s="539"/>
      <c r="H2377" s="121"/>
      <c r="I2377">
        <f>E2377*G2367</f>
        <v>0</v>
      </c>
      <c r="J2377" s="67"/>
      <c r="K2377" s="56"/>
      <c r="L2377" s="56"/>
      <c r="M2377" s="56"/>
      <c r="N2377" s="56"/>
      <c r="O2377" s="56"/>
    </row>
    <row r="2378" spans="1:15">
      <c r="A2378" s="536" t="s">
        <v>4484</v>
      </c>
      <c r="B2378" s="537" t="str">
        <f>VLOOKUP(A2378,'Materiales '!$C$2:$F$1302,3,0)</f>
        <v>Und</v>
      </c>
      <c r="C2378" s="98" t="str">
        <f>VLOOKUP(A2378,'Materiales '!$C$2:$F$1302,3,0)</f>
        <v>Und</v>
      </c>
      <c r="D2378" s="99">
        <f>VLOOKUP(A2378,'Materiales '!$C$2:$F$1302,4,0)</f>
        <v>21705.599999999999</v>
      </c>
      <c r="E2378" s="100">
        <v>2</v>
      </c>
      <c r="F2378" s="538">
        <f t="shared" si="139"/>
        <v>43411.199999999997</v>
      </c>
      <c r="G2378" s="539"/>
      <c r="H2378" s="121"/>
      <c r="I2378">
        <f>E2378*G2367</f>
        <v>0</v>
      </c>
      <c r="J2378" s="68"/>
      <c r="K2378" s="56"/>
      <c r="L2378" s="56"/>
      <c r="M2378" s="56"/>
      <c r="N2378" s="56"/>
      <c r="O2378" s="56"/>
    </row>
    <row r="2379" spans="1:15">
      <c r="A2379" s="536" t="s">
        <v>4489</v>
      </c>
      <c r="B2379" s="537" t="str">
        <f>VLOOKUP(A2379,'Materiales '!$C$2:$F$1302,3,0)</f>
        <v>Und</v>
      </c>
      <c r="C2379" s="98" t="str">
        <f>VLOOKUP(A2379,'Materiales '!$C$2:$F$1302,3,0)</f>
        <v>Und</v>
      </c>
      <c r="D2379" s="99">
        <f>VLOOKUP(A2379,'Materiales '!$C$2:$F$1302,4,0)</f>
        <v>8039.6399999999994</v>
      </c>
      <c r="E2379" s="100">
        <v>3</v>
      </c>
      <c r="F2379" s="538">
        <f t="shared" si="139"/>
        <v>24118.92</v>
      </c>
      <c r="G2379" s="539"/>
      <c r="H2379" s="121"/>
      <c r="I2379">
        <f>E2379*G2367</f>
        <v>0</v>
      </c>
      <c r="J2379" s="68"/>
      <c r="K2379" s="56"/>
      <c r="L2379" s="56"/>
      <c r="M2379" s="56"/>
      <c r="N2379" s="56"/>
      <c r="O2379" s="56"/>
    </row>
    <row r="2380" spans="1:15">
      <c r="A2380" s="536" t="s">
        <v>4554</v>
      </c>
      <c r="B2380" s="537" t="str">
        <f>VLOOKUP(A2380,'Materiales '!$C$2:$F$1302,3,0)</f>
        <v>Und</v>
      </c>
      <c r="C2380" s="98" t="str">
        <f>VLOOKUP(A2380,'Materiales '!$C$2:$F$1302,3,0)</f>
        <v>Und</v>
      </c>
      <c r="D2380" s="99">
        <f>VLOOKUP(A2380,'Materiales '!$C$2:$F$1302,4,0)</f>
        <v>2535.5329999999999</v>
      </c>
      <c r="E2380" s="100">
        <v>2</v>
      </c>
      <c r="F2380" s="538">
        <f t="shared" si="139"/>
        <v>5071.0659999999998</v>
      </c>
      <c r="G2380" s="539"/>
      <c r="H2380" s="121"/>
      <c r="I2380">
        <f>E2380*G2367</f>
        <v>0</v>
      </c>
      <c r="J2380" s="68"/>
      <c r="K2380" s="56"/>
      <c r="L2380" s="56"/>
      <c r="M2380" s="56"/>
      <c r="N2380" s="56"/>
      <c r="O2380" s="56"/>
    </row>
    <row r="2381" spans="1:15">
      <c r="A2381" s="536" t="s">
        <v>4450</v>
      </c>
      <c r="B2381" s="537" t="str">
        <f>VLOOKUP(A2381,'Materiales '!$C$2:$F$1302,3,0)</f>
        <v>Ml</v>
      </c>
      <c r="C2381" s="98" t="str">
        <f>VLOOKUP(A2381,'Materiales '!$C$2:$F$1302,3,0)</f>
        <v>Ml</v>
      </c>
      <c r="D2381" s="99">
        <f>VLOOKUP(A2381,'Materiales '!$C$2:$F$1302,4,0)</f>
        <v>6791.5679999999993</v>
      </c>
      <c r="E2381" s="100">
        <v>1</v>
      </c>
      <c r="F2381" s="538">
        <f t="shared" si="139"/>
        <v>6791.5679999999993</v>
      </c>
      <c r="G2381" s="539"/>
      <c r="H2381" s="121"/>
      <c r="I2381">
        <f>E2381*G2367</f>
        <v>0</v>
      </c>
      <c r="J2381" s="68"/>
      <c r="K2381" s="56"/>
      <c r="L2381" s="56"/>
      <c r="M2381" s="56"/>
      <c r="N2381" s="56"/>
      <c r="O2381" s="56"/>
    </row>
    <row r="2382" spans="1:15">
      <c r="A2382" s="536" t="s">
        <v>4493</v>
      </c>
      <c r="B2382" s="537" t="str">
        <f>VLOOKUP(A2382,'Materiales '!$C$2:$F$1302,3,0)</f>
        <v>Und</v>
      </c>
      <c r="C2382" s="98" t="str">
        <f>VLOOKUP(A2382,'Materiales '!$C$2:$F$1302,3,0)</f>
        <v>Und</v>
      </c>
      <c r="D2382" s="99">
        <f>VLOOKUP(A2382,'Materiales '!$C$2:$F$1302,4,0)</f>
        <v>232.76399999999998</v>
      </c>
      <c r="E2382" s="100">
        <v>3</v>
      </c>
      <c r="F2382" s="538">
        <f t="shared" si="139"/>
        <v>698.29199999999992</v>
      </c>
      <c r="G2382" s="539"/>
      <c r="H2382" s="121"/>
      <c r="I2382">
        <f>E2382*G2367</f>
        <v>0</v>
      </c>
      <c r="J2382" s="68"/>
      <c r="K2382" s="56"/>
      <c r="L2382" s="56"/>
      <c r="M2382" s="56"/>
      <c r="N2382" s="56"/>
      <c r="O2382" s="56"/>
    </row>
    <row r="2383" spans="1:15" ht="21.75" customHeight="1">
      <c r="A2383" s="536" t="s">
        <v>4499</v>
      </c>
      <c r="B2383" s="537" t="str">
        <f>VLOOKUP(A2383,'Materiales '!$C$2:$F$1302,3,0)</f>
        <v>Und</v>
      </c>
      <c r="C2383" s="98" t="str">
        <f>VLOOKUP(A2383,'Materiales '!$C$2:$F$1302,3,0)</f>
        <v>Und</v>
      </c>
      <c r="D2383" s="99">
        <f>VLOOKUP(A2383,'Materiales '!$C$2:$F$1302,4,0)</f>
        <v>198000.05399999997</v>
      </c>
      <c r="E2383" s="100">
        <v>0.5</v>
      </c>
      <c r="F2383" s="538">
        <f t="shared" si="139"/>
        <v>99000.026999999987</v>
      </c>
      <c r="G2383" s="539"/>
      <c r="H2383" s="121"/>
      <c r="I2383">
        <f>E2383*G2367</f>
        <v>0</v>
      </c>
      <c r="J2383" s="68"/>
      <c r="K2383" s="56"/>
      <c r="L2383" s="56"/>
      <c r="M2383" s="56"/>
      <c r="N2383" s="56"/>
      <c r="O2383" s="56"/>
    </row>
    <row r="2384" spans="1:15">
      <c r="A2384" s="536" t="s">
        <v>8</v>
      </c>
      <c r="B2384" s="537" t="str">
        <f>VLOOKUP(A2384,'Materiales '!$C$2:$F$1302,3,0)</f>
        <v>-</v>
      </c>
      <c r="C2384" s="98" t="str">
        <f>VLOOKUP(A2384,'Materiales '!$C$2:$F$1302,3,0)</f>
        <v>-</v>
      </c>
      <c r="D2384" s="99">
        <f>VLOOKUP(A2384,'Materiales '!$C$2:$F$1302,4,0)</f>
        <v>0</v>
      </c>
      <c r="E2384" s="100"/>
      <c r="F2384" s="538">
        <f>E2384*D2384</f>
        <v>0</v>
      </c>
      <c r="G2384" s="539"/>
      <c r="H2384" s="120"/>
      <c r="I2384">
        <f>E2384*G2367</f>
        <v>0</v>
      </c>
      <c r="J2384" s="68"/>
      <c r="K2384" s="56"/>
      <c r="L2384" s="56"/>
      <c r="M2384" s="56"/>
      <c r="N2384" s="56"/>
      <c r="O2384" s="56"/>
    </row>
    <row r="2385" spans="1:15">
      <c r="A2385" s="536" t="s">
        <v>8</v>
      </c>
      <c r="B2385" s="537" t="str">
        <f>VLOOKUP(A2385,'Materiales '!$C$2:$F$1302,3,0)</f>
        <v>-</v>
      </c>
      <c r="C2385" s="98" t="str">
        <f>VLOOKUP(A2385,'Materiales '!$C$2:$F$1302,3,0)</f>
        <v>-</v>
      </c>
      <c r="D2385" s="99">
        <f>VLOOKUP(A2385,'Materiales '!$C$2:$F$1302,4,0)</f>
        <v>0</v>
      </c>
      <c r="E2385" s="100"/>
      <c r="F2385" s="538">
        <f t="shared" ref="F2385:F2388" si="140">E2385*D2385</f>
        <v>0</v>
      </c>
      <c r="G2385" s="539"/>
      <c r="H2385" s="121"/>
      <c r="I2385">
        <f>E2385*G2367</f>
        <v>0</v>
      </c>
      <c r="J2385" s="68"/>
      <c r="K2385" s="56"/>
      <c r="L2385" s="56"/>
      <c r="M2385" s="56"/>
      <c r="N2385" s="56"/>
      <c r="O2385" s="56"/>
    </row>
    <row r="2386" spans="1:15">
      <c r="A2386" s="536" t="s">
        <v>8</v>
      </c>
      <c r="B2386" s="537" t="str">
        <f>VLOOKUP(A2386,'Materiales '!$C$2:$F$1302,3,0)</f>
        <v>-</v>
      </c>
      <c r="C2386" s="98" t="str">
        <f>VLOOKUP(A2386,'Materiales '!$C$2:$F$1302,3,0)</f>
        <v>-</v>
      </c>
      <c r="D2386" s="99">
        <f>VLOOKUP(A2386,'Materiales '!$C$2:$F$1302,4,0)</f>
        <v>0</v>
      </c>
      <c r="E2386" s="100"/>
      <c r="F2386" s="538">
        <f t="shared" si="140"/>
        <v>0</v>
      </c>
      <c r="G2386" s="539"/>
      <c r="H2386" s="121"/>
      <c r="I2386">
        <f>E2386*G2367</f>
        <v>0</v>
      </c>
      <c r="J2386" s="68"/>
      <c r="K2386" s="56"/>
      <c r="L2386" s="56"/>
      <c r="M2386" s="56"/>
      <c r="N2386" s="56"/>
      <c r="O2386" s="56"/>
    </row>
    <row r="2387" spans="1:15">
      <c r="A2387" s="536" t="s">
        <v>8</v>
      </c>
      <c r="B2387" s="537" t="str">
        <f>VLOOKUP(A2387,'Materiales '!$C$2:$F$1302,3,0)</f>
        <v>-</v>
      </c>
      <c r="C2387" s="98" t="str">
        <f>VLOOKUP(A2387,'Materiales '!$C$2:$F$1302,3,0)</f>
        <v>-</v>
      </c>
      <c r="D2387" s="99">
        <f>VLOOKUP(A2387,'Materiales '!$C$2:$F$1302,4,0)</f>
        <v>0</v>
      </c>
      <c r="E2387" s="100"/>
      <c r="F2387" s="538">
        <f t="shared" si="140"/>
        <v>0</v>
      </c>
      <c r="G2387" s="539"/>
      <c r="H2387" s="121"/>
      <c r="I2387">
        <f>E2387*G2367</f>
        <v>0</v>
      </c>
      <c r="J2387" s="68"/>
      <c r="K2387" s="56"/>
      <c r="L2387" s="56"/>
      <c r="M2387" s="56"/>
      <c r="N2387" s="56"/>
      <c r="O2387" s="56"/>
    </row>
    <row r="2388" spans="1:15">
      <c r="A2388" s="536" t="s">
        <v>8</v>
      </c>
      <c r="B2388" s="537" t="str">
        <f>VLOOKUP(A2388,'Materiales '!$C$2:$F$1302,3,0)</f>
        <v>-</v>
      </c>
      <c r="C2388" s="98" t="str">
        <f>VLOOKUP(A2388,'Materiales '!$C$2:$F$1302,3,0)</f>
        <v>-</v>
      </c>
      <c r="D2388" s="99">
        <f>VLOOKUP(A2388,'Materiales '!$C$2:$F$1302,4,0)</f>
        <v>0</v>
      </c>
      <c r="E2388" s="100"/>
      <c r="F2388" s="538">
        <f t="shared" si="140"/>
        <v>0</v>
      </c>
      <c r="G2388" s="539"/>
      <c r="H2388" s="121"/>
      <c r="I2388">
        <f>E2388*G2367</f>
        <v>0</v>
      </c>
      <c r="J2388" s="68"/>
      <c r="K2388" s="56"/>
      <c r="L2388" s="56"/>
      <c r="M2388" s="56"/>
      <c r="N2388" s="56"/>
      <c r="O2388" s="56"/>
    </row>
    <row r="2389" spans="1:15">
      <c r="A2389" s="536" t="s">
        <v>8</v>
      </c>
      <c r="B2389" s="537" t="str">
        <f>VLOOKUP(A2389,'Materiales '!$C$2:$F$1302,3,0)</f>
        <v>-</v>
      </c>
      <c r="C2389" s="98" t="str">
        <f>VLOOKUP(A2389,'Materiales '!$C$2:$F$1302,3,0)</f>
        <v>-</v>
      </c>
      <c r="D2389" s="99">
        <f>VLOOKUP(A2389,'Materiales '!$C$2:$F$1302,4,0)</f>
        <v>0</v>
      </c>
      <c r="E2389" s="100"/>
      <c r="F2389" s="538">
        <f>E2389*D2389</f>
        <v>0</v>
      </c>
      <c r="G2389" s="539"/>
      <c r="H2389" s="120"/>
      <c r="I2389">
        <f>E2389*G2367</f>
        <v>0</v>
      </c>
      <c r="J2389" s="68"/>
      <c r="K2389" s="56"/>
      <c r="L2389" s="56"/>
      <c r="M2389" s="56"/>
      <c r="N2389" s="56"/>
      <c r="O2389" s="56"/>
    </row>
    <row r="2390" spans="1:15" ht="16.5">
      <c r="A2390" s="540" t="s">
        <v>4099</v>
      </c>
      <c r="B2390" s="541"/>
      <c r="C2390" s="541"/>
      <c r="D2390" s="541"/>
      <c r="E2390" s="541"/>
      <c r="F2390" s="541"/>
      <c r="G2390" s="542"/>
      <c r="H2390" s="116">
        <f>SUM(F2376:F2389)</f>
        <v>952236.30965274759</v>
      </c>
      <c r="J2390" s="68"/>
      <c r="K2390" s="56"/>
      <c r="L2390" s="56"/>
      <c r="M2390" s="56"/>
      <c r="N2390" s="56"/>
      <c r="O2390" s="56"/>
    </row>
    <row r="2391" spans="1:15" ht="16.5">
      <c r="A2391" s="543" t="s">
        <v>4231</v>
      </c>
      <c r="B2391" s="544"/>
      <c r="C2391" s="544"/>
      <c r="D2391" s="544"/>
      <c r="E2391" s="545"/>
      <c r="F2391" s="544"/>
      <c r="G2391" s="544"/>
      <c r="H2391" s="546"/>
      <c r="J2391" s="68"/>
      <c r="K2391" s="56"/>
      <c r="L2391" s="56"/>
      <c r="M2391" s="56"/>
      <c r="N2391" s="56"/>
      <c r="O2391" s="56"/>
    </row>
    <row r="2392" spans="1:15">
      <c r="A2392" s="547" t="s">
        <v>7</v>
      </c>
      <c r="B2392" s="548"/>
      <c r="C2392" s="108" t="s">
        <v>4232</v>
      </c>
      <c r="D2392" s="107" t="s">
        <v>4233</v>
      </c>
      <c r="E2392" s="206" t="s">
        <v>4234</v>
      </c>
      <c r="F2392" s="549" t="s">
        <v>4218</v>
      </c>
      <c r="G2392" s="549"/>
      <c r="H2392" s="119"/>
      <c r="K2392" s="56"/>
      <c r="L2392" s="56"/>
      <c r="M2392" s="56"/>
      <c r="N2392" s="56"/>
      <c r="O2392" s="56"/>
    </row>
    <row r="2393" spans="1:15">
      <c r="A2393" s="550" t="s">
        <v>3928</v>
      </c>
      <c r="B2393" s="551"/>
      <c r="C2393" s="232">
        <v>1</v>
      </c>
      <c r="D2393" s="102">
        <v>0.03</v>
      </c>
      <c r="E2393" s="103">
        <f>VLOOKUP(A2393,'Equip, Herr y Transp'!$B$2:$D$218,3,0)</f>
        <v>160000</v>
      </c>
      <c r="F2393" s="552">
        <f>E2393*D2393*C2393</f>
        <v>4800</v>
      </c>
      <c r="G2393" s="553"/>
      <c r="H2393" s="117"/>
      <c r="M2393" s="56"/>
    </row>
    <row r="2394" spans="1:15" ht="16.5">
      <c r="A2394" s="554" t="s">
        <v>4216</v>
      </c>
      <c r="B2394" s="555"/>
      <c r="C2394" s="555"/>
      <c r="D2394" s="555"/>
      <c r="E2394" s="555"/>
      <c r="F2394" s="555"/>
      <c r="G2394" s="555"/>
      <c r="H2394" s="105">
        <f>F2393</f>
        <v>4800</v>
      </c>
    </row>
    <row r="2395" spans="1:15" ht="16.5">
      <c r="A2395" s="543" t="s">
        <v>4235</v>
      </c>
      <c r="B2395" s="544"/>
      <c r="C2395" s="544"/>
      <c r="D2395" s="544"/>
      <c r="E2395" s="544"/>
      <c r="F2395" s="544"/>
      <c r="G2395" s="544"/>
      <c r="H2395" s="546"/>
    </row>
    <row r="2396" spans="1:15">
      <c r="A2396" s="547" t="s">
        <v>7</v>
      </c>
      <c r="B2396" s="548"/>
      <c r="C2396" s="106" t="s">
        <v>1</v>
      </c>
      <c r="D2396" s="107" t="s">
        <v>4236</v>
      </c>
      <c r="E2396" s="108" t="s">
        <v>4215</v>
      </c>
      <c r="F2396" s="547" t="s">
        <v>5</v>
      </c>
      <c r="G2396" s="556"/>
      <c r="H2396" s="119"/>
    </row>
    <row r="2397" spans="1:15">
      <c r="A2397" s="550" t="s">
        <v>4196</v>
      </c>
      <c r="B2397" s="551"/>
      <c r="C2397" s="101">
        <v>1</v>
      </c>
      <c r="D2397" s="104">
        <f>VLOOKUP(A2397,'Mano Obra'!$B$2:$T$117,19,0)</f>
        <v>166624</v>
      </c>
      <c r="E2397" s="246">
        <f>H2360</f>
        <v>5.21E-2</v>
      </c>
      <c r="F2397" s="538">
        <f>E2397*D2397*C2397</f>
        <v>8681.1103999999996</v>
      </c>
      <c r="G2397" s="557"/>
      <c r="H2397" s="121"/>
      <c r="I2397" s="69"/>
      <c r="J2397" s="136">
        <f>((('Mano Obra'!$M$4/30)*F2397)/D2397)*G2367</f>
        <v>0</v>
      </c>
    </row>
    <row r="2398" spans="1:15">
      <c r="A2398" s="558" t="s">
        <v>4197</v>
      </c>
      <c r="B2398" s="559">
        <f>VLOOKUP(A2398,'Mano Obra'!$B$3:$D$290,2,0)</f>
        <v>2090000.0000000002</v>
      </c>
      <c r="C2398" s="101">
        <v>1</v>
      </c>
      <c r="D2398" s="104">
        <f>VLOOKUP(A2398,'Mano Obra'!$B$2:$T$117,19,0)</f>
        <v>120456</v>
      </c>
      <c r="E2398" s="246">
        <f>H2360</f>
        <v>5.21E-2</v>
      </c>
      <c r="F2398" s="538">
        <f t="shared" ref="F2398:F2399" si="141">E2398*D2398*C2398</f>
        <v>6275.7575999999999</v>
      </c>
      <c r="G2398" s="557"/>
      <c r="H2398" s="121"/>
      <c r="J2398" s="136">
        <f>((('Mano Obra'!$M$5/30)*F2398)/D2398)*G2367</f>
        <v>0</v>
      </c>
    </row>
    <row r="2399" spans="1:15">
      <c r="A2399" s="558" t="s">
        <v>4186</v>
      </c>
      <c r="B2399" s="559">
        <f>VLOOKUP(A2399,'Mano Obra'!$B$3:$D$290,2,0)</f>
        <v>1100000</v>
      </c>
      <c r="C2399" s="101">
        <v>1</v>
      </c>
      <c r="D2399" s="104">
        <f>VLOOKUP(A2399,'Mano Obra'!$B$2:$T$117,19,0)</f>
        <v>72664</v>
      </c>
      <c r="E2399" s="246">
        <f>H2360</f>
        <v>5.21E-2</v>
      </c>
      <c r="F2399" s="538">
        <f t="shared" si="141"/>
        <v>3785.7944000000002</v>
      </c>
      <c r="G2399" s="557"/>
      <c r="H2399" s="120"/>
      <c r="J2399" s="136">
        <f>((('Mano Obra'!$M$6/30)*F2399)/D2399)*G2367</f>
        <v>0</v>
      </c>
    </row>
    <row r="2400" spans="1:15" ht="16.5">
      <c r="A2400" s="560" t="s">
        <v>4101</v>
      </c>
      <c r="B2400" s="560"/>
      <c r="C2400" s="560"/>
      <c r="D2400" s="560"/>
      <c r="E2400" s="560"/>
      <c r="F2400" s="560"/>
      <c r="G2400" s="560"/>
      <c r="H2400" s="105">
        <f>SUM(F2397:F2399)</f>
        <v>18742.662399999997</v>
      </c>
      <c r="J2400" s="136"/>
    </row>
    <row r="2401" spans="1:14">
      <c r="A2401" s="227" t="s">
        <v>4237</v>
      </c>
      <c r="B2401" s="205"/>
      <c r="C2401" s="205"/>
      <c r="D2401" s="202"/>
      <c r="E2401" s="203"/>
      <c r="F2401" s="204"/>
      <c r="G2401" s="203"/>
      <c r="H2401" s="212"/>
    </row>
    <row r="2402" spans="1:14">
      <c r="A2402" s="561" t="s">
        <v>4224</v>
      </c>
      <c r="B2402" s="562"/>
      <c r="C2402" s="562"/>
      <c r="D2402" s="562"/>
      <c r="E2402" s="200"/>
      <c r="F2402" s="201" t="s">
        <v>4238</v>
      </c>
      <c r="G2402" s="200" t="s">
        <v>4239</v>
      </c>
      <c r="H2402" s="213"/>
    </row>
    <row r="2403" spans="1:14">
      <c r="A2403" s="223" t="s">
        <v>4097</v>
      </c>
      <c r="B2403" s="72"/>
      <c r="C2403" s="72"/>
      <c r="D2403" s="73"/>
      <c r="E2403" s="78"/>
      <c r="F2403" s="79">
        <v>0</v>
      </c>
      <c r="G2403" s="80">
        <f>F2403*H2368</f>
        <v>0</v>
      </c>
      <c r="H2403" s="212"/>
    </row>
    <row r="2404" spans="1:14">
      <c r="A2404" s="224" t="s">
        <v>4240</v>
      </c>
      <c r="B2404" s="81"/>
      <c r="C2404" s="81"/>
      <c r="D2404" s="82"/>
      <c r="E2404" s="78"/>
      <c r="F2404" s="79">
        <v>0</v>
      </c>
      <c r="G2404" s="80">
        <f>F2404*H2368</f>
        <v>0</v>
      </c>
      <c r="H2404" s="212"/>
    </row>
    <row r="2405" spans="1:14">
      <c r="A2405" s="224" t="s">
        <v>4</v>
      </c>
      <c r="B2405" s="81"/>
      <c r="C2405" s="81"/>
      <c r="D2405" s="82"/>
      <c r="E2405" s="78"/>
      <c r="F2405" s="79">
        <v>0</v>
      </c>
      <c r="G2405" s="80">
        <f>F2405*H2368</f>
        <v>0</v>
      </c>
      <c r="H2405" s="212"/>
    </row>
    <row r="2406" spans="1:14">
      <c r="A2406" s="225"/>
      <c r="B2406" s="83"/>
      <c r="C2406" s="75"/>
      <c r="D2406" s="84"/>
      <c r="E2406" s="85"/>
      <c r="F2406" s="86"/>
      <c r="G2406" s="87"/>
      <c r="H2406" s="214"/>
    </row>
    <row r="2407" spans="1:14">
      <c r="A2407" s="226"/>
      <c r="B2407" s="83"/>
      <c r="C2407" s="83"/>
      <c r="D2407" s="84"/>
      <c r="E2407" s="88"/>
      <c r="F2407" s="563" t="s">
        <v>4241</v>
      </c>
      <c r="G2407" s="564"/>
      <c r="H2407" s="233">
        <f>H2368+G2403+G2404+G2405</f>
        <v>978156.16480274766</v>
      </c>
    </row>
    <row r="2408" spans="1:14">
      <c r="A2408" s="83"/>
      <c r="B2408" s="83"/>
      <c r="C2408" s="83"/>
      <c r="D2408" s="84"/>
      <c r="E2408" s="388"/>
      <c r="F2408" s="389"/>
      <c r="G2408" s="389"/>
      <c r="H2408" s="390"/>
    </row>
    <row r="2409" spans="1:14" ht="16.5">
      <c r="A2409" s="90"/>
      <c r="B2409" s="90"/>
      <c r="C2409" s="90"/>
      <c r="D2409" s="90"/>
      <c r="E2409" s="90"/>
      <c r="F2409" s="90"/>
      <c r="G2409" s="90"/>
      <c r="H2409" s="381"/>
    </row>
    <row r="2410" spans="1:14">
      <c r="A2410" s="579" t="s">
        <v>4225</v>
      </c>
      <c r="B2410" s="580"/>
      <c r="C2410" s="580"/>
      <c r="D2410" s="580"/>
      <c r="E2410" s="580"/>
      <c r="F2410" s="580"/>
      <c r="G2410" s="580"/>
      <c r="H2410" s="581"/>
    </row>
    <row r="2411" spans="1:14" ht="16.5">
      <c r="A2411" s="91"/>
      <c r="B2411" s="92"/>
      <c r="C2411" s="92"/>
      <c r="D2411" s="92"/>
      <c r="E2411" s="92"/>
      <c r="F2411" s="93"/>
      <c r="G2411" s="94"/>
      <c r="H2411" s="380">
        <f>ROUND((25/60)/8,4)</f>
        <v>5.21E-2</v>
      </c>
      <c r="I2411" s="115"/>
    </row>
    <row r="2412" spans="1:14">
      <c r="A2412" s="582" t="s">
        <v>4220</v>
      </c>
      <c r="B2412" s="584" t="str">
        <f>COSTOS!$C$14</f>
        <v>MODERNIZACION A TECNOLOGIA LED</v>
      </c>
      <c r="C2412" s="584"/>
      <c r="D2412" s="584"/>
      <c r="E2412" s="584"/>
      <c r="F2412" s="584"/>
      <c r="G2412" s="584"/>
      <c r="H2412" s="585" t="s">
        <v>4221</v>
      </c>
    </row>
    <row r="2413" spans="1:14">
      <c r="A2413" s="583"/>
      <c r="B2413" s="584"/>
      <c r="C2413" s="584"/>
      <c r="D2413" s="584"/>
      <c r="E2413" s="584"/>
      <c r="F2413" s="584"/>
      <c r="G2413" s="584"/>
      <c r="H2413" s="585"/>
    </row>
    <row r="2414" spans="1:14">
      <c r="A2414" s="583"/>
      <c r="B2414" s="584"/>
      <c r="C2414" s="584"/>
      <c r="D2414" s="584"/>
      <c r="E2414" s="584"/>
      <c r="F2414" s="584"/>
      <c r="G2414" s="584"/>
      <c r="H2414" s="585"/>
    </row>
    <row r="2415" spans="1:14" ht="15" customHeight="1">
      <c r="A2415" s="583"/>
      <c r="B2415" s="584"/>
      <c r="C2415" s="584"/>
      <c r="D2415" s="584"/>
      <c r="E2415" s="584"/>
      <c r="F2415" s="584"/>
      <c r="G2415" s="584"/>
      <c r="H2415" s="216">
        <f ca="1">TODAY()</f>
        <v>44889</v>
      </c>
      <c r="K2415" t="s">
        <v>4391</v>
      </c>
      <c r="L2415" t="s">
        <v>4392</v>
      </c>
      <c r="M2415" t="s">
        <v>4393</v>
      </c>
      <c r="N2415" t="s">
        <v>4394</v>
      </c>
    </row>
    <row r="2416" spans="1:14" ht="60.75" customHeight="1">
      <c r="A2416" s="228" t="s">
        <v>4222</v>
      </c>
      <c r="B2416" s="565" t="str">
        <f>COSTOS!$D$16</f>
        <v>Luminarias</v>
      </c>
      <c r="C2416" s="565"/>
      <c r="D2416" s="565"/>
      <c r="E2416" s="565"/>
      <c r="F2416" s="565"/>
      <c r="G2416" s="70" t="s">
        <v>4223</v>
      </c>
      <c r="H2416" s="391">
        <v>1.48</v>
      </c>
      <c r="K2416" s="62">
        <f>H2441</f>
        <v>2179085.398</v>
      </c>
      <c r="L2416" s="62">
        <f>H2451</f>
        <v>18742.662399999997</v>
      </c>
      <c r="M2416" s="62">
        <f>H2424</f>
        <v>2377.1927500000002</v>
      </c>
      <c r="N2416" s="62">
        <f>H2445</f>
        <v>4800</v>
      </c>
    </row>
    <row r="2417" spans="1:15" ht="43.15" customHeight="1">
      <c r="A2417" s="229" t="s">
        <v>4224</v>
      </c>
      <c r="B2417" s="566" t="str">
        <f>VLOOKUP(H2416,COSTOS!C:M,2,0)</f>
        <v>Luminaria Led 150w</v>
      </c>
      <c r="C2417" s="567"/>
      <c r="D2417" s="567"/>
      <c r="E2417" s="568"/>
      <c r="F2417" s="71" t="s">
        <v>0</v>
      </c>
      <c r="G2417" s="356" t="str">
        <f>VLOOKUP(H2416,COSTOS!C:M,8,0)</f>
        <v>Und</v>
      </c>
      <c r="H2417" s="276"/>
      <c r="I2417" s="306"/>
      <c r="J2417" s="308"/>
      <c r="K2417" s="308"/>
      <c r="L2417" s="308"/>
    </row>
    <row r="2418" spans="1:15">
      <c r="A2418" s="230"/>
      <c r="B2418" s="112"/>
      <c r="C2418" s="112"/>
      <c r="D2418" s="112"/>
      <c r="E2418" s="113"/>
      <c r="F2418" s="114" t="s">
        <v>1</v>
      </c>
      <c r="G2418" s="356">
        <f>VLOOKUP(H2416,COSTOS!C:M,9,0)</f>
        <v>0</v>
      </c>
      <c r="H2418" s="357"/>
      <c r="I2418" s="307"/>
    </row>
    <row r="2419" spans="1:15" ht="16.5">
      <c r="A2419" s="231" t="s">
        <v>4226</v>
      </c>
      <c r="B2419" s="75"/>
      <c r="C2419" s="75"/>
      <c r="D2419" s="76"/>
      <c r="E2419" s="209"/>
      <c r="F2419" s="210"/>
      <c r="G2419" s="211" t="s">
        <v>4227</v>
      </c>
      <c r="H2419" s="217">
        <f>H2424+H2441+H2445+H2451</f>
        <v>2205005.2531499998</v>
      </c>
    </row>
    <row r="2420" spans="1:15" ht="39">
      <c r="A2420" s="569" t="s">
        <v>4224</v>
      </c>
      <c r="B2420" s="569"/>
      <c r="C2420" s="569"/>
      <c r="D2420" s="77" t="s">
        <v>0</v>
      </c>
      <c r="E2420" s="207" t="s">
        <v>4228</v>
      </c>
      <c r="F2420" s="208" t="s">
        <v>4215</v>
      </c>
      <c r="G2420" s="74" t="s">
        <v>2</v>
      </c>
      <c r="H2420" s="218" t="s">
        <v>4229</v>
      </c>
      <c r="K2420" s="309"/>
    </row>
    <row r="2421" spans="1:15">
      <c r="A2421" s="536" t="s">
        <v>3946</v>
      </c>
      <c r="B2421" s="570" t="str">
        <f>VLOOKUP(A2421,'Equip, Herr y Transp'!$B$2:$D$739,2,0)</f>
        <v>EQU</v>
      </c>
      <c r="C2421" s="570"/>
      <c r="D2421" s="95" t="str">
        <f>VLOOKUP(A2421,'Equip, Herr y Transp'!$B$2:$D$218,2,0)</f>
        <v>EQU</v>
      </c>
      <c r="E2421" s="95">
        <f>VLOOKUP(A2421,'Equip, Herr y Transp'!$B$2:$D$218,3,0)</f>
        <v>14130</v>
      </c>
      <c r="F2421" s="96">
        <f>H2411</f>
        <v>5.21E-2</v>
      </c>
      <c r="G2421" s="122">
        <f>F2421*E2421</f>
        <v>736.173</v>
      </c>
      <c r="H2421" s="118"/>
    </row>
    <row r="2422" spans="1:15">
      <c r="A2422" s="536" t="s">
        <v>3937</v>
      </c>
      <c r="B2422" s="570" t="str">
        <f>VLOOKUP(A2422,'Equip, Herr y Transp'!$B$2:$D$739,2,0)</f>
        <v>EQU</v>
      </c>
      <c r="C2422" s="570"/>
      <c r="D2422" s="95" t="str">
        <f>VLOOKUP(A2422,'Equip, Herr y Transp'!$B$2:$D$218,2,0)</f>
        <v>EQU</v>
      </c>
      <c r="E2422" s="95">
        <f>VLOOKUP(A2422,'Equip, Herr y Transp'!$B$2:$D$218,3,0)</f>
        <v>23750</v>
      </c>
      <c r="F2422" s="96">
        <f>H2411</f>
        <v>5.21E-2</v>
      </c>
      <c r="G2422" s="122">
        <f>F2422*E2422</f>
        <v>1237.375</v>
      </c>
      <c r="H2422" s="117"/>
    </row>
    <row r="2423" spans="1:15">
      <c r="A2423" s="536" t="s">
        <v>3903</v>
      </c>
      <c r="B2423" s="570" t="str">
        <f>VLOOKUP(A2423,'Equip, Herr y Transp'!$B$2:$D$739,2,0)</f>
        <v>EQU</v>
      </c>
      <c r="C2423" s="570"/>
      <c r="D2423" s="95" t="str">
        <f>VLOOKUP(A2423,'Equip, Herr y Transp'!$B$2:$D$218,2,0)</f>
        <v>EQU</v>
      </c>
      <c r="E2423" s="95">
        <f>VLOOKUP(A2423,'Equip, Herr y Transp'!$B$2:$D$218,3,0)</f>
        <v>7747.5</v>
      </c>
      <c r="F2423" s="96">
        <f>H2411</f>
        <v>5.21E-2</v>
      </c>
      <c r="G2423" s="122">
        <f>F2423*E2423</f>
        <v>403.64474999999999</v>
      </c>
      <c r="H2423" s="117"/>
    </row>
    <row r="2424" spans="1:15" ht="16.5">
      <c r="A2424" s="540" t="s">
        <v>4100</v>
      </c>
      <c r="B2424" s="541"/>
      <c r="C2424" s="541"/>
      <c r="D2424" s="541"/>
      <c r="E2424" s="541"/>
      <c r="F2424" s="541"/>
      <c r="G2424" s="541"/>
      <c r="H2424" s="97">
        <f>SUM(G2421:G2423)</f>
        <v>2377.1927500000002</v>
      </c>
    </row>
    <row r="2425" spans="1:15" ht="16.5">
      <c r="A2425" s="571" t="s">
        <v>4230</v>
      </c>
      <c r="B2425" s="572"/>
      <c r="C2425" s="572"/>
      <c r="D2425" s="572"/>
      <c r="E2425" s="572"/>
      <c r="F2425" s="572"/>
      <c r="G2425" s="572"/>
      <c r="H2425" s="573"/>
      <c r="K2425" s="56"/>
      <c r="L2425" s="56"/>
      <c r="M2425" s="56"/>
      <c r="N2425" s="56"/>
      <c r="O2425" s="56"/>
    </row>
    <row r="2426" spans="1:15" ht="30" customHeight="1">
      <c r="A2426" s="574" t="s">
        <v>7</v>
      </c>
      <c r="B2426" s="575"/>
      <c r="C2426" s="109" t="s">
        <v>0</v>
      </c>
      <c r="D2426" s="110" t="s">
        <v>4098</v>
      </c>
      <c r="E2426" s="111" t="s">
        <v>1</v>
      </c>
      <c r="F2426" s="576" t="s">
        <v>4218</v>
      </c>
      <c r="G2426" s="576"/>
      <c r="H2426" s="215"/>
      <c r="K2426" s="56"/>
      <c r="L2426" s="56"/>
      <c r="M2426" s="56"/>
      <c r="N2426" s="56"/>
      <c r="O2426" s="56"/>
    </row>
    <row r="2427" spans="1:15">
      <c r="A2427" s="577" t="s">
        <v>4607</v>
      </c>
      <c r="B2427" s="578"/>
      <c r="C2427" s="98" t="str">
        <f>VLOOKUP(A2427,'Materiales '!$C$2:$F$1302,3,0)</f>
        <v>Und</v>
      </c>
      <c r="D2427" s="99">
        <f>VLOOKUP(A2427,'Materiales '!$C$2:$F$1302,4,0)</f>
        <v>1977146.3250000002</v>
      </c>
      <c r="E2427" s="100">
        <v>1</v>
      </c>
      <c r="F2427" s="538">
        <f>E2427*D2427</f>
        <v>1977146.3250000002</v>
      </c>
      <c r="G2427" s="539"/>
      <c r="H2427" s="121"/>
      <c r="I2427">
        <f>E2427*G2418</f>
        <v>0</v>
      </c>
      <c r="J2427" s="67"/>
      <c r="K2427" s="56"/>
      <c r="L2427" s="56"/>
      <c r="M2427" s="56"/>
      <c r="N2427" s="56"/>
      <c r="O2427" s="56"/>
    </row>
    <row r="2428" spans="1:15">
      <c r="A2428" s="577" t="s">
        <v>4214</v>
      </c>
      <c r="B2428" s="578"/>
      <c r="C2428" s="98" t="str">
        <f>VLOOKUP(A2428,'Materiales '!$C$2:$F$1302,3,0)</f>
        <v>Und</v>
      </c>
      <c r="D2428" s="99">
        <f>VLOOKUP(A2428,'Materiales '!$C$2:$F$1302,4,0)</f>
        <v>22848</v>
      </c>
      <c r="E2428" s="100">
        <v>1</v>
      </c>
      <c r="F2428" s="538">
        <f t="shared" ref="F2428:F2434" si="142">E2428*D2428</f>
        <v>22848</v>
      </c>
      <c r="G2428" s="539"/>
      <c r="H2428" s="121"/>
      <c r="I2428">
        <f>E2428*G2418</f>
        <v>0</v>
      </c>
      <c r="J2428" s="67"/>
      <c r="K2428" s="56"/>
      <c r="L2428" s="56"/>
      <c r="M2428" s="56"/>
      <c r="N2428" s="56"/>
      <c r="O2428" s="56"/>
    </row>
    <row r="2429" spans="1:15">
      <c r="A2429" s="536" t="s">
        <v>4484</v>
      </c>
      <c r="B2429" s="537" t="str">
        <f>VLOOKUP(A2429,'Materiales '!$C$2:$F$1302,3,0)</f>
        <v>Und</v>
      </c>
      <c r="C2429" s="98" t="str">
        <f>VLOOKUP(A2429,'Materiales '!$C$2:$F$1302,3,0)</f>
        <v>Und</v>
      </c>
      <c r="D2429" s="99">
        <f>VLOOKUP(A2429,'Materiales '!$C$2:$F$1302,4,0)</f>
        <v>21705.599999999999</v>
      </c>
      <c r="E2429" s="100">
        <v>2</v>
      </c>
      <c r="F2429" s="538">
        <f t="shared" si="142"/>
        <v>43411.199999999997</v>
      </c>
      <c r="G2429" s="539"/>
      <c r="H2429" s="121"/>
      <c r="I2429">
        <f>E2429*G2418</f>
        <v>0</v>
      </c>
      <c r="J2429" s="68"/>
      <c r="K2429" s="56"/>
      <c r="L2429" s="56"/>
      <c r="M2429" s="56"/>
      <c r="N2429" s="56"/>
      <c r="O2429" s="56"/>
    </row>
    <row r="2430" spans="1:15">
      <c r="A2430" s="536" t="s">
        <v>4489</v>
      </c>
      <c r="B2430" s="537" t="str">
        <f>VLOOKUP(A2430,'Materiales '!$C$2:$F$1302,3,0)</f>
        <v>Und</v>
      </c>
      <c r="C2430" s="98" t="str">
        <f>VLOOKUP(A2430,'Materiales '!$C$2:$F$1302,3,0)</f>
        <v>Und</v>
      </c>
      <c r="D2430" s="99">
        <f>VLOOKUP(A2430,'Materiales '!$C$2:$F$1302,4,0)</f>
        <v>8039.6399999999994</v>
      </c>
      <c r="E2430" s="100">
        <v>3</v>
      </c>
      <c r="F2430" s="538">
        <f t="shared" si="142"/>
        <v>24118.92</v>
      </c>
      <c r="G2430" s="539"/>
      <c r="H2430" s="121"/>
      <c r="I2430">
        <f>E2430*G2418</f>
        <v>0</v>
      </c>
      <c r="J2430" s="68"/>
      <c r="K2430" s="56"/>
      <c r="L2430" s="56"/>
      <c r="M2430" s="56"/>
      <c r="N2430" s="56"/>
      <c r="O2430" s="56"/>
    </row>
    <row r="2431" spans="1:15">
      <c r="A2431" s="536" t="s">
        <v>4554</v>
      </c>
      <c r="B2431" s="537" t="str">
        <f>VLOOKUP(A2431,'Materiales '!$C$2:$F$1302,3,0)</f>
        <v>Und</v>
      </c>
      <c r="C2431" s="98" t="str">
        <f>VLOOKUP(A2431,'Materiales '!$C$2:$F$1302,3,0)</f>
        <v>Und</v>
      </c>
      <c r="D2431" s="99">
        <f>VLOOKUP(A2431,'Materiales '!$C$2:$F$1302,4,0)</f>
        <v>2535.5329999999999</v>
      </c>
      <c r="E2431" s="100">
        <v>2</v>
      </c>
      <c r="F2431" s="538">
        <f t="shared" si="142"/>
        <v>5071.0659999999998</v>
      </c>
      <c r="G2431" s="539"/>
      <c r="H2431" s="121"/>
      <c r="I2431">
        <f>E2431*G2418</f>
        <v>0</v>
      </c>
      <c r="J2431" s="68"/>
      <c r="K2431" s="56"/>
      <c r="L2431" s="56"/>
      <c r="M2431" s="56"/>
      <c r="N2431" s="56"/>
      <c r="O2431" s="56"/>
    </row>
    <row r="2432" spans="1:15">
      <c r="A2432" s="536" t="s">
        <v>4450</v>
      </c>
      <c r="B2432" s="537" t="str">
        <f>VLOOKUP(A2432,'Materiales '!$C$2:$F$1302,3,0)</f>
        <v>Ml</v>
      </c>
      <c r="C2432" s="98" t="str">
        <f>VLOOKUP(A2432,'Materiales '!$C$2:$F$1302,3,0)</f>
        <v>Ml</v>
      </c>
      <c r="D2432" s="99">
        <f>VLOOKUP(A2432,'Materiales '!$C$2:$F$1302,4,0)</f>
        <v>6791.5679999999993</v>
      </c>
      <c r="E2432" s="100">
        <v>1</v>
      </c>
      <c r="F2432" s="538">
        <f t="shared" si="142"/>
        <v>6791.5679999999993</v>
      </c>
      <c r="G2432" s="539"/>
      <c r="H2432" s="121"/>
      <c r="I2432">
        <f>E2432*G2418</f>
        <v>0</v>
      </c>
      <c r="J2432" s="68"/>
      <c r="K2432" s="56"/>
      <c r="L2432" s="56"/>
      <c r="M2432" s="56"/>
      <c r="N2432" s="56"/>
      <c r="O2432" s="56"/>
    </row>
    <row r="2433" spans="1:15">
      <c r="A2433" s="536" t="s">
        <v>4493</v>
      </c>
      <c r="B2433" s="537" t="str">
        <f>VLOOKUP(A2433,'Materiales '!$C$2:$F$1302,3,0)</f>
        <v>Und</v>
      </c>
      <c r="C2433" s="98" t="str">
        <f>VLOOKUP(A2433,'Materiales '!$C$2:$F$1302,3,0)</f>
        <v>Und</v>
      </c>
      <c r="D2433" s="99">
        <f>VLOOKUP(A2433,'Materiales '!$C$2:$F$1302,4,0)</f>
        <v>232.76399999999998</v>
      </c>
      <c r="E2433" s="100">
        <v>3</v>
      </c>
      <c r="F2433" s="538">
        <f t="shared" si="142"/>
        <v>698.29199999999992</v>
      </c>
      <c r="G2433" s="539"/>
      <c r="H2433" s="121"/>
      <c r="I2433">
        <f>E2433*G2418</f>
        <v>0</v>
      </c>
      <c r="J2433" s="68"/>
      <c r="K2433" s="56"/>
      <c r="L2433" s="56"/>
      <c r="M2433" s="56"/>
      <c r="N2433" s="56"/>
      <c r="O2433" s="56"/>
    </row>
    <row r="2434" spans="1:15" ht="21.75" customHeight="1">
      <c r="A2434" s="536" t="s">
        <v>4499</v>
      </c>
      <c r="B2434" s="537" t="str">
        <f>VLOOKUP(A2434,'Materiales '!$C$2:$F$1302,3,0)</f>
        <v>Und</v>
      </c>
      <c r="C2434" s="98" t="str">
        <f>VLOOKUP(A2434,'Materiales '!$C$2:$F$1302,3,0)</f>
        <v>Und</v>
      </c>
      <c r="D2434" s="99">
        <f>VLOOKUP(A2434,'Materiales '!$C$2:$F$1302,4,0)</f>
        <v>198000.05399999997</v>
      </c>
      <c r="E2434" s="100">
        <v>0.5</v>
      </c>
      <c r="F2434" s="538">
        <f t="shared" si="142"/>
        <v>99000.026999999987</v>
      </c>
      <c r="G2434" s="539"/>
      <c r="H2434" s="121"/>
      <c r="I2434">
        <f>E2434*G2418</f>
        <v>0</v>
      </c>
      <c r="J2434" s="68"/>
      <c r="K2434" s="56"/>
      <c r="L2434" s="56"/>
      <c r="M2434" s="56"/>
      <c r="N2434" s="56"/>
      <c r="O2434" s="56"/>
    </row>
    <row r="2435" spans="1:15">
      <c r="A2435" s="536" t="s">
        <v>8</v>
      </c>
      <c r="B2435" s="537" t="str">
        <f>VLOOKUP(A2435,'Materiales '!$C$2:$F$1302,3,0)</f>
        <v>-</v>
      </c>
      <c r="C2435" s="98" t="str">
        <f>VLOOKUP(A2435,'Materiales '!$C$2:$F$1302,3,0)</f>
        <v>-</v>
      </c>
      <c r="D2435" s="99">
        <f>VLOOKUP(A2435,'Materiales '!$C$2:$F$1302,4,0)</f>
        <v>0</v>
      </c>
      <c r="E2435" s="100"/>
      <c r="F2435" s="538">
        <f>E2435*D2435</f>
        <v>0</v>
      </c>
      <c r="G2435" s="539"/>
      <c r="H2435" s="120"/>
      <c r="I2435">
        <f>E2435*G2418</f>
        <v>0</v>
      </c>
      <c r="J2435" s="68"/>
      <c r="K2435" s="56"/>
      <c r="L2435" s="56"/>
      <c r="M2435" s="56"/>
      <c r="N2435" s="56"/>
      <c r="O2435" s="56"/>
    </row>
    <row r="2436" spans="1:15">
      <c r="A2436" s="536" t="s">
        <v>8</v>
      </c>
      <c r="B2436" s="537" t="str">
        <f>VLOOKUP(A2436,'Materiales '!$C$2:$F$1302,3,0)</f>
        <v>-</v>
      </c>
      <c r="C2436" s="98" t="str">
        <f>VLOOKUP(A2436,'Materiales '!$C$2:$F$1302,3,0)</f>
        <v>-</v>
      </c>
      <c r="D2436" s="99">
        <f>VLOOKUP(A2436,'Materiales '!$C$2:$F$1302,4,0)</f>
        <v>0</v>
      </c>
      <c r="E2436" s="100"/>
      <c r="F2436" s="538">
        <f t="shared" ref="F2436:F2439" si="143">E2436*D2436</f>
        <v>0</v>
      </c>
      <c r="G2436" s="539"/>
      <c r="H2436" s="121"/>
      <c r="I2436">
        <f>E2436*G2418</f>
        <v>0</v>
      </c>
      <c r="J2436" s="68"/>
      <c r="K2436" s="56"/>
      <c r="L2436" s="56"/>
      <c r="M2436" s="56"/>
      <c r="N2436" s="56"/>
      <c r="O2436" s="56"/>
    </row>
    <row r="2437" spans="1:15">
      <c r="A2437" s="536" t="s">
        <v>8</v>
      </c>
      <c r="B2437" s="537" t="str">
        <f>VLOOKUP(A2437,'Materiales '!$C$2:$F$1302,3,0)</f>
        <v>-</v>
      </c>
      <c r="C2437" s="98" t="str">
        <f>VLOOKUP(A2437,'Materiales '!$C$2:$F$1302,3,0)</f>
        <v>-</v>
      </c>
      <c r="D2437" s="99">
        <f>VLOOKUP(A2437,'Materiales '!$C$2:$F$1302,4,0)</f>
        <v>0</v>
      </c>
      <c r="E2437" s="100"/>
      <c r="F2437" s="538">
        <f t="shared" si="143"/>
        <v>0</v>
      </c>
      <c r="G2437" s="539"/>
      <c r="H2437" s="121"/>
      <c r="I2437">
        <f>E2437*G2418</f>
        <v>0</v>
      </c>
      <c r="J2437" s="68"/>
      <c r="K2437" s="56"/>
      <c r="L2437" s="56"/>
      <c r="M2437" s="56"/>
      <c r="N2437" s="56"/>
      <c r="O2437" s="56"/>
    </row>
    <row r="2438" spans="1:15">
      <c r="A2438" s="536" t="s">
        <v>8</v>
      </c>
      <c r="B2438" s="537" t="str">
        <f>VLOOKUP(A2438,'Materiales '!$C$2:$F$1302,3,0)</f>
        <v>-</v>
      </c>
      <c r="C2438" s="98" t="str">
        <f>VLOOKUP(A2438,'Materiales '!$C$2:$F$1302,3,0)</f>
        <v>-</v>
      </c>
      <c r="D2438" s="99">
        <f>VLOOKUP(A2438,'Materiales '!$C$2:$F$1302,4,0)</f>
        <v>0</v>
      </c>
      <c r="E2438" s="100"/>
      <c r="F2438" s="538">
        <f t="shared" si="143"/>
        <v>0</v>
      </c>
      <c r="G2438" s="539"/>
      <c r="H2438" s="121"/>
      <c r="I2438">
        <f>E2438*G2418</f>
        <v>0</v>
      </c>
      <c r="J2438" s="68"/>
      <c r="K2438" s="56"/>
      <c r="L2438" s="56"/>
      <c r="M2438" s="56"/>
      <c r="N2438" s="56"/>
      <c r="O2438" s="56"/>
    </row>
    <row r="2439" spans="1:15">
      <c r="A2439" s="536" t="s">
        <v>8</v>
      </c>
      <c r="B2439" s="537" t="str">
        <f>VLOOKUP(A2439,'Materiales '!$C$2:$F$1302,3,0)</f>
        <v>-</v>
      </c>
      <c r="C2439" s="98" t="str">
        <f>VLOOKUP(A2439,'Materiales '!$C$2:$F$1302,3,0)</f>
        <v>-</v>
      </c>
      <c r="D2439" s="99">
        <f>VLOOKUP(A2439,'Materiales '!$C$2:$F$1302,4,0)</f>
        <v>0</v>
      </c>
      <c r="E2439" s="100"/>
      <c r="F2439" s="538">
        <f t="shared" si="143"/>
        <v>0</v>
      </c>
      <c r="G2439" s="539"/>
      <c r="H2439" s="121"/>
      <c r="I2439">
        <f>E2439*G2418</f>
        <v>0</v>
      </c>
      <c r="J2439" s="68"/>
      <c r="K2439" s="56"/>
      <c r="L2439" s="56"/>
      <c r="M2439" s="56"/>
      <c r="N2439" s="56"/>
      <c r="O2439" s="56"/>
    </row>
    <row r="2440" spans="1:15">
      <c r="A2440" s="536" t="s">
        <v>8</v>
      </c>
      <c r="B2440" s="537" t="str">
        <f>VLOOKUP(A2440,'Materiales '!$C$2:$F$1302,3,0)</f>
        <v>-</v>
      </c>
      <c r="C2440" s="98" t="str">
        <f>VLOOKUP(A2440,'Materiales '!$C$2:$F$1302,3,0)</f>
        <v>-</v>
      </c>
      <c r="D2440" s="99">
        <f>VLOOKUP(A2440,'Materiales '!$C$2:$F$1302,4,0)</f>
        <v>0</v>
      </c>
      <c r="E2440" s="100"/>
      <c r="F2440" s="538">
        <f>E2440*D2440</f>
        <v>0</v>
      </c>
      <c r="G2440" s="539"/>
      <c r="H2440" s="120"/>
      <c r="I2440">
        <f>E2440*G2418</f>
        <v>0</v>
      </c>
      <c r="J2440" s="68"/>
      <c r="K2440" s="56"/>
      <c r="L2440" s="56"/>
      <c r="M2440" s="56"/>
      <c r="N2440" s="56"/>
      <c r="O2440" s="56"/>
    </row>
    <row r="2441" spans="1:15" ht="16.5">
      <c r="A2441" s="540" t="s">
        <v>4099</v>
      </c>
      <c r="B2441" s="541"/>
      <c r="C2441" s="541"/>
      <c r="D2441" s="541"/>
      <c r="E2441" s="541"/>
      <c r="F2441" s="541"/>
      <c r="G2441" s="542"/>
      <c r="H2441" s="116">
        <f>SUM(F2427:F2440)</f>
        <v>2179085.398</v>
      </c>
      <c r="J2441" s="68"/>
      <c r="K2441" s="56"/>
      <c r="L2441" s="56"/>
      <c r="M2441" s="56"/>
      <c r="N2441" s="56"/>
      <c r="O2441" s="56"/>
    </row>
    <row r="2442" spans="1:15" ht="16.5">
      <c r="A2442" s="543" t="s">
        <v>4231</v>
      </c>
      <c r="B2442" s="544"/>
      <c r="C2442" s="544"/>
      <c r="D2442" s="544"/>
      <c r="E2442" s="545"/>
      <c r="F2442" s="544"/>
      <c r="G2442" s="544"/>
      <c r="H2442" s="546"/>
      <c r="J2442" s="68"/>
      <c r="K2442" s="56"/>
      <c r="L2442" s="56"/>
      <c r="M2442" s="56"/>
      <c r="N2442" s="56"/>
      <c r="O2442" s="56"/>
    </row>
    <row r="2443" spans="1:15">
      <c r="A2443" s="547" t="s">
        <v>7</v>
      </c>
      <c r="B2443" s="548"/>
      <c r="C2443" s="108" t="s">
        <v>4232</v>
      </c>
      <c r="D2443" s="107" t="s">
        <v>4233</v>
      </c>
      <c r="E2443" s="206" t="s">
        <v>4234</v>
      </c>
      <c r="F2443" s="549" t="s">
        <v>4218</v>
      </c>
      <c r="G2443" s="549"/>
      <c r="H2443" s="119"/>
      <c r="K2443" s="56"/>
      <c r="L2443" s="56"/>
      <c r="M2443" s="56"/>
      <c r="N2443" s="56"/>
      <c r="O2443" s="56"/>
    </row>
    <row r="2444" spans="1:15">
      <c r="A2444" s="550" t="s">
        <v>3928</v>
      </c>
      <c r="B2444" s="551"/>
      <c r="C2444" s="232">
        <v>1</v>
      </c>
      <c r="D2444" s="102">
        <v>0.03</v>
      </c>
      <c r="E2444" s="103">
        <f>VLOOKUP(A2444,'Equip, Herr y Transp'!$B$2:$D$218,3,0)</f>
        <v>160000</v>
      </c>
      <c r="F2444" s="552">
        <f>E2444*D2444*C2444</f>
        <v>4800</v>
      </c>
      <c r="G2444" s="553"/>
      <c r="H2444" s="117"/>
      <c r="M2444" s="56"/>
    </row>
    <row r="2445" spans="1:15" ht="16.5">
      <c r="A2445" s="554" t="s">
        <v>4216</v>
      </c>
      <c r="B2445" s="555"/>
      <c r="C2445" s="555"/>
      <c r="D2445" s="555"/>
      <c r="E2445" s="555"/>
      <c r="F2445" s="555"/>
      <c r="G2445" s="555"/>
      <c r="H2445" s="105">
        <f>F2444</f>
        <v>4800</v>
      </c>
    </row>
    <row r="2446" spans="1:15" ht="16.5">
      <c r="A2446" s="543" t="s">
        <v>4235</v>
      </c>
      <c r="B2446" s="544"/>
      <c r="C2446" s="544"/>
      <c r="D2446" s="544"/>
      <c r="E2446" s="544"/>
      <c r="F2446" s="544"/>
      <c r="G2446" s="544"/>
      <c r="H2446" s="546"/>
    </row>
    <row r="2447" spans="1:15">
      <c r="A2447" s="547" t="s">
        <v>7</v>
      </c>
      <c r="B2447" s="548"/>
      <c r="C2447" s="106" t="s">
        <v>1</v>
      </c>
      <c r="D2447" s="107" t="s">
        <v>4236</v>
      </c>
      <c r="E2447" s="108" t="s">
        <v>4215</v>
      </c>
      <c r="F2447" s="547" t="s">
        <v>5</v>
      </c>
      <c r="G2447" s="556"/>
      <c r="H2447" s="119"/>
    </row>
    <row r="2448" spans="1:15">
      <c r="A2448" s="550" t="s">
        <v>4196</v>
      </c>
      <c r="B2448" s="551"/>
      <c r="C2448" s="101">
        <v>1</v>
      </c>
      <c r="D2448" s="104">
        <f>VLOOKUP(A2448,'Mano Obra'!$B$2:$T$117,19,0)</f>
        <v>166624</v>
      </c>
      <c r="E2448" s="246">
        <f>H2411</f>
        <v>5.21E-2</v>
      </c>
      <c r="F2448" s="538">
        <f>E2448*D2448*C2448</f>
        <v>8681.1103999999996</v>
      </c>
      <c r="G2448" s="557"/>
      <c r="H2448" s="121"/>
      <c r="I2448" s="69"/>
      <c r="J2448" s="136">
        <f>((('Mano Obra'!$M$4/30)*F2448)/D2448)*G2418</f>
        <v>0</v>
      </c>
    </row>
    <row r="2449" spans="1:10">
      <c r="A2449" s="558" t="s">
        <v>4197</v>
      </c>
      <c r="B2449" s="559">
        <f>VLOOKUP(A2449,'Mano Obra'!$B$3:$D$290,2,0)</f>
        <v>2090000.0000000002</v>
      </c>
      <c r="C2449" s="101">
        <v>1</v>
      </c>
      <c r="D2449" s="104">
        <f>VLOOKUP(A2449,'Mano Obra'!$B$2:$T$117,19,0)</f>
        <v>120456</v>
      </c>
      <c r="E2449" s="246">
        <f>H2411</f>
        <v>5.21E-2</v>
      </c>
      <c r="F2449" s="538">
        <f t="shared" ref="F2449:F2450" si="144">E2449*D2449*C2449</f>
        <v>6275.7575999999999</v>
      </c>
      <c r="G2449" s="557"/>
      <c r="H2449" s="121"/>
      <c r="J2449" s="136">
        <f>((('Mano Obra'!$M$5/30)*F2449)/D2449)*G2418</f>
        <v>0</v>
      </c>
    </row>
    <row r="2450" spans="1:10">
      <c r="A2450" s="558" t="s">
        <v>4186</v>
      </c>
      <c r="B2450" s="559">
        <f>VLOOKUP(A2450,'Mano Obra'!$B$3:$D$290,2,0)</f>
        <v>1100000</v>
      </c>
      <c r="C2450" s="101">
        <v>1</v>
      </c>
      <c r="D2450" s="104">
        <f>VLOOKUP(A2450,'Mano Obra'!$B$2:$T$117,19,0)</f>
        <v>72664</v>
      </c>
      <c r="E2450" s="246">
        <f>H2411</f>
        <v>5.21E-2</v>
      </c>
      <c r="F2450" s="538">
        <f t="shared" si="144"/>
        <v>3785.7944000000002</v>
      </c>
      <c r="G2450" s="557"/>
      <c r="H2450" s="120"/>
      <c r="J2450" s="136">
        <f>((('Mano Obra'!$M$6/30)*F2450)/D2450)*G2418</f>
        <v>0</v>
      </c>
    </row>
    <row r="2451" spans="1:10" ht="16.5">
      <c r="A2451" s="560" t="s">
        <v>4101</v>
      </c>
      <c r="B2451" s="560"/>
      <c r="C2451" s="560"/>
      <c r="D2451" s="560"/>
      <c r="E2451" s="560"/>
      <c r="F2451" s="560"/>
      <c r="G2451" s="560"/>
      <c r="H2451" s="105">
        <f>SUM(F2448:F2450)</f>
        <v>18742.662399999997</v>
      </c>
      <c r="J2451" s="136"/>
    </row>
    <row r="2452" spans="1:10">
      <c r="A2452" s="227" t="s">
        <v>4237</v>
      </c>
      <c r="B2452" s="205"/>
      <c r="C2452" s="205"/>
      <c r="D2452" s="202"/>
      <c r="E2452" s="203"/>
      <c r="F2452" s="204"/>
      <c r="G2452" s="203"/>
      <c r="H2452" s="212"/>
    </row>
    <row r="2453" spans="1:10">
      <c r="A2453" s="561" t="s">
        <v>4224</v>
      </c>
      <c r="B2453" s="562"/>
      <c r="C2453" s="562"/>
      <c r="D2453" s="562"/>
      <c r="E2453" s="200"/>
      <c r="F2453" s="201" t="s">
        <v>4238</v>
      </c>
      <c r="G2453" s="200" t="s">
        <v>4239</v>
      </c>
      <c r="H2453" s="213"/>
    </row>
    <row r="2454" spans="1:10">
      <c r="A2454" s="223" t="s">
        <v>4097</v>
      </c>
      <c r="B2454" s="72"/>
      <c r="C2454" s="72"/>
      <c r="D2454" s="73"/>
      <c r="E2454" s="78"/>
      <c r="F2454" s="79">
        <v>0</v>
      </c>
      <c r="G2454" s="80">
        <f>F2454*H2419</f>
        <v>0</v>
      </c>
      <c r="H2454" s="212"/>
    </row>
    <row r="2455" spans="1:10">
      <c r="A2455" s="224" t="s">
        <v>4240</v>
      </c>
      <c r="B2455" s="81"/>
      <c r="C2455" s="81"/>
      <c r="D2455" s="82"/>
      <c r="E2455" s="78"/>
      <c r="F2455" s="79">
        <v>0</v>
      </c>
      <c r="G2455" s="80">
        <f>F2455*H2419</f>
        <v>0</v>
      </c>
      <c r="H2455" s="212"/>
    </row>
    <row r="2456" spans="1:10">
      <c r="A2456" s="224" t="s">
        <v>4</v>
      </c>
      <c r="B2456" s="81"/>
      <c r="C2456" s="81"/>
      <c r="D2456" s="82"/>
      <c r="E2456" s="78"/>
      <c r="F2456" s="79">
        <v>0</v>
      </c>
      <c r="G2456" s="80">
        <f>F2456*H2419</f>
        <v>0</v>
      </c>
      <c r="H2456" s="212"/>
    </row>
    <row r="2457" spans="1:10">
      <c r="A2457" s="225"/>
      <c r="B2457" s="83"/>
      <c r="C2457" s="75"/>
      <c r="D2457" s="84"/>
      <c r="E2457" s="85"/>
      <c r="F2457" s="86"/>
      <c r="G2457" s="87"/>
      <c r="H2457" s="214"/>
    </row>
    <row r="2458" spans="1:10">
      <c r="A2458" s="226"/>
      <c r="B2458" s="83"/>
      <c r="C2458" s="83"/>
      <c r="D2458" s="84"/>
      <c r="E2458" s="88"/>
      <c r="F2458" s="563" t="s">
        <v>4241</v>
      </c>
      <c r="G2458" s="564"/>
      <c r="H2458" s="233">
        <f>H2419+G2454+G2455+G2456</f>
        <v>2205005.2531499998</v>
      </c>
    </row>
    <row r="2459" spans="1:10">
      <c r="A2459" s="83"/>
      <c r="B2459" s="83"/>
      <c r="C2459" s="83"/>
      <c r="D2459" s="84"/>
      <c r="E2459" s="388"/>
      <c r="F2459" s="389"/>
      <c r="G2459" s="389"/>
      <c r="H2459" s="390"/>
    </row>
    <row r="2460" spans="1:10" ht="16.5">
      <c r="A2460" s="90"/>
      <c r="B2460" s="90"/>
      <c r="C2460" s="90"/>
      <c r="D2460" s="90"/>
      <c r="E2460" s="90"/>
      <c r="F2460" s="90"/>
      <c r="G2460" s="90"/>
      <c r="H2460" s="381"/>
    </row>
    <row r="2461" spans="1:10">
      <c r="A2461" s="579" t="s">
        <v>4225</v>
      </c>
      <c r="B2461" s="580"/>
      <c r="C2461" s="580"/>
      <c r="D2461" s="580"/>
      <c r="E2461" s="580"/>
      <c r="F2461" s="580"/>
      <c r="G2461" s="580"/>
      <c r="H2461" s="581"/>
    </row>
    <row r="2462" spans="1:10" ht="16.5">
      <c r="A2462" s="91"/>
      <c r="B2462" s="92"/>
      <c r="C2462" s="92"/>
      <c r="D2462" s="92"/>
      <c r="E2462" s="92"/>
      <c r="F2462" s="93"/>
      <c r="G2462" s="94"/>
      <c r="H2462" s="380">
        <f>ROUND((25/60)/8,4)</f>
        <v>5.21E-2</v>
      </c>
      <c r="I2462" s="115"/>
    </row>
    <row r="2463" spans="1:10">
      <c r="A2463" s="582" t="s">
        <v>4220</v>
      </c>
      <c r="B2463" s="584" t="str">
        <f>COSTOS!$C$14</f>
        <v>MODERNIZACION A TECNOLOGIA LED</v>
      </c>
      <c r="C2463" s="584"/>
      <c r="D2463" s="584"/>
      <c r="E2463" s="584"/>
      <c r="F2463" s="584"/>
      <c r="G2463" s="584"/>
      <c r="H2463" s="585" t="s">
        <v>4221</v>
      </c>
    </row>
    <row r="2464" spans="1:10">
      <c r="A2464" s="583"/>
      <c r="B2464" s="584"/>
      <c r="C2464" s="584"/>
      <c r="D2464" s="584"/>
      <c r="E2464" s="584"/>
      <c r="F2464" s="584"/>
      <c r="G2464" s="584"/>
      <c r="H2464" s="585"/>
    </row>
    <row r="2465" spans="1:15">
      <c r="A2465" s="583"/>
      <c r="B2465" s="584"/>
      <c r="C2465" s="584"/>
      <c r="D2465" s="584"/>
      <c r="E2465" s="584"/>
      <c r="F2465" s="584"/>
      <c r="G2465" s="584"/>
      <c r="H2465" s="585"/>
    </row>
    <row r="2466" spans="1:15" ht="15" customHeight="1">
      <c r="A2466" s="583"/>
      <c r="B2466" s="584"/>
      <c r="C2466" s="584"/>
      <c r="D2466" s="584"/>
      <c r="E2466" s="584"/>
      <c r="F2466" s="584"/>
      <c r="G2466" s="584"/>
      <c r="H2466" s="216">
        <f ca="1">TODAY()</f>
        <v>44889</v>
      </c>
      <c r="K2466" t="s">
        <v>4391</v>
      </c>
      <c r="L2466" t="s">
        <v>4392</v>
      </c>
      <c r="M2466" t="s">
        <v>4393</v>
      </c>
      <c r="N2466" t="s">
        <v>4394</v>
      </c>
    </row>
    <row r="2467" spans="1:15" ht="60.75" customHeight="1">
      <c r="A2467" s="228" t="s">
        <v>4222</v>
      </c>
      <c r="B2467" s="565" t="str">
        <f>COSTOS!$D$16</f>
        <v>Luminarias</v>
      </c>
      <c r="C2467" s="565"/>
      <c r="D2467" s="565"/>
      <c r="E2467" s="565"/>
      <c r="F2467" s="565"/>
      <c r="G2467" s="70" t="s">
        <v>4223</v>
      </c>
      <c r="H2467" s="391">
        <v>1.49</v>
      </c>
      <c r="K2467" s="62">
        <f>H2492</f>
        <v>719524.93200000015</v>
      </c>
      <c r="L2467" s="62">
        <f>H2502</f>
        <v>18742.662399999997</v>
      </c>
      <c r="M2467" s="62">
        <f>H2475</f>
        <v>2377.1927500000002</v>
      </c>
      <c r="N2467" s="62">
        <f>H2496</f>
        <v>4800</v>
      </c>
    </row>
    <row r="2468" spans="1:15" ht="43.15" customHeight="1">
      <c r="A2468" s="229" t="s">
        <v>4224</v>
      </c>
      <c r="B2468" s="566" t="str">
        <f>VLOOKUP(H2467,COSTOS!C:M,2,0)</f>
        <v>Wall Washed Led 31w</v>
      </c>
      <c r="C2468" s="567"/>
      <c r="D2468" s="567"/>
      <c r="E2468" s="568"/>
      <c r="F2468" s="71" t="s">
        <v>0</v>
      </c>
      <c r="G2468" s="356" t="str">
        <f>VLOOKUP(H2467,COSTOS!C:M,8,0)</f>
        <v>Und</v>
      </c>
      <c r="H2468" s="276"/>
      <c r="I2468" s="306"/>
      <c r="J2468" s="308"/>
      <c r="K2468" s="308"/>
      <c r="L2468" s="308"/>
    </row>
    <row r="2469" spans="1:15">
      <c r="A2469" s="230"/>
      <c r="B2469" s="112"/>
      <c r="C2469" s="112"/>
      <c r="D2469" s="112"/>
      <c r="E2469" s="113"/>
      <c r="F2469" s="114" t="s">
        <v>1</v>
      </c>
      <c r="G2469" s="356">
        <f>VLOOKUP(H2467,COSTOS!C:M,9,0)</f>
        <v>0</v>
      </c>
      <c r="H2469" s="357"/>
      <c r="I2469" s="307"/>
    </row>
    <row r="2470" spans="1:15" ht="16.5">
      <c r="A2470" s="231" t="s">
        <v>4226</v>
      </c>
      <c r="B2470" s="75"/>
      <c r="C2470" s="75"/>
      <c r="D2470" s="76"/>
      <c r="E2470" s="209"/>
      <c r="F2470" s="210"/>
      <c r="G2470" s="211" t="s">
        <v>4227</v>
      </c>
      <c r="H2470" s="217">
        <f>H2475+H2492+H2496+H2502</f>
        <v>745444.78715000022</v>
      </c>
    </row>
    <row r="2471" spans="1:15" ht="39">
      <c r="A2471" s="569" t="s">
        <v>4224</v>
      </c>
      <c r="B2471" s="569"/>
      <c r="C2471" s="569"/>
      <c r="D2471" s="77" t="s">
        <v>0</v>
      </c>
      <c r="E2471" s="207" t="s">
        <v>4228</v>
      </c>
      <c r="F2471" s="208" t="s">
        <v>4215</v>
      </c>
      <c r="G2471" s="74" t="s">
        <v>2</v>
      </c>
      <c r="H2471" s="218" t="s">
        <v>4229</v>
      </c>
      <c r="K2471" s="309"/>
    </row>
    <row r="2472" spans="1:15">
      <c r="A2472" s="536" t="s">
        <v>3946</v>
      </c>
      <c r="B2472" s="570" t="str">
        <f>VLOOKUP(A2472,'Equip, Herr y Transp'!$B$2:$D$739,2,0)</f>
        <v>EQU</v>
      </c>
      <c r="C2472" s="570"/>
      <c r="D2472" s="95" t="str">
        <f>VLOOKUP(A2472,'Equip, Herr y Transp'!$B$2:$D$218,2,0)</f>
        <v>EQU</v>
      </c>
      <c r="E2472" s="95">
        <f>VLOOKUP(A2472,'Equip, Herr y Transp'!$B$2:$D$218,3,0)</f>
        <v>14130</v>
      </c>
      <c r="F2472" s="96">
        <f>H2462</f>
        <v>5.21E-2</v>
      </c>
      <c r="G2472" s="122">
        <f>F2472*E2472</f>
        <v>736.173</v>
      </c>
      <c r="H2472" s="118"/>
    </row>
    <row r="2473" spans="1:15">
      <c r="A2473" s="536" t="s">
        <v>3937</v>
      </c>
      <c r="B2473" s="570" t="str">
        <f>VLOOKUP(A2473,'Equip, Herr y Transp'!$B$2:$D$739,2,0)</f>
        <v>EQU</v>
      </c>
      <c r="C2473" s="570"/>
      <c r="D2473" s="95" t="str">
        <f>VLOOKUP(A2473,'Equip, Herr y Transp'!$B$2:$D$218,2,0)</f>
        <v>EQU</v>
      </c>
      <c r="E2473" s="95">
        <f>VLOOKUP(A2473,'Equip, Herr y Transp'!$B$2:$D$218,3,0)</f>
        <v>23750</v>
      </c>
      <c r="F2473" s="96">
        <f>H2462</f>
        <v>5.21E-2</v>
      </c>
      <c r="G2473" s="122">
        <f>F2473*E2473</f>
        <v>1237.375</v>
      </c>
      <c r="H2473" s="117"/>
    </row>
    <row r="2474" spans="1:15">
      <c r="A2474" s="536" t="s">
        <v>3903</v>
      </c>
      <c r="B2474" s="570" t="str">
        <f>VLOOKUP(A2474,'Equip, Herr y Transp'!$B$2:$D$739,2,0)</f>
        <v>EQU</v>
      </c>
      <c r="C2474" s="570"/>
      <c r="D2474" s="95" t="str">
        <f>VLOOKUP(A2474,'Equip, Herr y Transp'!$B$2:$D$218,2,0)</f>
        <v>EQU</v>
      </c>
      <c r="E2474" s="95">
        <f>VLOOKUP(A2474,'Equip, Herr y Transp'!$B$2:$D$218,3,0)</f>
        <v>7747.5</v>
      </c>
      <c r="F2474" s="96">
        <f>H2462</f>
        <v>5.21E-2</v>
      </c>
      <c r="G2474" s="122">
        <f>F2474*E2474</f>
        <v>403.64474999999999</v>
      </c>
      <c r="H2474" s="117"/>
    </row>
    <row r="2475" spans="1:15" ht="16.5">
      <c r="A2475" s="540" t="s">
        <v>4100</v>
      </c>
      <c r="B2475" s="541"/>
      <c r="C2475" s="541"/>
      <c r="D2475" s="541"/>
      <c r="E2475" s="541"/>
      <c r="F2475" s="541"/>
      <c r="G2475" s="541"/>
      <c r="H2475" s="97">
        <f>SUM(G2472:G2474)</f>
        <v>2377.1927500000002</v>
      </c>
    </row>
    <row r="2476" spans="1:15" ht="16.5">
      <c r="A2476" s="571" t="s">
        <v>4230</v>
      </c>
      <c r="B2476" s="572"/>
      <c r="C2476" s="572"/>
      <c r="D2476" s="572"/>
      <c r="E2476" s="572"/>
      <c r="F2476" s="572"/>
      <c r="G2476" s="572"/>
      <c r="H2476" s="573"/>
      <c r="K2476" s="56"/>
      <c r="L2476" s="56"/>
      <c r="M2476" s="56"/>
      <c r="N2476" s="56"/>
      <c r="O2476" s="56"/>
    </row>
    <row r="2477" spans="1:15" ht="30" customHeight="1">
      <c r="A2477" s="574" t="s">
        <v>7</v>
      </c>
      <c r="B2477" s="575"/>
      <c r="C2477" s="109" t="s">
        <v>0</v>
      </c>
      <c r="D2477" s="110" t="s">
        <v>4098</v>
      </c>
      <c r="E2477" s="111" t="s">
        <v>1</v>
      </c>
      <c r="F2477" s="576" t="s">
        <v>4218</v>
      </c>
      <c r="G2477" s="576"/>
      <c r="H2477" s="215"/>
      <c r="K2477" s="56"/>
      <c r="L2477" s="56"/>
      <c r="M2477" s="56"/>
      <c r="N2477" s="56"/>
      <c r="O2477" s="56"/>
    </row>
    <row r="2478" spans="1:15">
      <c r="A2478" s="577" t="s">
        <v>4748</v>
      </c>
      <c r="B2478" s="578"/>
      <c r="C2478" s="98" t="str">
        <f>VLOOKUP(A2478,'Materiales '!$C$2:$F$1302,3,0)</f>
        <v>Und</v>
      </c>
      <c r="D2478" s="99">
        <f>VLOOKUP(A2478,'Materiales '!$C$2:$F$1302,4,0)</f>
        <v>606900</v>
      </c>
      <c r="E2478" s="100">
        <v>1</v>
      </c>
      <c r="F2478" s="538">
        <f>E2478*D2478</f>
        <v>606900</v>
      </c>
      <c r="G2478" s="539"/>
      <c r="H2478" s="121"/>
      <c r="I2478">
        <f>E2478*G2469</f>
        <v>0</v>
      </c>
      <c r="J2478" s="67"/>
      <c r="K2478" s="56"/>
      <c r="L2478" s="56"/>
      <c r="M2478" s="56"/>
      <c r="N2478" s="56"/>
      <c r="O2478" s="56"/>
    </row>
    <row r="2479" spans="1:15">
      <c r="A2479" s="577" t="s">
        <v>4636</v>
      </c>
      <c r="B2479" s="578"/>
      <c r="C2479" s="98" t="str">
        <f>VLOOKUP(A2479,'Materiales '!$C$2:$F$1302,3,0)</f>
        <v>Und</v>
      </c>
      <c r="D2479" s="99">
        <f>VLOOKUP(A2479,'Materiales '!$C$2:$F$1302,4,0)</f>
        <v>13994.4</v>
      </c>
      <c r="E2479" s="100">
        <v>1</v>
      </c>
      <c r="F2479" s="538">
        <f t="shared" ref="F2479:F2485" si="145">E2479*D2479</f>
        <v>13994.4</v>
      </c>
      <c r="G2479" s="539"/>
      <c r="H2479" s="121"/>
      <c r="I2479">
        <f>E2479*G2469</f>
        <v>0</v>
      </c>
      <c r="J2479" s="67"/>
      <c r="K2479" s="56"/>
      <c r="L2479" s="56"/>
      <c r="M2479" s="56"/>
      <c r="N2479" s="56"/>
      <c r="O2479" s="56"/>
    </row>
    <row r="2480" spans="1:15" ht="15" customHeight="1">
      <c r="A2480" s="536" t="s">
        <v>4639</v>
      </c>
      <c r="B2480" s="537" t="str">
        <f>VLOOKUP(A2480,'Materiales '!$C$2:$F$1302,3,0)</f>
        <v>Und</v>
      </c>
      <c r="C2480" s="98" t="str">
        <f>VLOOKUP(A2480,'Materiales '!$C$2:$F$1302,3,0)</f>
        <v>Und</v>
      </c>
      <c r="D2480" s="99">
        <f>VLOOKUP(A2480,'Materiales '!$C$2:$F$1302,4,0)</f>
        <v>35700</v>
      </c>
      <c r="E2480" s="100">
        <v>2</v>
      </c>
      <c r="F2480" s="538">
        <f t="shared" si="145"/>
        <v>71400</v>
      </c>
      <c r="G2480" s="539"/>
      <c r="H2480" s="121"/>
      <c r="I2480">
        <f>E2480*G2469</f>
        <v>0</v>
      </c>
      <c r="J2480" s="68"/>
      <c r="K2480" s="56"/>
      <c r="L2480" s="56"/>
      <c r="M2480" s="56"/>
      <c r="N2480" s="56"/>
      <c r="O2480" s="56"/>
    </row>
    <row r="2481" spans="1:15">
      <c r="A2481" s="536" t="s">
        <v>4450</v>
      </c>
      <c r="B2481" s="537" t="str">
        <f>VLOOKUP(A2481,'Materiales '!$C$2:$F$1302,3,0)</f>
        <v>Ml</v>
      </c>
      <c r="C2481" s="98" t="str">
        <f>VLOOKUP(A2481,'Materiales '!$C$2:$F$1302,3,0)</f>
        <v>Ml</v>
      </c>
      <c r="D2481" s="99">
        <f>VLOOKUP(A2481,'Materiales '!$C$2:$F$1302,4,0)</f>
        <v>6791.5679999999993</v>
      </c>
      <c r="E2481" s="100">
        <v>3</v>
      </c>
      <c r="F2481" s="538">
        <f t="shared" si="145"/>
        <v>20374.703999999998</v>
      </c>
      <c r="G2481" s="539"/>
      <c r="H2481" s="121"/>
      <c r="I2481">
        <f>E2481*G2469</f>
        <v>0</v>
      </c>
      <c r="J2481" s="68"/>
      <c r="K2481" s="56"/>
      <c r="L2481" s="56"/>
      <c r="M2481" s="56"/>
      <c r="N2481" s="56"/>
      <c r="O2481" s="56"/>
    </row>
    <row r="2482" spans="1:15">
      <c r="A2482" s="536" t="s">
        <v>4493</v>
      </c>
      <c r="B2482" s="537" t="str">
        <f>VLOOKUP(A2482,'Materiales '!$C$2:$F$1302,3,0)</f>
        <v>Und</v>
      </c>
      <c r="C2482" s="98" t="str">
        <f>VLOOKUP(A2482,'Materiales '!$C$2:$F$1302,3,0)</f>
        <v>Und</v>
      </c>
      <c r="D2482" s="99">
        <f>VLOOKUP(A2482,'Materiales '!$C$2:$F$1302,4,0)</f>
        <v>232.76399999999998</v>
      </c>
      <c r="E2482" s="100">
        <v>2</v>
      </c>
      <c r="F2482" s="538">
        <f t="shared" si="145"/>
        <v>465.52799999999996</v>
      </c>
      <c r="G2482" s="539"/>
      <c r="H2482" s="121"/>
      <c r="I2482">
        <f>E2482*G2469</f>
        <v>0</v>
      </c>
      <c r="J2482" s="68"/>
      <c r="K2482" s="56"/>
      <c r="L2482" s="56"/>
      <c r="M2482" s="56"/>
      <c r="N2482" s="56"/>
      <c r="O2482" s="56"/>
    </row>
    <row r="2483" spans="1:15">
      <c r="A2483" s="536" t="s">
        <v>4638</v>
      </c>
      <c r="B2483" s="537" t="str">
        <f>VLOOKUP(A2483,'Materiales '!$C$2:$F$1302,3,0)</f>
        <v>Und</v>
      </c>
      <c r="C2483" s="98" t="str">
        <f>VLOOKUP(A2483,'Materiales '!$C$2:$F$1302,3,0)</f>
        <v>Und</v>
      </c>
      <c r="D2483" s="99">
        <f>VLOOKUP(A2483,'Materiales '!$C$2:$F$1302,4,0)</f>
        <v>4426.8</v>
      </c>
      <c r="E2483" s="100">
        <v>1</v>
      </c>
      <c r="F2483" s="538">
        <f t="shared" si="145"/>
        <v>4426.8</v>
      </c>
      <c r="G2483" s="539"/>
      <c r="H2483" s="121"/>
      <c r="I2483">
        <f>E2483*G2469</f>
        <v>0</v>
      </c>
      <c r="J2483" s="68"/>
      <c r="K2483" s="56"/>
      <c r="L2483" s="56"/>
      <c r="M2483" s="56"/>
      <c r="N2483" s="56"/>
      <c r="O2483" s="56"/>
    </row>
    <row r="2484" spans="1:15">
      <c r="A2484" s="536" t="s">
        <v>4574</v>
      </c>
      <c r="B2484" s="537" t="str">
        <f>VLOOKUP(A2484,'Materiales '!$C$2:$F$1302,3,0)</f>
        <v>Und</v>
      </c>
      <c r="C2484" s="98" t="str">
        <f>VLOOKUP(A2484,'Materiales '!$C$2:$F$1302,3,0)</f>
        <v>Und</v>
      </c>
      <c r="D2484" s="99">
        <f>VLOOKUP(A2484,'Materiales '!$C$2:$F$1302,4,0)</f>
        <v>654.5</v>
      </c>
      <c r="E2484" s="100">
        <v>3</v>
      </c>
      <c r="F2484" s="538">
        <f t="shared" si="145"/>
        <v>1963.5</v>
      </c>
      <c r="G2484" s="539"/>
      <c r="H2484" s="121"/>
      <c r="I2484">
        <f>E2484*G2469</f>
        <v>0</v>
      </c>
      <c r="J2484" s="68"/>
      <c r="K2484" s="56"/>
      <c r="L2484" s="56"/>
      <c r="M2484" s="56"/>
      <c r="N2484" s="56"/>
      <c r="O2484" s="56"/>
    </row>
    <row r="2485" spans="1:15" ht="21.75" customHeight="1">
      <c r="A2485" s="536" t="s">
        <v>8</v>
      </c>
      <c r="B2485" s="537" t="str">
        <f>VLOOKUP(A2485,'Materiales '!$C$2:$F$1302,3,0)</f>
        <v>-</v>
      </c>
      <c r="C2485" s="98" t="str">
        <f>VLOOKUP(A2485,'Materiales '!$C$2:$F$1302,3,0)</f>
        <v>-</v>
      </c>
      <c r="D2485" s="99">
        <f>VLOOKUP(A2485,'Materiales '!$C$2:$F$1302,4,0)</f>
        <v>0</v>
      </c>
      <c r="E2485" s="100"/>
      <c r="F2485" s="538">
        <f t="shared" si="145"/>
        <v>0</v>
      </c>
      <c r="G2485" s="539"/>
      <c r="H2485" s="121"/>
      <c r="I2485">
        <f>E2485*G2469</f>
        <v>0</v>
      </c>
      <c r="J2485" s="68"/>
      <c r="K2485" s="56"/>
      <c r="L2485" s="56"/>
      <c r="M2485" s="56"/>
      <c r="N2485" s="56"/>
      <c r="O2485" s="56"/>
    </row>
    <row r="2486" spans="1:15">
      <c r="A2486" s="536" t="s">
        <v>8</v>
      </c>
      <c r="B2486" s="537" t="str">
        <f>VLOOKUP(A2486,'Materiales '!$C$2:$F$1302,3,0)</f>
        <v>-</v>
      </c>
      <c r="C2486" s="98" t="str">
        <f>VLOOKUP(A2486,'Materiales '!$C$2:$F$1302,3,0)</f>
        <v>-</v>
      </c>
      <c r="D2486" s="99">
        <f>VLOOKUP(A2486,'Materiales '!$C$2:$F$1302,4,0)</f>
        <v>0</v>
      </c>
      <c r="E2486" s="100"/>
      <c r="F2486" s="538">
        <f>E2486*D2486</f>
        <v>0</v>
      </c>
      <c r="G2486" s="539"/>
      <c r="H2486" s="120"/>
      <c r="I2486">
        <f>E2486*G2469</f>
        <v>0</v>
      </c>
      <c r="J2486" s="68"/>
      <c r="K2486" s="56"/>
      <c r="L2486" s="56"/>
      <c r="M2486" s="56"/>
      <c r="N2486" s="56"/>
      <c r="O2486" s="56"/>
    </row>
    <row r="2487" spans="1:15">
      <c r="A2487" s="536" t="s">
        <v>8</v>
      </c>
      <c r="B2487" s="537" t="str">
        <f>VLOOKUP(A2487,'Materiales '!$C$2:$F$1302,3,0)</f>
        <v>-</v>
      </c>
      <c r="C2487" s="98" t="str">
        <f>VLOOKUP(A2487,'Materiales '!$C$2:$F$1302,3,0)</f>
        <v>-</v>
      </c>
      <c r="D2487" s="99">
        <f>VLOOKUP(A2487,'Materiales '!$C$2:$F$1302,4,0)</f>
        <v>0</v>
      </c>
      <c r="E2487" s="100"/>
      <c r="F2487" s="538">
        <f t="shared" ref="F2487:F2490" si="146">E2487*D2487</f>
        <v>0</v>
      </c>
      <c r="G2487" s="539"/>
      <c r="H2487" s="121"/>
      <c r="I2487">
        <f>E2487*G2469</f>
        <v>0</v>
      </c>
      <c r="J2487" s="68"/>
      <c r="K2487" s="56"/>
      <c r="L2487" s="56"/>
      <c r="M2487" s="56"/>
      <c r="N2487" s="56"/>
      <c r="O2487" s="56"/>
    </row>
    <row r="2488" spans="1:15">
      <c r="A2488" s="536" t="s">
        <v>8</v>
      </c>
      <c r="B2488" s="537" t="str">
        <f>VLOOKUP(A2488,'Materiales '!$C$2:$F$1302,3,0)</f>
        <v>-</v>
      </c>
      <c r="C2488" s="98" t="str">
        <f>VLOOKUP(A2488,'Materiales '!$C$2:$F$1302,3,0)</f>
        <v>-</v>
      </c>
      <c r="D2488" s="99">
        <f>VLOOKUP(A2488,'Materiales '!$C$2:$F$1302,4,0)</f>
        <v>0</v>
      </c>
      <c r="E2488" s="100"/>
      <c r="F2488" s="538">
        <f t="shared" si="146"/>
        <v>0</v>
      </c>
      <c r="G2488" s="539"/>
      <c r="H2488" s="121"/>
      <c r="I2488">
        <f>E2488*G2469</f>
        <v>0</v>
      </c>
      <c r="J2488" s="68"/>
      <c r="K2488" s="56"/>
      <c r="L2488" s="56"/>
      <c r="M2488" s="56"/>
      <c r="N2488" s="56"/>
      <c r="O2488" s="56"/>
    </row>
    <row r="2489" spans="1:15">
      <c r="A2489" s="536" t="s">
        <v>8</v>
      </c>
      <c r="B2489" s="537" t="str">
        <f>VLOOKUP(A2489,'Materiales '!$C$2:$F$1302,3,0)</f>
        <v>-</v>
      </c>
      <c r="C2489" s="98" t="str">
        <f>VLOOKUP(A2489,'Materiales '!$C$2:$F$1302,3,0)</f>
        <v>-</v>
      </c>
      <c r="D2489" s="99">
        <f>VLOOKUP(A2489,'Materiales '!$C$2:$F$1302,4,0)</f>
        <v>0</v>
      </c>
      <c r="E2489" s="100"/>
      <c r="F2489" s="538">
        <f t="shared" si="146"/>
        <v>0</v>
      </c>
      <c r="G2489" s="539"/>
      <c r="H2489" s="121"/>
      <c r="I2489">
        <f>E2489*G2469</f>
        <v>0</v>
      </c>
      <c r="J2489" s="68"/>
      <c r="K2489" s="56"/>
      <c r="L2489" s="56"/>
      <c r="M2489" s="56"/>
      <c r="N2489" s="56"/>
      <c r="O2489" s="56"/>
    </row>
    <row r="2490" spans="1:15">
      <c r="A2490" s="536" t="s">
        <v>8</v>
      </c>
      <c r="B2490" s="537" t="str">
        <f>VLOOKUP(A2490,'Materiales '!$C$2:$F$1302,3,0)</f>
        <v>-</v>
      </c>
      <c r="C2490" s="98" t="str">
        <f>VLOOKUP(A2490,'Materiales '!$C$2:$F$1302,3,0)</f>
        <v>-</v>
      </c>
      <c r="D2490" s="99">
        <f>VLOOKUP(A2490,'Materiales '!$C$2:$F$1302,4,0)</f>
        <v>0</v>
      </c>
      <c r="E2490" s="100"/>
      <c r="F2490" s="538">
        <f t="shared" si="146"/>
        <v>0</v>
      </c>
      <c r="G2490" s="539"/>
      <c r="H2490" s="121"/>
      <c r="I2490">
        <f>E2490*G2469</f>
        <v>0</v>
      </c>
      <c r="J2490" s="68"/>
      <c r="K2490" s="56"/>
      <c r="L2490" s="56"/>
      <c r="M2490" s="56"/>
      <c r="N2490" s="56"/>
      <c r="O2490" s="56"/>
    </row>
    <row r="2491" spans="1:15">
      <c r="A2491" s="536" t="s">
        <v>8</v>
      </c>
      <c r="B2491" s="537" t="str">
        <f>VLOOKUP(A2491,'Materiales '!$C$2:$F$1302,3,0)</f>
        <v>-</v>
      </c>
      <c r="C2491" s="98" t="str">
        <f>VLOOKUP(A2491,'Materiales '!$C$2:$F$1302,3,0)</f>
        <v>-</v>
      </c>
      <c r="D2491" s="99">
        <f>VLOOKUP(A2491,'Materiales '!$C$2:$F$1302,4,0)</f>
        <v>0</v>
      </c>
      <c r="E2491" s="100"/>
      <c r="F2491" s="538">
        <f>E2491*D2491</f>
        <v>0</v>
      </c>
      <c r="G2491" s="539"/>
      <c r="H2491" s="120"/>
      <c r="I2491">
        <f>E2491*G2469</f>
        <v>0</v>
      </c>
      <c r="J2491" s="68"/>
      <c r="K2491" s="56"/>
      <c r="L2491" s="56"/>
      <c r="M2491" s="56"/>
      <c r="N2491" s="56"/>
      <c r="O2491" s="56"/>
    </row>
    <row r="2492" spans="1:15" ht="16.5">
      <c r="A2492" s="540" t="s">
        <v>4099</v>
      </c>
      <c r="B2492" s="541"/>
      <c r="C2492" s="541"/>
      <c r="D2492" s="541"/>
      <c r="E2492" s="541"/>
      <c r="F2492" s="541"/>
      <c r="G2492" s="542"/>
      <c r="H2492" s="116">
        <f>SUM(F2478:F2491)</f>
        <v>719524.93200000015</v>
      </c>
      <c r="J2492" s="68"/>
      <c r="K2492" s="56"/>
      <c r="L2492" s="56"/>
      <c r="M2492" s="56"/>
      <c r="N2492" s="56"/>
      <c r="O2492" s="56"/>
    </row>
    <row r="2493" spans="1:15" ht="16.5">
      <c r="A2493" s="543" t="s">
        <v>4231</v>
      </c>
      <c r="B2493" s="544"/>
      <c r="C2493" s="544"/>
      <c r="D2493" s="544"/>
      <c r="E2493" s="545"/>
      <c r="F2493" s="544"/>
      <c r="G2493" s="544"/>
      <c r="H2493" s="546"/>
      <c r="J2493" s="68"/>
      <c r="K2493" s="56"/>
      <c r="L2493" s="56"/>
      <c r="M2493" s="56"/>
      <c r="N2493" s="56"/>
      <c r="O2493" s="56"/>
    </row>
    <row r="2494" spans="1:15">
      <c r="A2494" s="547" t="s">
        <v>7</v>
      </c>
      <c r="B2494" s="548"/>
      <c r="C2494" s="108" t="s">
        <v>4232</v>
      </c>
      <c r="D2494" s="107" t="s">
        <v>4233</v>
      </c>
      <c r="E2494" s="206" t="s">
        <v>4234</v>
      </c>
      <c r="F2494" s="549" t="s">
        <v>4218</v>
      </c>
      <c r="G2494" s="549"/>
      <c r="H2494" s="119"/>
      <c r="K2494" s="56"/>
      <c r="L2494" s="56"/>
      <c r="M2494" s="56"/>
      <c r="N2494" s="56"/>
      <c r="O2494" s="56"/>
    </row>
    <row r="2495" spans="1:15">
      <c r="A2495" s="550" t="s">
        <v>3928</v>
      </c>
      <c r="B2495" s="551"/>
      <c r="C2495" s="232">
        <v>1</v>
      </c>
      <c r="D2495" s="102">
        <v>0.03</v>
      </c>
      <c r="E2495" s="103">
        <f>VLOOKUP(A2495,'Equip, Herr y Transp'!$B$2:$D$218,3,0)</f>
        <v>160000</v>
      </c>
      <c r="F2495" s="552">
        <f>E2495*D2495*C2495</f>
        <v>4800</v>
      </c>
      <c r="G2495" s="553"/>
      <c r="H2495" s="117"/>
      <c r="M2495" s="56"/>
    </row>
    <row r="2496" spans="1:15" ht="16.5">
      <c r="A2496" s="554" t="s">
        <v>4216</v>
      </c>
      <c r="B2496" s="555"/>
      <c r="C2496" s="555"/>
      <c r="D2496" s="555"/>
      <c r="E2496" s="555"/>
      <c r="F2496" s="555"/>
      <c r="G2496" s="555"/>
      <c r="H2496" s="105">
        <f>F2495</f>
        <v>4800</v>
      </c>
    </row>
    <row r="2497" spans="1:10" ht="16.5">
      <c r="A2497" s="543" t="s">
        <v>4235</v>
      </c>
      <c r="B2497" s="544"/>
      <c r="C2497" s="544"/>
      <c r="D2497" s="544"/>
      <c r="E2497" s="544"/>
      <c r="F2497" s="544"/>
      <c r="G2497" s="544"/>
      <c r="H2497" s="546"/>
    </row>
    <row r="2498" spans="1:10">
      <c r="A2498" s="547" t="s">
        <v>7</v>
      </c>
      <c r="B2498" s="548"/>
      <c r="C2498" s="106" t="s">
        <v>1</v>
      </c>
      <c r="D2498" s="107" t="s">
        <v>4236</v>
      </c>
      <c r="E2498" s="108" t="s">
        <v>4215</v>
      </c>
      <c r="F2498" s="547" t="s">
        <v>5</v>
      </c>
      <c r="G2498" s="556"/>
      <c r="H2498" s="119"/>
    </row>
    <row r="2499" spans="1:10">
      <c r="A2499" s="550" t="s">
        <v>4196</v>
      </c>
      <c r="B2499" s="551"/>
      <c r="C2499" s="101">
        <v>1</v>
      </c>
      <c r="D2499" s="104">
        <f>VLOOKUP(A2499,'Mano Obra'!$B$2:$T$117,19,0)</f>
        <v>166624</v>
      </c>
      <c r="E2499" s="246">
        <f>H2462</f>
        <v>5.21E-2</v>
      </c>
      <c r="F2499" s="538">
        <f>E2499*D2499*C2499</f>
        <v>8681.1103999999996</v>
      </c>
      <c r="G2499" s="557"/>
      <c r="H2499" s="121"/>
      <c r="I2499" s="69"/>
      <c r="J2499" s="136">
        <f>((('Mano Obra'!$M$4/30)*F2499)/D2499)*G2469</f>
        <v>0</v>
      </c>
    </row>
    <row r="2500" spans="1:10">
      <c r="A2500" s="558" t="s">
        <v>4197</v>
      </c>
      <c r="B2500" s="559">
        <f>VLOOKUP(A2500,'Mano Obra'!$B$3:$D$290,2,0)</f>
        <v>2090000.0000000002</v>
      </c>
      <c r="C2500" s="101">
        <v>1</v>
      </c>
      <c r="D2500" s="104">
        <f>VLOOKUP(A2500,'Mano Obra'!$B$2:$T$117,19,0)</f>
        <v>120456</v>
      </c>
      <c r="E2500" s="246">
        <f>H2462</f>
        <v>5.21E-2</v>
      </c>
      <c r="F2500" s="538">
        <f t="shared" ref="F2500:F2501" si="147">E2500*D2500*C2500</f>
        <v>6275.7575999999999</v>
      </c>
      <c r="G2500" s="557"/>
      <c r="H2500" s="121"/>
      <c r="J2500" s="136">
        <f>((('Mano Obra'!$M$5/30)*F2500)/D2500)*G2469</f>
        <v>0</v>
      </c>
    </row>
    <row r="2501" spans="1:10">
      <c r="A2501" s="558" t="s">
        <v>4186</v>
      </c>
      <c r="B2501" s="559">
        <f>VLOOKUP(A2501,'Mano Obra'!$B$3:$D$290,2,0)</f>
        <v>1100000</v>
      </c>
      <c r="C2501" s="101">
        <v>1</v>
      </c>
      <c r="D2501" s="104">
        <f>VLOOKUP(A2501,'Mano Obra'!$B$2:$T$117,19,0)</f>
        <v>72664</v>
      </c>
      <c r="E2501" s="246">
        <f>H2462</f>
        <v>5.21E-2</v>
      </c>
      <c r="F2501" s="538">
        <f t="shared" si="147"/>
        <v>3785.7944000000002</v>
      </c>
      <c r="G2501" s="557"/>
      <c r="H2501" s="120"/>
      <c r="J2501" s="136">
        <f>((('Mano Obra'!$M$6/30)*F2501)/D2501)*G2469</f>
        <v>0</v>
      </c>
    </row>
    <row r="2502" spans="1:10" ht="16.5">
      <c r="A2502" s="560" t="s">
        <v>4101</v>
      </c>
      <c r="B2502" s="560"/>
      <c r="C2502" s="560"/>
      <c r="D2502" s="560"/>
      <c r="E2502" s="560"/>
      <c r="F2502" s="560"/>
      <c r="G2502" s="560"/>
      <c r="H2502" s="105">
        <f>SUM(F2499:F2501)</f>
        <v>18742.662399999997</v>
      </c>
      <c r="J2502" s="136"/>
    </row>
    <row r="2503" spans="1:10">
      <c r="A2503" s="227" t="s">
        <v>4237</v>
      </c>
      <c r="B2503" s="205"/>
      <c r="C2503" s="205"/>
      <c r="D2503" s="202"/>
      <c r="E2503" s="203"/>
      <c r="F2503" s="204"/>
      <c r="G2503" s="203"/>
      <c r="H2503" s="212"/>
    </row>
    <row r="2504" spans="1:10">
      <c r="A2504" s="561" t="s">
        <v>4224</v>
      </c>
      <c r="B2504" s="562"/>
      <c r="C2504" s="562"/>
      <c r="D2504" s="562"/>
      <c r="E2504" s="200"/>
      <c r="F2504" s="201" t="s">
        <v>4238</v>
      </c>
      <c r="G2504" s="200" t="s">
        <v>4239</v>
      </c>
      <c r="H2504" s="213"/>
    </row>
    <row r="2505" spans="1:10">
      <c r="A2505" s="223" t="s">
        <v>4097</v>
      </c>
      <c r="B2505" s="72"/>
      <c r="C2505" s="72"/>
      <c r="D2505" s="73"/>
      <c r="E2505" s="78"/>
      <c r="F2505" s="79">
        <v>0</v>
      </c>
      <c r="G2505" s="80">
        <f>F2505*H2470</f>
        <v>0</v>
      </c>
      <c r="H2505" s="212"/>
    </row>
    <row r="2506" spans="1:10">
      <c r="A2506" s="224" t="s">
        <v>4240</v>
      </c>
      <c r="B2506" s="81"/>
      <c r="C2506" s="81"/>
      <c r="D2506" s="82"/>
      <c r="E2506" s="78"/>
      <c r="F2506" s="79">
        <v>0</v>
      </c>
      <c r="G2506" s="80">
        <f>F2506*H2470</f>
        <v>0</v>
      </c>
      <c r="H2506" s="212"/>
    </row>
    <row r="2507" spans="1:10">
      <c r="A2507" s="224" t="s">
        <v>4</v>
      </c>
      <c r="B2507" s="81"/>
      <c r="C2507" s="81"/>
      <c r="D2507" s="82"/>
      <c r="E2507" s="78"/>
      <c r="F2507" s="79">
        <v>0</v>
      </c>
      <c r="G2507" s="80">
        <f>F2507*H2470</f>
        <v>0</v>
      </c>
      <c r="H2507" s="212"/>
    </row>
    <row r="2508" spans="1:10">
      <c r="A2508" s="225"/>
      <c r="B2508" s="83"/>
      <c r="C2508" s="75"/>
      <c r="D2508" s="84"/>
      <c r="E2508" s="85"/>
      <c r="F2508" s="86"/>
      <c r="G2508" s="87"/>
      <c r="H2508" s="214"/>
    </row>
    <row r="2509" spans="1:10">
      <c r="A2509" s="226"/>
      <c r="B2509" s="83"/>
      <c r="C2509" s="83"/>
      <c r="D2509" s="84"/>
      <c r="E2509" s="88"/>
      <c r="F2509" s="563" t="s">
        <v>4241</v>
      </c>
      <c r="G2509" s="564"/>
      <c r="H2509" s="233">
        <f>H2470+G2505+G2506+G2507</f>
        <v>745444.78715000022</v>
      </c>
    </row>
    <row r="2510" spans="1:10">
      <c r="A2510" s="83"/>
      <c r="B2510" s="83"/>
      <c r="C2510" s="83"/>
      <c r="D2510" s="84"/>
      <c r="E2510" s="388"/>
      <c r="F2510" s="389"/>
      <c r="G2510" s="389"/>
      <c r="H2510" s="390"/>
    </row>
    <row r="2511" spans="1:10" ht="16.5">
      <c r="A2511" s="90"/>
      <c r="B2511" s="90"/>
      <c r="C2511" s="90"/>
      <c r="D2511" s="90"/>
      <c r="E2511" s="90"/>
      <c r="F2511" s="90"/>
      <c r="G2511" s="90"/>
      <c r="H2511" s="381"/>
    </row>
    <row r="2512" spans="1:10">
      <c r="A2512" s="579" t="s">
        <v>4225</v>
      </c>
      <c r="B2512" s="580"/>
      <c r="C2512" s="580"/>
      <c r="D2512" s="580"/>
      <c r="E2512" s="580"/>
      <c r="F2512" s="580"/>
      <c r="G2512" s="580"/>
      <c r="H2512" s="581"/>
    </row>
    <row r="2513" spans="1:15" ht="16.5">
      <c r="A2513" s="91"/>
      <c r="B2513" s="92"/>
      <c r="C2513" s="92"/>
      <c r="D2513" s="92"/>
      <c r="E2513" s="92"/>
      <c r="F2513" s="93"/>
      <c r="G2513" s="94"/>
      <c r="H2513" s="380">
        <f>ROUND((30/60)/8,4)</f>
        <v>6.25E-2</v>
      </c>
      <c r="I2513" s="115"/>
    </row>
    <row r="2514" spans="1:15">
      <c r="A2514" s="582" t="s">
        <v>4220</v>
      </c>
      <c r="B2514" s="584" t="str">
        <f>COSTOS!$C$14</f>
        <v>MODERNIZACION A TECNOLOGIA LED</v>
      </c>
      <c r="C2514" s="584"/>
      <c r="D2514" s="584"/>
      <c r="E2514" s="584"/>
      <c r="F2514" s="584"/>
      <c r="G2514" s="584"/>
      <c r="H2514" s="585" t="s">
        <v>4221</v>
      </c>
    </row>
    <row r="2515" spans="1:15">
      <c r="A2515" s="583"/>
      <c r="B2515" s="584"/>
      <c r="C2515" s="584"/>
      <c r="D2515" s="584"/>
      <c r="E2515" s="584"/>
      <c r="F2515" s="584"/>
      <c r="G2515" s="584"/>
      <c r="H2515" s="585"/>
    </row>
    <row r="2516" spans="1:15">
      <c r="A2516" s="583"/>
      <c r="B2516" s="584"/>
      <c r="C2516" s="584"/>
      <c r="D2516" s="584"/>
      <c r="E2516" s="584"/>
      <c r="F2516" s="584"/>
      <c r="G2516" s="584"/>
      <c r="H2516" s="585"/>
    </row>
    <row r="2517" spans="1:15" ht="15" customHeight="1">
      <c r="A2517" s="583"/>
      <c r="B2517" s="584"/>
      <c r="C2517" s="584"/>
      <c r="D2517" s="584"/>
      <c r="E2517" s="584"/>
      <c r="F2517" s="584"/>
      <c r="G2517" s="584"/>
      <c r="H2517" s="216">
        <f ca="1">TODAY()</f>
        <v>44889</v>
      </c>
      <c r="K2517" t="s">
        <v>4391</v>
      </c>
      <c r="L2517" t="s">
        <v>4392</v>
      </c>
      <c r="M2517" t="s">
        <v>4393</v>
      </c>
      <c r="N2517" t="s">
        <v>4394</v>
      </c>
    </row>
    <row r="2518" spans="1:15" ht="60.75" customHeight="1">
      <c r="A2518" s="228" t="s">
        <v>4222</v>
      </c>
      <c r="B2518" s="565" t="str">
        <f>COSTOS!$D$16</f>
        <v>Luminarias</v>
      </c>
      <c r="C2518" s="565"/>
      <c r="D2518" s="565"/>
      <c r="E2518" s="565"/>
      <c r="F2518" s="565"/>
      <c r="G2518" s="70" t="s">
        <v>4223</v>
      </c>
      <c r="H2518" s="391" t="s">
        <v>4744</v>
      </c>
      <c r="K2518" s="62">
        <f>H2543</f>
        <v>1565449.0459999999</v>
      </c>
      <c r="L2518" s="62">
        <f>H2553</f>
        <v>22484</v>
      </c>
      <c r="M2518" s="62">
        <f>H2526</f>
        <v>4034.53125</v>
      </c>
      <c r="N2518" s="62">
        <f>H2547</f>
        <v>4800</v>
      </c>
    </row>
    <row r="2519" spans="1:15" ht="43.15" customHeight="1">
      <c r="A2519" s="229" t="s">
        <v>4224</v>
      </c>
      <c r="B2519" s="566" t="str">
        <f>VLOOKUP(H2518,COSTOS!C:M,2,0)</f>
        <v>Reflector Led de 100w</v>
      </c>
      <c r="C2519" s="567"/>
      <c r="D2519" s="567"/>
      <c r="E2519" s="568"/>
      <c r="F2519" s="71" t="s">
        <v>0</v>
      </c>
      <c r="G2519" s="356" t="str">
        <f>VLOOKUP(H2518,COSTOS!C:M,8,0)</f>
        <v>Und</v>
      </c>
      <c r="H2519" s="276"/>
      <c r="I2519" s="306"/>
      <c r="J2519" s="308"/>
      <c r="K2519" s="308"/>
      <c r="L2519" s="308"/>
    </row>
    <row r="2520" spans="1:15">
      <c r="A2520" s="230"/>
      <c r="B2520" s="112"/>
      <c r="C2520" s="112"/>
      <c r="D2520" s="112"/>
      <c r="E2520" s="113"/>
      <c r="F2520" s="114" t="s">
        <v>1</v>
      </c>
      <c r="G2520" s="356">
        <f>VLOOKUP(H2518,COSTOS!C:M,9,0)</f>
        <v>0</v>
      </c>
      <c r="H2520" s="357"/>
      <c r="I2520" s="307"/>
    </row>
    <row r="2521" spans="1:15" ht="16.5">
      <c r="A2521" s="231" t="s">
        <v>4226</v>
      </c>
      <c r="B2521" s="75"/>
      <c r="C2521" s="75"/>
      <c r="D2521" s="76"/>
      <c r="E2521" s="209"/>
      <c r="F2521" s="210"/>
      <c r="G2521" s="211" t="s">
        <v>4227</v>
      </c>
      <c r="H2521" s="217">
        <f>H2526+H2543+H2547+H2553</f>
        <v>1596767.5772499999</v>
      </c>
    </row>
    <row r="2522" spans="1:15" ht="39">
      <c r="A2522" s="569" t="s">
        <v>4224</v>
      </c>
      <c r="B2522" s="569"/>
      <c r="C2522" s="569"/>
      <c r="D2522" s="77" t="s">
        <v>0</v>
      </c>
      <c r="E2522" s="207" t="s">
        <v>4228</v>
      </c>
      <c r="F2522" s="208" t="s">
        <v>4215</v>
      </c>
      <c r="G2522" s="74" t="s">
        <v>2</v>
      </c>
      <c r="H2522" s="218" t="s">
        <v>4229</v>
      </c>
      <c r="K2522" s="309"/>
    </row>
    <row r="2523" spans="1:15">
      <c r="A2523" s="536" t="s">
        <v>3946</v>
      </c>
      <c r="B2523" s="570" t="str">
        <f>VLOOKUP(A2523,'Equip, Herr y Transp'!$B$2:$D$739,2,0)</f>
        <v>EQU</v>
      </c>
      <c r="C2523" s="570"/>
      <c r="D2523" s="95" t="str">
        <f>VLOOKUP(A2523,'Equip, Herr y Transp'!$B$2:$D$218,2,0)</f>
        <v>EQU</v>
      </c>
      <c r="E2523" s="95">
        <f>VLOOKUP(A2523,'Equip, Herr y Transp'!$B$2:$D$218,3,0)</f>
        <v>14130</v>
      </c>
      <c r="F2523" s="96">
        <f>H2513</f>
        <v>6.25E-2</v>
      </c>
      <c r="G2523" s="122">
        <f>F2523*E2523</f>
        <v>883.125</v>
      </c>
      <c r="H2523" s="118"/>
    </row>
    <row r="2524" spans="1:15">
      <c r="A2524" s="536" t="s">
        <v>3904</v>
      </c>
      <c r="B2524" s="570" t="str">
        <f>VLOOKUP(A2524,'Equip, Herr y Transp'!$B$2:$D$739,2,0)</f>
        <v>EQU</v>
      </c>
      <c r="C2524" s="570"/>
      <c r="D2524" s="95" t="str">
        <f>VLOOKUP(A2524,'Equip, Herr y Transp'!$B$2:$D$218,2,0)</f>
        <v>EQU</v>
      </c>
      <c r="E2524" s="95">
        <f>VLOOKUP(A2524,'Equip, Herr y Transp'!$B$2:$D$218,3,0)</f>
        <v>26672.5</v>
      </c>
      <c r="F2524" s="96">
        <f>H2513</f>
        <v>6.25E-2</v>
      </c>
      <c r="G2524" s="122">
        <f>F2524*E2524</f>
        <v>1667.03125</v>
      </c>
      <c r="H2524" s="117"/>
    </row>
    <row r="2525" spans="1:15">
      <c r="A2525" s="536" t="s">
        <v>3937</v>
      </c>
      <c r="B2525" s="570" t="str">
        <f>VLOOKUP(A2525,'Equip, Herr y Transp'!$B$2:$D$739,2,0)</f>
        <v>EQU</v>
      </c>
      <c r="C2525" s="570"/>
      <c r="D2525" s="95" t="str">
        <f>VLOOKUP(A2525,'Equip, Herr y Transp'!$B$2:$D$218,2,0)</f>
        <v>EQU</v>
      </c>
      <c r="E2525" s="95">
        <f>VLOOKUP(A2525,'Equip, Herr y Transp'!$B$2:$D$218,3,0)</f>
        <v>23750</v>
      </c>
      <c r="F2525" s="96">
        <f>H2513</f>
        <v>6.25E-2</v>
      </c>
      <c r="G2525" s="122">
        <f>F2525*E2525</f>
        <v>1484.375</v>
      </c>
      <c r="H2525" s="117"/>
    </row>
    <row r="2526" spans="1:15" ht="16.5">
      <c r="A2526" s="540" t="s">
        <v>4100</v>
      </c>
      <c r="B2526" s="541"/>
      <c r="C2526" s="541"/>
      <c r="D2526" s="541"/>
      <c r="E2526" s="541"/>
      <c r="F2526" s="541"/>
      <c r="G2526" s="541"/>
      <c r="H2526" s="97">
        <f>SUM(G2523:G2525)</f>
        <v>4034.53125</v>
      </c>
    </row>
    <row r="2527" spans="1:15" ht="16.5">
      <c r="A2527" s="571" t="s">
        <v>4230</v>
      </c>
      <c r="B2527" s="572"/>
      <c r="C2527" s="572"/>
      <c r="D2527" s="572"/>
      <c r="E2527" s="572"/>
      <c r="F2527" s="572"/>
      <c r="G2527" s="572"/>
      <c r="H2527" s="573"/>
      <c r="K2527" s="56"/>
      <c r="L2527" s="56"/>
      <c r="M2527" s="56"/>
      <c r="N2527" s="56"/>
      <c r="O2527" s="56"/>
    </row>
    <row r="2528" spans="1:15" ht="30" customHeight="1">
      <c r="A2528" s="574" t="s">
        <v>7</v>
      </c>
      <c r="B2528" s="575"/>
      <c r="C2528" s="109" t="s">
        <v>0</v>
      </c>
      <c r="D2528" s="110" t="s">
        <v>4098</v>
      </c>
      <c r="E2528" s="111" t="s">
        <v>1</v>
      </c>
      <c r="F2528" s="576" t="s">
        <v>4218</v>
      </c>
      <c r="G2528" s="576"/>
      <c r="H2528" s="215"/>
      <c r="K2528" s="56"/>
      <c r="L2528" s="56"/>
      <c r="M2528" s="56"/>
      <c r="N2528" s="56"/>
      <c r="O2528" s="56"/>
    </row>
    <row r="2529" spans="1:15">
      <c r="A2529" s="577" t="s">
        <v>4747</v>
      </c>
      <c r="B2529" s="578"/>
      <c r="C2529" s="98" t="str">
        <f>VLOOKUP(A2529,'Materiales '!$C$2:$F$1302,3,0)</f>
        <v>Und</v>
      </c>
      <c r="D2529" s="99">
        <f>VLOOKUP(A2529,'Materiales '!$C$2:$F$1302,4,0)</f>
        <v>1426810</v>
      </c>
      <c r="E2529" s="100">
        <v>1</v>
      </c>
      <c r="F2529" s="538">
        <f>E2529*D2529</f>
        <v>1426810</v>
      </c>
      <c r="G2529" s="539"/>
      <c r="H2529" s="121"/>
      <c r="I2529">
        <f>E2529*G2520</f>
        <v>0</v>
      </c>
      <c r="J2529" s="67"/>
      <c r="K2529" s="56"/>
      <c r="L2529" s="56"/>
      <c r="M2529" s="56"/>
      <c r="N2529" s="56"/>
      <c r="O2529" s="56"/>
    </row>
    <row r="2530" spans="1:15">
      <c r="A2530" s="577" t="s">
        <v>4214</v>
      </c>
      <c r="B2530" s="578"/>
      <c r="C2530" s="98" t="str">
        <f>VLOOKUP(A2530,'Materiales '!$C$2:$F$1302,3,0)</f>
        <v>Und</v>
      </c>
      <c r="D2530" s="99">
        <f>VLOOKUP(A2530,'Materiales '!$C$2:$F$1302,4,0)</f>
        <v>22848</v>
      </c>
      <c r="E2530" s="100">
        <v>1</v>
      </c>
      <c r="F2530" s="538">
        <f t="shared" ref="F2530:F2536" si="148">E2530*D2530</f>
        <v>22848</v>
      </c>
      <c r="G2530" s="539"/>
      <c r="H2530" s="121"/>
      <c r="I2530">
        <f>E2530*G2520</f>
        <v>0</v>
      </c>
      <c r="J2530" s="67"/>
      <c r="K2530" s="56"/>
      <c r="L2530" s="56"/>
      <c r="M2530" s="56"/>
      <c r="N2530" s="56"/>
      <c r="O2530" s="56"/>
    </row>
    <row r="2531" spans="1:15">
      <c r="A2531" s="536" t="s">
        <v>4484</v>
      </c>
      <c r="B2531" s="537" t="str">
        <f>VLOOKUP(A2531,'Materiales '!$C$2:$F$1302,3,0)</f>
        <v>Und</v>
      </c>
      <c r="C2531" s="98" t="str">
        <f>VLOOKUP(A2531,'Materiales '!$C$2:$F$1302,3,0)</f>
        <v>Und</v>
      </c>
      <c r="D2531" s="99">
        <f>VLOOKUP(A2531,'Materiales '!$C$2:$F$1302,4,0)</f>
        <v>21705.599999999999</v>
      </c>
      <c r="E2531" s="100">
        <v>2</v>
      </c>
      <c r="F2531" s="538">
        <f t="shared" si="148"/>
        <v>43411.199999999997</v>
      </c>
      <c r="G2531" s="539"/>
      <c r="H2531" s="121"/>
      <c r="I2531">
        <f>E2531*G2520</f>
        <v>0</v>
      </c>
      <c r="J2531" s="68"/>
      <c r="K2531" s="56"/>
      <c r="L2531" s="56"/>
      <c r="M2531" s="56"/>
      <c r="N2531" s="56"/>
      <c r="O2531" s="56"/>
    </row>
    <row r="2532" spans="1:15">
      <c r="A2532" s="536" t="s">
        <v>4489</v>
      </c>
      <c r="B2532" s="537" t="str">
        <f>VLOOKUP(A2532,'Materiales '!$C$2:$F$1302,3,0)</f>
        <v>Und</v>
      </c>
      <c r="C2532" s="98" t="str">
        <f>VLOOKUP(A2532,'Materiales '!$C$2:$F$1302,3,0)</f>
        <v>Und</v>
      </c>
      <c r="D2532" s="99">
        <f>VLOOKUP(A2532,'Materiales '!$C$2:$F$1302,4,0)</f>
        <v>8039.6399999999994</v>
      </c>
      <c r="E2532" s="100">
        <v>3</v>
      </c>
      <c r="F2532" s="538">
        <f t="shared" si="148"/>
        <v>24118.92</v>
      </c>
      <c r="G2532" s="539"/>
      <c r="H2532" s="121"/>
      <c r="I2532">
        <f>E2532*G2520</f>
        <v>0</v>
      </c>
      <c r="J2532" s="68"/>
      <c r="K2532" s="56"/>
      <c r="L2532" s="56"/>
      <c r="M2532" s="56"/>
      <c r="N2532" s="56"/>
      <c r="O2532" s="56"/>
    </row>
    <row r="2533" spans="1:15">
      <c r="A2533" s="536" t="s">
        <v>4554</v>
      </c>
      <c r="B2533" s="537" t="str">
        <f>VLOOKUP(A2533,'Materiales '!$C$2:$F$1302,3,0)</f>
        <v>Und</v>
      </c>
      <c r="C2533" s="98" t="str">
        <f>VLOOKUP(A2533,'Materiales '!$C$2:$F$1302,3,0)</f>
        <v>Und</v>
      </c>
      <c r="D2533" s="99">
        <f>VLOOKUP(A2533,'Materiales '!$C$2:$F$1302,4,0)</f>
        <v>2535.5329999999999</v>
      </c>
      <c r="E2533" s="100">
        <v>2</v>
      </c>
      <c r="F2533" s="538">
        <f t="shared" si="148"/>
        <v>5071.0659999999998</v>
      </c>
      <c r="G2533" s="539"/>
      <c r="H2533" s="121"/>
      <c r="I2533">
        <f>E2533*G2520</f>
        <v>0</v>
      </c>
      <c r="J2533" s="68"/>
      <c r="K2533" s="56"/>
      <c r="L2533" s="56"/>
      <c r="M2533" s="56"/>
      <c r="N2533" s="56"/>
      <c r="O2533" s="56"/>
    </row>
    <row r="2534" spans="1:15">
      <c r="A2534" s="536" t="s">
        <v>4450</v>
      </c>
      <c r="B2534" s="537" t="str">
        <f>VLOOKUP(A2534,'Materiales '!$C$2:$F$1302,3,0)</f>
        <v>Ml</v>
      </c>
      <c r="C2534" s="98" t="str">
        <f>VLOOKUP(A2534,'Materiales '!$C$2:$F$1302,3,0)</f>
        <v>Ml</v>
      </c>
      <c r="D2534" s="99">
        <f>VLOOKUP(A2534,'Materiales '!$C$2:$F$1302,4,0)</f>
        <v>6791.5679999999993</v>
      </c>
      <c r="E2534" s="100">
        <v>1</v>
      </c>
      <c r="F2534" s="538">
        <f t="shared" si="148"/>
        <v>6791.5679999999993</v>
      </c>
      <c r="G2534" s="539"/>
      <c r="H2534" s="121"/>
      <c r="I2534">
        <f>E2534*G2520</f>
        <v>0</v>
      </c>
      <c r="J2534" s="68"/>
      <c r="K2534" s="56"/>
      <c r="L2534" s="56"/>
      <c r="M2534" s="56"/>
      <c r="N2534" s="56"/>
      <c r="O2534" s="56"/>
    </row>
    <row r="2535" spans="1:15">
      <c r="A2535" s="536" t="s">
        <v>4493</v>
      </c>
      <c r="B2535" s="537" t="str">
        <f>VLOOKUP(A2535,'Materiales '!$C$2:$F$1302,3,0)</f>
        <v>Und</v>
      </c>
      <c r="C2535" s="98" t="str">
        <f>VLOOKUP(A2535,'Materiales '!$C$2:$F$1302,3,0)</f>
        <v>Und</v>
      </c>
      <c r="D2535" s="99">
        <f>VLOOKUP(A2535,'Materiales '!$C$2:$F$1302,4,0)</f>
        <v>232.76399999999998</v>
      </c>
      <c r="E2535" s="100">
        <v>3</v>
      </c>
      <c r="F2535" s="538">
        <f t="shared" si="148"/>
        <v>698.29199999999992</v>
      </c>
      <c r="G2535" s="539"/>
      <c r="H2535" s="121"/>
      <c r="I2535">
        <f>E2535*G2520</f>
        <v>0</v>
      </c>
      <c r="J2535" s="68"/>
      <c r="K2535" s="56"/>
      <c r="L2535" s="56"/>
      <c r="M2535" s="56"/>
      <c r="N2535" s="56"/>
      <c r="O2535" s="56"/>
    </row>
    <row r="2536" spans="1:15" ht="21.75" customHeight="1">
      <c r="A2536" s="536" t="s">
        <v>4639</v>
      </c>
      <c r="B2536" s="537" t="str">
        <f>VLOOKUP(A2536,'Materiales '!$C$2:$F$1302,3,0)</f>
        <v>Und</v>
      </c>
      <c r="C2536" s="98" t="str">
        <f>VLOOKUP(A2536,'Materiales '!$C$2:$F$1302,3,0)</f>
        <v>Und</v>
      </c>
      <c r="D2536" s="99">
        <f>VLOOKUP(A2536,'Materiales '!$C$2:$F$1302,4,0)</f>
        <v>35700</v>
      </c>
      <c r="E2536" s="100">
        <v>1</v>
      </c>
      <c r="F2536" s="538">
        <f t="shared" si="148"/>
        <v>35700</v>
      </c>
      <c r="G2536" s="539"/>
      <c r="H2536" s="121"/>
      <c r="I2536">
        <f>E2536*G2520</f>
        <v>0</v>
      </c>
      <c r="J2536" s="68"/>
      <c r="K2536" s="56"/>
      <c r="L2536" s="56"/>
      <c r="M2536" s="56"/>
      <c r="N2536" s="56"/>
      <c r="O2536" s="56"/>
    </row>
    <row r="2537" spans="1:15">
      <c r="A2537" s="536" t="s">
        <v>8</v>
      </c>
      <c r="B2537" s="537" t="str">
        <f>VLOOKUP(A2537,'Materiales '!$C$2:$F$1302,3,0)</f>
        <v>-</v>
      </c>
      <c r="C2537" s="98" t="str">
        <f>VLOOKUP(A2537,'Materiales '!$C$2:$F$1302,3,0)</f>
        <v>-</v>
      </c>
      <c r="D2537" s="99">
        <f>VLOOKUP(A2537,'Materiales '!$C$2:$F$1302,4,0)</f>
        <v>0</v>
      </c>
      <c r="E2537" s="100"/>
      <c r="F2537" s="538">
        <f>E2537*D2537</f>
        <v>0</v>
      </c>
      <c r="G2537" s="539"/>
      <c r="H2537" s="120"/>
      <c r="I2537">
        <f>E2537*G2520</f>
        <v>0</v>
      </c>
      <c r="J2537" s="68"/>
      <c r="K2537" s="56"/>
      <c r="L2537" s="56"/>
      <c r="M2537" s="56"/>
      <c r="N2537" s="56"/>
      <c r="O2537" s="56"/>
    </row>
    <row r="2538" spans="1:15">
      <c r="A2538" s="536" t="s">
        <v>8</v>
      </c>
      <c r="B2538" s="537" t="str">
        <f>VLOOKUP(A2538,'Materiales '!$C$2:$F$1302,3,0)</f>
        <v>-</v>
      </c>
      <c r="C2538" s="98" t="str">
        <f>VLOOKUP(A2538,'Materiales '!$C$2:$F$1302,3,0)</f>
        <v>-</v>
      </c>
      <c r="D2538" s="99">
        <f>VLOOKUP(A2538,'Materiales '!$C$2:$F$1302,4,0)</f>
        <v>0</v>
      </c>
      <c r="E2538" s="100"/>
      <c r="F2538" s="538">
        <f t="shared" ref="F2538:F2541" si="149">E2538*D2538</f>
        <v>0</v>
      </c>
      <c r="G2538" s="539"/>
      <c r="H2538" s="121"/>
      <c r="I2538">
        <f>E2538*G2520</f>
        <v>0</v>
      </c>
      <c r="J2538" s="68"/>
      <c r="K2538" s="56"/>
      <c r="L2538" s="56"/>
      <c r="M2538" s="56"/>
      <c r="N2538" s="56"/>
      <c r="O2538" s="56"/>
    </row>
    <row r="2539" spans="1:15">
      <c r="A2539" s="536" t="s">
        <v>8</v>
      </c>
      <c r="B2539" s="537" t="str">
        <f>VLOOKUP(A2539,'Materiales '!$C$2:$F$1302,3,0)</f>
        <v>-</v>
      </c>
      <c r="C2539" s="98" t="str">
        <f>VLOOKUP(A2539,'Materiales '!$C$2:$F$1302,3,0)</f>
        <v>-</v>
      </c>
      <c r="D2539" s="99">
        <f>VLOOKUP(A2539,'Materiales '!$C$2:$F$1302,4,0)</f>
        <v>0</v>
      </c>
      <c r="E2539" s="100"/>
      <c r="F2539" s="538">
        <f t="shared" si="149"/>
        <v>0</v>
      </c>
      <c r="G2539" s="539"/>
      <c r="H2539" s="121"/>
      <c r="I2539">
        <f>E2539*G2520</f>
        <v>0</v>
      </c>
      <c r="J2539" s="68"/>
      <c r="K2539" s="56"/>
      <c r="L2539" s="56"/>
      <c r="M2539" s="56"/>
      <c r="N2539" s="56"/>
      <c r="O2539" s="56"/>
    </row>
    <row r="2540" spans="1:15">
      <c r="A2540" s="536" t="s">
        <v>8</v>
      </c>
      <c r="B2540" s="537" t="str">
        <f>VLOOKUP(A2540,'Materiales '!$C$2:$F$1302,3,0)</f>
        <v>-</v>
      </c>
      <c r="C2540" s="98" t="str">
        <f>VLOOKUP(A2540,'Materiales '!$C$2:$F$1302,3,0)</f>
        <v>-</v>
      </c>
      <c r="D2540" s="99">
        <f>VLOOKUP(A2540,'Materiales '!$C$2:$F$1302,4,0)</f>
        <v>0</v>
      </c>
      <c r="E2540" s="100"/>
      <c r="F2540" s="538">
        <f t="shared" si="149"/>
        <v>0</v>
      </c>
      <c r="G2540" s="539"/>
      <c r="H2540" s="121"/>
      <c r="I2540">
        <f>E2540*G2520</f>
        <v>0</v>
      </c>
      <c r="J2540" s="68"/>
      <c r="K2540" s="56"/>
      <c r="L2540" s="56"/>
      <c r="M2540" s="56"/>
      <c r="N2540" s="56"/>
      <c r="O2540" s="56"/>
    </row>
    <row r="2541" spans="1:15">
      <c r="A2541" s="536" t="s">
        <v>8</v>
      </c>
      <c r="B2541" s="537" t="str">
        <f>VLOOKUP(A2541,'Materiales '!$C$2:$F$1302,3,0)</f>
        <v>-</v>
      </c>
      <c r="C2541" s="98" t="str">
        <f>VLOOKUP(A2541,'Materiales '!$C$2:$F$1302,3,0)</f>
        <v>-</v>
      </c>
      <c r="D2541" s="99">
        <f>VLOOKUP(A2541,'Materiales '!$C$2:$F$1302,4,0)</f>
        <v>0</v>
      </c>
      <c r="E2541" s="100"/>
      <c r="F2541" s="538">
        <f t="shared" si="149"/>
        <v>0</v>
      </c>
      <c r="G2541" s="539"/>
      <c r="H2541" s="121"/>
      <c r="I2541">
        <f>E2541*G2520</f>
        <v>0</v>
      </c>
      <c r="J2541" s="68"/>
      <c r="K2541" s="56"/>
      <c r="L2541" s="56"/>
      <c r="M2541" s="56"/>
      <c r="N2541" s="56"/>
      <c r="O2541" s="56"/>
    </row>
    <row r="2542" spans="1:15">
      <c r="A2542" s="536" t="s">
        <v>8</v>
      </c>
      <c r="B2542" s="537" t="str">
        <f>VLOOKUP(A2542,'Materiales '!$C$2:$F$1302,3,0)</f>
        <v>-</v>
      </c>
      <c r="C2542" s="98" t="str">
        <f>VLOOKUP(A2542,'Materiales '!$C$2:$F$1302,3,0)</f>
        <v>-</v>
      </c>
      <c r="D2542" s="99">
        <f>VLOOKUP(A2542,'Materiales '!$C$2:$F$1302,4,0)</f>
        <v>0</v>
      </c>
      <c r="E2542" s="100"/>
      <c r="F2542" s="538">
        <f>E2542*D2542</f>
        <v>0</v>
      </c>
      <c r="G2542" s="539"/>
      <c r="H2542" s="120"/>
      <c r="I2542">
        <f>E2542*G2520</f>
        <v>0</v>
      </c>
      <c r="J2542" s="68"/>
      <c r="K2542" s="56"/>
      <c r="L2542" s="56"/>
      <c r="M2542" s="56"/>
      <c r="N2542" s="56"/>
      <c r="O2542" s="56"/>
    </row>
    <row r="2543" spans="1:15" ht="16.5">
      <c r="A2543" s="540" t="s">
        <v>4099</v>
      </c>
      <c r="B2543" s="541"/>
      <c r="C2543" s="541"/>
      <c r="D2543" s="541"/>
      <c r="E2543" s="541"/>
      <c r="F2543" s="541"/>
      <c r="G2543" s="542"/>
      <c r="H2543" s="116">
        <f>SUM(F2529:F2542)</f>
        <v>1565449.0459999999</v>
      </c>
      <c r="J2543" s="68"/>
      <c r="K2543" s="56"/>
      <c r="L2543" s="56"/>
      <c r="M2543" s="56"/>
      <c r="N2543" s="56"/>
      <c r="O2543" s="56"/>
    </row>
    <row r="2544" spans="1:15" ht="16.5">
      <c r="A2544" s="543" t="s">
        <v>4231</v>
      </c>
      <c r="B2544" s="544"/>
      <c r="C2544" s="544"/>
      <c r="D2544" s="544"/>
      <c r="E2544" s="545"/>
      <c r="F2544" s="544"/>
      <c r="G2544" s="544"/>
      <c r="H2544" s="546"/>
      <c r="J2544" s="68"/>
      <c r="K2544" s="56"/>
      <c r="L2544" s="56"/>
      <c r="M2544" s="56"/>
      <c r="N2544" s="56"/>
      <c r="O2544" s="56"/>
    </row>
    <row r="2545" spans="1:15">
      <c r="A2545" s="547" t="s">
        <v>7</v>
      </c>
      <c r="B2545" s="548"/>
      <c r="C2545" s="108" t="s">
        <v>4232</v>
      </c>
      <c r="D2545" s="107" t="s">
        <v>4233</v>
      </c>
      <c r="E2545" s="206" t="s">
        <v>4234</v>
      </c>
      <c r="F2545" s="549" t="s">
        <v>4218</v>
      </c>
      <c r="G2545" s="549"/>
      <c r="H2545" s="119"/>
      <c r="K2545" s="56"/>
      <c r="L2545" s="56"/>
      <c r="M2545" s="56"/>
      <c r="N2545" s="56"/>
      <c r="O2545" s="56"/>
    </row>
    <row r="2546" spans="1:15">
      <c r="A2546" s="550" t="s">
        <v>3928</v>
      </c>
      <c r="B2546" s="551"/>
      <c r="C2546" s="232">
        <v>1</v>
      </c>
      <c r="D2546" s="102">
        <v>0.03</v>
      </c>
      <c r="E2546" s="103">
        <f>VLOOKUP(A2546,'Equip, Herr y Transp'!$B$2:$D$218,3,0)</f>
        <v>160000</v>
      </c>
      <c r="F2546" s="552">
        <f>E2546*D2546*C2546</f>
        <v>4800</v>
      </c>
      <c r="G2546" s="553"/>
      <c r="H2546" s="117"/>
      <c r="M2546" s="56"/>
    </row>
    <row r="2547" spans="1:15" ht="16.5">
      <c r="A2547" s="554" t="s">
        <v>4216</v>
      </c>
      <c r="B2547" s="555"/>
      <c r="C2547" s="555"/>
      <c r="D2547" s="555"/>
      <c r="E2547" s="555"/>
      <c r="F2547" s="555"/>
      <c r="G2547" s="555"/>
      <c r="H2547" s="105">
        <f>F2546</f>
        <v>4800</v>
      </c>
    </row>
    <row r="2548" spans="1:15" ht="16.5">
      <c r="A2548" s="543" t="s">
        <v>4235</v>
      </c>
      <c r="B2548" s="544"/>
      <c r="C2548" s="544"/>
      <c r="D2548" s="544"/>
      <c r="E2548" s="544"/>
      <c r="F2548" s="544"/>
      <c r="G2548" s="544"/>
      <c r="H2548" s="546"/>
    </row>
    <row r="2549" spans="1:15">
      <c r="A2549" s="547" t="s">
        <v>7</v>
      </c>
      <c r="B2549" s="548"/>
      <c r="C2549" s="106" t="s">
        <v>1</v>
      </c>
      <c r="D2549" s="107" t="s">
        <v>4236</v>
      </c>
      <c r="E2549" s="108" t="s">
        <v>4215</v>
      </c>
      <c r="F2549" s="547" t="s">
        <v>5</v>
      </c>
      <c r="G2549" s="556"/>
      <c r="H2549" s="119"/>
    </row>
    <row r="2550" spans="1:15">
      <c r="A2550" s="550" t="s">
        <v>4196</v>
      </c>
      <c r="B2550" s="551"/>
      <c r="C2550" s="101">
        <v>1</v>
      </c>
      <c r="D2550" s="104">
        <f>VLOOKUP(A2550,'Mano Obra'!$B$2:$T$117,19,0)</f>
        <v>166624</v>
      </c>
      <c r="E2550" s="246">
        <f>H2513</f>
        <v>6.25E-2</v>
      </c>
      <c r="F2550" s="538">
        <f>E2550*D2550*C2550</f>
        <v>10414</v>
      </c>
      <c r="G2550" s="557"/>
      <c r="H2550" s="121"/>
      <c r="I2550" s="69"/>
      <c r="J2550" s="136">
        <f>((('Mano Obra'!$M$4/30)*F2550)/D2550)*G2520</f>
        <v>0</v>
      </c>
    </row>
    <row r="2551" spans="1:15">
      <c r="A2551" s="558" t="s">
        <v>4197</v>
      </c>
      <c r="B2551" s="559">
        <f>VLOOKUP(A2551,'Mano Obra'!$B$3:$D$290,2,0)</f>
        <v>2090000.0000000002</v>
      </c>
      <c r="C2551" s="101">
        <v>1</v>
      </c>
      <c r="D2551" s="104">
        <f>VLOOKUP(A2551,'Mano Obra'!$B$2:$T$117,19,0)</f>
        <v>120456</v>
      </c>
      <c r="E2551" s="246">
        <f>H2513</f>
        <v>6.25E-2</v>
      </c>
      <c r="F2551" s="538">
        <f t="shared" ref="F2551:F2552" si="150">E2551*D2551*C2551</f>
        <v>7528.5</v>
      </c>
      <c r="G2551" s="557"/>
      <c r="H2551" s="121"/>
      <c r="J2551" s="136">
        <f>((('Mano Obra'!$M$5/30)*F2551)/D2551)*G2520</f>
        <v>0</v>
      </c>
    </row>
    <row r="2552" spans="1:15">
      <c r="A2552" s="558" t="s">
        <v>4186</v>
      </c>
      <c r="B2552" s="559">
        <f>VLOOKUP(A2552,'Mano Obra'!$B$3:$D$290,2,0)</f>
        <v>1100000</v>
      </c>
      <c r="C2552" s="101">
        <v>1</v>
      </c>
      <c r="D2552" s="104">
        <f>VLOOKUP(A2552,'Mano Obra'!$B$2:$T$117,19,0)</f>
        <v>72664</v>
      </c>
      <c r="E2552" s="246">
        <f>H2513</f>
        <v>6.25E-2</v>
      </c>
      <c r="F2552" s="538">
        <f t="shared" si="150"/>
        <v>4541.5</v>
      </c>
      <c r="G2552" s="557"/>
      <c r="H2552" s="120"/>
      <c r="J2552" s="136">
        <f>((('Mano Obra'!$M$6/30)*F2552)/D2552)*G2520</f>
        <v>0</v>
      </c>
    </row>
    <row r="2553" spans="1:15" ht="16.5">
      <c r="A2553" s="560" t="s">
        <v>4101</v>
      </c>
      <c r="B2553" s="560"/>
      <c r="C2553" s="560"/>
      <c r="D2553" s="560"/>
      <c r="E2553" s="560"/>
      <c r="F2553" s="560"/>
      <c r="G2553" s="560"/>
      <c r="H2553" s="105">
        <f>SUM(F2550:F2552)</f>
        <v>22484</v>
      </c>
      <c r="J2553" s="136"/>
    </row>
    <row r="2554" spans="1:15">
      <c r="A2554" s="227" t="s">
        <v>4237</v>
      </c>
      <c r="B2554" s="205"/>
      <c r="C2554" s="205"/>
      <c r="D2554" s="202"/>
      <c r="E2554" s="203"/>
      <c r="F2554" s="204"/>
      <c r="G2554" s="203"/>
      <c r="H2554" s="212"/>
    </row>
    <row r="2555" spans="1:15">
      <c r="A2555" s="561" t="s">
        <v>4224</v>
      </c>
      <c r="B2555" s="562"/>
      <c r="C2555" s="562"/>
      <c r="D2555" s="562"/>
      <c r="E2555" s="200"/>
      <c r="F2555" s="201" t="s">
        <v>4238</v>
      </c>
      <c r="G2555" s="200" t="s">
        <v>4239</v>
      </c>
      <c r="H2555" s="213"/>
    </row>
    <row r="2556" spans="1:15">
      <c r="A2556" s="223" t="s">
        <v>4097</v>
      </c>
      <c r="B2556" s="72"/>
      <c r="C2556" s="72"/>
      <c r="D2556" s="73"/>
      <c r="E2556" s="78"/>
      <c r="F2556" s="79">
        <v>0</v>
      </c>
      <c r="G2556" s="80">
        <f>F2556*H2521</f>
        <v>0</v>
      </c>
      <c r="H2556" s="212"/>
    </row>
    <row r="2557" spans="1:15">
      <c r="A2557" s="224" t="s">
        <v>4240</v>
      </c>
      <c r="B2557" s="81"/>
      <c r="C2557" s="81"/>
      <c r="D2557" s="82"/>
      <c r="E2557" s="78"/>
      <c r="F2557" s="79">
        <v>0</v>
      </c>
      <c r="G2557" s="80">
        <f>F2557*H2521</f>
        <v>0</v>
      </c>
      <c r="H2557" s="212"/>
    </row>
    <row r="2558" spans="1:15">
      <c r="A2558" s="224" t="s">
        <v>4</v>
      </c>
      <c r="B2558" s="81"/>
      <c r="C2558" s="81"/>
      <c r="D2558" s="82"/>
      <c r="E2558" s="78"/>
      <c r="F2558" s="79">
        <v>0</v>
      </c>
      <c r="G2558" s="80">
        <f>F2558*H2521</f>
        <v>0</v>
      </c>
      <c r="H2558" s="212"/>
    </row>
    <row r="2559" spans="1:15">
      <c r="A2559" s="225"/>
      <c r="B2559" s="83"/>
      <c r="C2559" s="75"/>
      <c r="D2559" s="84"/>
      <c r="E2559" s="85"/>
      <c r="F2559" s="86"/>
      <c r="G2559" s="87"/>
      <c r="H2559" s="214"/>
    </row>
    <row r="2560" spans="1:15">
      <c r="A2560" s="226"/>
      <c r="B2560" s="83"/>
      <c r="C2560" s="83"/>
      <c r="D2560" s="84"/>
      <c r="E2560" s="88"/>
      <c r="F2560" s="563" t="s">
        <v>4241</v>
      </c>
      <c r="G2560" s="564"/>
      <c r="H2560" s="233">
        <f>H2521+G2556+G2557+G2558</f>
        <v>1596767.5772499999</v>
      </c>
    </row>
    <row r="2561" spans="1:14">
      <c r="A2561" s="83"/>
      <c r="B2561" s="83"/>
      <c r="C2561" s="83"/>
      <c r="D2561" s="84"/>
      <c r="E2561" s="388"/>
      <c r="F2561" s="389"/>
      <c r="G2561" s="389"/>
      <c r="H2561" s="390"/>
    </row>
    <row r="2562" spans="1:14" ht="16.5">
      <c r="A2562" s="90"/>
      <c r="B2562" s="90"/>
      <c r="C2562" s="90"/>
      <c r="D2562" s="90"/>
      <c r="E2562" s="90"/>
      <c r="F2562" s="90"/>
      <c r="G2562" s="90"/>
      <c r="H2562" s="381"/>
    </row>
    <row r="2563" spans="1:14">
      <c r="A2563" s="579" t="s">
        <v>4225</v>
      </c>
      <c r="B2563" s="580"/>
      <c r="C2563" s="580"/>
      <c r="D2563" s="580"/>
      <c r="E2563" s="580"/>
      <c r="F2563" s="580"/>
      <c r="G2563" s="580"/>
      <c r="H2563" s="581"/>
    </row>
    <row r="2564" spans="1:14" ht="16.5">
      <c r="A2564" s="91"/>
      <c r="B2564" s="92"/>
      <c r="C2564" s="92"/>
      <c r="D2564" s="92"/>
      <c r="E2564" s="92"/>
      <c r="F2564" s="93"/>
      <c r="G2564" s="94"/>
      <c r="H2564" s="380">
        <f>ROUND((30/60)/8,4)</f>
        <v>6.25E-2</v>
      </c>
      <c r="I2564" s="115"/>
    </row>
    <row r="2565" spans="1:14">
      <c r="A2565" s="582" t="s">
        <v>4220</v>
      </c>
      <c r="B2565" s="584" t="str">
        <f>COSTOS!$C$14</f>
        <v>MODERNIZACION A TECNOLOGIA LED</v>
      </c>
      <c r="C2565" s="584"/>
      <c r="D2565" s="584"/>
      <c r="E2565" s="584"/>
      <c r="F2565" s="584"/>
      <c r="G2565" s="584"/>
      <c r="H2565" s="585" t="s">
        <v>4221</v>
      </c>
    </row>
    <row r="2566" spans="1:14">
      <c r="A2566" s="583"/>
      <c r="B2566" s="584"/>
      <c r="C2566" s="584"/>
      <c r="D2566" s="584"/>
      <c r="E2566" s="584"/>
      <c r="F2566" s="584"/>
      <c r="G2566" s="584"/>
      <c r="H2566" s="585"/>
    </row>
    <row r="2567" spans="1:14">
      <c r="A2567" s="583"/>
      <c r="B2567" s="584"/>
      <c r="C2567" s="584"/>
      <c r="D2567" s="584"/>
      <c r="E2567" s="584"/>
      <c r="F2567" s="584"/>
      <c r="G2567" s="584"/>
      <c r="H2567" s="585"/>
    </row>
    <row r="2568" spans="1:14" ht="15" customHeight="1">
      <c r="A2568" s="583"/>
      <c r="B2568" s="584"/>
      <c r="C2568" s="584"/>
      <c r="D2568" s="584"/>
      <c r="E2568" s="584"/>
      <c r="F2568" s="584"/>
      <c r="G2568" s="584"/>
      <c r="H2568" s="216">
        <f ca="1">TODAY()</f>
        <v>44889</v>
      </c>
      <c r="K2568" t="s">
        <v>4391</v>
      </c>
      <c r="L2568" t="s">
        <v>4392</v>
      </c>
      <c r="M2568" t="s">
        <v>4393</v>
      </c>
      <c r="N2568" t="s">
        <v>4394</v>
      </c>
    </row>
    <row r="2569" spans="1:14" ht="60.75" customHeight="1">
      <c r="A2569" s="228" t="s">
        <v>4222</v>
      </c>
      <c r="B2569" s="565" t="str">
        <f>COSTOS!$D$16</f>
        <v>Luminarias</v>
      </c>
      <c r="C2569" s="565"/>
      <c r="D2569" s="565"/>
      <c r="E2569" s="565"/>
      <c r="F2569" s="565"/>
      <c r="G2569" s="70" t="s">
        <v>4223</v>
      </c>
      <c r="H2569" s="391">
        <v>1.51</v>
      </c>
      <c r="K2569" s="62">
        <f>H2594</f>
        <v>1774889.0460000001</v>
      </c>
      <c r="L2569" s="62">
        <f>H2604</f>
        <v>22484</v>
      </c>
      <c r="M2569" s="62">
        <f>H2577</f>
        <v>4034.53125</v>
      </c>
      <c r="N2569" s="62">
        <f>H2598</f>
        <v>4800</v>
      </c>
    </row>
    <row r="2570" spans="1:14" ht="43.15" customHeight="1">
      <c r="A2570" s="229" t="s">
        <v>4224</v>
      </c>
      <c r="B2570" s="566" t="str">
        <f>VLOOKUP(H2569,COSTOS!C:M,2,0)</f>
        <v>Reflector Led de 300w</v>
      </c>
      <c r="C2570" s="567"/>
      <c r="D2570" s="567"/>
      <c r="E2570" s="568"/>
      <c r="F2570" s="71" t="s">
        <v>0</v>
      </c>
      <c r="G2570" s="356" t="str">
        <f>VLOOKUP(H2569,COSTOS!C:M,8,0)</f>
        <v>Und</v>
      </c>
      <c r="H2570" s="276"/>
      <c r="I2570" s="306"/>
      <c r="J2570" s="308"/>
      <c r="K2570" s="308"/>
      <c r="L2570" s="308"/>
    </row>
    <row r="2571" spans="1:14">
      <c r="A2571" s="230"/>
      <c r="B2571" s="112"/>
      <c r="C2571" s="112"/>
      <c r="D2571" s="112"/>
      <c r="E2571" s="113"/>
      <c r="F2571" s="114" t="s">
        <v>1</v>
      </c>
      <c r="G2571" s="356">
        <f>VLOOKUP(H2569,COSTOS!C:M,9,0)</f>
        <v>0</v>
      </c>
      <c r="H2571" s="357"/>
      <c r="I2571" s="307"/>
    </row>
    <row r="2572" spans="1:14" ht="16.5">
      <c r="A2572" s="231" t="s">
        <v>4226</v>
      </c>
      <c r="B2572" s="75"/>
      <c r="C2572" s="75"/>
      <c r="D2572" s="76"/>
      <c r="E2572" s="209"/>
      <c r="F2572" s="210"/>
      <c r="G2572" s="211" t="s">
        <v>4227</v>
      </c>
      <c r="H2572" s="217">
        <f>H2577+H2594+H2598+H2604</f>
        <v>1806207.5772500001</v>
      </c>
    </row>
    <row r="2573" spans="1:14" ht="39">
      <c r="A2573" s="569" t="s">
        <v>4224</v>
      </c>
      <c r="B2573" s="569"/>
      <c r="C2573" s="569"/>
      <c r="D2573" s="77" t="s">
        <v>0</v>
      </c>
      <c r="E2573" s="207" t="s">
        <v>4228</v>
      </c>
      <c r="F2573" s="208" t="s">
        <v>4215</v>
      </c>
      <c r="G2573" s="74" t="s">
        <v>2</v>
      </c>
      <c r="H2573" s="218" t="s">
        <v>4229</v>
      </c>
      <c r="K2573" s="309"/>
    </row>
    <row r="2574" spans="1:14">
      <c r="A2574" s="536" t="s">
        <v>3946</v>
      </c>
      <c r="B2574" s="570" t="str">
        <f>VLOOKUP(A2574,'Equip, Herr y Transp'!$B$2:$D$739,2,0)</f>
        <v>EQU</v>
      </c>
      <c r="C2574" s="570"/>
      <c r="D2574" s="95" t="str">
        <f>VLOOKUP(A2574,'Equip, Herr y Transp'!$B$2:$D$218,2,0)</f>
        <v>EQU</v>
      </c>
      <c r="E2574" s="95">
        <f>VLOOKUP(A2574,'Equip, Herr y Transp'!$B$2:$D$218,3,0)</f>
        <v>14130</v>
      </c>
      <c r="F2574" s="96">
        <f>H2564</f>
        <v>6.25E-2</v>
      </c>
      <c r="G2574" s="122">
        <f>F2574*E2574</f>
        <v>883.125</v>
      </c>
      <c r="H2574" s="118"/>
    </row>
    <row r="2575" spans="1:14">
      <c r="A2575" s="536" t="s">
        <v>3904</v>
      </c>
      <c r="B2575" s="570" t="str">
        <f>VLOOKUP(A2575,'Equip, Herr y Transp'!$B$2:$D$739,2,0)</f>
        <v>EQU</v>
      </c>
      <c r="C2575" s="570"/>
      <c r="D2575" s="95" t="str">
        <f>VLOOKUP(A2575,'Equip, Herr y Transp'!$B$2:$D$218,2,0)</f>
        <v>EQU</v>
      </c>
      <c r="E2575" s="95">
        <f>VLOOKUP(A2575,'Equip, Herr y Transp'!$B$2:$D$218,3,0)</f>
        <v>26672.5</v>
      </c>
      <c r="F2575" s="96">
        <f>H2564</f>
        <v>6.25E-2</v>
      </c>
      <c r="G2575" s="122">
        <f>F2575*E2575</f>
        <v>1667.03125</v>
      </c>
      <c r="H2575" s="117"/>
    </row>
    <row r="2576" spans="1:14">
      <c r="A2576" s="536" t="s">
        <v>3937</v>
      </c>
      <c r="B2576" s="570" t="str">
        <f>VLOOKUP(A2576,'Equip, Herr y Transp'!$B$2:$D$739,2,0)</f>
        <v>EQU</v>
      </c>
      <c r="C2576" s="570"/>
      <c r="D2576" s="95" t="str">
        <f>VLOOKUP(A2576,'Equip, Herr y Transp'!$B$2:$D$218,2,0)</f>
        <v>EQU</v>
      </c>
      <c r="E2576" s="95">
        <f>VLOOKUP(A2576,'Equip, Herr y Transp'!$B$2:$D$218,3,0)</f>
        <v>23750</v>
      </c>
      <c r="F2576" s="96">
        <f>H2564</f>
        <v>6.25E-2</v>
      </c>
      <c r="G2576" s="122">
        <f>F2576*E2576</f>
        <v>1484.375</v>
      </c>
      <c r="H2576" s="117"/>
    </row>
    <row r="2577" spans="1:15" ht="16.5">
      <c r="A2577" s="540" t="s">
        <v>4100</v>
      </c>
      <c r="B2577" s="541"/>
      <c r="C2577" s="541"/>
      <c r="D2577" s="541"/>
      <c r="E2577" s="541"/>
      <c r="F2577" s="541"/>
      <c r="G2577" s="541"/>
      <c r="H2577" s="97">
        <f>SUM(G2574:G2576)</f>
        <v>4034.53125</v>
      </c>
    </row>
    <row r="2578" spans="1:15" ht="16.5">
      <c r="A2578" s="571" t="s">
        <v>4230</v>
      </c>
      <c r="B2578" s="572"/>
      <c r="C2578" s="572"/>
      <c r="D2578" s="572"/>
      <c r="E2578" s="572"/>
      <c r="F2578" s="572"/>
      <c r="G2578" s="572"/>
      <c r="H2578" s="573"/>
      <c r="K2578" s="56"/>
      <c r="L2578" s="56"/>
      <c r="M2578" s="56"/>
      <c r="N2578" s="56"/>
      <c r="O2578" s="56"/>
    </row>
    <row r="2579" spans="1:15" ht="30" customHeight="1">
      <c r="A2579" s="574" t="s">
        <v>7</v>
      </c>
      <c r="B2579" s="575"/>
      <c r="C2579" s="109" t="s">
        <v>0</v>
      </c>
      <c r="D2579" s="110" t="s">
        <v>4098</v>
      </c>
      <c r="E2579" s="111" t="s">
        <v>1</v>
      </c>
      <c r="F2579" s="576" t="s">
        <v>4218</v>
      </c>
      <c r="G2579" s="576"/>
      <c r="H2579" s="215"/>
      <c r="K2579" s="56"/>
      <c r="L2579" s="56"/>
      <c r="M2579" s="56"/>
      <c r="N2579" s="56"/>
      <c r="O2579" s="56"/>
    </row>
    <row r="2580" spans="1:15">
      <c r="A2580" s="577" t="s">
        <v>4579</v>
      </c>
      <c r="B2580" s="578"/>
      <c r="C2580" s="98" t="str">
        <f>VLOOKUP(A2580,'Materiales '!$C$2:$F$1302,3,0)</f>
        <v>Und</v>
      </c>
      <c r="D2580" s="99">
        <f>VLOOKUP(A2580,'Materiales '!$C$2:$F$1302,4,0)</f>
        <v>1636250.0000000002</v>
      </c>
      <c r="E2580" s="100">
        <v>1</v>
      </c>
      <c r="F2580" s="538">
        <f>E2580*D2580</f>
        <v>1636250.0000000002</v>
      </c>
      <c r="G2580" s="539"/>
      <c r="H2580" s="121"/>
      <c r="I2580">
        <f>E2580*G2571</f>
        <v>0</v>
      </c>
      <c r="J2580" s="67"/>
      <c r="K2580" s="56"/>
      <c r="L2580" s="56"/>
      <c r="M2580" s="56"/>
      <c r="N2580" s="56"/>
      <c r="O2580" s="56"/>
    </row>
    <row r="2581" spans="1:15">
      <c r="A2581" s="577" t="s">
        <v>4214</v>
      </c>
      <c r="B2581" s="578"/>
      <c r="C2581" s="98" t="str">
        <f>VLOOKUP(A2581,'Materiales '!$C$2:$F$1302,3,0)</f>
        <v>Und</v>
      </c>
      <c r="D2581" s="99">
        <f>VLOOKUP(A2581,'Materiales '!$C$2:$F$1302,4,0)</f>
        <v>22848</v>
      </c>
      <c r="E2581" s="100">
        <v>1</v>
      </c>
      <c r="F2581" s="538">
        <f t="shared" ref="F2581:F2587" si="151">E2581*D2581</f>
        <v>22848</v>
      </c>
      <c r="G2581" s="539"/>
      <c r="H2581" s="121"/>
      <c r="I2581">
        <f>E2581*G2571</f>
        <v>0</v>
      </c>
      <c r="J2581" s="67"/>
      <c r="K2581" s="56"/>
      <c r="L2581" s="56"/>
      <c r="M2581" s="56"/>
      <c r="N2581" s="56"/>
      <c r="O2581" s="56"/>
    </row>
    <row r="2582" spans="1:15">
      <c r="A2582" s="536" t="s">
        <v>4484</v>
      </c>
      <c r="B2582" s="537" t="str">
        <f>VLOOKUP(A2582,'Materiales '!$C$2:$F$1302,3,0)</f>
        <v>Und</v>
      </c>
      <c r="C2582" s="98" t="str">
        <f>VLOOKUP(A2582,'Materiales '!$C$2:$F$1302,3,0)</f>
        <v>Und</v>
      </c>
      <c r="D2582" s="99">
        <f>VLOOKUP(A2582,'Materiales '!$C$2:$F$1302,4,0)</f>
        <v>21705.599999999999</v>
      </c>
      <c r="E2582" s="100">
        <v>2</v>
      </c>
      <c r="F2582" s="538">
        <f t="shared" si="151"/>
        <v>43411.199999999997</v>
      </c>
      <c r="G2582" s="539"/>
      <c r="H2582" s="121"/>
      <c r="I2582">
        <f>E2582*G2571</f>
        <v>0</v>
      </c>
      <c r="J2582" s="68"/>
      <c r="K2582" s="56"/>
      <c r="L2582" s="56"/>
      <c r="M2582" s="56"/>
      <c r="N2582" s="56"/>
      <c r="O2582" s="56"/>
    </row>
    <row r="2583" spans="1:15">
      <c r="A2583" s="536" t="s">
        <v>4489</v>
      </c>
      <c r="B2583" s="537" t="str">
        <f>VLOOKUP(A2583,'Materiales '!$C$2:$F$1302,3,0)</f>
        <v>Und</v>
      </c>
      <c r="C2583" s="98" t="str">
        <f>VLOOKUP(A2583,'Materiales '!$C$2:$F$1302,3,0)</f>
        <v>Und</v>
      </c>
      <c r="D2583" s="99">
        <f>VLOOKUP(A2583,'Materiales '!$C$2:$F$1302,4,0)</f>
        <v>8039.6399999999994</v>
      </c>
      <c r="E2583" s="100">
        <v>3</v>
      </c>
      <c r="F2583" s="538">
        <f t="shared" si="151"/>
        <v>24118.92</v>
      </c>
      <c r="G2583" s="539"/>
      <c r="H2583" s="121"/>
      <c r="I2583">
        <f>E2583*G2571</f>
        <v>0</v>
      </c>
      <c r="J2583" s="68"/>
      <c r="K2583" s="56"/>
      <c r="L2583" s="56"/>
      <c r="M2583" s="56"/>
      <c r="N2583" s="56"/>
      <c r="O2583" s="56"/>
    </row>
    <row r="2584" spans="1:15">
      <c r="A2584" s="536" t="s">
        <v>4554</v>
      </c>
      <c r="B2584" s="537" t="str">
        <f>VLOOKUP(A2584,'Materiales '!$C$2:$F$1302,3,0)</f>
        <v>Und</v>
      </c>
      <c r="C2584" s="98" t="str">
        <f>VLOOKUP(A2584,'Materiales '!$C$2:$F$1302,3,0)</f>
        <v>Und</v>
      </c>
      <c r="D2584" s="99">
        <f>VLOOKUP(A2584,'Materiales '!$C$2:$F$1302,4,0)</f>
        <v>2535.5329999999999</v>
      </c>
      <c r="E2584" s="100">
        <v>2</v>
      </c>
      <c r="F2584" s="538">
        <f t="shared" si="151"/>
        <v>5071.0659999999998</v>
      </c>
      <c r="G2584" s="539"/>
      <c r="H2584" s="121"/>
      <c r="I2584">
        <f>E2584*G2571</f>
        <v>0</v>
      </c>
      <c r="J2584" s="68"/>
      <c r="K2584" s="56"/>
      <c r="L2584" s="56"/>
      <c r="M2584" s="56"/>
      <c r="N2584" s="56"/>
      <c r="O2584" s="56"/>
    </row>
    <row r="2585" spans="1:15">
      <c r="A2585" s="536" t="s">
        <v>4450</v>
      </c>
      <c r="B2585" s="537" t="str">
        <f>VLOOKUP(A2585,'Materiales '!$C$2:$F$1302,3,0)</f>
        <v>Ml</v>
      </c>
      <c r="C2585" s="98" t="str">
        <f>VLOOKUP(A2585,'Materiales '!$C$2:$F$1302,3,0)</f>
        <v>Ml</v>
      </c>
      <c r="D2585" s="99">
        <f>VLOOKUP(A2585,'Materiales '!$C$2:$F$1302,4,0)</f>
        <v>6791.5679999999993</v>
      </c>
      <c r="E2585" s="100">
        <v>1</v>
      </c>
      <c r="F2585" s="538">
        <f t="shared" si="151"/>
        <v>6791.5679999999993</v>
      </c>
      <c r="G2585" s="539"/>
      <c r="H2585" s="121"/>
      <c r="I2585">
        <f>E2585*G2571</f>
        <v>0</v>
      </c>
      <c r="J2585" s="68"/>
      <c r="K2585" s="56"/>
      <c r="L2585" s="56"/>
      <c r="M2585" s="56"/>
      <c r="N2585" s="56"/>
      <c r="O2585" s="56"/>
    </row>
    <row r="2586" spans="1:15">
      <c r="A2586" s="536" t="s">
        <v>4493</v>
      </c>
      <c r="B2586" s="537" t="str">
        <f>VLOOKUP(A2586,'Materiales '!$C$2:$F$1302,3,0)</f>
        <v>Und</v>
      </c>
      <c r="C2586" s="98" t="str">
        <f>VLOOKUP(A2586,'Materiales '!$C$2:$F$1302,3,0)</f>
        <v>Und</v>
      </c>
      <c r="D2586" s="99">
        <f>VLOOKUP(A2586,'Materiales '!$C$2:$F$1302,4,0)</f>
        <v>232.76399999999998</v>
      </c>
      <c r="E2586" s="100">
        <v>3</v>
      </c>
      <c r="F2586" s="538">
        <f t="shared" si="151"/>
        <v>698.29199999999992</v>
      </c>
      <c r="G2586" s="539"/>
      <c r="H2586" s="121"/>
      <c r="I2586">
        <f>E2586*G2571</f>
        <v>0</v>
      </c>
      <c r="J2586" s="68"/>
      <c r="K2586" s="56"/>
      <c r="L2586" s="56"/>
      <c r="M2586" s="56"/>
      <c r="N2586" s="56"/>
      <c r="O2586" s="56"/>
    </row>
    <row r="2587" spans="1:15" ht="21.75" customHeight="1">
      <c r="A2587" s="536" t="s">
        <v>4639</v>
      </c>
      <c r="B2587" s="537" t="str">
        <f>VLOOKUP(A2587,'Materiales '!$C$2:$F$1302,3,0)</f>
        <v>Und</v>
      </c>
      <c r="C2587" s="98" t="str">
        <f>VLOOKUP(A2587,'Materiales '!$C$2:$F$1302,3,0)</f>
        <v>Und</v>
      </c>
      <c r="D2587" s="99">
        <f>VLOOKUP(A2587,'Materiales '!$C$2:$F$1302,4,0)</f>
        <v>35700</v>
      </c>
      <c r="E2587" s="100">
        <v>1</v>
      </c>
      <c r="F2587" s="538">
        <f t="shared" si="151"/>
        <v>35700</v>
      </c>
      <c r="G2587" s="539"/>
      <c r="H2587" s="121"/>
      <c r="I2587">
        <f>E2587*G2571</f>
        <v>0</v>
      </c>
      <c r="J2587" s="68"/>
      <c r="K2587" s="56"/>
      <c r="L2587" s="56"/>
      <c r="M2587" s="56"/>
      <c r="N2587" s="56"/>
      <c r="O2587" s="56"/>
    </row>
    <row r="2588" spans="1:15">
      <c r="A2588" s="536" t="s">
        <v>8</v>
      </c>
      <c r="B2588" s="537" t="str">
        <f>VLOOKUP(A2588,'Materiales '!$C$2:$F$1302,3,0)</f>
        <v>-</v>
      </c>
      <c r="C2588" s="98" t="str">
        <f>VLOOKUP(A2588,'Materiales '!$C$2:$F$1302,3,0)</f>
        <v>-</v>
      </c>
      <c r="D2588" s="99">
        <f>VLOOKUP(A2588,'Materiales '!$C$2:$F$1302,4,0)</f>
        <v>0</v>
      </c>
      <c r="E2588" s="100"/>
      <c r="F2588" s="538">
        <f>E2588*D2588</f>
        <v>0</v>
      </c>
      <c r="G2588" s="539"/>
      <c r="H2588" s="120"/>
      <c r="I2588">
        <f>E2588*G2571</f>
        <v>0</v>
      </c>
      <c r="J2588" s="68"/>
      <c r="K2588" s="56"/>
      <c r="L2588" s="56"/>
      <c r="M2588" s="56"/>
      <c r="N2588" s="56"/>
      <c r="O2588" s="56"/>
    </row>
    <row r="2589" spans="1:15">
      <c r="A2589" s="536" t="s">
        <v>8</v>
      </c>
      <c r="B2589" s="537" t="str">
        <f>VLOOKUP(A2589,'Materiales '!$C$2:$F$1302,3,0)</f>
        <v>-</v>
      </c>
      <c r="C2589" s="98" t="str">
        <f>VLOOKUP(A2589,'Materiales '!$C$2:$F$1302,3,0)</f>
        <v>-</v>
      </c>
      <c r="D2589" s="99">
        <f>VLOOKUP(A2589,'Materiales '!$C$2:$F$1302,4,0)</f>
        <v>0</v>
      </c>
      <c r="E2589" s="100"/>
      <c r="F2589" s="538">
        <f t="shared" ref="F2589:F2592" si="152">E2589*D2589</f>
        <v>0</v>
      </c>
      <c r="G2589" s="539"/>
      <c r="H2589" s="121"/>
      <c r="I2589">
        <f>E2589*G2571</f>
        <v>0</v>
      </c>
      <c r="J2589" s="68"/>
      <c r="K2589" s="56"/>
      <c r="L2589" s="56"/>
      <c r="M2589" s="56"/>
      <c r="N2589" s="56"/>
      <c r="O2589" s="56"/>
    </row>
    <row r="2590" spans="1:15">
      <c r="A2590" s="536" t="s">
        <v>8</v>
      </c>
      <c r="B2590" s="537" t="str">
        <f>VLOOKUP(A2590,'Materiales '!$C$2:$F$1302,3,0)</f>
        <v>-</v>
      </c>
      <c r="C2590" s="98" t="str">
        <f>VLOOKUP(A2590,'Materiales '!$C$2:$F$1302,3,0)</f>
        <v>-</v>
      </c>
      <c r="D2590" s="99">
        <f>VLOOKUP(A2590,'Materiales '!$C$2:$F$1302,4,0)</f>
        <v>0</v>
      </c>
      <c r="E2590" s="100"/>
      <c r="F2590" s="538">
        <f t="shared" si="152"/>
        <v>0</v>
      </c>
      <c r="G2590" s="539"/>
      <c r="H2590" s="121"/>
      <c r="I2590">
        <f>E2590*G2571</f>
        <v>0</v>
      </c>
      <c r="J2590" s="68"/>
      <c r="K2590" s="56"/>
      <c r="L2590" s="56"/>
      <c r="M2590" s="56"/>
      <c r="N2590" s="56"/>
      <c r="O2590" s="56"/>
    </row>
    <row r="2591" spans="1:15">
      <c r="A2591" s="536" t="s">
        <v>8</v>
      </c>
      <c r="B2591" s="537" t="str">
        <f>VLOOKUP(A2591,'Materiales '!$C$2:$F$1302,3,0)</f>
        <v>-</v>
      </c>
      <c r="C2591" s="98" t="str">
        <f>VLOOKUP(A2591,'Materiales '!$C$2:$F$1302,3,0)</f>
        <v>-</v>
      </c>
      <c r="D2591" s="99">
        <f>VLOOKUP(A2591,'Materiales '!$C$2:$F$1302,4,0)</f>
        <v>0</v>
      </c>
      <c r="E2591" s="100"/>
      <c r="F2591" s="538">
        <f t="shared" si="152"/>
        <v>0</v>
      </c>
      <c r="G2591" s="539"/>
      <c r="H2591" s="121"/>
      <c r="I2591">
        <f>E2591*G2571</f>
        <v>0</v>
      </c>
      <c r="J2591" s="68"/>
      <c r="K2591" s="56"/>
      <c r="L2591" s="56"/>
      <c r="M2591" s="56"/>
      <c r="N2591" s="56"/>
      <c r="O2591" s="56"/>
    </row>
    <row r="2592" spans="1:15">
      <c r="A2592" s="536" t="s">
        <v>8</v>
      </c>
      <c r="B2592" s="537" t="str">
        <f>VLOOKUP(A2592,'Materiales '!$C$2:$F$1302,3,0)</f>
        <v>-</v>
      </c>
      <c r="C2592" s="98" t="str">
        <f>VLOOKUP(A2592,'Materiales '!$C$2:$F$1302,3,0)</f>
        <v>-</v>
      </c>
      <c r="D2592" s="99">
        <f>VLOOKUP(A2592,'Materiales '!$C$2:$F$1302,4,0)</f>
        <v>0</v>
      </c>
      <c r="E2592" s="100"/>
      <c r="F2592" s="538">
        <f t="shared" si="152"/>
        <v>0</v>
      </c>
      <c r="G2592" s="539"/>
      <c r="H2592" s="121"/>
      <c r="I2592">
        <f>E2592*G2571</f>
        <v>0</v>
      </c>
      <c r="J2592" s="68"/>
      <c r="K2592" s="56"/>
      <c r="L2592" s="56"/>
      <c r="M2592" s="56"/>
      <c r="N2592" s="56"/>
      <c r="O2592" s="56"/>
    </row>
    <row r="2593" spans="1:15">
      <c r="A2593" s="536" t="s">
        <v>8</v>
      </c>
      <c r="B2593" s="537" t="str">
        <f>VLOOKUP(A2593,'Materiales '!$C$2:$F$1302,3,0)</f>
        <v>-</v>
      </c>
      <c r="C2593" s="98" t="str">
        <f>VLOOKUP(A2593,'Materiales '!$C$2:$F$1302,3,0)</f>
        <v>-</v>
      </c>
      <c r="D2593" s="99">
        <f>VLOOKUP(A2593,'Materiales '!$C$2:$F$1302,4,0)</f>
        <v>0</v>
      </c>
      <c r="E2593" s="100"/>
      <c r="F2593" s="538">
        <f>E2593*D2593</f>
        <v>0</v>
      </c>
      <c r="G2593" s="539"/>
      <c r="H2593" s="120"/>
      <c r="I2593">
        <f>E2593*G2571</f>
        <v>0</v>
      </c>
      <c r="J2593" s="68"/>
      <c r="K2593" s="56"/>
      <c r="L2593" s="56"/>
      <c r="M2593" s="56"/>
      <c r="N2593" s="56"/>
      <c r="O2593" s="56"/>
    </row>
    <row r="2594" spans="1:15" ht="16.5">
      <c r="A2594" s="540" t="s">
        <v>4099</v>
      </c>
      <c r="B2594" s="541"/>
      <c r="C2594" s="541"/>
      <c r="D2594" s="541"/>
      <c r="E2594" s="541"/>
      <c r="F2594" s="541"/>
      <c r="G2594" s="542"/>
      <c r="H2594" s="116">
        <f>SUM(F2580:F2593)</f>
        <v>1774889.0460000001</v>
      </c>
      <c r="J2594" s="68"/>
      <c r="K2594" s="56"/>
      <c r="L2594" s="56"/>
      <c r="M2594" s="56"/>
      <c r="N2594" s="56"/>
      <c r="O2594" s="56"/>
    </row>
    <row r="2595" spans="1:15" ht="16.5">
      <c r="A2595" s="543" t="s">
        <v>4231</v>
      </c>
      <c r="B2595" s="544"/>
      <c r="C2595" s="544"/>
      <c r="D2595" s="544"/>
      <c r="E2595" s="545"/>
      <c r="F2595" s="544"/>
      <c r="G2595" s="544"/>
      <c r="H2595" s="546"/>
      <c r="J2595" s="68"/>
      <c r="K2595" s="56"/>
      <c r="L2595" s="56"/>
      <c r="M2595" s="56"/>
      <c r="N2595" s="56"/>
      <c r="O2595" s="56"/>
    </row>
    <row r="2596" spans="1:15">
      <c r="A2596" s="547" t="s">
        <v>7</v>
      </c>
      <c r="B2596" s="548"/>
      <c r="C2596" s="108" t="s">
        <v>4232</v>
      </c>
      <c r="D2596" s="107" t="s">
        <v>4233</v>
      </c>
      <c r="E2596" s="206" t="s">
        <v>4234</v>
      </c>
      <c r="F2596" s="549" t="s">
        <v>4218</v>
      </c>
      <c r="G2596" s="549"/>
      <c r="H2596" s="119"/>
      <c r="K2596" s="56"/>
      <c r="L2596" s="56"/>
      <c r="M2596" s="56"/>
      <c r="N2596" s="56"/>
      <c r="O2596" s="56"/>
    </row>
    <row r="2597" spans="1:15">
      <c r="A2597" s="550" t="s">
        <v>3928</v>
      </c>
      <c r="B2597" s="551"/>
      <c r="C2597" s="232">
        <v>1</v>
      </c>
      <c r="D2597" s="102">
        <v>0.03</v>
      </c>
      <c r="E2597" s="103">
        <f>VLOOKUP(A2597,'Equip, Herr y Transp'!$B$2:$D$218,3,0)</f>
        <v>160000</v>
      </c>
      <c r="F2597" s="552">
        <f>E2597*D2597*C2597</f>
        <v>4800</v>
      </c>
      <c r="G2597" s="553"/>
      <c r="H2597" s="117"/>
      <c r="M2597" s="56"/>
    </row>
    <row r="2598" spans="1:15" ht="16.5">
      <c r="A2598" s="554" t="s">
        <v>4216</v>
      </c>
      <c r="B2598" s="555"/>
      <c r="C2598" s="555"/>
      <c r="D2598" s="555"/>
      <c r="E2598" s="555"/>
      <c r="F2598" s="555"/>
      <c r="G2598" s="555"/>
      <c r="H2598" s="105">
        <f>F2597</f>
        <v>4800</v>
      </c>
    </row>
    <row r="2599" spans="1:15" ht="16.5">
      <c r="A2599" s="543" t="s">
        <v>4235</v>
      </c>
      <c r="B2599" s="544"/>
      <c r="C2599" s="544"/>
      <c r="D2599" s="544"/>
      <c r="E2599" s="544"/>
      <c r="F2599" s="544"/>
      <c r="G2599" s="544"/>
      <c r="H2599" s="546"/>
    </row>
    <row r="2600" spans="1:15">
      <c r="A2600" s="547" t="s">
        <v>7</v>
      </c>
      <c r="B2600" s="548"/>
      <c r="C2600" s="106" t="s">
        <v>1</v>
      </c>
      <c r="D2600" s="107" t="s">
        <v>4236</v>
      </c>
      <c r="E2600" s="108" t="s">
        <v>4215</v>
      </c>
      <c r="F2600" s="547" t="s">
        <v>5</v>
      </c>
      <c r="G2600" s="556"/>
      <c r="H2600" s="119"/>
    </row>
    <row r="2601" spans="1:15">
      <c r="A2601" s="550" t="s">
        <v>4196</v>
      </c>
      <c r="B2601" s="551"/>
      <c r="C2601" s="101">
        <v>1</v>
      </c>
      <c r="D2601" s="104">
        <f>VLOOKUP(A2601,'Mano Obra'!$B$2:$T$117,19,0)</f>
        <v>166624</v>
      </c>
      <c r="E2601" s="246">
        <f>H2564</f>
        <v>6.25E-2</v>
      </c>
      <c r="F2601" s="538">
        <f>E2601*D2601*C2601</f>
        <v>10414</v>
      </c>
      <c r="G2601" s="557"/>
      <c r="H2601" s="121"/>
      <c r="I2601" s="69"/>
      <c r="J2601" s="136">
        <f>((('Mano Obra'!$M$4/30)*F2601)/D2601)*G2571</f>
        <v>0</v>
      </c>
    </row>
    <row r="2602" spans="1:15">
      <c r="A2602" s="558" t="s">
        <v>4197</v>
      </c>
      <c r="B2602" s="559">
        <f>VLOOKUP(A2602,'Mano Obra'!$B$3:$D$290,2,0)</f>
        <v>2090000.0000000002</v>
      </c>
      <c r="C2602" s="101">
        <v>1</v>
      </c>
      <c r="D2602" s="104">
        <f>VLOOKUP(A2602,'Mano Obra'!$B$2:$T$117,19,0)</f>
        <v>120456</v>
      </c>
      <c r="E2602" s="246">
        <f>H2564</f>
        <v>6.25E-2</v>
      </c>
      <c r="F2602" s="538">
        <f t="shared" ref="F2602:F2603" si="153">E2602*D2602*C2602</f>
        <v>7528.5</v>
      </c>
      <c r="G2602" s="557"/>
      <c r="H2602" s="121"/>
      <c r="J2602" s="136">
        <f>((('Mano Obra'!$M$5/30)*F2602)/D2602)*G2571</f>
        <v>0</v>
      </c>
    </row>
    <row r="2603" spans="1:15">
      <c r="A2603" s="558" t="s">
        <v>4186</v>
      </c>
      <c r="B2603" s="559">
        <f>VLOOKUP(A2603,'Mano Obra'!$B$3:$D$290,2,0)</f>
        <v>1100000</v>
      </c>
      <c r="C2603" s="101">
        <v>1</v>
      </c>
      <c r="D2603" s="104">
        <f>VLOOKUP(A2603,'Mano Obra'!$B$2:$T$117,19,0)</f>
        <v>72664</v>
      </c>
      <c r="E2603" s="246">
        <f>H2564</f>
        <v>6.25E-2</v>
      </c>
      <c r="F2603" s="538">
        <f t="shared" si="153"/>
        <v>4541.5</v>
      </c>
      <c r="G2603" s="557"/>
      <c r="H2603" s="120"/>
      <c r="J2603" s="136">
        <f>((('Mano Obra'!$M$6/30)*F2603)/D2603)*G2571</f>
        <v>0</v>
      </c>
    </row>
    <row r="2604" spans="1:15" ht="16.5">
      <c r="A2604" s="560" t="s">
        <v>4101</v>
      </c>
      <c r="B2604" s="560"/>
      <c r="C2604" s="560"/>
      <c r="D2604" s="560"/>
      <c r="E2604" s="560"/>
      <c r="F2604" s="560"/>
      <c r="G2604" s="560"/>
      <c r="H2604" s="105">
        <f>SUM(F2601:F2603)</f>
        <v>22484</v>
      </c>
      <c r="J2604" s="136"/>
    </row>
    <row r="2605" spans="1:15">
      <c r="A2605" s="227" t="s">
        <v>4237</v>
      </c>
      <c r="B2605" s="205"/>
      <c r="C2605" s="205"/>
      <c r="D2605" s="202"/>
      <c r="E2605" s="203"/>
      <c r="F2605" s="204"/>
      <c r="G2605" s="203"/>
      <c r="H2605" s="212"/>
    </row>
    <row r="2606" spans="1:15">
      <c r="A2606" s="561" t="s">
        <v>4224</v>
      </c>
      <c r="B2606" s="562"/>
      <c r="C2606" s="562"/>
      <c r="D2606" s="562"/>
      <c r="E2606" s="200"/>
      <c r="F2606" s="201" t="s">
        <v>4238</v>
      </c>
      <c r="G2606" s="200" t="s">
        <v>4239</v>
      </c>
      <c r="H2606" s="213"/>
    </row>
    <row r="2607" spans="1:15">
      <c r="A2607" s="223" t="s">
        <v>4097</v>
      </c>
      <c r="B2607" s="72"/>
      <c r="C2607" s="72"/>
      <c r="D2607" s="73"/>
      <c r="E2607" s="78"/>
      <c r="F2607" s="79">
        <v>0</v>
      </c>
      <c r="G2607" s="80">
        <f>F2607*H2572</f>
        <v>0</v>
      </c>
      <c r="H2607" s="212"/>
    </row>
    <row r="2608" spans="1:15">
      <c r="A2608" s="224" t="s">
        <v>4240</v>
      </c>
      <c r="B2608" s="81"/>
      <c r="C2608" s="81"/>
      <c r="D2608" s="82"/>
      <c r="E2608" s="78"/>
      <c r="F2608" s="79">
        <v>0</v>
      </c>
      <c r="G2608" s="80">
        <f>F2608*H2572</f>
        <v>0</v>
      </c>
      <c r="H2608" s="212"/>
    </row>
    <row r="2609" spans="1:14">
      <c r="A2609" s="224" t="s">
        <v>4</v>
      </c>
      <c r="B2609" s="81"/>
      <c r="C2609" s="81"/>
      <c r="D2609" s="82"/>
      <c r="E2609" s="78"/>
      <c r="F2609" s="79">
        <v>0</v>
      </c>
      <c r="G2609" s="80">
        <f>F2609*H2572</f>
        <v>0</v>
      </c>
      <c r="H2609" s="212"/>
    </row>
    <row r="2610" spans="1:14">
      <c r="A2610" s="225"/>
      <c r="B2610" s="83"/>
      <c r="C2610" s="75"/>
      <c r="D2610" s="84"/>
      <c r="E2610" s="85"/>
      <c r="F2610" s="86"/>
      <c r="G2610" s="87"/>
      <c r="H2610" s="214"/>
    </row>
    <row r="2611" spans="1:14">
      <c r="A2611" s="226"/>
      <c r="B2611" s="83"/>
      <c r="C2611" s="83"/>
      <c r="D2611" s="84"/>
      <c r="E2611" s="88"/>
      <c r="F2611" s="563" t="s">
        <v>4241</v>
      </c>
      <c r="G2611" s="564"/>
      <c r="H2611" s="233">
        <f>H2572+G2607+G2608+G2609</f>
        <v>1806207.5772500001</v>
      </c>
    </row>
    <row r="2612" spans="1:14">
      <c r="A2612" s="83"/>
      <c r="B2612" s="83"/>
      <c r="C2612" s="83"/>
      <c r="D2612" s="84"/>
      <c r="E2612" s="388"/>
      <c r="F2612" s="389"/>
      <c r="G2612" s="389"/>
      <c r="H2612" s="390"/>
    </row>
    <row r="2613" spans="1:14" ht="16.5">
      <c r="A2613" s="90"/>
      <c r="B2613" s="90"/>
      <c r="C2613" s="90"/>
      <c r="D2613" s="90"/>
      <c r="E2613" s="90"/>
      <c r="F2613" s="90"/>
      <c r="G2613" s="90"/>
      <c r="H2613" s="381"/>
    </row>
    <row r="2614" spans="1:14">
      <c r="A2614" s="579" t="s">
        <v>4225</v>
      </c>
      <c r="B2614" s="580"/>
      <c r="C2614" s="580"/>
      <c r="D2614" s="580"/>
      <c r="E2614" s="580"/>
      <c r="F2614" s="580"/>
      <c r="G2614" s="580"/>
      <c r="H2614" s="581"/>
    </row>
    <row r="2615" spans="1:14" ht="16.5">
      <c r="A2615" s="91"/>
      <c r="B2615" s="92"/>
      <c r="C2615" s="92"/>
      <c r="D2615" s="92"/>
      <c r="E2615" s="92"/>
      <c r="F2615" s="93"/>
      <c r="G2615" s="94"/>
      <c r="H2615" s="380">
        <f>ROUND((30/60)/8,4)</f>
        <v>6.25E-2</v>
      </c>
      <c r="I2615" s="115"/>
    </row>
    <row r="2616" spans="1:14">
      <c r="A2616" s="582" t="s">
        <v>4220</v>
      </c>
      <c r="B2616" s="584" t="str">
        <f>COSTOS!$C$14</f>
        <v>MODERNIZACION A TECNOLOGIA LED</v>
      </c>
      <c r="C2616" s="584"/>
      <c r="D2616" s="584"/>
      <c r="E2616" s="584"/>
      <c r="F2616" s="584"/>
      <c r="G2616" s="584"/>
      <c r="H2616" s="585" t="s">
        <v>4221</v>
      </c>
    </row>
    <row r="2617" spans="1:14">
      <c r="A2617" s="583"/>
      <c r="B2617" s="584"/>
      <c r="C2617" s="584"/>
      <c r="D2617" s="584"/>
      <c r="E2617" s="584"/>
      <c r="F2617" s="584"/>
      <c r="G2617" s="584"/>
      <c r="H2617" s="585"/>
    </row>
    <row r="2618" spans="1:14">
      <c r="A2618" s="583"/>
      <c r="B2618" s="584"/>
      <c r="C2618" s="584"/>
      <c r="D2618" s="584"/>
      <c r="E2618" s="584"/>
      <c r="F2618" s="584"/>
      <c r="G2618" s="584"/>
      <c r="H2618" s="585"/>
    </row>
    <row r="2619" spans="1:14" ht="15" customHeight="1">
      <c r="A2619" s="583"/>
      <c r="B2619" s="584"/>
      <c r="C2619" s="584"/>
      <c r="D2619" s="584"/>
      <c r="E2619" s="584"/>
      <c r="F2619" s="584"/>
      <c r="G2619" s="584"/>
      <c r="H2619" s="216">
        <f ca="1">TODAY()</f>
        <v>44889</v>
      </c>
      <c r="K2619" t="s">
        <v>4391</v>
      </c>
      <c r="L2619" t="s">
        <v>4392</v>
      </c>
      <c r="M2619" t="s">
        <v>4393</v>
      </c>
      <c r="N2619" t="s">
        <v>4394</v>
      </c>
    </row>
    <row r="2620" spans="1:14" ht="60.75" customHeight="1">
      <c r="A2620" s="228" t="s">
        <v>4222</v>
      </c>
      <c r="B2620" s="565" t="str">
        <f>COSTOS!$D$16</f>
        <v>Luminarias</v>
      </c>
      <c r="C2620" s="565"/>
      <c r="D2620" s="565"/>
      <c r="E2620" s="565"/>
      <c r="F2620" s="565"/>
      <c r="G2620" s="70" t="s">
        <v>4223</v>
      </c>
      <c r="H2620" s="391">
        <v>1.52</v>
      </c>
      <c r="K2620" s="62">
        <f>H2645</f>
        <v>204089.04599999997</v>
      </c>
      <c r="L2620" s="62">
        <f>H2655</f>
        <v>22484</v>
      </c>
      <c r="M2620" s="62">
        <f>H2628</f>
        <v>4034.53125</v>
      </c>
      <c r="N2620" s="62">
        <f>H2649</f>
        <v>4800</v>
      </c>
    </row>
    <row r="2621" spans="1:14" ht="43.15" customHeight="1">
      <c r="A2621" s="229" t="s">
        <v>4224</v>
      </c>
      <c r="B2621" s="566" t="str">
        <f>VLOOKUP(H2620,COSTOS!C:M,2,0)</f>
        <v>Reflector Led 20w</v>
      </c>
      <c r="C2621" s="567"/>
      <c r="D2621" s="567"/>
      <c r="E2621" s="568"/>
      <c r="F2621" s="71" t="s">
        <v>0</v>
      </c>
      <c r="G2621" s="356" t="str">
        <f>VLOOKUP(H2620,COSTOS!C:M,8,0)</f>
        <v>Und</v>
      </c>
      <c r="H2621" s="276"/>
      <c r="I2621" s="306"/>
      <c r="J2621" s="308"/>
      <c r="K2621" s="308"/>
      <c r="L2621" s="308"/>
    </row>
    <row r="2622" spans="1:14">
      <c r="A2622" s="230"/>
      <c r="B2622" s="112"/>
      <c r="C2622" s="112"/>
      <c r="D2622" s="112"/>
      <c r="E2622" s="113"/>
      <c r="F2622" s="114" t="s">
        <v>1</v>
      </c>
      <c r="G2622" s="356">
        <f>VLOOKUP(H2620,COSTOS!C:M,9,0)</f>
        <v>0</v>
      </c>
      <c r="H2622" s="357"/>
      <c r="I2622" s="307"/>
    </row>
    <row r="2623" spans="1:14" ht="16.5">
      <c r="A2623" s="231" t="s">
        <v>4226</v>
      </c>
      <c r="B2623" s="75"/>
      <c r="C2623" s="75"/>
      <c r="D2623" s="76"/>
      <c r="E2623" s="209"/>
      <c r="F2623" s="210"/>
      <c r="G2623" s="211" t="s">
        <v>4227</v>
      </c>
      <c r="H2623" s="217">
        <f>H2628+H2645+H2649+H2655</f>
        <v>235407.57724999997</v>
      </c>
    </row>
    <row r="2624" spans="1:14" ht="39">
      <c r="A2624" s="569" t="s">
        <v>4224</v>
      </c>
      <c r="B2624" s="569"/>
      <c r="C2624" s="569"/>
      <c r="D2624" s="77" t="s">
        <v>0</v>
      </c>
      <c r="E2624" s="207" t="s">
        <v>4228</v>
      </c>
      <c r="F2624" s="208" t="s">
        <v>4215</v>
      </c>
      <c r="G2624" s="74" t="s">
        <v>2</v>
      </c>
      <c r="H2624" s="218" t="s">
        <v>4229</v>
      </c>
      <c r="K2624" s="309"/>
    </row>
    <row r="2625" spans="1:15">
      <c r="A2625" s="536" t="s">
        <v>3946</v>
      </c>
      <c r="B2625" s="570" t="str">
        <f>VLOOKUP(A2625,'Equip, Herr y Transp'!$B$2:$D$739,2,0)</f>
        <v>EQU</v>
      </c>
      <c r="C2625" s="570"/>
      <c r="D2625" s="95" t="str">
        <f>VLOOKUP(A2625,'Equip, Herr y Transp'!$B$2:$D$218,2,0)</f>
        <v>EQU</v>
      </c>
      <c r="E2625" s="95">
        <f>VLOOKUP(A2625,'Equip, Herr y Transp'!$B$2:$D$218,3,0)</f>
        <v>14130</v>
      </c>
      <c r="F2625" s="96">
        <f>H2615</f>
        <v>6.25E-2</v>
      </c>
      <c r="G2625" s="122">
        <f>F2625*E2625</f>
        <v>883.125</v>
      </c>
      <c r="H2625" s="118"/>
    </row>
    <row r="2626" spans="1:15">
      <c r="A2626" s="536" t="s">
        <v>3904</v>
      </c>
      <c r="B2626" s="570" t="str">
        <f>VLOOKUP(A2626,'Equip, Herr y Transp'!$B$2:$D$739,2,0)</f>
        <v>EQU</v>
      </c>
      <c r="C2626" s="570"/>
      <c r="D2626" s="95" t="str">
        <f>VLOOKUP(A2626,'Equip, Herr y Transp'!$B$2:$D$218,2,0)</f>
        <v>EQU</v>
      </c>
      <c r="E2626" s="95">
        <f>VLOOKUP(A2626,'Equip, Herr y Transp'!$B$2:$D$218,3,0)</f>
        <v>26672.5</v>
      </c>
      <c r="F2626" s="96">
        <f>H2615</f>
        <v>6.25E-2</v>
      </c>
      <c r="G2626" s="122">
        <f>F2626*E2626</f>
        <v>1667.03125</v>
      </c>
      <c r="H2626" s="117"/>
    </row>
    <row r="2627" spans="1:15">
      <c r="A2627" s="536" t="s">
        <v>3937</v>
      </c>
      <c r="B2627" s="570" t="str">
        <f>VLOOKUP(A2627,'Equip, Herr y Transp'!$B$2:$D$739,2,0)</f>
        <v>EQU</v>
      </c>
      <c r="C2627" s="570"/>
      <c r="D2627" s="95" t="str">
        <f>VLOOKUP(A2627,'Equip, Herr y Transp'!$B$2:$D$218,2,0)</f>
        <v>EQU</v>
      </c>
      <c r="E2627" s="95">
        <f>VLOOKUP(A2627,'Equip, Herr y Transp'!$B$2:$D$218,3,0)</f>
        <v>23750</v>
      </c>
      <c r="F2627" s="96">
        <f>H2615</f>
        <v>6.25E-2</v>
      </c>
      <c r="G2627" s="122">
        <f>F2627*E2627</f>
        <v>1484.375</v>
      </c>
      <c r="H2627" s="117"/>
    </row>
    <row r="2628" spans="1:15" ht="16.5">
      <c r="A2628" s="540" t="s">
        <v>4100</v>
      </c>
      <c r="B2628" s="541"/>
      <c r="C2628" s="541"/>
      <c r="D2628" s="541"/>
      <c r="E2628" s="541"/>
      <c r="F2628" s="541"/>
      <c r="G2628" s="541"/>
      <c r="H2628" s="97">
        <f>SUM(G2625:G2627)</f>
        <v>4034.53125</v>
      </c>
    </row>
    <row r="2629" spans="1:15" ht="16.5">
      <c r="A2629" s="571" t="s">
        <v>4230</v>
      </c>
      <c r="B2629" s="572"/>
      <c r="C2629" s="572"/>
      <c r="D2629" s="572"/>
      <c r="E2629" s="572"/>
      <c r="F2629" s="572"/>
      <c r="G2629" s="572"/>
      <c r="H2629" s="573"/>
      <c r="K2629" s="56"/>
      <c r="L2629" s="56"/>
      <c r="M2629" s="56"/>
      <c r="N2629" s="56"/>
      <c r="O2629" s="56"/>
    </row>
    <row r="2630" spans="1:15" ht="30" customHeight="1">
      <c r="A2630" s="574" t="s">
        <v>7</v>
      </c>
      <c r="B2630" s="575"/>
      <c r="C2630" s="109" t="s">
        <v>0</v>
      </c>
      <c r="D2630" s="110" t="s">
        <v>4098</v>
      </c>
      <c r="E2630" s="111" t="s">
        <v>1</v>
      </c>
      <c r="F2630" s="576" t="s">
        <v>4218</v>
      </c>
      <c r="G2630" s="576"/>
      <c r="H2630" s="215"/>
      <c r="K2630" s="56"/>
      <c r="L2630" s="56"/>
      <c r="M2630" s="56"/>
      <c r="N2630" s="56"/>
      <c r="O2630" s="56"/>
    </row>
    <row r="2631" spans="1:15">
      <c r="A2631" s="577" t="s">
        <v>4762</v>
      </c>
      <c r="B2631" s="578"/>
      <c r="C2631" s="98" t="str">
        <f>VLOOKUP(A2631,'Materiales '!$C$2:$F$1302,3,0)</f>
        <v>Und</v>
      </c>
      <c r="D2631" s="99">
        <f>VLOOKUP(A2631,'Materiales '!$C$2:$F$1302,4,0)</f>
        <v>65450.000000000007</v>
      </c>
      <c r="E2631" s="100">
        <v>1</v>
      </c>
      <c r="F2631" s="538">
        <f>E2631*D2631</f>
        <v>65450.000000000007</v>
      </c>
      <c r="G2631" s="539"/>
      <c r="H2631" s="121"/>
      <c r="I2631">
        <f>E2631*G2622</f>
        <v>0</v>
      </c>
      <c r="J2631" s="67"/>
      <c r="K2631" s="56"/>
      <c r="L2631" s="56"/>
      <c r="M2631" s="56"/>
      <c r="N2631" s="56"/>
      <c r="O2631" s="56"/>
    </row>
    <row r="2632" spans="1:15">
      <c r="A2632" s="577" t="s">
        <v>4214</v>
      </c>
      <c r="B2632" s="578"/>
      <c r="C2632" s="98" t="str">
        <f>VLOOKUP(A2632,'Materiales '!$C$2:$F$1302,3,0)</f>
        <v>Und</v>
      </c>
      <c r="D2632" s="99">
        <f>VLOOKUP(A2632,'Materiales '!$C$2:$F$1302,4,0)</f>
        <v>22848</v>
      </c>
      <c r="E2632" s="100">
        <v>1</v>
      </c>
      <c r="F2632" s="538">
        <f t="shared" ref="F2632:F2638" si="154">E2632*D2632</f>
        <v>22848</v>
      </c>
      <c r="G2632" s="539"/>
      <c r="H2632" s="121"/>
      <c r="I2632">
        <f>E2632*G2622</f>
        <v>0</v>
      </c>
      <c r="J2632" s="67"/>
      <c r="K2632" s="56"/>
      <c r="L2632" s="56"/>
      <c r="M2632" s="56"/>
      <c r="N2632" s="56"/>
      <c r="O2632" s="56"/>
    </row>
    <row r="2633" spans="1:15">
      <c r="A2633" s="536" t="s">
        <v>4484</v>
      </c>
      <c r="B2633" s="537" t="str">
        <f>VLOOKUP(A2633,'Materiales '!$C$2:$F$1302,3,0)</f>
        <v>Und</v>
      </c>
      <c r="C2633" s="98" t="str">
        <f>VLOOKUP(A2633,'Materiales '!$C$2:$F$1302,3,0)</f>
        <v>Und</v>
      </c>
      <c r="D2633" s="99">
        <f>VLOOKUP(A2633,'Materiales '!$C$2:$F$1302,4,0)</f>
        <v>21705.599999999999</v>
      </c>
      <c r="E2633" s="100">
        <v>2</v>
      </c>
      <c r="F2633" s="538">
        <f t="shared" si="154"/>
        <v>43411.199999999997</v>
      </c>
      <c r="G2633" s="539"/>
      <c r="H2633" s="121"/>
      <c r="I2633">
        <f>E2633*G2622</f>
        <v>0</v>
      </c>
      <c r="J2633" s="68"/>
      <c r="K2633" s="56"/>
      <c r="L2633" s="56"/>
      <c r="M2633" s="56"/>
      <c r="N2633" s="56"/>
      <c r="O2633" s="56"/>
    </row>
    <row r="2634" spans="1:15">
      <c r="A2634" s="536" t="s">
        <v>4489</v>
      </c>
      <c r="B2634" s="537" t="str">
        <f>VLOOKUP(A2634,'Materiales '!$C$2:$F$1302,3,0)</f>
        <v>Und</v>
      </c>
      <c r="C2634" s="98" t="str">
        <f>VLOOKUP(A2634,'Materiales '!$C$2:$F$1302,3,0)</f>
        <v>Und</v>
      </c>
      <c r="D2634" s="99">
        <f>VLOOKUP(A2634,'Materiales '!$C$2:$F$1302,4,0)</f>
        <v>8039.6399999999994</v>
      </c>
      <c r="E2634" s="100">
        <v>3</v>
      </c>
      <c r="F2634" s="538">
        <f t="shared" si="154"/>
        <v>24118.92</v>
      </c>
      <c r="G2634" s="539"/>
      <c r="H2634" s="121"/>
      <c r="I2634">
        <f>E2634*G2622</f>
        <v>0</v>
      </c>
      <c r="J2634" s="68"/>
      <c r="K2634" s="56"/>
      <c r="L2634" s="56"/>
      <c r="M2634" s="56"/>
      <c r="N2634" s="56"/>
      <c r="O2634" s="56"/>
    </row>
    <row r="2635" spans="1:15">
      <c r="A2635" s="536" t="s">
        <v>4554</v>
      </c>
      <c r="B2635" s="537" t="str">
        <f>VLOOKUP(A2635,'Materiales '!$C$2:$F$1302,3,0)</f>
        <v>Und</v>
      </c>
      <c r="C2635" s="98" t="str">
        <f>VLOOKUP(A2635,'Materiales '!$C$2:$F$1302,3,0)</f>
        <v>Und</v>
      </c>
      <c r="D2635" s="99">
        <f>VLOOKUP(A2635,'Materiales '!$C$2:$F$1302,4,0)</f>
        <v>2535.5329999999999</v>
      </c>
      <c r="E2635" s="100">
        <v>2</v>
      </c>
      <c r="F2635" s="538">
        <f t="shared" si="154"/>
        <v>5071.0659999999998</v>
      </c>
      <c r="G2635" s="539"/>
      <c r="H2635" s="121"/>
      <c r="I2635">
        <f>E2635*G2622</f>
        <v>0</v>
      </c>
      <c r="J2635" s="68"/>
      <c r="K2635" s="56"/>
      <c r="L2635" s="56"/>
      <c r="M2635" s="56"/>
      <c r="N2635" s="56"/>
      <c r="O2635" s="56"/>
    </row>
    <row r="2636" spans="1:15">
      <c r="A2636" s="536" t="s">
        <v>4450</v>
      </c>
      <c r="B2636" s="537" t="str">
        <f>VLOOKUP(A2636,'Materiales '!$C$2:$F$1302,3,0)</f>
        <v>Ml</v>
      </c>
      <c r="C2636" s="98" t="str">
        <f>VLOOKUP(A2636,'Materiales '!$C$2:$F$1302,3,0)</f>
        <v>Ml</v>
      </c>
      <c r="D2636" s="99">
        <f>VLOOKUP(A2636,'Materiales '!$C$2:$F$1302,4,0)</f>
        <v>6791.5679999999993</v>
      </c>
      <c r="E2636" s="100">
        <v>1</v>
      </c>
      <c r="F2636" s="538">
        <f t="shared" si="154"/>
        <v>6791.5679999999993</v>
      </c>
      <c r="G2636" s="539"/>
      <c r="H2636" s="121"/>
      <c r="I2636">
        <f>E2636*G2622</f>
        <v>0</v>
      </c>
      <c r="J2636" s="68"/>
      <c r="K2636" s="56"/>
      <c r="L2636" s="56"/>
      <c r="M2636" s="56"/>
      <c r="N2636" s="56"/>
      <c r="O2636" s="56"/>
    </row>
    <row r="2637" spans="1:15">
      <c r="A2637" s="536" t="s">
        <v>4493</v>
      </c>
      <c r="B2637" s="537" t="str">
        <f>VLOOKUP(A2637,'Materiales '!$C$2:$F$1302,3,0)</f>
        <v>Und</v>
      </c>
      <c r="C2637" s="98" t="str">
        <f>VLOOKUP(A2637,'Materiales '!$C$2:$F$1302,3,0)</f>
        <v>Und</v>
      </c>
      <c r="D2637" s="99">
        <f>VLOOKUP(A2637,'Materiales '!$C$2:$F$1302,4,0)</f>
        <v>232.76399999999998</v>
      </c>
      <c r="E2637" s="100">
        <v>3</v>
      </c>
      <c r="F2637" s="538">
        <f t="shared" si="154"/>
        <v>698.29199999999992</v>
      </c>
      <c r="G2637" s="539"/>
      <c r="H2637" s="121"/>
      <c r="I2637">
        <f>E2637*G2622</f>
        <v>0</v>
      </c>
      <c r="J2637" s="68"/>
      <c r="K2637" s="56"/>
      <c r="L2637" s="56"/>
      <c r="M2637" s="56"/>
      <c r="N2637" s="56"/>
      <c r="O2637" s="56"/>
    </row>
    <row r="2638" spans="1:15" ht="21.75" customHeight="1">
      <c r="A2638" s="536" t="s">
        <v>4639</v>
      </c>
      <c r="B2638" s="537" t="str">
        <f>VLOOKUP(A2638,'Materiales '!$C$2:$F$1302,3,0)</f>
        <v>Und</v>
      </c>
      <c r="C2638" s="98" t="str">
        <f>VLOOKUP(A2638,'Materiales '!$C$2:$F$1302,3,0)</f>
        <v>Und</v>
      </c>
      <c r="D2638" s="99">
        <f>VLOOKUP(A2638,'Materiales '!$C$2:$F$1302,4,0)</f>
        <v>35700</v>
      </c>
      <c r="E2638" s="100">
        <v>1</v>
      </c>
      <c r="F2638" s="538">
        <f t="shared" si="154"/>
        <v>35700</v>
      </c>
      <c r="G2638" s="539"/>
      <c r="H2638" s="121"/>
      <c r="I2638">
        <f>E2638*G2622</f>
        <v>0</v>
      </c>
      <c r="J2638" s="68"/>
      <c r="K2638" s="56"/>
      <c r="L2638" s="56"/>
      <c r="M2638" s="56"/>
      <c r="N2638" s="56"/>
      <c r="O2638" s="56"/>
    </row>
    <row r="2639" spans="1:15">
      <c r="A2639" s="536" t="s">
        <v>8</v>
      </c>
      <c r="B2639" s="537" t="str">
        <f>VLOOKUP(A2639,'Materiales '!$C$2:$F$1302,3,0)</f>
        <v>-</v>
      </c>
      <c r="C2639" s="98" t="str">
        <f>VLOOKUP(A2639,'Materiales '!$C$2:$F$1302,3,0)</f>
        <v>-</v>
      </c>
      <c r="D2639" s="99">
        <f>VLOOKUP(A2639,'Materiales '!$C$2:$F$1302,4,0)</f>
        <v>0</v>
      </c>
      <c r="E2639" s="100"/>
      <c r="F2639" s="538">
        <f>E2639*D2639</f>
        <v>0</v>
      </c>
      <c r="G2639" s="539"/>
      <c r="H2639" s="120"/>
      <c r="I2639">
        <f>E2639*G2622</f>
        <v>0</v>
      </c>
      <c r="J2639" s="68"/>
      <c r="K2639" s="56"/>
      <c r="L2639" s="56"/>
      <c r="M2639" s="56"/>
      <c r="N2639" s="56"/>
      <c r="O2639" s="56"/>
    </row>
    <row r="2640" spans="1:15">
      <c r="A2640" s="536" t="s">
        <v>8</v>
      </c>
      <c r="B2640" s="537" t="str">
        <f>VLOOKUP(A2640,'Materiales '!$C$2:$F$1302,3,0)</f>
        <v>-</v>
      </c>
      <c r="C2640" s="98" t="str">
        <f>VLOOKUP(A2640,'Materiales '!$C$2:$F$1302,3,0)</f>
        <v>-</v>
      </c>
      <c r="D2640" s="99">
        <f>VLOOKUP(A2640,'Materiales '!$C$2:$F$1302,4,0)</f>
        <v>0</v>
      </c>
      <c r="E2640" s="100"/>
      <c r="F2640" s="538">
        <f t="shared" ref="F2640:F2643" si="155">E2640*D2640</f>
        <v>0</v>
      </c>
      <c r="G2640" s="539"/>
      <c r="H2640" s="121"/>
      <c r="I2640">
        <f>E2640*G2622</f>
        <v>0</v>
      </c>
      <c r="J2640" s="68"/>
      <c r="K2640" s="56"/>
      <c r="L2640" s="56"/>
      <c r="M2640" s="56"/>
      <c r="N2640" s="56"/>
      <c r="O2640" s="56"/>
    </row>
    <row r="2641" spans="1:15">
      <c r="A2641" s="536" t="s">
        <v>8</v>
      </c>
      <c r="B2641" s="537" t="str">
        <f>VLOOKUP(A2641,'Materiales '!$C$2:$F$1302,3,0)</f>
        <v>-</v>
      </c>
      <c r="C2641" s="98" t="str">
        <f>VLOOKUP(A2641,'Materiales '!$C$2:$F$1302,3,0)</f>
        <v>-</v>
      </c>
      <c r="D2641" s="99">
        <f>VLOOKUP(A2641,'Materiales '!$C$2:$F$1302,4,0)</f>
        <v>0</v>
      </c>
      <c r="E2641" s="100"/>
      <c r="F2641" s="538">
        <f t="shared" si="155"/>
        <v>0</v>
      </c>
      <c r="G2641" s="539"/>
      <c r="H2641" s="121"/>
      <c r="I2641">
        <f>E2641*G2622</f>
        <v>0</v>
      </c>
      <c r="J2641" s="68"/>
      <c r="K2641" s="56"/>
      <c r="L2641" s="56"/>
      <c r="M2641" s="56"/>
      <c r="N2641" s="56"/>
      <c r="O2641" s="56"/>
    </row>
    <row r="2642" spans="1:15">
      <c r="A2642" s="536" t="s">
        <v>8</v>
      </c>
      <c r="B2642" s="537" t="str">
        <f>VLOOKUP(A2642,'Materiales '!$C$2:$F$1302,3,0)</f>
        <v>-</v>
      </c>
      <c r="C2642" s="98" t="str">
        <f>VLOOKUP(A2642,'Materiales '!$C$2:$F$1302,3,0)</f>
        <v>-</v>
      </c>
      <c r="D2642" s="99">
        <f>VLOOKUP(A2642,'Materiales '!$C$2:$F$1302,4,0)</f>
        <v>0</v>
      </c>
      <c r="E2642" s="100"/>
      <c r="F2642" s="538">
        <f t="shared" si="155"/>
        <v>0</v>
      </c>
      <c r="G2642" s="539"/>
      <c r="H2642" s="121"/>
      <c r="I2642">
        <f>E2642*G2622</f>
        <v>0</v>
      </c>
      <c r="J2642" s="68"/>
      <c r="K2642" s="56"/>
      <c r="L2642" s="56"/>
      <c r="M2642" s="56"/>
      <c r="N2642" s="56"/>
      <c r="O2642" s="56"/>
    </row>
    <row r="2643" spans="1:15">
      <c r="A2643" s="536" t="s">
        <v>8</v>
      </c>
      <c r="B2643" s="537" t="str">
        <f>VLOOKUP(A2643,'Materiales '!$C$2:$F$1302,3,0)</f>
        <v>-</v>
      </c>
      <c r="C2643" s="98" t="str">
        <f>VLOOKUP(A2643,'Materiales '!$C$2:$F$1302,3,0)</f>
        <v>-</v>
      </c>
      <c r="D2643" s="99">
        <f>VLOOKUP(A2643,'Materiales '!$C$2:$F$1302,4,0)</f>
        <v>0</v>
      </c>
      <c r="E2643" s="100"/>
      <c r="F2643" s="538">
        <f t="shared" si="155"/>
        <v>0</v>
      </c>
      <c r="G2643" s="539"/>
      <c r="H2643" s="121"/>
      <c r="I2643">
        <f>E2643*G2622</f>
        <v>0</v>
      </c>
      <c r="J2643" s="68"/>
      <c r="K2643" s="56"/>
      <c r="L2643" s="56"/>
      <c r="M2643" s="56"/>
      <c r="N2643" s="56"/>
      <c r="O2643" s="56"/>
    </row>
    <row r="2644" spans="1:15">
      <c r="A2644" s="536" t="s">
        <v>8</v>
      </c>
      <c r="B2644" s="537" t="str">
        <f>VLOOKUP(A2644,'Materiales '!$C$2:$F$1302,3,0)</f>
        <v>-</v>
      </c>
      <c r="C2644" s="98" t="str">
        <f>VLOOKUP(A2644,'Materiales '!$C$2:$F$1302,3,0)</f>
        <v>-</v>
      </c>
      <c r="D2644" s="99">
        <f>VLOOKUP(A2644,'Materiales '!$C$2:$F$1302,4,0)</f>
        <v>0</v>
      </c>
      <c r="E2644" s="100"/>
      <c r="F2644" s="538">
        <f>E2644*D2644</f>
        <v>0</v>
      </c>
      <c r="G2644" s="539"/>
      <c r="H2644" s="120"/>
      <c r="I2644">
        <f>E2644*G2622</f>
        <v>0</v>
      </c>
      <c r="J2644" s="68"/>
      <c r="K2644" s="56"/>
      <c r="L2644" s="56"/>
      <c r="M2644" s="56"/>
      <c r="N2644" s="56"/>
      <c r="O2644" s="56"/>
    </row>
    <row r="2645" spans="1:15" ht="16.5">
      <c r="A2645" s="540" t="s">
        <v>4099</v>
      </c>
      <c r="B2645" s="541"/>
      <c r="C2645" s="541"/>
      <c r="D2645" s="541"/>
      <c r="E2645" s="541"/>
      <c r="F2645" s="541"/>
      <c r="G2645" s="542"/>
      <c r="H2645" s="116">
        <f>SUM(F2631:F2644)</f>
        <v>204089.04599999997</v>
      </c>
      <c r="J2645" s="68"/>
      <c r="K2645" s="56"/>
      <c r="L2645" s="56"/>
      <c r="M2645" s="56"/>
      <c r="N2645" s="56"/>
      <c r="O2645" s="56"/>
    </row>
    <row r="2646" spans="1:15" ht="16.5">
      <c r="A2646" s="543" t="s">
        <v>4231</v>
      </c>
      <c r="B2646" s="544"/>
      <c r="C2646" s="544"/>
      <c r="D2646" s="544"/>
      <c r="E2646" s="545"/>
      <c r="F2646" s="544"/>
      <c r="G2646" s="544"/>
      <c r="H2646" s="546"/>
      <c r="J2646" s="68"/>
      <c r="K2646" s="56"/>
      <c r="L2646" s="56"/>
      <c r="M2646" s="56"/>
      <c r="N2646" s="56"/>
      <c r="O2646" s="56"/>
    </row>
    <row r="2647" spans="1:15">
      <c r="A2647" s="547" t="s">
        <v>7</v>
      </c>
      <c r="B2647" s="548"/>
      <c r="C2647" s="108" t="s">
        <v>4232</v>
      </c>
      <c r="D2647" s="107" t="s">
        <v>4233</v>
      </c>
      <c r="E2647" s="206" t="s">
        <v>4234</v>
      </c>
      <c r="F2647" s="549" t="s">
        <v>4218</v>
      </c>
      <c r="G2647" s="549"/>
      <c r="H2647" s="119"/>
      <c r="K2647" s="56"/>
      <c r="L2647" s="56"/>
      <c r="M2647" s="56"/>
      <c r="N2647" s="56"/>
      <c r="O2647" s="56"/>
    </row>
    <row r="2648" spans="1:15">
      <c r="A2648" s="550" t="s">
        <v>3928</v>
      </c>
      <c r="B2648" s="551"/>
      <c r="C2648" s="232">
        <v>1</v>
      </c>
      <c r="D2648" s="102">
        <v>0.03</v>
      </c>
      <c r="E2648" s="103">
        <f>VLOOKUP(A2648,'Equip, Herr y Transp'!$B$2:$D$218,3,0)</f>
        <v>160000</v>
      </c>
      <c r="F2648" s="552">
        <f>E2648*D2648*C2648</f>
        <v>4800</v>
      </c>
      <c r="G2648" s="553"/>
      <c r="H2648" s="117"/>
      <c r="M2648" s="56"/>
    </row>
    <row r="2649" spans="1:15" ht="16.5">
      <c r="A2649" s="554" t="s">
        <v>4216</v>
      </c>
      <c r="B2649" s="555"/>
      <c r="C2649" s="555"/>
      <c r="D2649" s="555"/>
      <c r="E2649" s="555"/>
      <c r="F2649" s="555"/>
      <c r="G2649" s="555"/>
      <c r="H2649" s="105">
        <f>F2648</f>
        <v>4800</v>
      </c>
    </row>
    <row r="2650" spans="1:15" ht="16.5">
      <c r="A2650" s="543" t="s">
        <v>4235</v>
      </c>
      <c r="B2650" s="544"/>
      <c r="C2650" s="544"/>
      <c r="D2650" s="544"/>
      <c r="E2650" s="544"/>
      <c r="F2650" s="544"/>
      <c r="G2650" s="544"/>
      <c r="H2650" s="546"/>
    </row>
    <row r="2651" spans="1:15">
      <c r="A2651" s="547" t="s">
        <v>7</v>
      </c>
      <c r="B2651" s="548"/>
      <c r="C2651" s="106" t="s">
        <v>1</v>
      </c>
      <c r="D2651" s="107" t="s">
        <v>4236</v>
      </c>
      <c r="E2651" s="108" t="s">
        <v>4215</v>
      </c>
      <c r="F2651" s="547" t="s">
        <v>5</v>
      </c>
      <c r="G2651" s="556"/>
      <c r="H2651" s="119"/>
    </row>
    <row r="2652" spans="1:15">
      <c r="A2652" s="550" t="s">
        <v>4196</v>
      </c>
      <c r="B2652" s="551"/>
      <c r="C2652" s="101">
        <v>1</v>
      </c>
      <c r="D2652" s="104">
        <f>VLOOKUP(A2652,'Mano Obra'!$B$2:$T$117,19,0)</f>
        <v>166624</v>
      </c>
      <c r="E2652" s="246">
        <f>H2615</f>
        <v>6.25E-2</v>
      </c>
      <c r="F2652" s="538">
        <f>E2652*D2652*C2652</f>
        <v>10414</v>
      </c>
      <c r="G2652" s="557"/>
      <c r="H2652" s="121"/>
      <c r="I2652" s="69"/>
      <c r="J2652" s="136">
        <f>((('Mano Obra'!$M$4/30)*F2652)/D2652)*G2622</f>
        <v>0</v>
      </c>
    </row>
    <row r="2653" spans="1:15">
      <c r="A2653" s="558" t="s">
        <v>4197</v>
      </c>
      <c r="B2653" s="559">
        <f>VLOOKUP(A2653,'Mano Obra'!$B$3:$D$290,2,0)</f>
        <v>2090000.0000000002</v>
      </c>
      <c r="C2653" s="101">
        <v>1</v>
      </c>
      <c r="D2653" s="104">
        <f>VLOOKUP(A2653,'Mano Obra'!$B$2:$T$117,19,0)</f>
        <v>120456</v>
      </c>
      <c r="E2653" s="246">
        <f>H2615</f>
        <v>6.25E-2</v>
      </c>
      <c r="F2653" s="538">
        <f t="shared" ref="F2653:F2654" si="156">E2653*D2653*C2653</f>
        <v>7528.5</v>
      </c>
      <c r="G2653" s="557"/>
      <c r="H2653" s="121"/>
      <c r="J2653" s="136">
        <f>((('Mano Obra'!$M$5/30)*F2653)/D2653)*G2622</f>
        <v>0</v>
      </c>
    </row>
    <row r="2654" spans="1:15">
      <c r="A2654" s="558" t="s">
        <v>4186</v>
      </c>
      <c r="B2654" s="559">
        <f>VLOOKUP(A2654,'Mano Obra'!$B$3:$D$290,2,0)</f>
        <v>1100000</v>
      </c>
      <c r="C2654" s="101">
        <v>1</v>
      </c>
      <c r="D2654" s="104">
        <f>VLOOKUP(A2654,'Mano Obra'!$B$2:$T$117,19,0)</f>
        <v>72664</v>
      </c>
      <c r="E2654" s="246">
        <f>H2615</f>
        <v>6.25E-2</v>
      </c>
      <c r="F2654" s="538">
        <f t="shared" si="156"/>
        <v>4541.5</v>
      </c>
      <c r="G2654" s="557"/>
      <c r="H2654" s="120"/>
      <c r="J2654" s="136">
        <f>((('Mano Obra'!$M$6/30)*F2654)/D2654)*G2622</f>
        <v>0</v>
      </c>
    </row>
    <row r="2655" spans="1:15" ht="16.5">
      <c r="A2655" s="560" t="s">
        <v>4101</v>
      </c>
      <c r="B2655" s="560"/>
      <c r="C2655" s="560"/>
      <c r="D2655" s="560"/>
      <c r="E2655" s="560"/>
      <c r="F2655" s="560"/>
      <c r="G2655" s="560"/>
      <c r="H2655" s="105">
        <f>SUM(F2652:F2654)</f>
        <v>22484</v>
      </c>
      <c r="J2655" s="136"/>
    </row>
    <row r="2656" spans="1:15">
      <c r="A2656" s="227" t="s">
        <v>4237</v>
      </c>
      <c r="B2656" s="205"/>
      <c r="C2656" s="205"/>
      <c r="D2656" s="202"/>
      <c r="E2656" s="203"/>
      <c r="F2656" s="204"/>
      <c r="G2656" s="203"/>
      <c r="H2656" s="212"/>
    </row>
    <row r="2657" spans="1:14">
      <c r="A2657" s="561" t="s">
        <v>4224</v>
      </c>
      <c r="B2657" s="562"/>
      <c r="C2657" s="562"/>
      <c r="D2657" s="562"/>
      <c r="E2657" s="200"/>
      <c r="F2657" s="201" t="s">
        <v>4238</v>
      </c>
      <c r="G2657" s="200" t="s">
        <v>4239</v>
      </c>
      <c r="H2657" s="213"/>
    </row>
    <row r="2658" spans="1:14">
      <c r="A2658" s="223" t="s">
        <v>4097</v>
      </c>
      <c r="B2658" s="72"/>
      <c r="C2658" s="72"/>
      <c r="D2658" s="73"/>
      <c r="E2658" s="78"/>
      <c r="F2658" s="79">
        <v>0</v>
      </c>
      <c r="G2658" s="80">
        <f>F2658*H2623</f>
        <v>0</v>
      </c>
      <c r="H2658" s="212"/>
    </row>
    <row r="2659" spans="1:14">
      <c r="A2659" s="224" t="s">
        <v>4240</v>
      </c>
      <c r="B2659" s="81"/>
      <c r="C2659" s="81"/>
      <c r="D2659" s="82"/>
      <c r="E2659" s="78"/>
      <c r="F2659" s="79">
        <v>0</v>
      </c>
      <c r="G2659" s="80">
        <f>F2659*H2623</f>
        <v>0</v>
      </c>
      <c r="H2659" s="212"/>
    </row>
    <row r="2660" spans="1:14">
      <c r="A2660" s="224" t="s">
        <v>4</v>
      </c>
      <c r="B2660" s="81"/>
      <c r="C2660" s="81"/>
      <c r="D2660" s="82"/>
      <c r="E2660" s="78"/>
      <c r="F2660" s="79">
        <v>0</v>
      </c>
      <c r="G2660" s="80">
        <f>F2660*H2623</f>
        <v>0</v>
      </c>
      <c r="H2660" s="212"/>
    </row>
    <row r="2661" spans="1:14">
      <c r="A2661" s="225"/>
      <c r="B2661" s="83"/>
      <c r="C2661" s="75"/>
      <c r="D2661" s="84"/>
      <c r="E2661" s="85"/>
      <c r="F2661" s="86"/>
      <c r="G2661" s="87"/>
      <c r="H2661" s="214"/>
    </row>
    <row r="2662" spans="1:14">
      <c r="A2662" s="226"/>
      <c r="B2662" s="83"/>
      <c r="C2662" s="83"/>
      <c r="D2662" s="84"/>
      <c r="E2662" s="88"/>
      <c r="F2662" s="563" t="s">
        <v>4241</v>
      </c>
      <c r="G2662" s="564"/>
      <c r="H2662" s="233">
        <f>H2623+G2658+G2659+G2660</f>
        <v>235407.57724999997</v>
      </c>
    </row>
    <row r="2663" spans="1:14">
      <c r="A2663" s="83"/>
      <c r="B2663" s="83"/>
      <c r="C2663" s="83"/>
      <c r="D2663" s="84"/>
      <c r="E2663" s="388"/>
      <c r="F2663" s="389"/>
      <c r="G2663" s="389"/>
      <c r="H2663" s="390"/>
    </row>
    <row r="2664" spans="1:14" ht="16.5">
      <c r="A2664" s="90"/>
      <c r="B2664" s="90"/>
      <c r="C2664" s="90"/>
      <c r="D2664" s="90"/>
      <c r="E2664" s="90"/>
      <c r="F2664" s="90"/>
      <c r="G2664" s="90"/>
      <c r="H2664" s="381"/>
    </row>
    <row r="2665" spans="1:14">
      <c r="A2665" s="579" t="s">
        <v>4225</v>
      </c>
      <c r="B2665" s="580"/>
      <c r="C2665" s="580"/>
      <c r="D2665" s="580"/>
      <c r="E2665" s="580"/>
      <c r="F2665" s="580"/>
      <c r="G2665" s="580"/>
      <c r="H2665" s="581"/>
    </row>
    <row r="2666" spans="1:14" ht="16.5">
      <c r="A2666" s="91"/>
      <c r="B2666" s="92"/>
      <c r="C2666" s="92"/>
      <c r="D2666" s="92"/>
      <c r="E2666" s="92"/>
      <c r="F2666" s="93"/>
      <c r="G2666" s="94"/>
      <c r="H2666" s="380">
        <f>ROUND((30/60)/8,4)</f>
        <v>6.25E-2</v>
      </c>
      <c r="I2666" s="115"/>
    </row>
    <row r="2667" spans="1:14">
      <c r="A2667" s="582" t="s">
        <v>4220</v>
      </c>
      <c r="B2667" s="584" t="str">
        <f>COSTOS!$C$14</f>
        <v>MODERNIZACION A TECNOLOGIA LED</v>
      </c>
      <c r="C2667" s="584"/>
      <c r="D2667" s="584"/>
      <c r="E2667" s="584"/>
      <c r="F2667" s="584"/>
      <c r="G2667" s="584"/>
      <c r="H2667" s="585" t="s">
        <v>4221</v>
      </c>
    </row>
    <row r="2668" spans="1:14">
      <c r="A2668" s="583"/>
      <c r="B2668" s="584"/>
      <c r="C2668" s="584"/>
      <c r="D2668" s="584"/>
      <c r="E2668" s="584"/>
      <c r="F2668" s="584"/>
      <c r="G2668" s="584"/>
      <c r="H2668" s="585"/>
    </row>
    <row r="2669" spans="1:14">
      <c r="A2669" s="583"/>
      <c r="B2669" s="584"/>
      <c r="C2669" s="584"/>
      <c r="D2669" s="584"/>
      <c r="E2669" s="584"/>
      <c r="F2669" s="584"/>
      <c r="G2669" s="584"/>
      <c r="H2669" s="585"/>
    </row>
    <row r="2670" spans="1:14" ht="15" customHeight="1">
      <c r="A2670" s="583"/>
      <c r="B2670" s="584"/>
      <c r="C2670" s="584"/>
      <c r="D2670" s="584"/>
      <c r="E2670" s="584"/>
      <c r="F2670" s="584"/>
      <c r="G2670" s="584"/>
      <c r="H2670" s="216">
        <f ca="1">TODAY()</f>
        <v>44889</v>
      </c>
      <c r="K2670" t="s">
        <v>4391</v>
      </c>
      <c r="L2670" t="s">
        <v>4392</v>
      </c>
      <c r="M2670" t="s">
        <v>4393</v>
      </c>
      <c r="N2670" t="s">
        <v>4394</v>
      </c>
    </row>
    <row r="2671" spans="1:14" ht="60.75" customHeight="1">
      <c r="A2671" s="228" t="s">
        <v>4222</v>
      </c>
      <c r="B2671" s="565" t="str">
        <f>COSTOS!$D$16</f>
        <v>Luminarias</v>
      </c>
      <c r="C2671" s="565"/>
      <c r="D2671" s="565"/>
      <c r="E2671" s="565"/>
      <c r="F2671" s="565"/>
      <c r="G2671" s="70" t="s">
        <v>4223</v>
      </c>
      <c r="H2671" s="391">
        <v>1.53</v>
      </c>
      <c r="K2671" s="62">
        <f>H2696</f>
        <v>1149219.7709999999</v>
      </c>
      <c r="L2671" s="62">
        <f>H2706</f>
        <v>22484</v>
      </c>
      <c r="M2671" s="62">
        <f>H2679</f>
        <v>4034.53125</v>
      </c>
      <c r="N2671" s="62">
        <f>H2700</f>
        <v>4800</v>
      </c>
    </row>
    <row r="2672" spans="1:14" ht="43.15" customHeight="1">
      <c r="A2672" s="229" t="s">
        <v>4224</v>
      </c>
      <c r="B2672" s="566" t="str">
        <f>VLOOKUP(H2671,COSTOS!C:M,2,0)</f>
        <v>Reflector Led 160w onoff</v>
      </c>
      <c r="C2672" s="567"/>
      <c r="D2672" s="567"/>
      <c r="E2672" s="568"/>
      <c r="F2672" s="71" t="s">
        <v>0</v>
      </c>
      <c r="G2672" s="356" t="str">
        <f>VLOOKUP(H2671,COSTOS!C:M,8,0)</f>
        <v>Und</v>
      </c>
      <c r="H2672" s="276"/>
      <c r="I2672" s="306"/>
      <c r="J2672" s="308"/>
      <c r="K2672" s="308"/>
      <c r="L2672" s="308"/>
    </row>
    <row r="2673" spans="1:15">
      <c r="A2673" s="230"/>
      <c r="B2673" s="112"/>
      <c r="C2673" s="112"/>
      <c r="D2673" s="112"/>
      <c r="E2673" s="113"/>
      <c r="F2673" s="114" t="s">
        <v>1</v>
      </c>
      <c r="G2673" s="356">
        <f>VLOOKUP(H2671,COSTOS!C:M,9,0)</f>
        <v>0</v>
      </c>
      <c r="H2673" s="357"/>
      <c r="I2673" s="307"/>
    </row>
    <row r="2674" spans="1:15" ht="16.5">
      <c r="A2674" s="231" t="s">
        <v>4226</v>
      </c>
      <c r="B2674" s="75"/>
      <c r="C2674" s="75"/>
      <c r="D2674" s="76"/>
      <c r="E2674" s="209"/>
      <c r="F2674" s="210"/>
      <c r="G2674" s="211" t="s">
        <v>4227</v>
      </c>
      <c r="H2674" s="217">
        <f>H2679+H2696+H2700+H2706</f>
        <v>1180538.3022499999</v>
      </c>
    </row>
    <row r="2675" spans="1:15" ht="39">
      <c r="A2675" s="569" t="s">
        <v>4224</v>
      </c>
      <c r="B2675" s="569"/>
      <c r="C2675" s="569"/>
      <c r="D2675" s="77" t="s">
        <v>0</v>
      </c>
      <c r="E2675" s="207" t="s">
        <v>4228</v>
      </c>
      <c r="F2675" s="208" t="s">
        <v>4215</v>
      </c>
      <c r="G2675" s="74" t="s">
        <v>2</v>
      </c>
      <c r="H2675" s="218" t="s">
        <v>4229</v>
      </c>
      <c r="K2675" s="309"/>
    </row>
    <row r="2676" spans="1:15">
      <c r="A2676" s="536" t="s">
        <v>3946</v>
      </c>
      <c r="B2676" s="570" t="str">
        <f>VLOOKUP(A2676,'Equip, Herr y Transp'!$B$2:$D$739,2,0)</f>
        <v>EQU</v>
      </c>
      <c r="C2676" s="570"/>
      <c r="D2676" s="95" t="str">
        <f>VLOOKUP(A2676,'Equip, Herr y Transp'!$B$2:$D$218,2,0)</f>
        <v>EQU</v>
      </c>
      <c r="E2676" s="95">
        <f>VLOOKUP(A2676,'Equip, Herr y Transp'!$B$2:$D$218,3,0)</f>
        <v>14130</v>
      </c>
      <c r="F2676" s="96">
        <f>H2666</f>
        <v>6.25E-2</v>
      </c>
      <c r="G2676" s="122">
        <f>F2676*E2676</f>
        <v>883.125</v>
      </c>
      <c r="H2676" s="118"/>
    </row>
    <row r="2677" spans="1:15">
      <c r="A2677" s="536" t="s">
        <v>3904</v>
      </c>
      <c r="B2677" s="570" t="str">
        <f>VLOOKUP(A2677,'Equip, Herr y Transp'!$B$2:$D$739,2,0)</f>
        <v>EQU</v>
      </c>
      <c r="C2677" s="570"/>
      <c r="D2677" s="95" t="str">
        <f>VLOOKUP(A2677,'Equip, Herr y Transp'!$B$2:$D$218,2,0)</f>
        <v>EQU</v>
      </c>
      <c r="E2677" s="95">
        <f>VLOOKUP(A2677,'Equip, Herr y Transp'!$B$2:$D$218,3,0)</f>
        <v>26672.5</v>
      </c>
      <c r="F2677" s="96">
        <f>H2666</f>
        <v>6.25E-2</v>
      </c>
      <c r="G2677" s="122">
        <f>F2677*E2677</f>
        <v>1667.03125</v>
      </c>
      <c r="H2677" s="117"/>
    </row>
    <row r="2678" spans="1:15">
      <c r="A2678" s="536" t="s">
        <v>3937</v>
      </c>
      <c r="B2678" s="570" t="str">
        <f>VLOOKUP(A2678,'Equip, Herr y Transp'!$B$2:$D$739,2,0)</f>
        <v>EQU</v>
      </c>
      <c r="C2678" s="570"/>
      <c r="D2678" s="95" t="str">
        <f>VLOOKUP(A2678,'Equip, Herr y Transp'!$B$2:$D$218,2,0)</f>
        <v>EQU</v>
      </c>
      <c r="E2678" s="95">
        <f>VLOOKUP(A2678,'Equip, Herr y Transp'!$B$2:$D$218,3,0)</f>
        <v>23750</v>
      </c>
      <c r="F2678" s="96">
        <f>H2666</f>
        <v>6.25E-2</v>
      </c>
      <c r="G2678" s="122">
        <f>F2678*E2678</f>
        <v>1484.375</v>
      </c>
      <c r="H2678" s="117"/>
    </row>
    <row r="2679" spans="1:15" ht="16.5">
      <c r="A2679" s="540" t="s">
        <v>4100</v>
      </c>
      <c r="B2679" s="541"/>
      <c r="C2679" s="541"/>
      <c r="D2679" s="541"/>
      <c r="E2679" s="541"/>
      <c r="F2679" s="541"/>
      <c r="G2679" s="541"/>
      <c r="H2679" s="97">
        <f>SUM(G2676:G2678)</f>
        <v>4034.53125</v>
      </c>
    </row>
    <row r="2680" spans="1:15" ht="16.5">
      <c r="A2680" s="571" t="s">
        <v>4230</v>
      </c>
      <c r="B2680" s="572"/>
      <c r="C2680" s="572"/>
      <c r="D2680" s="572"/>
      <c r="E2680" s="572"/>
      <c r="F2680" s="572"/>
      <c r="G2680" s="572"/>
      <c r="H2680" s="573"/>
      <c r="K2680" s="56"/>
      <c r="L2680" s="56"/>
      <c r="M2680" s="56"/>
      <c r="N2680" s="56"/>
      <c r="O2680" s="56"/>
    </row>
    <row r="2681" spans="1:15" ht="30" customHeight="1">
      <c r="A2681" s="574" t="s">
        <v>7</v>
      </c>
      <c r="B2681" s="575"/>
      <c r="C2681" s="109" t="s">
        <v>0</v>
      </c>
      <c r="D2681" s="110" t="s">
        <v>4098</v>
      </c>
      <c r="E2681" s="111" t="s">
        <v>1</v>
      </c>
      <c r="F2681" s="576" t="s">
        <v>4218</v>
      </c>
      <c r="G2681" s="576"/>
      <c r="H2681" s="215"/>
      <c r="K2681" s="56"/>
      <c r="L2681" s="56"/>
      <c r="M2681" s="56"/>
      <c r="N2681" s="56"/>
      <c r="O2681" s="56"/>
    </row>
    <row r="2682" spans="1:15">
      <c r="A2682" s="577" t="s">
        <v>4763</v>
      </c>
      <c r="B2682" s="578"/>
      <c r="C2682" s="98" t="str">
        <f>VLOOKUP(A2682,'Materiales '!$C$2:$F$1302,3,0)</f>
        <v>Und</v>
      </c>
      <c r="D2682" s="99">
        <f>VLOOKUP(A2682,'Materiales '!$C$2:$F$1302,4,0)</f>
        <v>1010580.7250000001</v>
      </c>
      <c r="E2682" s="100">
        <v>1</v>
      </c>
      <c r="F2682" s="538">
        <f>E2682*D2682</f>
        <v>1010580.7250000001</v>
      </c>
      <c r="G2682" s="539"/>
      <c r="H2682" s="121"/>
      <c r="I2682">
        <f>E2682*G2673</f>
        <v>0</v>
      </c>
      <c r="J2682" s="67"/>
      <c r="K2682" s="56"/>
      <c r="L2682" s="56"/>
      <c r="M2682" s="56"/>
      <c r="N2682" s="56"/>
      <c r="O2682" s="56"/>
    </row>
    <row r="2683" spans="1:15">
      <c r="A2683" s="577" t="s">
        <v>4214</v>
      </c>
      <c r="B2683" s="578"/>
      <c r="C2683" s="98" t="str">
        <f>VLOOKUP(A2683,'Materiales '!$C$2:$F$1302,3,0)</f>
        <v>Und</v>
      </c>
      <c r="D2683" s="99">
        <f>VLOOKUP(A2683,'Materiales '!$C$2:$F$1302,4,0)</f>
        <v>22848</v>
      </c>
      <c r="E2683" s="100">
        <v>1</v>
      </c>
      <c r="F2683" s="538">
        <f t="shared" ref="F2683:F2689" si="157">E2683*D2683</f>
        <v>22848</v>
      </c>
      <c r="G2683" s="539"/>
      <c r="H2683" s="121"/>
      <c r="I2683">
        <f>E2683*G2673</f>
        <v>0</v>
      </c>
      <c r="J2683" s="67"/>
      <c r="K2683" s="56"/>
      <c r="L2683" s="56"/>
      <c r="M2683" s="56"/>
      <c r="N2683" s="56"/>
      <c r="O2683" s="56"/>
    </row>
    <row r="2684" spans="1:15">
      <c r="A2684" s="536" t="s">
        <v>4484</v>
      </c>
      <c r="B2684" s="537" t="str">
        <f>VLOOKUP(A2684,'Materiales '!$C$2:$F$1302,3,0)</f>
        <v>Und</v>
      </c>
      <c r="C2684" s="98" t="str">
        <f>VLOOKUP(A2684,'Materiales '!$C$2:$F$1302,3,0)</f>
        <v>Und</v>
      </c>
      <c r="D2684" s="99">
        <f>VLOOKUP(A2684,'Materiales '!$C$2:$F$1302,4,0)</f>
        <v>21705.599999999999</v>
      </c>
      <c r="E2684" s="100">
        <v>2</v>
      </c>
      <c r="F2684" s="538">
        <f t="shared" si="157"/>
        <v>43411.199999999997</v>
      </c>
      <c r="G2684" s="539"/>
      <c r="H2684" s="121"/>
      <c r="I2684">
        <f>E2684*G2673</f>
        <v>0</v>
      </c>
      <c r="J2684" s="68"/>
      <c r="K2684" s="56"/>
      <c r="L2684" s="56"/>
      <c r="M2684" s="56"/>
      <c r="N2684" s="56"/>
      <c r="O2684" s="56"/>
    </row>
    <row r="2685" spans="1:15">
      <c r="A2685" s="536" t="s">
        <v>4489</v>
      </c>
      <c r="B2685" s="537" t="str">
        <f>VLOOKUP(A2685,'Materiales '!$C$2:$F$1302,3,0)</f>
        <v>Und</v>
      </c>
      <c r="C2685" s="98" t="str">
        <f>VLOOKUP(A2685,'Materiales '!$C$2:$F$1302,3,0)</f>
        <v>Und</v>
      </c>
      <c r="D2685" s="99">
        <f>VLOOKUP(A2685,'Materiales '!$C$2:$F$1302,4,0)</f>
        <v>8039.6399999999994</v>
      </c>
      <c r="E2685" s="100">
        <v>3</v>
      </c>
      <c r="F2685" s="538">
        <f t="shared" si="157"/>
        <v>24118.92</v>
      </c>
      <c r="G2685" s="539"/>
      <c r="H2685" s="121"/>
      <c r="I2685">
        <f>E2685*G2673</f>
        <v>0</v>
      </c>
      <c r="J2685" s="68"/>
      <c r="K2685" s="56"/>
      <c r="L2685" s="56"/>
      <c r="M2685" s="56"/>
      <c r="N2685" s="56"/>
      <c r="O2685" s="56"/>
    </row>
    <row r="2686" spans="1:15">
      <c r="A2686" s="536" t="s">
        <v>4554</v>
      </c>
      <c r="B2686" s="537" t="str">
        <f>VLOOKUP(A2686,'Materiales '!$C$2:$F$1302,3,0)</f>
        <v>Und</v>
      </c>
      <c r="C2686" s="98" t="str">
        <f>VLOOKUP(A2686,'Materiales '!$C$2:$F$1302,3,0)</f>
        <v>Und</v>
      </c>
      <c r="D2686" s="99">
        <f>VLOOKUP(A2686,'Materiales '!$C$2:$F$1302,4,0)</f>
        <v>2535.5329999999999</v>
      </c>
      <c r="E2686" s="100">
        <v>2</v>
      </c>
      <c r="F2686" s="538">
        <f t="shared" si="157"/>
        <v>5071.0659999999998</v>
      </c>
      <c r="G2686" s="539"/>
      <c r="H2686" s="121"/>
      <c r="I2686">
        <f>E2686*G2673</f>
        <v>0</v>
      </c>
      <c r="J2686" s="68"/>
      <c r="K2686" s="56"/>
      <c r="L2686" s="56"/>
      <c r="M2686" s="56"/>
      <c r="N2686" s="56"/>
      <c r="O2686" s="56"/>
    </row>
    <row r="2687" spans="1:15">
      <c r="A2687" s="536" t="s">
        <v>4450</v>
      </c>
      <c r="B2687" s="537" t="str">
        <f>VLOOKUP(A2687,'Materiales '!$C$2:$F$1302,3,0)</f>
        <v>Ml</v>
      </c>
      <c r="C2687" s="98" t="str">
        <f>VLOOKUP(A2687,'Materiales '!$C$2:$F$1302,3,0)</f>
        <v>Ml</v>
      </c>
      <c r="D2687" s="99">
        <f>VLOOKUP(A2687,'Materiales '!$C$2:$F$1302,4,0)</f>
        <v>6791.5679999999993</v>
      </c>
      <c r="E2687" s="100">
        <v>1</v>
      </c>
      <c r="F2687" s="538">
        <f t="shared" si="157"/>
        <v>6791.5679999999993</v>
      </c>
      <c r="G2687" s="539"/>
      <c r="H2687" s="121"/>
      <c r="I2687">
        <f>E2687*G2673</f>
        <v>0</v>
      </c>
      <c r="J2687" s="68"/>
      <c r="K2687" s="56"/>
      <c r="L2687" s="56"/>
      <c r="M2687" s="56"/>
      <c r="N2687" s="56"/>
      <c r="O2687" s="56"/>
    </row>
    <row r="2688" spans="1:15">
      <c r="A2688" s="536" t="s">
        <v>4493</v>
      </c>
      <c r="B2688" s="537" t="str">
        <f>VLOOKUP(A2688,'Materiales '!$C$2:$F$1302,3,0)</f>
        <v>Und</v>
      </c>
      <c r="C2688" s="98" t="str">
        <f>VLOOKUP(A2688,'Materiales '!$C$2:$F$1302,3,0)</f>
        <v>Und</v>
      </c>
      <c r="D2688" s="99">
        <f>VLOOKUP(A2688,'Materiales '!$C$2:$F$1302,4,0)</f>
        <v>232.76399999999998</v>
      </c>
      <c r="E2688" s="100">
        <v>3</v>
      </c>
      <c r="F2688" s="538">
        <f t="shared" si="157"/>
        <v>698.29199999999992</v>
      </c>
      <c r="G2688" s="539"/>
      <c r="H2688" s="121"/>
      <c r="I2688">
        <f>E2688*G2673</f>
        <v>0</v>
      </c>
      <c r="J2688" s="68"/>
      <c r="K2688" s="56"/>
      <c r="L2688" s="56"/>
      <c r="M2688" s="56"/>
      <c r="N2688" s="56"/>
      <c r="O2688" s="56"/>
    </row>
    <row r="2689" spans="1:15" ht="21.75" customHeight="1">
      <c r="A2689" s="536" t="s">
        <v>4639</v>
      </c>
      <c r="B2689" s="537" t="str">
        <f>VLOOKUP(A2689,'Materiales '!$C$2:$F$1302,3,0)</f>
        <v>Und</v>
      </c>
      <c r="C2689" s="98" t="str">
        <f>VLOOKUP(A2689,'Materiales '!$C$2:$F$1302,3,0)</f>
        <v>Und</v>
      </c>
      <c r="D2689" s="99">
        <f>VLOOKUP(A2689,'Materiales '!$C$2:$F$1302,4,0)</f>
        <v>35700</v>
      </c>
      <c r="E2689" s="100">
        <v>1</v>
      </c>
      <c r="F2689" s="538">
        <f t="shared" si="157"/>
        <v>35700</v>
      </c>
      <c r="G2689" s="539"/>
      <c r="H2689" s="121"/>
      <c r="I2689">
        <f>E2689*G2673</f>
        <v>0</v>
      </c>
      <c r="J2689" s="68"/>
      <c r="K2689" s="56"/>
      <c r="L2689" s="56"/>
      <c r="M2689" s="56"/>
      <c r="N2689" s="56"/>
      <c r="O2689" s="56"/>
    </row>
    <row r="2690" spans="1:15">
      <c r="A2690" s="536" t="s">
        <v>8</v>
      </c>
      <c r="B2690" s="537" t="str">
        <f>VLOOKUP(A2690,'Materiales '!$C$2:$F$1302,3,0)</f>
        <v>-</v>
      </c>
      <c r="C2690" s="98" t="str">
        <f>VLOOKUP(A2690,'Materiales '!$C$2:$F$1302,3,0)</f>
        <v>-</v>
      </c>
      <c r="D2690" s="99">
        <f>VLOOKUP(A2690,'Materiales '!$C$2:$F$1302,4,0)</f>
        <v>0</v>
      </c>
      <c r="E2690" s="100"/>
      <c r="F2690" s="538">
        <f>E2690*D2690</f>
        <v>0</v>
      </c>
      <c r="G2690" s="539"/>
      <c r="H2690" s="120"/>
      <c r="I2690">
        <f>E2690*G2673</f>
        <v>0</v>
      </c>
      <c r="J2690" s="68"/>
      <c r="K2690" s="56"/>
      <c r="L2690" s="56"/>
      <c r="M2690" s="56"/>
      <c r="N2690" s="56"/>
      <c r="O2690" s="56"/>
    </row>
    <row r="2691" spans="1:15">
      <c r="A2691" s="536" t="s">
        <v>8</v>
      </c>
      <c r="B2691" s="537" t="str">
        <f>VLOOKUP(A2691,'Materiales '!$C$2:$F$1302,3,0)</f>
        <v>-</v>
      </c>
      <c r="C2691" s="98" t="str">
        <f>VLOOKUP(A2691,'Materiales '!$C$2:$F$1302,3,0)</f>
        <v>-</v>
      </c>
      <c r="D2691" s="99">
        <f>VLOOKUP(A2691,'Materiales '!$C$2:$F$1302,4,0)</f>
        <v>0</v>
      </c>
      <c r="E2691" s="100"/>
      <c r="F2691" s="538">
        <f t="shared" ref="F2691:F2694" si="158">E2691*D2691</f>
        <v>0</v>
      </c>
      <c r="G2691" s="539"/>
      <c r="H2691" s="121"/>
      <c r="I2691">
        <f>E2691*G2673</f>
        <v>0</v>
      </c>
      <c r="J2691" s="68"/>
      <c r="K2691" s="56"/>
      <c r="L2691" s="56"/>
      <c r="M2691" s="56"/>
      <c r="N2691" s="56"/>
      <c r="O2691" s="56"/>
    </row>
    <row r="2692" spans="1:15">
      <c r="A2692" s="536" t="s">
        <v>8</v>
      </c>
      <c r="B2692" s="537" t="str">
        <f>VLOOKUP(A2692,'Materiales '!$C$2:$F$1302,3,0)</f>
        <v>-</v>
      </c>
      <c r="C2692" s="98" t="str">
        <f>VLOOKUP(A2692,'Materiales '!$C$2:$F$1302,3,0)</f>
        <v>-</v>
      </c>
      <c r="D2692" s="99">
        <f>VLOOKUP(A2692,'Materiales '!$C$2:$F$1302,4,0)</f>
        <v>0</v>
      </c>
      <c r="E2692" s="100"/>
      <c r="F2692" s="538">
        <f t="shared" si="158"/>
        <v>0</v>
      </c>
      <c r="G2692" s="539"/>
      <c r="H2692" s="121"/>
      <c r="I2692">
        <f>E2692*G2673</f>
        <v>0</v>
      </c>
      <c r="J2692" s="68"/>
      <c r="K2692" s="56"/>
      <c r="L2692" s="56"/>
      <c r="M2692" s="56"/>
      <c r="N2692" s="56"/>
      <c r="O2692" s="56"/>
    </row>
    <row r="2693" spans="1:15">
      <c r="A2693" s="536" t="s">
        <v>8</v>
      </c>
      <c r="B2693" s="537" t="str">
        <f>VLOOKUP(A2693,'Materiales '!$C$2:$F$1302,3,0)</f>
        <v>-</v>
      </c>
      <c r="C2693" s="98" t="str">
        <f>VLOOKUP(A2693,'Materiales '!$C$2:$F$1302,3,0)</f>
        <v>-</v>
      </c>
      <c r="D2693" s="99">
        <f>VLOOKUP(A2693,'Materiales '!$C$2:$F$1302,4,0)</f>
        <v>0</v>
      </c>
      <c r="E2693" s="100"/>
      <c r="F2693" s="538">
        <f t="shared" si="158"/>
        <v>0</v>
      </c>
      <c r="G2693" s="539"/>
      <c r="H2693" s="121"/>
      <c r="I2693">
        <f>E2693*G2673</f>
        <v>0</v>
      </c>
      <c r="J2693" s="68"/>
      <c r="K2693" s="56"/>
      <c r="L2693" s="56"/>
      <c r="M2693" s="56"/>
      <c r="N2693" s="56"/>
      <c r="O2693" s="56"/>
    </row>
    <row r="2694" spans="1:15">
      <c r="A2694" s="536" t="s">
        <v>8</v>
      </c>
      <c r="B2694" s="537" t="str">
        <f>VLOOKUP(A2694,'Materiales '!$C$2:$F$1302,3,0)</f>
        <v>-</v>
      </c>
      <c r="C2694" s="98" t="str">
        <f>VLOOKUP(A2694,'Materiales '!$C$2:$F$1302,3,0)</f>
        <v>-</v>
      </c>
      <c r="D2694" s="99">
        <f>VLOOKUP(A2694,'Materiales '!$C$2:$F$1302,4,0)</f>
        <v>0</v>
      </c>
      <c r="E2694" s="100"/>
      <c r="F2694" s="538">
        <f t="shared" si="158"/>
        <v>0</v>
      </c>
      <c r="G2694" s="539"/>
      <c r="H2694" s="121"/>
      <c r="I2694">
        <f>E2694*G2673</f>
        <v>0</v>
      </c>
      <c r="J2694" s="68"/>
      <c r="K2694" s="56"/>
      <c r="L2694" s="56"/>
      <c r="M2694" s="56"/>
      <c r="N2694" s="56"/>
      <c r="O2694" s="56"/>
    </row>
    <row r="2695" spans="1:15">
      <c r="A2695" s="536" t="s">
        <v>8</v>
      </c>
      <c r="B2695" s="537" t="str">
        <f>VLOOKUP(A2695,'Materiales '!$C$2:$F$1302,3,0)</f>
        <v>-</v>
      </c>
      <c r="C2695" s="98" t="str">
        <f>VLOOKUP(A2695,'Materiales '!$C$2:$F$1302,3,0)</f>
        <v>-</v>
      </c>
      <c r="D2695" s="99">
        <f>VLOOKUP(A2695,'Materiales '!$C$2:$F$1302,4,0)</f>
        <v>0</v>
      </c>
      <c r="E2695" s="100"/>
      <c r="F2695" s="538">
        <f>E2695*D2695</f>
        <v>0</v>
      </c>
      <c r="G2695" s="539"/>
      <c r="H2695" s="120"/>
      <c r="I2695">
        <f>E2695*G2673</f>
        <v>0</v>
      </c>
      <c r="J2695" s="68"/>
      <c r="K2695" s="56"/>
      <c r="L2695" s="56"/>
      <c r="M2695" s="56"/>
      <c r="N2695" s="56"/>
      <c r="O2695" s="56"/>
    </row>
    <row r="2696" spans="1:15" ht="16.5">
      <c r="A2696" s="540" t="s">
        <v>4099</v>
      </c>
      <c r="B2696" s="541"/>
      <c r="C2696" s="541"/>
      <c r="D2696" s="541"/>
      <c r="E2696" s="541"/>
      <c r="F2696" s="541"/>
      <c r="G2696" s="542"/>
      <c r="H2696" s="116">
        <f>SUM(F2682:F2695)</f>
        <v>1149219.7709999999</v>
      </c>
      <c r="J2696" s="68"/>
      <c r="K2696" s="56"/>
      <c r="L2696" s="56"/>
      <c r="M2696" s="56"/>
      <c r="N2696" s="56"/>
      <c r="O2696" s="56"/>
    </row>
    <row r="2697" spans="1:15" ht="16.5">
      <c r="A2697" s="543" t="s">
        <v>4231</v>
      </c>
      <c r="B2697" s="544"/>
      <c r="C2697" s="544"/>
      <c r="D2697" s="544"/>
      <c r="E2697" s="545"/>
      <c r="F2697" s="544"/>
      <c r="G2697" s="544"/>
      <c r="H2697" s="546"/>
      <c r="J2697" s="68"/>
      <c r="K2697" s="56"/>
      <c r="L2697" s="56"/>
      <c r="M2697" s="56"/>
      <c r="N2697" s="56"/>
      <c r="O2697" s="56"/>
    </row>
    <row r="2698" spans="1:15">
      <c r="A2698" s="547" t="s">
        <v>7</v>
      </c>
      <c r="B2698" s="548"/>
      <c r="C2698" s="108" t="s">
        <v>4232</v>
      </c>
      <c r="D2698" s="107" t="s">
        <v>4233</v>
      </c>
      <c r="E2698" s="206" t="s">
        <v>4234</v>
      </c>
      <c r="F2698" s="549" t="s">
        <v>4218</v>
      </c>
      <c r="G2698" s="549"/>
      <c r="H2698" s="119"/>
      <c r="K2698" s="56"/>
      <c r="L2698" s="56"/>
      <c r="M2698" s="56"/>
      <c r="N2698" s="56"/>
      <c r="O2698" s="56"/>
    </row>
    <row r="2699" spans="1:15">
      <c r="A2699" s="550" t="s">
        <v>3928</v>
      </c>
      <c r="B2699" s="551"/>
      <c r="C2699" s="232">
        <v>1</v>
      </c>
      <c r="D2699" s="102">
        <v>0.03</v>
      </c>
      <c r="E2699" s="103">
        <f>VLOOKUP(A2699,'Equip, Herr y Transp'!$B$2:$D$218,3,0)</f>
        <v>160000</v>
      </c>
      <c r="F2699" s="552">
        <f>E2699*D2699*C2699</f>
        <v>4800</v>
      </c>
      <c r="G2699" s="553"/>
      <c r="H2699" s="117"/>
      <c r="M2699" s="56"/>
    </row>
    <row r="2700" spans="1:15" ht="16.5">
      <c r="A2700" s="554" t="s">
        <v>4216</v>
      </c>
      <c r="B2700" s="555"/>
      <c r="C2700" s="555"/>
      <c r="D2700" s="555"/>
      <c r="E2700" s="555"/>
      <c r="F2700" s="555"/>
      <c r="G2700" s="555"/>
      <c r="H2700" s="105">
        <f>F2699</f>
        <v>4800</v>
      </c>
    </row>
    <row r="2701" spans="1:15" ht="16.5">
      <c r="A2701" s="543" t="s">
        <v>4235</v>
      </c>
      <c r="B2701" s="544"/>
      <c r="C2701" s="544"/>
      <c r="D2701" s="544"/>
      <c r="E2701" s="544"/>
      <c r="F2701" s="544"/>
      <c r="G2701" s="544"/>
      <c r="H2701" s="546"/>
    </row>
    <row r="2702" spans="1:15">
      <c r="A2702" s="547" t="s">
        <v>7</v>
      </c>
      <c r="B2702" s="548"/>
      <c r="C2702" s="106" t="s">
        <v>1</v>
      </c>
      <c r="D2702" s="107" t="s">
        <v>4236</v>
      </c>
      <c r="E2702" s="108" t="s">
        <v>4215</v>
      </c>
      <c r="F2702" s="547" t="s">
        <v>5</v>
      </c>
      <c r="G2702" s="556"/>
      <c r="H2702" s="119"/>
    </row>
    <row r="2703" spans="1:15">
      <c r="A2703" s="550" t="s">
        <v>4196</v>
      </c>
      <c r="B2703" s="551"/>
      <c r="C2703" s="101">
        <v>1</v>
      </c>
      <c r="D2703" s="104">
        <f>VLOOKUP(A2703,'Mano Obra'!$B$2:$T$117,19,0)</f>
        <v>166624</v>
      </c>
      <c r="E2703" s="246">
        <f>H2666</f>
        <v>6.25E-2</v>
      </c>
      <c r="F2703" s="538">
        <f>E2703*D2703*C2703</f>
        <v>10414</v>
      </c>
      <c r="G2703" s="557"/>
      <c r="H2703" s="121"/>
      <c r="I2703" s="69"/>
      <c r="J2703" s="136">
        <f>((('Mano Obra'!$M$4/30)*F2703)/D2703)*G2673</f>
        <v>0</v>
      </c>
    </row>
    <row r="2704" spans="1:15">
      <c r="A2704" s="558" t="s">
        <v>4197</v>
      </c>
      <c r="B2704" s="559">
        <f>VLOOKUP(A2704,'Mano Obra'!$B$3:$D$290,2,0)</f>
        <v>2090000.0000000002</v>
      </c>
      <c r="C2704" s="101">
        <v>1</v>
      </c>
      <c r="D2704" s="104">
        <f>VLOOKUP(A2704,'Mano Obra'!$B$2:$T$117,19,0)</f>
        <v>120456</v>
      </c>
      <c r="E2704" s="246">
        <f>H2666</f>
        <v>6.25E-2</v>
      </c>
      <c r="F2704" s="538">
        <f t="shared" ref="F2704:F2705" si="159">E2704*D2704*C2704</f>
        <v>7528.5</v>
      </c>
      <c r="G2704" s="557"/>
      <c r="H2704" s="121"/>
      <c r="J2704" s="136">
        <f>((('Mano Obra'!$M$5/30)*F2704)/D2704)*G2673</f>
        <v>0</v>
      </c>
    </row>
    <row r="2705" spans="1:10">
      <c r="A2705" s="558" t="s">
        <v>4186</v>
      </c>
      <c r="B2705" s="559">
        <f>VLOOKUP(A2705,'Mano Obra'!$B$3:$D$290,2,0)</f>
        <v>1100000</v>
      </c>
      <c r="C2705" s="101">
        <v>1</v>
      </c>
      <c r="D2705" s="104">
        <f>VLOOKUP(A2705,'Mano Obra'!$B$2:$T$117,19,0)</f>
        <v>72664</v>
      </c>
      <c r="E2705" s="246">
        <f>H2666</f>
        <v>6.25E-2</v>
      </c>
      <c r="F2705" s="538">
        <f t="shared" si="159"/>
        <v>4541.5</v>
      </c>
      <c r="G2705" s="557"/>
      <c r="H2705" s="120"/>
      <c r="J2705" s="136">
        <f>((('Mano Obra'!$M$6/30)*F2705)/D2705)*G2673</f>
        <v>0</v>
      </c>
    </row>
    <row r="2706" spans="1:10" ht="16.5">
      <c r="A2706" s="560" t="s">
        <v>4101</v>
      </c>
      <c r="B2706" s="560"/>
      <c r="C2706" s="560"/>
      <c r="D2706" s="560"/>
      <c r="E2706" s="560"/>
      <c r="F2706" s="560"/>
      <c r="G2706" s="560"/>
      <c r="H2706" s="105">
        <f>SUM(F2703:F2705)</f>
        <v>22484</v>
      </c>
      <c r="J2706" s="136"/>
    </row>
    <row r="2707" spans="1:10">
      <c r="A2707" s="227" t="s">
        <v>4237</v>
      </c>
      <c r="B2707" s="205"/>
      <c r="C2707" s="205"/>
      <c r="D2707" s="202"/>
      <c r="E2707" s="203"/>
      <c r="F2707" s="204"/>
      <c r="G2707" s="203"/>
      <c r="H2707" s="212"/>
    </row>
    <row r="2708" spans="1:10">
      <c r="A2708" s="561" t="s">
        <v>4224</v>
      </c>
      <c r="B2708" s="562"/>
      <c r="C2708" s="562"/>
      <c r="D2708" s="562"/>
      <c r="E2708" s="200"/>
      <c r="F2708" s="201" t="s">
        <v>4238</v>
      </c>
      <c r="G2708" s="200" t="s">
        <v>4239</v>
      </c>
      <c r="H2708" s="213"/>
    </row>
    <row r="2709" spans="1:10">
      <c r="A2709" s="223" t="s">
        <v>4097</v>
      </c>
      <c r="B2709" s="72"/>
      <c r="C2709" s="72"/>
      <c r="D2709" s="73"/>
      <c r="E2709" s="78"/>
      <c r="F2709" s="79">
        <v>0</v>
      </c>
      <c r="G2709" s="80">
        <f>F2709*H2674</f>
        <v>0</v>
      </c>
      <c r="H2709" s="212"/>
    </row>
    <row r="2710" spans="1:10">
      <c r="A2710" s="224" t="s">
        <v>4240</v>
      </c>
      <c r="B2710" s="81"/>
      <c r="C2710" s="81"/>
      <c r="D2710" s="82"/>
      <c r="E2710" s="78"/>
      <c r="F2710" s="79">
        <v>0</v>
      </c>
      <c r="G2710" s="80">
        <f>F2710*H2674</f>
        <v>0</v>
      </c>
      <c r="H2710" s="212"/>
    </row>
    <row r="2711" spans="1:10">
      <c r="A2711" s="224" t="s">
        <v>4</v>
      </c>
      <c r="B2711" s="81"/>
      <c r="C2711" s="81"/>
      <c r="D2711" s="82"/>
      <c r="E2711" s="78"/>
      <c r="F2711" s="79">
        <v>0</v>
      </c>
      <c r="G2711" s="80">
        <f>F2711*H2674</f>
        <v>0</v>
      </c>
      <c r="H2711" s="212"/>
    </row>
    <row r="2712" spans="1:10">
      <c r="A2712" s="225"/>
      <c r="B2712" s="83"/>
      <c r="C2712" s="75"/>
      <c r="D2712" s="84"/>
      <c r="E2712" s="85"/>
      <c r="F2712" s="86"/>
      <c r="G2712" s="87"/>
      <c r="H2712" s="214"/>
    </row>
    <row r="2713" spans="1:10">
      <c r="A2713" s="226"/>
      <c r="B2713" s="83"/>
      <c r="C2713" s="83"/>
      <c r="D2713" s="84"/>
      <c r="E2713" s="88"/>
      <c r="F2713" s="563" t="s">
        <v>4241</v>
      </c>
      <c r="G2713" s="564"/>
      <c r="H2713" s="233">
        <f>H2674+G2709+G2710+G2711</f>
        <v>1180538.3022499999</v>
      </c>
    </row>
    <row r="2714" spans="1:10">
      <c r="A2714" s="83"/>
      <c r="B2714" s="83"/>
      <c r="C2714" s="83"/>
      <c r="D2714" s="84"/>
      <c r="E2714" s="388"/>
      <c r="F2714" s="389"/>
      <c r="G2714" s="389"/>
      <c r="H2714" s="390"/>
    </row>
    <row r="2715" spans="1:10" ht="16.5">
      <c r="A2715" s="90"/>
      <c r="B2715" s="90"/>
      <c r="C2715" s="90"/>
      <c r="D2715" s="90"/>
      <c r="E2715" s="90"/>
      <c r="F2715" s="90"/>
      <c r="G2715" s="90"/>
      <c r="H2715" s="381"/>
    </row>
    <row r="2716" spans="1:10">
      <c r="A2716" s="579" t="s">
        <v>4225</v>
      </c>
      <c r="B2716" s="580"/>
      <c r="C2716" s="580"/>
      <c r="D2716" s="580"/>
      <c r="E2716" s="580"/>
      <c r="F2716" s="580"/>
      <c r="G2716" s="580"/>
      <c r="H2716" s="581"/>
    </row>
    <row r="2717" spans="1:10" ht="16.5">
      <c r="A2717" s="91"/>
      <c r="B2717" s="92"/>
      <c r="C2717" s="92"/>
      <c r="D2717" s="92"/>
      <c r="E2717" s="92"/>
      <c r="F2717" s="93"/>
      <c r="G2717" s="94"/>
      <c r="H2717" s="380">
        <f>ROUND((30/60)/8,4)</f>
        <v>6.25E-2</v>
      </c>
      <c r="I2717" s="115"/>
    </row>
    <row r="2718" spans="1:10">
      <c r="A2718" s="582" t="s">
        <v>4220</v>
      </c>
      <c r="B2718" s="584" t="str">
        <f>COSTOS!$C$14</f>
        <v>MODERNIZACION A TECNOLOGIA LED</v>
      </c>
      <c r="C2718" s="584"/>
      <c r="D2718" s="584"/>
      <c r="E2718" s="584"/>
      <c r="F2718" s="584"/>
      <c r="G2718" s="584"/>
      <c r="H2718" s="585" t="s">
        <v>4221</v>
      </c>
    </row>
    <row r="2719" spans="1:10">
      <c r="A2719" s="583"/>
      <c r="B2719" s="584"/>
      <c r="C2719" s="584"/>
      <c r="D2719" s="584"/>
      <c r="E2719" s="584"/>
      <c r="F2719" s="584"/>
      <c r="G2719" s="584"/>
      <c r="H2719" s="585"/>
    </row>
    <row r="2720" spans="1:10">
      <c r="A2720" s="583"/>
      <c r="B2720" s="584"/>
      <c r="C2720" s="584"/>
      <c r="D2720" s="584"/>
      <c r="E2720" s="584"/>
      <c r="F2720" s="584"/>
      <c r="G2720" s="584"/>
      <c r="H2720" s="585"/>
    </row>
    <row r="2721" spans="1:15" ht="15" customHeight="1">
      <c r="A2721" s="583"/>
      <c r="B2721" s="584"/>
      <c r="C2721" s="584"/>
      <c r="D2721" s="584"/>
      <c r="E2721" s="584"/>
      <c r="F2721" s="584"/>
      <c r="G2721" s="584"/>
      <c r="H2721" s="216">
        <f ca="1">TODAY()</f>
        <v>44889</v>
      </c>
      <c r="K2721" t="s">
        <v>4391</v>
      </c>
      <c r="L2721" t="s">
        <v>4392</v>
      </c>
      <c r="M2721" t="s">
        <v>4393</v>
      </c>
      <c r="N2721" t="s">
        <v>4394</v>
      </c>
    </row>
    <row r="2722" spans="1:15" ht="60.75" customHeight="1">
      <c r="A2722" s="228" t="s">
        <v>4222</v>
      </c>
      <c r="B2722" s="565" t="str">
        <f>COSTOS!$D$16</f>
        <v>Luminarias</v>
      </c>
      <c r="C2722" s="565"/>
      <c r="D2722" s="565"/>
      <c r="E2722" s="565"/>
      <c r="F2722" s="565"/>
      <c r="G2722" s="70" t="s">
        <v>4223</v>
      </c>
      <c r="H2722" s="391">
        <v>1.54</v>
      </c>
      <c r="K2722" s="62">
        <f>H2747</f>
        <v>492069.04599999997</v>
      </c>
      <c r="L2722" s="62">
        <f>H2757</f>
        <v>22484</v>
      </c>
      <c r="M2722" s="62">
        <f>H2730</f>
        <v>4034.53125</v>
      </c>
      <c r="N2722" s="62">
        <f>H2751</f>
        <v>4800</v>
      </c>
    </row>
    <row r="2723" spans="1:15" ht="43.15" customHeight="1">
      <c r="A2723" s="229" t="s">
        <v>4224</v>
      </c>
      <c r="B2723" s="566" t="str">
        <f>VLOOKUP(H2722,COSTOS!C:M,2,0)</f>
        <v>Luminaria Led 30w monoff</v>
      </c>
      <c r="C2723" s="567"/>
      <c r="D2723" s="567"/>
      <c r="E2723" s="568"/>
      <c r="F2723" s="71" t="s">
        <v>0</v>
      </c>
      <c r="G2723" s="356" t="str">
        <f>VLOOKUP(H2722,COSTOS!C:M,8,0)</f>
        <v>Und</v>
      </c>
      <c r="H2723" s="276"/>
      <c r="I2723" s="306"/>
      <c r="J2723" s="308"/>
      <c r="K2723" s="308"/>
      <c r="L2723" s="308"/>
    </row>
    <row r="2724" spans="1:15">
      <c r="A2724" s="230"/>
      <c r="B2724" s="112"/>
      <c r="C2724" s="112"/>
      <c r="D2724" s="112"/>
      <c r="E2724" s="113"/>
      <c r="F2724" s="114" t="s">
        <v>1</v>
      </c>
      <c r="G2724" s="356">
        <f>VLOOKUP(H2722,COSTOS!C:M,9,0)</f>
        <v>0</v>
      </c>
      <c r="H2724" s="357"/>
      <c r="I2724" s="307"/>
    </row>
    <row r="2725" spans="1:15" ht="16.5">
      <c r="A2725" s="231" t="s">
        <v>4226</v>
      </c>
      <c r="B2725" s="75"/>
      <c r="C2725" s="75"/>
      <c r="D2725" s="76"/>
      <c r="E2725" s="209"/>
      <c r="F2725" s="210"/>
      <c r="G2725" s="211" t="s">
        <v>4227</v>
      </c>
      <c r="H2725" s="217">
        <f>H2730+H2747+H2751+H2757</f>
        <v>523387.57724999997</v>
      </c>
    </row>
    <row r="2726" spans="1:15" ht="39">
      <c r="A2726" s="569" t="s">
        <v>4224</v>
      </c>
      <c r="B2726" s="569"/>
      <c r="C2726" s="569"/>
      <c r="D2726" s="77" t="s">
        <v>0</v>
      </c>
      <c r="E2726" s="207" t="s">
        <v>4228</v>
      </c>
      <c r="F2726" s="208" t="s">
        <v>4215</v>
      </c>
      <c r="G2726" s="74" t="s">
        <v>2</v>
      </c>
      <c r="H2726" s="218" t="s">
        <v>4229</v>
      </c>
      <c r="K2726" s="309"/>
    </row>
    <row r="2727" spans="1:15">
      <c r="A2727" s="536" t="s">
        <v>3946</v>
      </c>
      <c r="B2727" s="570" t="str">
        <f>VLOOKUP(A2727,'Equip, Herr y Transp'!$B$2:$D$739,2,0)</f>
        <v>EQU</v>
      </c>
      <c r="C2727" s="570"/>
      <c r="D2727" s="95" t="str">
        <f>VLOOKUP(A2727,'Equip, Herr y Transp'!$B$2:$D$218,2,0)</f>
        <v>EQU</v>
      </c>
      <c r="E2727" s="95">
        <f>VLOOKUP(A2727,'Equip, Herr y Transp'!$B$2:$D$218,3,0)</f>
        <v>14130</v>
      </c>
      <c r="F2727" s="96">
        <f>H2717</f>
        <v>6.25E-2</v>
      </c>
      <c r="G2727" s="122">
        <f>F2727*E2727</f>
        <v>883.125</v>
      </c>
      <c r="H2727" s="118"/>
    </row>
    <row r="2728" spans="1:15">
      <c r="A2728" s="536" t="s">
        <v>3904</v>
      </c>
      <c r="B2728" s="570" t="str">
        <f>VLOOKUP(A2728,'Equip, Herr y Transp'!$B$2:$D$739,2,0)</f>
        <v>EQU</v>
      </c>
      <c r="C2728" s="570"/>
      <c r="D2728" s="95" t="str">
        <f>VLOOKUP(A2728,'Equip, Herr y Transp'!$B$2:$D$218,2,0)</f>
        <v>EQU</v>
      </c>
      <c r="E2728" s="95">
        <f>VLOOKUP(A2728,'Equip, Herr y Transp'!$B$2:$D$218,3,0)</f>
        <v>26672.5</v>
      </c>
      <c r="F2728" s="96">
        <f>H2717</f>
        <v>6.25E-2</v>
      </c>
      <c r="G2728" s="122">
        <f>F2728*E2728</f>
        <v>1667.03125</v>
      </c>
      <c r="H2728" s="117"/>
    </row>
    <row r="2729" spans="1:15">
      <c r="A2729" s="536" t="s">
        <v>3937</v>
      </c>
      <c r="B2729" s="570" t="str">
        <f>VLOOKUP(A2729,'Equip, Herr y Transp'!$B$2:$D$739,2,0)</f>
        <v>EQU</v>
      </c>
      <c r="C2729" s="570"/>
      <c r="D2729" s="95" t="str">
        <f>VLOOKUP(A2729,'Equip, Herr y Transp'!$B$2:$D$218,2,0)</f>
        <v>EQU</v>
      </c>
      <c r="E2729" s="95">
        <f>VLOOKUP(A2729,'Equip, Herr y Transp'!$B$2:$D$218,3,0)</f>
        <v>23750</v>
      </c>
      <c r="F2729" s="96">
        <f>H2717</f>
        <v>6.25E-2</v>
      </c>
      <c r="G2729" s="122">
        <f>F2729*E2729</f>
        <v>1484.375</v>
      </c>
      <c r="H2729" s="117"/>
    </row>
    <row r="2730" spans="1:15" ht="16.5">
      <c r="A2730" s="540" t="s">
        <v>4100</v>
      </c>
      <c r="B2730" s="541"/>
      <c r="C2730" s="541"/>
      <c r="D2730" s="541"/>
      <c r="E2730" s="541"/>
      <c r="F2730" s="541"/>
      <c r="G2730" s="541"/>
      <c r="H2730" s="97">
        <f>SUM(G2727:G2729)</f>
        <v>4034.53125</v>
      </c>
    </row>
    <row r="2731" spans="1:15" ht="16.5">
      <c r="A2731" s="571" t="s">
        <v>4230</v>
      </c>
      <c r="B2731" s="572"/>
      <c r="C2731" s="572"/>
      <c r="D2731" s="572"/>
      <c r="E2731" s="572"/>
      <c r="F2731" s="572"/>
      <c r="G2731" s="572"/>
      <c r="H2731" s="573"/>
      <c r="K2731" s="56"/>
      <c r="L2731" s="56"/>
      <c r="M2731" s="56"/>
      <c r="N2731" s="56"/>
      <c r="O2731" s="56"/>
    </row>
    <row r="2732" spans="1:15" ht="30" customHeight="1">
      <c r="A2732" s="574" t="s">
        <v>7</v>
      </c>
      <c r="B2732" s="575"/>
      <c r="C2732" s="109" t="s">
        <v>0</v>
      </c>
      <c r="D2732" s="110" t="s">
        <v>4098</v>
      </c>
      <c r="E2732" s="111" t="s">
        <v>1</v>
      </c>
      <c r="F2732" s="576" t="s">
        <v>4218</v>
      </c>
      <c r="G2732" s="576"/>
      <c r="H2732" s="215"/>
      <c r="K2732" s="56"/>
      <c r="L2732" s="56"/>
      <c r="M2732" s="56"/>
      <c r="N2732" s="56"/>
      <c r="O2732" s="56"/>
    </row>
    <row r="2733" spans="1:15">
      <c r="A2733" s="577" t="s">
        <v>4764</v>
      </c>
      <c r="B2733" s="578"/>
      <c r="C2733" s="98" t="str">
        <f>VLOOKUP(A2733,'Materiales '!$C$2:$F$1302,3,0)</f>
        <v>Und</v>
      </c>
      <c r="D2733" s="99">
        <f>VLOOKUP(A2733,'Materiales '!$C$2:$F$1302,4,0)</f>
        <v>353430</v>
      </c>
      <c r="E2733" s="100">
        <v>1</v>
      </c>
      <c r="F2733" s="538">
        <f>E2733*D2733</f>
        <v>353430</v>
      </c>
      <c r="G2733" s="539"/>
      <c r="H2733" s="121"/>
      <c r="I2733">
        <f>E2733*G2724</f>
        <v>0</v>
      </c>
      <c r="J2733" s="67"/>
      <c r="K2733" s="56"/>
      <c r="L2733" s="56"/>
      <c r="M2733" s="56"/>
      <c r="N2733" s="56"/>
      <c r="O2733" s="56"/>
    </row>
    <row r="2734" spans="1:15">
      <c r="A2734" s="577" t="s">
        <v>4214</v>
      </c>
      <c r="B2734" s="578"/>
      <c r="C2734" s="98" t="str">
        <f>VLOOKUP(A2734,'Materiales '!$C$2:$F$1302,3,0)</f>
        <v>Und</v>
      </c>
      <c r="D2734" s="99">
        <f>VLOOKUP(A2734,'Materiales '!$C$2:$F$1302,4,0)</f>
        <v>22848</v>
      </c>
      <c r="E2734" s="100">
        <v>1</v>
      </c>
      <c r="F2734" s="538">
        <f t="shared" ref="F2734:F2740" si="160">E2734*D2734</f>
        <v>22848</v>
      </c>
      <c r="G2734" s="539"/>
      <c r="H2734" s="121"/>
      <c r="I2734">
        <f>E2734*G2724</f>
        <v>0</v>
      </c>
      <c r="J2734" s="67"/>
      <c r="K2734" s="56"/>
      <c r="L2734" s="56"/>
      <c r="M2734" s="56"/>
      <c r="N2734" s="56"/>
      <c r="O2734" s="56"/>
    </row>
    <row r="2735" spans="1:15">
      <c r="A2735" s="536" t="s">
        <v>4484</v>
      </c>
      <c r="B2735" s="537" t="str">
        <f>VLOOKUP(A2735,'Materiales '!$C$2:$F$1302,3,0)</f>
        <v>Und</v>
      </c>
      <c r="C2735" s="98" t="str">
        <f>VLOOKUP(A2735,'Materiales '!$C$2:$F$1302,3,0)</f>
        <v>Und</v>
      </c>
      <c r="D2735" s="99">
        <f>VLOOKUP(A2735,'Materiales '!$C$2:$F$1302,4,0)</f>
        <v>21705.599999999999</v>
      </c>
      <c r="E2735" s="100">
        <v>2</v>
      </c>
      <c r="F2735" s="538">
        <f t="shared" si="160"/>
        <v>43411.199999999997</v>
      </c>
      <c r="G2735" s="539"/>
      <c r="H2735" s="121"/>
      <c r="I2735">
        <f>E2735*G2724</f>
        <v>0</v>
      </c>
      <c r="J2735" s="68"/>
      <c r="K2735" s="56"/>
      <c r="L2735" s="56"/>
      <c r="M2735" s="56"/>
      <c r="N2735" s="56"/>
      <c r="O2735" s="56"/>
    </row>
    <row r="2736" spans="1:15">
      <c r="A2736" s="536" t="s">
        <v>4489</v>
      </c>
      <c r="B2736" s="537" t="str">
        <f>VLOOKUP(A2736,'Materiales '!$C$2:$F$1302,3,0)</f>
        <v>Und</v>
      </c>
      <c r="C2736" s="98" t="str">
        <f>VLOOKUP(A2736,'Materiales '!$C$2:$F$1302,3,0)</f>
        <v>Und</v>
      </c>
      <c r="D2736" s="99">
        <f>VLOOKUP(A2736,'Materiales '!$C$2:$F$1302,4,0)</f>
        <v>8039.6399999999994</v>
      </c>
      <c r="E2736" s="100">
        <v>3</v>
      </c>
      <c r="F2736" s="538">
        <f t="shared" si="160"/>
        <v>24118.92</v>
      </c>
      <c r="G2736" s="539"/>
      <c r="H2736" s="121"/>
      <c r="I2736">
        <f>E2736*G2724</f>
        <v>0</v>
      </c>
      <c r="J2736" s="68"/>
      <c r="K2736" s="56"/>
      <c r="L2736" s="56"/>
      <c r="M2736" s="56"/>
      <c r="N2736" s="56"/>
      <c r="O2736" s="56"/>
    </row>
    <row r="2737" spans="1:15">
      <c r="A2737" s="536" t="s">
        <v>4554</v>
      </c>
      <c r="B2737" s="537" t="str">
        <f>VLOOKUP(A2737,'Materiales '!$C$2:$F$1302,3,0)</f>
        <v>Und</v>
      </c>
      <c r="C2737" s="98" t="str">
        <f>VLOOKUP(A2737,'Materiales '!$C$2:$F$1302,3,0)</f>
        <v>Und</v>
      </c>
      <c r="D2737" s="99">
        <f>VLOOKUP(A2737,'Materiales '!$C$2:$F$1302,4,0)</f>
        <v>2535.5329999999999</v>
      </c>
      <c r="E2737" s="100">
        <v>2</v>
      </c>
      <c r="F2737" s="538">
        <f t="shared" si="160"/>
        <v>5071.0659999999998</v>
      </c>
      <c r="G2737" s="539"/>
      <c r="H2737" s="121"/>
      <c r="I2737">
        <f>E2737*G2724</f>
        <v>0</v>
      </c>
      <c r="J2737" s="68"/>
      <c r="K2737" s="56"/>
      <c r="L2737" s="56"/>
      <c r="M2737" s="56"/>
      <c r="N2737" s="56"/>
      <c r="O2737" s="56"/>
    </row>
    <row r="2738" spans="1:15">
      <c r="A2738" s="536" t="s">
        <v>4450</v>
      </c>
      <c r="B2738" s="537" t="str">
        <f>VLOOKUP(A2738,'Materiales '!$C$2:$F$1302,3,0)</f>
        <v>Ml</v>
      </c>
      <c r="C2738" s="98" t="str">
        <f>VLOOKUP(A2738,'Materiales '!$C$2:$F$1302,3,0)</f>
        <v>Ml</v>
      </c>
      <c r="D2738" s="99">
        <f>VLOOKUP(A2738,'Materiales '!$C$2:$F$1302,4,0)</f>
        <v>6791.5679999999993</v>
      </c>
      <c r="E2738" s="100">
        <v>1</v>
      </c>
      <c r="F2738" s="538">
        <f t="shared" si="160"/>
        <v>6791.5679999999993</v>
      </c>
      <c r="G2738" s="539"/>
      <c r="H2738" s="121"/>
      <c r="I2738">
        <f>E2738*G2724</f>
        <v>0</v>
      </c>
      <c r="J2738" s="68"/>
      <c r="K2738" s="56"/>
      <c r="L2738" s="56"/>
      <c r="M2738" s="56"/>
      <c r="N2738" s="56"/>
      <c r="O2738" s="56"/>
    </row>
    <row r="2739" spans="1:15">
      <c r="A2739" s="536" t="s">
        <v>4493</v>
      </c>
      <c r="B2739" s="537" t="str">
        <f>VLOOKUP(A2739,'Materiales '!$C$2:$F$1302,3,0)</f>
        <v>Und</v>
      </c>
      <c r="C2739" s="98" t="str">
        <f>VLOOKUP(A2739,'Materiales '!$C$2:$F$1302,3,0)</f>
        <v>Und</v>
      </c>
      <c r="D2739" s="99">
        <f>VLOOKUP(A2739,'Materiales '!$C$2:$F$1302,4,0)</f>
        <v>232.76399999999998</v>
      </c>
      <c r="E2739" s="100">
        <v>3</v>
      </c>
      <c r="F2739" s="538">
        <f t="shared" si="160"/>
        <v>698.29199999999992</v>
      </c>
      <c r="G2739" s="539"/>
      <c r="H2739" s="121"/>
      <c r="I2739">
        <f>E2739*G2724</f>
        <v>0</v>
      </c>
      <c r="J2739" s="68"/>
      <c r="K2739" s="56"/>
      <c r="L2739" s="56"/>
      <c r="M2739" s="56"/>
      <c r="N2739" s="56"/>
      <c r="O2739" s="56"/>
    </row>
    <row r="2740" spans="1:15" ht="21.75" customHeight="1">
      <c r="A2740" s="536" t="s">
        <v>4639</v>
      </c>
      <c r="B2740" s="537" t="str">
        <f>VLOOKUP(A2740,'Materiales '!$C$2:$F$1302,3,0)</f>
        <v>Und</v>
      </c>
      <c r="C2740" s="98" t="str">
        <f>VLOOKUP(A2740,'Materiales '!$C$2:$F$1302,3,0)</f>
        <v>Und</v>
      </c>
      <c r="D2740" s="99">
        <f>VLOOKUP(A2740,'Materiales '!$C$2:$F$1302,4,0)</f>
        <v>35700</v>
      </c>
      <c r="E2740" s="100">
        <v>1</v>
      </c>
      <c r="F2740" s="538">
        <f t="shared" si="160"/>
        <v>35700</v>
      </c>
      <c r="G2740" s="539"/>
      <c r="H2740" s="121"/>
      <c r="I2740">
        <f>E2740*G2724</f>
        <v>0</v>
      </c>
      <c r="J2740" s="68"/>
      <c r="K2740" s="56"/>
      <c r="L2740" s="56"/>
      <c r="M2740" s="56"/>
      <c r="N2740" s="56"/>
      <c r="O2740" s="56"/>
    </row>
    <row r="2741" spans="1:15">
      <c r="A2741" s="536" t="s">
        <v>8</v>
      </c>
      <c r="B2741" s="537" t="str">
        <f>VLOOKUP(A2741,'Materiales '!$C$2:$F$1302,3,0)</f>
        <v>-</v>
      </c>
      <c r="C2741" s="98" t="str">
        <f>VLOOKUP(A2741,'Materiales '!$C$2:$F$1302,3,0)</f>
        <v>-</v>
      </c>
      <c r="D2741" s="99">
        <f>VLOOKUP(A2741,'Materiales '!$C$2:$F$1302,4,0)</f>
        <v>0</v>
      </c>
      <c r="E2741" s="100"/>
      <c r="F2741" s="538">
        <f>E2741*D2741</f>
        <v>0</v>
      </c>
      <c r="G2741" s="539"/>
      <c r="H2741" s="120"/>
      <c r="I2741">
        <f>E2741*G2724</f>
        <v>0</v>
      </c>
      <c r="J2741" s="68"/>
      <c r="K2741" s="56"/>
      <c r="L2741" s="56"/>
      <c r="M2741" s="56"/>
      <c r="N2741" s="56"/>
      <c r="O2741" s="56"/>
    </row>
    <row r="2742" spans="1:15">
      <c r="A2742" s="536" t="s">
        <v>8</v>
      </c>
      <c r="B2742" s="537" t="str">
        <f>VLOOKUP(A2742,'Materiales '!$C$2:$F$1302,3,0)</f>
        <v>-</v>
      </c>
      <c r="C2742" s="98" t="str">
        <f>VLOOKUP(A2742,'Materiales '!$C$2:$F$1302,3,0)</f>
        <v>-</v>
      </c>
      <c r="D2742" s="99">
        <f>VLOOKUP(A2742,'Materiales '!$C$2:$F$1302,4,0)</f>
        <v>0</v>
      </c>
      <c r="E2742" s="100"/>
      <c r="F2742" s="538">
        <f t="shared" ref="F2742:F2745" si="161">E2742*D2742</f>
        <v>0</v>
      </c>
      <c r="G2742" s="539"/>
      <c r="H2742" s="121"/>
      <c r="I2742">
        <f>E2742*G2724</f>
        <v>0</v>
      </c>
      <c r="J2742" s="68"/>
      <c r="K2742" s="56"/>
      <c r="L2742" s="56"/>
      <c r="M2742" s="56"/>
      <c r="N2742" s="56"/>
      <c r="O2742" s="56"/>
    </row>
    <row r="2743" spans="1:15">
      <c r="A2743" s="536" t="s">
        <v>8</v>
      </c>
      <c r="B2743" s="537" t="str">
        <f>VLOOKUP(A2743,'Materiales '!$C$2:$F$1302,3,0)</f>
        <v>-</v>
      </c>
      <c r="C2743" s="98" t="str">
        <f>VLOOKUP(A2743,'Materiales '!$C$2:$F$1302,3,0)</f>
        <v>-</v>
      </c>
      <c r="D2743" s="99">
        <f>VLOOKUP(A2743,'Materiales '!$C$2:$F$1302,4,0)</f>
        <v>0</v>
      </c>
      <c r="E2743" s="100"/>
      <c r="F2743" s="538">
        <f t="shared" si="161"/>
        <v>0</v>
      </c>
      <c r="G2743" s="539"/>
      <c r="H2743" s="121"/>
      <c r="I2743">
        <f>E2743*G2724</f>
        <v>0</v>
      </c>
      <c r="J2743" s="68"/>
      <c r="K2743" s="56"/>
      <c r="L2743" s="56"/>
      <c r="M2743" s="56"/>
      <c r="N2743" s="56"/>
      <c r="O2743" s="56"/>
    </row>
    <row r="2744" spans="1:15">
      <c r="A2744" s="536" t="s">
        <v>8</v>
      </c>
      <c r="B2744" s="537" t="str">
        <f>VLOOKUP(A2744,'Materiales '!$C$2:$F$1302,3,0)</f>
        <v>-</v>
      </c>
      <c r="C2744" s="98" t="str">
        <f>VLOOKUP(A2744,'Materiales '!$C$2:$F$1302,3,0)</f>
        <v>-</v>
      </c>
      <c r="D2744" s="99">
        <f>VLOOKUP(A2744,'Materiales '!$C$2:$F$1302,4,0)</f>
        <v>0</v>
      </c>
      <c r="E2744" s="100"/>
      <c r="F2744" s="538">
        <f t="shared" si="161"/>
        <v>0</v>
      </c>
      <c r="G2744" s="539"/>
      <c r="H2744" s="121"/>
      <c r="I2744">
        <f>E2744*G2724</f>
        <v>0</v>
      </c>
      <c r="J2744" s="68"/>
      <c r="K2744" s="56"/>
      <c r="L2744" s="56"/>
      <c r="M2744" s="56"/>
      <c r="N2744" s="56"/>
      <c r="O2744" s="56"/>
    </row>
    <row r="2745" spans="1:15">
      <c r="A2745" s="536" t="s">
        <v>8</v>
      </c>
      <c r="B2745" s="537" t="str">
        <f>VLOOKUP(A2745,'Materiales '!$C$2:$F$1302,3,0)</f>
        <v>-</v>
      </c>
      <c r="C2745" s="98" t="str">
        <f>VLOOKUP(A2745,'Materiales '!$C$2:$F$1302,3,0)</f>
        <v>-</v>
      </c>
      <c r="D2745" s="99">
        <f>VLOOKUP(A2745,'Materiales '!$C$2:$F$1302,4,0)</f>
        <v>0</v>
      </c>
      <c r="E2745" s="100"/>
      <c r="F2745" s="538">
        <f t="shared" si="161"/>
        <v>0</v>
      </c>
      <c r="G2745" s="539"/>
      <c r="H2745" s="121"/>
      <c r="I2745">
        <f>E2745*G2724</f>
        <v>0</v>
      </c>
      <c r="J2745" s="68"/>
      <c r="K2745" s="56"/>
      <c r="L2745" s="56"/>
      <c r="M2745" s="56"/>
      <c r="N2745" s="56"/>
      <c r="O2745" s="56"/>
    </row>
    <row r="2746" spans="1:15">
      <c r="A2746" s="536" t="s">
        <v>8</v>
      </c>
      <c r="B2746" s="537" t="str">
        <f>VLOOKUP(A2746,'Materiales '!$C$2:$F$1302,3,0)</f>
        <v>-</v>
      </c>
      <c r="C2746" s="98" t="str">
        <f>VLOOKUP(A2746,'Materiales '!$C$2:$F$1302,3,0)</f>
        <v>-</v>
      </c>
      <c r="D2746" s="99">
        <f>VLOOKUP(A2746,'Materiales '!$C$2:$F$1302,4,0)</f>
        <v>0</v>
      </c>
      <c r="E2746" s="100"/>
      <c r="F2746" s="538">
        <f>E2746*D2746</f>
        <v>0</v>
      </c>
      <c r="G2746" s="539"/>
      <c r="H2746" s="120"/>
      <c r="I2746">
        <f>E2746*G2724</f>
        <v>0</v>
      </c>
      <c r="J2746" s="68"/>
      <c r="K2746" s="56"/>
      <c r="L2746" s="56"/>
      <c r="M2746" s="56"/>
      <c r="N2746" s="56"/>
      <c r="O2746" s="56"/>
    </row>
    <row r="2747" spans="1:15" ht="16.5">
      <c r="A2747" s="540" t="s">
        <v>4099</v>
      </c>
      <c r="B2747" s="541"/>
      <c r="C2747" s="541"/>
      <c r="D2747" s="541"/>
      <c r="E2747" s="541"/>
      <c r="F2747" s="541"/>
      <c r="G2747" s="542"/>
      <c r="H2747" s="116">
        <f>SUM(F2733:F2746)</f>
        <v>492069.04599999997</v>
      </c>
      <c r="J2747" s="68"/>
      <c r="K2747" s="56"/>
      <c r="L2747" s="56"/>
      <c r="M2747" s="56"/>
      <c r="N2747" s="56"/>
      <c r="O2747" s="56"/>
    </row>
    <row r="2748" spans="1:15" ht="16.5">
      <c r="A2748" s="543" t="s">
        <v>4231</v>
      </c>
      <c r="B2748" s="544"/>
      <c r="C2748" s="544"/>
      <c r="D2748" s="544"/>
      <c r="E2748" s="545"/>
      <c r="F2748" s="544"/>
      <c r="G2748" s="544"/>
      <c r="H2748" s="546"/>
      <c r="J2748" s="68"/>
      <c r="K2748" s="56"/>
      <c r="L2748" s="56"/>
      <c r="M2748" s="56"/>
      <c r="N2748" s="56"/>
      <c r="O2748" s="56"/>
    </row>
    <row r="2749" spans="1:15">
      <c r="A2749" s="547" t="s">
        <v>7</v>
      </c>
      <c r="B2749" s="548"/>
      <c r="C2749" s="108" t="s">
        <v>4232</v>
      </c>
      <c r="D2749" s="107" t="s">
        <v>4233</v>
      </c>
      <c r="E2749" s="206" t="s">
        <v>4234</v>
      </c>
      <c r="F2749" s="549" t="s">
        <v>4218</v>
      </c>
      <c r="G2749" s="549"/>
      <c r="H2749" s="119"/>
      <c r="K2749" s="56"/>
      <c r="L2749" s="56"/>
      <c r="M2749" s="56"/>
      <c r="N2749" s="56"/>
      <c r="O2749" s="56"/>
    </row>
    <row r="2750" spans="1:15">
      <c r="A2750" s="550" t="s">
        <v>3928</v>
      </c>
      <c r="B2750" s="551"/>
      <c r="C2750" s="232">
        <v>1</v>
      </c>
      <c r="D2750" s="102">
        <v>0.03</v>
      </c>
      <c r="E2750" s="103">
        <f>VLOOKUP(A2750,'Equip, Herr y Transp'!$B$2:$D$218,3,0)</f>
        <v>160000</v>
      </c>
      <c r="F2750" s="552">
        <f>E2750*D2750*C2750</f>
        <v>4800</v>
      </c>
      <c r="G2750" s="553"/>
      <c r="H2750" s="117"/>
      <c r="M2750" s="56"/>
    </row>
    <row r="2751" spans="1:15" ht="16.5">
      <c r="A2751" s="554" t="s">
        <v>4216</v>
      </c>
      <c r="B2751" s="555"/>
      <c r="C2751" s="555"/>
      <c r="D2751" s="555"/>
      <c r="E2751" s="555"/>
      <c r="F2751" s="555"/>
      <c r="G2751" s="555"/>
      <c r="H2751" s="105">
        <f>F2750</f>
        <v>4800</v>
      </c>
    </row>
    <row r="2752" spans="1:15" ht="16.5">
      <c r="A2752" s="543" t="s">
        <v>4235</v>
      </c>
      <c r="B2752" s="544"/>
      <c r="C2752" s="544"/>
      <c r="D2752" s="544"/>
      <c r="E2752" s="544"/>
      <c r="F2752" s="544"/>
      <c r="G2752" s="544"/>
      <c r="H2752" s="546"/>
    </row>
    <row r="2753" spans="1:10">
      <c r="A2753" s="547" t="s">
        <v>7</v>
      </c>
      <c r="B2753" s="548"/>
      <c r="C2753" s="106" t="s">
        <v>1</v>
      </c>
      <c r="D2753" s="107" t="s">
        <v>4236</v>
      </c>
      <c r="E2753" s="108" t="s">
        <v>4215</v>
      </c>
      <c r="F2753" s="547" t="s">
        <v>5</v>
      </c>
      <c r="G2753" s="556"/>
      <c r="H2753" s="119"/>
    </row>
    <row r="2754" spans="1:10">
      <c r="A2754" s="550" t="s">
        <v>4196</v>
      </c>
      <c r="B2754" s="551"/>
      <c r="C2754" s="101">
        <v>1</v>
      </c>
      <c r="D2754" s="104">
        <f>VLOOKUP(A2754,'Mano Obra'!$B$2:$T$117,19,0)</f>
        <v>166624</v>
      </c>
      <c r="E2754" s="246">
        <f>H2717</f>
        <v>6.25E-2</v>
      </c>
      <c r="F2754" s="538">
        <f>E2754*D2754*C2754</f>
        <v>10414</v>
      </c>
      <c r="G2754" s="557"/>
      <c r="H2754" s="121"/>
      <c r="I2754" s="69"/>
      <c r="J2754" s="136">
        <f>((('Mano Obra'!$M$4/30)*F2754)/D2754)*G2724</f>
        <v>0</v>
      </c>
    </row>
    <row r="2755" spans="1:10">
      <c r="A2755" s="558" t="s">
        <v>4197</v>
      </c>
      <c r="B2755" s="559">
        <f>VLOOKUP(A2755,'Mano Obra'!$B$3:$D$290,2,0)</f>
        <v>2090000.0000000002</v>
      </c>
      <c r="C2755" s="101">
        <v>1</v>
      </c>
      <c r="D2755" s="104">
        <f>VLOOKUP(A2755,'Mano Obra'!$B$2:$T$117,19,0)</f>
        <v>120456</v>
      </c>
      <c r="E2755" s="246">
        <f>H2717</f>
        <v>6.25E-2</v>
      </c>
      <c r="F2755" s="538">
        <f t="shared" ref="F2755:F2756" si="162">E2755*D2755*C2755</f>
        <v>7528.5</v>
      </c>
      <c r="G2755" s="557"/>
      <c r="H2755" s="121"/>
      <c r="J2755" s="136">
        <f>((('Mano Obra'!$M$5/30)*F2755)/D2755)*G2724</f>
        <v>0</v>
      </c>
    </row>
    <row r="2756" spans="1:10">
      <c r="A2756" s="558" t="s">
        <v>4186</v>
      </c>
      <c r="B2756" s="559">
        <f>VLOOKUP(A2756,'Mano Obra'!$B$3:$D$290,2,0)</f>
        <v>1100000</v>
      </c>
      <c r="C2756" s="101">
        <v>1</v>
      </c>
      <c r="D2756" s="104">
        <f>VLOOKUP(A2756,'Mano Obra'!$B$2:$T$117,19,0)</f>
        <v>72664</v>
      </c>
      <c r="E2756" s="246">
        <f>H2717</f>
        <v>6.25E-2</v>
      </c>
      <c r="F2756" s="538">
        <f t="shared" si="162"/>
        <v>4541.5</v>
      </c>
      <c r="G2756" s="557"/>
      <c r="H2756" s="120"/>
      <c r="J2756" s="136">
        <f>((('Mano Obra'!$M$6/30)*F2756)/D2756)*G2724</f>
        <v>0</v>
      </c>
    </row>
    <row r="2757" spans="1:10" ht="16.5">
      <c r="A2757" s="560" t="s">
        <v>4101</v>
      </c>
      <c r="B2757" s="560"/>
      <c r="C2757" s="560"/>
      <c r="D2757" s="560"/>
      <c r="E2757" s="560"/>
      <c r="F2757" s="560"/>
      <c r="G2757" s="560"/>
      <c r="H2757" s="105">
        <f>SUM(F2754:F2756)</f>
        <v>22484</v>
      </c>
      <c r="J2757" s="136"/>
    </row>
    <row r="2758" spans="1:10">
      <c r="A2758" s="227" t="s">
        <v>4237</v>
      </c>
      <c r="B2758" s="205"/>
      <c r="C2758" s="205"/>
      <c r="D2758" s="202"/>
      <c r="E2758" s="203"/>
      <c r="F2758" s="204"/>
      <c r="G2758" s="203"/>
      <c r="H2758" s="212"/>
    </row>
    <row r="2759" spans="1:10">
      <c r="A2759" s="561" t="s">
        <v>4224</v>
      </c>
      <c r="B2759" s="562"/>
      <c r="C2759" s="562"/>
      <c r="D2759" s="562"/>
      <c r="E2759" s="200"/>
      <c r="F2759" s="201" t="s">
        <v>4238</v>
      </c>
      <c r="G2759" s="200" t="s">
        <v>4239</v>
      </c>
      <c r="H2759" s="213"/>
    </row>
    <row r="2760" spans="1:10">
      <c r="A2760" s="223" t="s">
        <v>4097</v>
      </c>
      <c r="B2760" s="72"/>
      <c r="C2760" s="72"/>
      <c r="D2760" s="73"/>
      <c r="E2760" s="78"/>
      <c r="F2760" s="79">
        <v>0</v>
      </c>
      <c r="G2760" s="80">
        <f>F2760*H2725</f>
        <v>0</v>
      </c>
      <c r="H2760" s="212"/>
    </row>
    <row r="2761" spans="1:10">
      <c r="A2761" s="224" t="s">
        <v>4240</v>
      </c>
      <c r="B2761" s="81"/>
      <c r="C2761" s="81"/>
      <c r="D2761" s="82"/>
      <c r="E2761" s="78"/>
      <c r="F2761" s="79">
        <v>0</v>
      </c>
      <c r="G2761" s="80">
        <f>F2761*H2725</f>
        <v>0</v>
      </c>
      <c r="H2761" s="212"/>
    </row>
    <row r="2762" spans="1:10">
      <c r="A2762" s="224" t="s">
        <v>4</v>
      </c>
      <c r="B2762" s="81"/>
      <c r="C2762" s="81"/>
      <c r="D2762" s="82"/>
      <c r="E2762" s="78"/>
      <c r="F2762" s="79">
        <v>0</v>
      </c>
      <c r="G2762" s="80">
        <f>F2762*H2725</f>
        <v>0</v>
      </c>
      <c r="H2762" s="212"/>
    </row>
    <row r="2763" spans="1:10">
      <c r="A2763" s="225"/>
      <c r="B2763" s="83"/>
      <c r="C2763" s="75"/>
      <c r="D2763" s="84"/>
      <c r="E2763" s="85"/>
      <c r="F2763" s="86"/>
      <c r="G2763" s="87"/>
      <c r="H2763" s="214"/>
    </row>
    <row r="2764" spans="1:10">
      <c r="A2764" s="226"/>
      <c r="B2764" s="83"/>
      <c r="C2764" s="83"/>
      <c r="D2764" s="84"/>
      <c r="E2764" s="88"/>
      <c r="F2764" s="563" t="s">
        <v>4241</v>
      </c>
      <c r="G2764" s="564"/>
      <c r="H2764" s="233">
        <f>H2725+G2760+G2761+G2762</f>
        <v>523387.57724999997</v>
      </c>
    </row>
    <row r="2765" spans="1:10">
      <c r="A2765" s="83"/>
      <c r="B2765" s="83"/>
      <c r="C2765" s="83"/>
      <c r="D2765" s="84"/>
      <c r="E2765" s="388"/>
      <c r="F2765" s="389"/>
      <c r="G2765" s="389"/>
      <c r="H2765" s="390"/>
    </row>
    <row r="2766" spans="1:10" ht="16.5">
      <c r="A2766" s="90"/>
      <c r="B2766" s="90"/>
      <c r="C2766" s="90"/>
      <c r="D2766" s="90"/>
      <c r="E2766" s="90"/>
      <c r="F2766" s="90"/>
      <c r="G2766" s="90"/>
      <c r="H2766" s="381"/>
    </row>
    <row r="2767" spans="1:10">
      <c r="A2767" s="579" t="s">
        <v>4225</v>
      </c>
      <c r="B2767" s="580"/>
      <c r="C2767" s="580"/>
      <c r="D2767" s="580"/>
      <c r="E2767" s="580"/>
      <c r="F2767" s="580"/>
      <c r="G2767" s="580"/>
      <c r="H2767" s="581"/>
    </row>
    <row r="2768" spans="1:10" ht="16.5">
      <c r="A2768" s="91"/>
      <c r="B2768" s="92"/>
      <c r="C2768" s="92"/>
      <c r="D2768" s="92"/>
      <c r="E2768" s="92"/>
      <c r="F2768" s="93"/>
      <c r="G2768" s="94"/>
      <c r="H2768" s="380">
        <f>ROUND((30/60)/8,4)</f>
        <v>6.25E-2</v>
      </c>
      <c r="I2768" s="115"/>
    </row>
    <row r="2769" spans="1:15">
      <c r="A2769" s="582" t="s">
        <v>4220</v>
      </c>
      <c r="B2769" s="584" t="str">
        <f>COSTOS!$C$14</f>
        <v>MODERNIZACION A TECNOLOGIA LED</v>
      </c>
      <c r="C2769" s="584"/>
      <c r="D2769" s="584"/>
      <c r="E2769" s="584"/>
      <c r="F2769" s="584"/>
      <c r="G2769" s="584"/>
      <c r="H2769" s="585" t="s">
        <v>4221</v>
      </c>
    </row>
    <row r="2770" spans="1:15">
      <c r="A2770" s="583"/>
      <c r="B2770" s="584"/>
      <c r="C2770" s="584"/>
      <c r="D2770" s="584"/>
      <c r="E2770" s="584"/>
      <c r="F2770" s="584"/>
      <c r="G2770" s="584"/>
      <c r="H2770" s="585"/>
    </row>
    <row r="2771" spans="1:15">
      <c r="A2771" s="583"/>
      <c r="B2771" s="584"/>
      <c r="C2771" s="584"/>
      <c r="D2771" s="584"/>
      <c r="E2771" s="584"/>
      <c r="F2771" s="584"/>
      <c r="G2771" s="584"/>
      <c r="H2771" s="585"/>
    </row>
    <row r="2772" spans="1:15" ht="15" customHeight="1">
      <c r="A2772" s="583"/>
      <c r="B2772" s="584"/>
      <c r="C2772" s="584"/>
      <c r="D2772" s="584"/>
      <c r="E2772" s="584"/>
      <c r="F2772" s="584"/>
      <c r="G2772" s="584"/>
      <c r="H2772" s="216">
        <f ca="1">TODAY()</f>
        <v>44889</v>
      </c>
      <c r="K2772" t="s">
        <v>4391</v>
      </c>
      <c r="L2772" t="s">
        <v>4392</v>
      </c>
      <c r="M2772" t="s">
        <v>4393</v>
      </c>
      <c r="N2772" t="s">
        <v>4394</v>
      </c>
    </row>
    <row r="2773" spans="1:15" ht="60.75" customHeight="1">
      <c r="A2773" s="228" t="s">
        <v>4222</v>
      </c>
      <c r="B2773" s="565" t="str">
        <f>COSTOS!$D$16</f>
        <v>Luminarias</v>
      </c>
      <c r="C2773" s="565"/>
      <c r="D2773" s="565"/>
      <c r="E2773" s="565"/>
      <c r="F2773" s="565"/>
      <c r="G2773" s="70" t="s">
        <v>4223</v>
      </c>
      <c r="H2773" s="391">
        <v>1.55</v>
      </c>
      <c r="K2773" s="62">
        <f>H2798</f>
        <v>175291.04599999997</v>
      </c>
      <c r="L2773" s="62">
        <f>H2808</f>
        <v>22484</v>
      </c>
      <c r="M2773" s="62">
        <f>H2781</f>
        <v>4034.53125</v>
      </c>
      <c r="N2773" s="62">
        <f>H2802</f>
        <v>4800</v>
      </c>
    </row>
    <row r="2774" spans="1:15" ht="43.15" customHeight="1">
      <c r="A2774" s="229" t="s">
        <v>4224</v>
      </c>
      <c r="B2774" s="566" t="str">
        <f>VLOOKUP(H2773,COSTOS!C:M,2,0)</f>
        <v>Luminaria Led 45w monoff</v>
      </c>
      <c r="C2774" s="567"/>
      <c r="D2774" s="567"/>
      <c r="E2774" s="568"/>
      <c r="F2774" s="71" t="s">
        <v>0</v>
      </c>
      <c r="G2774" s="356" t="str">
        <f>VLOOKUP(H2773,COSTOS!C:M,8,0)</f>
        <v>Und</v>
      </c>
      <c r="H2774" s="276"/>
      <c r="I2774" s="306"/>
      <c r="J2774" s="308"/>
      <c r="K2774" s="308"/>
      <c r="L2774" s="308"/>
    </row>
    <row r="2775" spans="1:15">
      <c r="A2775" s="230"/>
      <c r="B2775" s="112"/>
      <c r="C2775" s="112"/>
      <c r="D2775" s="112"/>
      <c r="E2775" s="113"/>
      <c r="F2775" s="114" t="s">
        <v>1</v>
      </c>
      <c r="G2775" s="356">
        <f>VLOOKUP(H2773,COSTOS!C:M,9,0)</f>
        <v>0</v>
      </c>
      <c r="H2775" s="357"/>
      <c r="I2775" s="307"/>
    </row>
    <row r="2776" spans="1:15" ht="16.5">
      <c r="A2776" s="231" t="s">
        <v>4226</v>
      </c>
      <c r="B2776" s="75"/>
      <c r="C2776" s="75"/>
      <c r="D2776" s="76"/>
      <c r="E2776" s="209"/>
      <c r="F2776" s="210"/>
      <c r="G2776" s="211" t="s">
        <v>4227</v>
      </c>
      <c r="H2776" s="217">
        <f>H2781+H2798+H2802+H2808</f>
        <v>206609.57724999997</v>
      </c>
    </row>
    <row r="2777" spans="1:15" ht="39">
      <c r="A2777" s="569" t="s">
        <v>4224</v>
      </c>
      <c r="B2777" s="569"/>
      <c r="C2777" s="569"/>
      <c r="D2777" s="77" t="s">
        <v>0</v>
      </c>
      <c r="E2777" s="207" t="s">
        <v>4228</v>
      </c>
      <c r="F2777" s="208" t="s">
        <v>4215</v>
      </c>
      <c r="G2777" s="74" t="s">
        <v>2</v>
      </c>
      <c r="H2777" s="218" t="s">
        <v>4229</v>
      </c>
      <c r="K2777" s="309"/>
    </row>
    <row r="2778" spans="1:15">
      <c r="A2778" s="536" t="s">
        <v>3946</v>
      </c>
      <c r="B2778" s="570" t="str">
        <f>VLOOKUP(A2778,'Equip, Herr y Transp'!$B$2:$D$739,2,0)</f>
        <v>EQU</v>
      </c>
      <c r="C2778" s="570"/>
      <c r="D2778" s="95" t="str">
        <f>VLOOKUP(A2778,'Equip, Herr y Transp'!$B$2:$D$218,2,0)</f>
        <v>EQU</v>
      </c>
      <c r="E2778" s="95">
        <f>VLOOKUP(A2778,'Equip, Herr y Transp'!$B$2:$D$218,3,0)</f>
        <v>14130</v>
      </c>
      <c r="F2778" s="96">
        <f>H2768</f>
        <v>6.25E-2</v>
      </c>
      <c r="G2778" s="122">
        <f>F2778*E2778</f>
        <v>883.125</v>
      </c>
      <c r="H2778" s="118"/>
    </row>
    <row r="2779" spans="1:15">
      <c r="A2779" s="536" t="s">
        <v>3904</v>
      </c>
      <c r="B2779" s="570" t="str">
        <f>VLOOKUP(A2779,'Equip, Herr y Transp'!$B$2:$D$739,2,0)</f>
        <v>EQU</v>
      </c>
      <c r="C2779" s="570"/>
      <c r="D2779" s="95" t="str">
        <f>VLOOKUP(A2779,'Equip, Herr y Transp'!$B$2:$D$218,2,0)</f>
        <v>EQU</v>
      </c>
      <c r="E2779" s="95">
        <f>VLOOKUP(A2779,'Equip, Herr y Transp'!$B$2:$D$218,3,0)</f>
        <v>26672.5</v>
      </c>
      <c r="F2779" s="96">
        <f>H2768</f>
        <v>6.25E-2</v>
      </c>
      <c r="G2779" s="122">
        <f>F2779*E2779</f>
        <v>1667.03125</v>
      </c>
      <c r="H2779" s="117"/>
    </row>
    <row r="2780" spans="1:15">
      <c r="A2780" s="536" t="s">
        <v>3937</v>
      </c>
      <c r="B2780" s="570" t="str">
        <f>VLOOKUP(A2780,'Equip, Herr y Transp'!$B$2:$D$739,2,0)</f>
        <v>EQU</v>
      </c>
      <c r="C2780" s="570"/>
      <c r="D2780" s="95" t="str">
        <f>VLOOKUP(A2780,'Equip, Herr y Transp'!$B$2:$D$218,2,0)</f>
        <v>EQU</v>
      </c>
      <c r="E2780" s="95">
        <f>VLOOKUP(A2780,'Equip, Herr y Transp'!$B$2:$D$218,3,0)</f>
        <v>23750</v>
      </c>
      <c r="F2780" s="96">
        <f>H2768</f>
        <v>6.25E-2</v>
      </c>
      <c r="G2780" s="122">
        <f>F2780*E2780</f>
        <v>1484.375</v>
      </c>
      <c r="H2780" s="117"/>
    </row>
    <row r="2781" spans="1:15" ht="16.5">
      <c r="A2781" s="540" t="s">
        <v>4100</v>
      </c>
      <c r="B2781" s="541"/>
      <c r="C2781" s="541"/>
      <c r="D2781" s="541"/>
      <c r="E2781" s="541"/>
      <c r="F2781" s="541"/>
      <c r="G2781" s="541"/>
      <c r="H2781" s="97">
        <f>SUM(G2778:G2780)</f>
        <v>4034.53125</v>
      </c>
    </row>
    <row r="2782" spans="1:15" ht="16.5">
      <c r="A2782" s="571" t="s">
        <v>4230</v>
      </c>
      <c r="B2782" s="572"/>
      <c r="C2782" s="572"/>
      <c r="D2782" s="572"/>
      <c r="E2782" s="572"/>
      <c r="F2782" s="572"/>
      <c r="G2782" s="572"/>
      <c r="H2782" s="573"/>
      <c r="K2782" s="56"/>
      <c r="L2782" s="56"/>
      <c r="M2782" s="56"/>
      <c r="N2782" s="56"/>
      <c r="O2782" s="56"/>
    </row>
    <row r="2783" spans="1:15" ht="30" customHeight="1">
      <c r="A2783" s="574" t="s">
        <v>7</v>
      </c>
      <c r="B2783" s="575"/>
      <c r="C2783" s="109" t="s">
        <v>0</v>
      </c>
      <c r="D2783" s="110" t="s">
        <v>4098</v>
      </c>
      <c r="E2783" s="111" t="s">
        <v>1</v>
      </c>
      <c r="F2783" s="576" t="s">
        <v>4218</v>
      </c>
      <c r="G2783" s="576"/>
      <c r="H2783" s="215"/>
      <c r="K2783" s="56"/>
      <c r="L2783" s="56"/>
      <c r="M2783" s="56"/>
      <c r="N2783" s="56"/>
      <c r="O2783" s="56"/>
    </row>
    <row r="2784" spans="1:15">
      <c r="A2784" s="577" t="s">
        <v>4765</v>
      </c>
      <c r="B2784" s="578"/>
      <c r="C2784" s="98" t="str">
        <f>VLOOKUP(A2784,'Materiales '!$C$2:$F$1302,3,0)</f>
        <v>Und</v>
      </c>
      <c r="D2784" s="99">
        <f>VLOOKUP(A2784,'Materiales '!$C$2:$F$1302,4,0)</f>
        <v>36652</v>
      </c>
      <c r="E2784" s="100">
        <v>1</v>
      </c>
      <c r="F2784" s="538">
        <f>E2784*D2784</f>
        <v>36652</v>
      </c>
      <c r="G2784" s="539"/>
      <c r="H2784" s="121"/>
      <c r="I2784">
        <f>E2784*G2775</f>
        <v>0</v>
      </c>
      <c r="J2784" s="67"/>
      <c r="K2784" s="56"/>
      <c r="L2784" s="56"/>
      <c r="M2784" s="56"/>
      <c r="N2784" s="56"/>
      <c r="O2784" s="56"/>
    </row>
    <row r="2785" spans="1:15">
      <c r="A2785" s="577" t="s">
        <v>4214</v>
      </c>
      <c r="B2785" s="578"/>
      <c r="C2785" s="98" t="str">
        <f>VLOOKUP(A2785,'Materiales '!$C$2:$F$1302,3,0)</f>
        <v>Und</v>
      </c>
      <c r="D2785" s="99">
        <f>VLOOKUP(A2785,'Materiales '!$C$2:$F$1302,4,0)</f>
        <v>22848</v>
      </c>
      <c r="E2785" s="100">
        <v>1</v>
      </c>
      <c r="F2785" s="538">
        <f t="shared" ref="F2785:F2791" si="163">E2785*D2785</f>
        <v>22848</v>
      </c>
      <c r="G2785" s="539"/>
      <c r="H2785" s="121"/>
      <c r="I2785">
        <f>E2785*G2775</f>
        <v>0</v>
      </c>
      <c r="J2785" s="67"/>
      <c r="K2785" s="56"/>
      <c r="L2785" s="56"/>
      <c r="M2785" s="56"/>
      <c r="N2785" s="56"/>
      <c r="O2785" s="56"/>
    </row>
    <row r="2786" spans="1:15">
      <c r="A2786" s="536" t="s">
        <v>4484</v>
      </c>
      <c r="B2786" s="537" t="str">
        <f>VLOOKUP(A2786,'Materiales '!$C$2:$F$1302,3,0)</f>
        <v>Und</v>
      </c>
      <c r="C2786" s="98" t="str">
        <f>VLOOKUP(A2786,'Materiales '!$C$2:$F$1302,3,0)</f>
        <v>Und</v>
      </c>
      <c r="D2786" s="99">
        <f>VLOOKUP(A2786,'Materiales '!$C$2:$F$1302,4,0)</f>
        <v>21705.599999999999</v>
      </c>
      <c r="E2786" s="100">
        <v>2</v>
      </c>
      <c r="F2786" s="538">
        <f t="shared" si="163"/>
        <v>43411.199999999997</v>
      </c>
      <c r="G2786" s="539"/>
      <c r="H2786" s="121"/>
      <c r="I2786">
        <f>E2786*G2775</f>
        <v>0</v>
      </c>
      <c r="J2786" s="68"/>
      <c r="K2786" s="56"/>
      <c r="L2786" s="56"/>
      <c r="M2786" s="56"/>
      <c r="N2786" s="56"/>
      <c r="O2786" s="56"/>
    </row>
    <row r="2787" spans="1:15">
      <c r="A2787" s="536" t="s">
        <v>4489</v>
      </c>
      <c r="B2787" s="537" t="str">
        <f>VLOOKUP(A2787,'Materiales '!$C$2:$F$1302,3,0)</f>
        <v>Und</v>
      </c>
      <c r="C2787" s="98" t="str">
        <f>VLOOKUP(A2787,'Materiales '!$C$2:$F$1302,3,0)</f>
        <v>Und</v>
      </c>
      <c r="D2787" s="99">
        <f>VLOOKUP(A2787,'Materiales '!$C$2:$F$1302,4,0)</f>
        <v>8039.6399999999994</v>
      </c>
      <c r="E2787" s="100">
        <v>3</v>
      </c>
      <c r="F2787" s="538">
        <f t="shared" si="163"/>
        <v>24118.92</v>
      </c>
      <c r="G2787" s="539"/>
      <c r="H2787" s="121"/>
      <c r="I2787">
        <f>E2787*G2775</f>
        <v>0</v>
      </c>
      <c r="J2787" s="68"/>
      <c r="K2787" s="56"/>
      <c r="L2787" s="56"/>
      <c r="M2787" s="56"/>
      <c r="N2787" s="56"/>
      <c r="O2787" s="56"/>
    </row>
    <row r="2788" spans="1:15">
      <c r="A2788" s="536" t="s">
        <v>4554</v>
      </c>
      <c r="B2788" s="537" t="str">
        <f>VLOOKUP(A2788,'Materiales '!$C$2:$F$1302,3,0)</f>
        <v>Und</v>
      </c>
      <c r="C2788" s="98" t="str">
        <f>VLOOKUP(A2788,'Materiales '!$C$2:$F$1302,3,0)</f>
        <v>Und</v>
      </c>
      <c r="D2788" s="99">
        <f>VLOOKUP(A2788,'Materiales '!$C$2:$F$1302,4,0)</f>
        <v>2535.5329999999999</v>
      </c>
      <c r="E2788" s="100">
        <v>2</v>
      </c>
      <c r="F2788" s="538">
        <f t="shared" si="163"/>
        <v>5071.0659999999998</v>
      </c>
      <c r="G2788" s="539"/>
      <c r="H2788" s="121"/>
      <c r="I2788">
        <f>E2788*G2775</f>
        <v>0</v>
      </c>
      <c r="J2788" s="68"/>
      <c r="K2788" s="56"/>
      <c r="L2788" s="56"/>
      <c r="M2788" s="56"/>
      <c r="N2788" s="56"/>
      <c r="O2788" s="56"/>
    </row>
    <row r="2789" spans="1:15">
      <c r="A2789" s="536" t="s">
        <v>4450</v>
      </c>
      <c r="B2789" s="537" t="str">
        <f>VLOOKUP(A2789,'Materiales '!$C$2:$F$1302,3,0)</f>
        <v>Ml</v>
      </c>
      <c r="C2789" s="98" t="str">
        <f>VLOOKUP(A2789,'Materiales '!$C$2:$F$1302,3,0)</f>
        <v>Ml</v>
      </c>
      <c r="D2789" s="99">
        <f>VLOOKUP(A2789,'Materiales '!$C$2:$F$1302,4,0)</f>
        <v>6791.5679999999993</v>
      </c>
      <c r="E2789" s="100">
        <v>1</v>
      </c>
      <c r="F2789" s="538">
        <f t="shared" si="163"/>
        <v>6791.5679999999993</v>
      </c>
      <c r="G2789" s="539"/>
      <c r="H2789" s="121"/>
      <c r="I2789">
        <f>E2789*G2775</f>
        <v>0</v>
      </c>
      <c r="J2789" s="68"/>
      <c r="K2789" s="56"/>
      <c r="L2789" s="56"/>
      <c r="M2789" s="56"/>
      <c r="N2789" s="56"/>
      <c r="O2789" s="56"/>
    </row>
    <row r="2790" spans="1:15">
      <c r="A2790" s="536" t="s">
        <v>4493</v>
      </c>
      <c r="B2790" s="537" t="str">
        <f>VLOOKUP(A2790,'Materiales '!$C$2:$F$1302,3,0)</f>
        <v>Und</v>
      </c>
      <c r="C2790" s="98" t="str">
        <f>VLOOKUP(A2790,'Materiales '!$C$2:$F$1302,3,0)</f>
        <v>Und</v>
      </c>
      <c r="D2790" s="99">
        <f>VLOOKUP(A2790,'Materiales '!$C$2:$F$1302,4,0)</f>
        <v>232.76399999999998</v>
      </c>
      <c r="E2790" s="100">
        <v>3</v>
      </c>
      <c r="F2790" s="538">
        <f t="shared" si="163"/>
        <v>698.29199999999992</v>
      </c>
      <c r="G2790" s="539"/>
      <c r="H2790" s="121"/>
      <c r="I2790">
        <f>E2790*G2775</f>
        <v>0</v>
      </c>
      <c r="J2790" s="68"/>
      <c r="K2790" s="56"/>
      <c r="L2790" s="56"/>
      <c r="M2790" s="56"/>
      <c r="N2790" s="56"/>
      <c r="O2790" s="56"/>
    </row>
    <row r="2791" spans="1:15" ht="21.75" customHeight="1">
      <c r="A2791" s="536" t="s">
        <v>4639</v>
      </c>
      <c r="B2791" s="537" t="str">
        <f>VLOOKUP(A2791,'Materiales '!$C$2:$F$1302,3,0)</f>
        <v>Und</v>
      </c>
      <c r="C2791" s="98" t="str">
        <f>VLOOKUP(A2791,'Materiales '!$C$2:$F$1302,3,0)</f>
        <v>Und</v>
      </c>
      <c r="D2791" s="99">
        <f>VLOOKUP(A2791,'Materiales '!$C$2:$F$1302,4,0)</f>
        <v>35700</v>
      </c>
      <c r="E2791" s="100">
        <v>1</v>
      </c>
      <c r="F2791" s="538">
        <f t="shared" si="163"/>
        <v>35700</v>
      </c>
      <c r="G2791" s="539"/>
      <c r="H2791" s="121"/>
      <c r="I2791">
        <f>E2791*G2775</f>
        <v>0</v>
      </c>
      <c r="J2791" s="68"/>
      <c r="K2791" s="56"/>
      <c r="L2791" s="56"/>
      <c r="M2791" s="56"/>
      <c r="N2791" s="56"/>
      <c r="O2791" s="56"/>
    </row>
    <row r="2792" spans="1:15">
      <c r="A2792" s="536" t="s">
        <v>8</v>
      </c>
      <c r="B2792" s="537" t="str">
        <f>VLOOKUP(A2792,'Materiales '!$C$2:$F$1302,3,0)</f>
        <v>-</v>
      </c>
      <c r="C2792" s="98" t="str">
        <f>VLOOKUP(A2792,'Materiales '!$C$2:$F$1302,3,0)</f>
        <v>-</v>
      </c>
      <c r="D2792" s="99">
        <f>VLOOKUP(A2792,'Materiales '!$C$2:$F$1302,4,0)</f>
        <v>0</v>
      </c>
      <c r="E2792" s="100"/>
      <c r="F2792" s="538">
        <f>E2792*D2792</f>
        <v>0</v>
      </c>
      <c r="G2792" s="539"/>
      <c r="H2792" s="120"/>
      <c r="I2792">
        <f>E2792*G2775</f>
        <v>0</v>
      </c>
      <c r="J2792" s="68"/>
      <c r="K2792" s="56"/>
      <c r="L2792" s="56"/>
      <c r="M2792" s="56"/>
      <c r="N2792" s="56"/>
      <c r="O2792" s="56"/>
    </row>
    <row r="2793" spans="1:15">
      <c r="A2793" s="536" t="s">
        <v>8</v>
      </c>
      <c r="B2793" s="537" t="str">
        <f>VLOOKUP(A2793,'Materiales '!$C$2:$F$1302,3,0)</f>
        <v>-</v>
      </c>
      <c r="C2793" s="98" t="str">
        <f>VLOOKUP(A2793,'Materiales '!$C$2:$F$1302,3,0)</f>
        <v>-</v>
      </c>
      <c r="D2793" s="99">
        <f>VLOOKUP(A2793,'Materiales '!$C$2:$F$1302,4,0)</f>
        <v>0</v>
      </c>
      <c r="E2793" s="100"/>
      <c r="F2793" s="538">
        <f t="shared" ref="F2793:F2796" si="164">E2793*D2793</f>
        <v>0</v>
      </c>
      <c r="G2793" s="539"/>
      <c r="H2793" s="121"/>
      <c r="I2793">
        <f>E2793*G2775</f>
        <v>0</v>
      </c>
      <c r="J2793" s="68"/>
      <c r="K2793" s="56"/>
      <c r="L2793" s="56"/>
      <c r="M2793" s="56"/>
      <c r="N2793" s="56"/>
      <c r="O2793" s="56"/>
    </row>
    <row r="2794" spans="1:15">
      <c r="A2794" s="536" t="s">
        <v>8</v>
      </c>
      <c r="B2794" s="537" t="str">
        <f>VLOOKUP(A2794,'Materiales '!$C$2:$F$1302,3,0)</f>
        <v>-</v>
      </c>
      <c r="C2794" s="98" t="str">
        <f>VLOOKUP(A2794,'Materiales '!$C$2:$F$1302,3,0)</f>
        <v>-</v>
      </c>
      <c r="D2794" s="99">
        <f>VLOOKUP(A2794,'Materiales '!$C$2:$F$1302,4,0)</f>
        <v>0</v>
      </c>
      <c r="E2794" s="100"/>
      <c r="F2794" s="538">
        <f t="shared" si="164"/>
        <v>0</v>
      </c>
      <c r="G2794" s="539"/>
      <c r="H2794" s="121"/>
      <c r="I2794">
        <f>E2794*G2775</f>
        <v>0</v>
      </c>
      <c r="J2794" s="68"/>
      <c r="K2794" s="56"/>
      <c r="L2794" s="56"/>
      <c r="M2794" s="56"/>
      <c r="N2794" s="56"/>
      <c r="O2794" s="56"/>
    </row>
    <row r="2795" spans="1:15">
      <c r="A2795" s="536" t="s">
        <v>8</v>
      </c>
      <c r="B2795" s="537" t="str">
        <f>VLOOKUP(A2795,'Materiales '!$C$2:$F$1302,3,0)</f>
        <v>-</v>
      </c>
      <c r="C2795" s="98" t="str">
        <f>VLOOKUP(A2795,'Materiales '!$C$2:$F$1302,3,0)</f>
        <v>-</v>
      </c>
      <c r="D2795" s="99">
        <f>VLOOKUP(A2795,'Materiales '!$C$2:$F$1302,4,0)</f>
        <v>0</v>
      </c>
      <c r="E2795" s="100"/>
      <c r="F2795" s="538">
        <f t="shared" si="164"/>
        <v>0</v>
      </c>
      <c r="G2795" s="539"/>
      <c r="H2795" s="121"/>
      <c r="I2795">
        <f>E2795*G2775</f>
        <v>0</v>
      </c>
      <c r="J2795" s="68"/>
      <c r="K2795" s="56"/>
      <c r="L2795" s="56"/>
      <c r="M2795" s="56"/>
      <c r="N2795" s="56"/>
      <c r="O2795" s="56"/>
    </row>
    <row r="2796" spans="1:15">
      <c r="A2796" s="536" t="s">
        <v>8</v>
      </c>
      <c r="B2796" s="537" t="str">
        <f>VLOOKUP(A2796,'Materiales '!$C$2:$F$1302,3,0)</f>
        <v>-</v>
      </c>
      <c r="C2796" s="98" t="str">
        <f>VLOOKUP(A2796,'Materiales '!$C$2:$F$1302,3,0)</f>
        <v>-</v>
      </c>
      <c r="D2796" s="99">
        <f>VLOOKUP(A2796,'Materiales '!$C$2:$F$1302,4,0)</f>
        <v>0</v>
      </c>
      <c r="E2796" s="100"/>
      <c r="F2796" s="538">
        <f t="shared" si="164"/>
        <v>0</v>
      </c>
      <c r="G2796" s="539"/>
      <c r="H2796" s="121"/>
      <c r="I2796">
        <f>E2796*G2775</f>
        <v>0</v>
      </c>
      <c r="J2796" s="68"/>
      <c r="K2796" s="56"/>
      <c r="L2796" s="56"/>
      <c r="M2796" s="56"/>
      <c r="N2796" s="56"/>
      <c r="O2796" s="56"/>
    </row>
    <row r="2797" spans="1:15">
      <c r="A2797" s="536" t="s">
        <v>8</v>
      </c>
      <c r="B2797" s="537" t="str">
        <f>VLOOKUP(A2797,'Materiales '!$C$2:$F$1302,3,0)</f>
        <v>-</v>
      </c>
      <c r="C2797" s="98" t="str">
        <f>VLOOKUP(A2797,'Materiales '!$C$2:$F$1302,3,0)</f>
        <v>-</v>
      </c>
      <c r="D2797" s="99">
        <f>VLOOKUP(A2797,'Materiales '!$C$2:$F$1302,4,0)</f>
        <v>0</v>
      </c>
      <c r="E2797" s="100"/>
      <c r="F2797" s="538">
        <f>E2797*D2797</f>
        <v>0</v>
      </c>
      <c r="G2797" s="539"/>
      <c r="H2797" s="120"/>
      <c r="I2797">
        <f>E2797*G2775</f>
        <v>0</v>
      </c>
      <c r="J2797" s="68"/>
      <c r="K2797" s="56"/>
      <c r="L2797" s="56"/>
      <c r="M2797" s="56"/>
      <c r="N2797" s="56"/>
      <c r="O2797" s="56"/>
    </row>
    <row r="2798" spans="1:15" ht="16.5">
      <c r="A2798" s="540" t="s">
        <v>4099</v>
      </c>
      <c r="B2798" s="541"/>
      <c r="C2798" s="541"/>
      <c r="D2798" s="541"/>
      <c r="E2798" s="541"/>
      <c r="F2798" s="541"/>
      <c r="G2798" s="542"/>
      <c r="H2798" s="116">
        <f>SUM(F2784:F2797)</f>
        <v>175291.04599999997</v>
      </c>
      <c r="J2798" s="68"/>
      <c r="K2798" s="56"/>
      <c r="L2798" s="56"/>
      <c r="M2798" s="56"/>
      <c r="N2798" s="56"/>
      <c r="O2798" s="56"/>
    </row>
    <row r="2799" spans="1:15" ht="16.5">
      <c r="A2799" s="543" t="s">
        <v>4231</v>
      </c>
      <c r="B2799" s="544"/>
      <c r="C2799" s="544"/>
      <c r="D2799" s="544"/>
      <c r="E2799" s="545"/>
      <c r="F2799" s="544"/>
      <c r="G2799" s="544"/>
      <c r="H2799" s="546"/>
      <c r="J2799" s="68"/>
      <c r="K2799" s="56"/>
      <c r="L2799" s="56"/>
      <c r="M2799" s="56"/>
      <c r="N2799" s="56"/>
      <c r="O2799" s="56"/>
    </row>
    <row r="2800" spans="1:15">
      <c r="A2800" s="547" t="s">
        <v>7</v>
      </c>
      <c r="B2800" s="548"/>
      <c r="C2800" s="108" t="s">
        <v>4232</v>
      </c>
      <c r="D2800" s="107" t="s">
        <v>4233</v>
      </c>
      <c r="E2800" s="206" t="s">
        <v>4234</v>
      </c>
      <c r="F2800" s="549" t="s">
        <v>4218</v>
      </c>
      <c r="G2800" s="549"/>
      <c r="H2800" s="119"/>
      <c r="K2800" s="56"/>
      <c r="L2800" s="56"/>
      <c r="M2800" s="56"/>
      <c r="N2800" s="56"/>
      <c r="O2800" s="56"/>
    </row>
    <row r="2801" spans="1:13">
      <c r="A2801" s="550" t="s">
        <v>3928</v>
      </c>
      <c r="B2801" s="551"/>
      <c r="C2801" s="232">
        <v>1</v>
      </c>
      <c r="D2801" s="102">
        <v>0.03</v>
      </c>
      <c r="E2801" s="103">
        <f>VLOOKUP(A2801,'Equip, Herr y Transp'!$B$2:$D$218,3,0)</f>
        <v>160000</v>
      </c>
      <c r="F2801" s="552">
        <f>E2801*D2801*C2801</f>
        <v>4800</v>
      </c>
      <c r="G2801" s="553"/>
      <c r="H2801" s="117"/>
      <c r="M2801" s="56"/>
    </row>
    <row r="2802" spans="1:13" ht="16.5">
      <c r="A2802" s="554" t="s">
        <v>4216</v>
      </c>
      <c r="B2802" s="555"/>
      <c r="C2802" s="555"/>
      <c r="D2802" s="555"/>
      <c r="E2802" s="555"/>
      <c r="F2802" s="555"/>
      <c r="G2802" s="555"/>
      <c r="H2802" s="105">
        <f>F2801</f>
        <v>4800</v>
      </c>
    </row>
    <row r="2803" spans="1:13" ht="16.5">
      <c r="A2803" s="543" t="s">
        <v>4235</v>
      </c>
      <c r="B2803" s="544"/>
      <c r="C2803" s="544"/>
      <c r="D2803" s="544"/>
      <c r="E2803" s="544"/>
      <c r="F2803" s="544"/>
      <c r="G2803" s="544"/>
      <c r="H2803" s="546"/>
    </row>
    <row r="2804" spans="1:13">
      <c r="A2804" s="547" t="s">
        <v>7</v>
      </c>
      <c r="B2804" s="548"/>
      <c r="C2804" s="106" t="s">
        <v>1</v>
      </c>
      <c r="D2804" s="107" t="s">
        <v>4236</v>
      </c>
      <c r="E2804" s="108" t="s">
        <v>4215</v>
      </c>
      <c r="F2804" s="547" t="s">
        <v>5</v>
      </c>
      <c r="G2804" s="556"/>
      <c r="H2804" s="119"/>
    </row>
    <row r="2805" spans="1:13">
      <c r="A2805" s="550" t="s">
        <v>4196</v>
      </c>
      <c r="B2805" s="551"/>
      <c r="C2805" s="101">
        <v>1</v>
      </c>
      <c r="D2805" s="104">
        <f>VLOOKUP(A2805,'Mano Obra'!$B$2:$T$117,19,0)</f>
        <v>166624</v>
      </c>
      <c r="E2805" s="246">
        <f>H2768</f>
        <v>6.25E-2</v>
      </c>
      <c r="F2805" s="538">
        <f>E2805*D2805*C2805</f>
        <v>10414</v>
      </c>
      <c r="G2805" s="557"/>
      <c r="H2805" s="121"/>
      <c r="I2805" s="69"/>
      <c r="J2805" s="136">
        <f>((('Mano Obra'!$M$4/30)*F2805)/D2805)*G2775</f>
        <v>0</v>
      </c>
    </row>
    <row r="2806" spans="1:13">
      <c r="A2806" s="558" t="s">
        <v>4197</v>
      </c>
      <c r="B2806" s="559">
        <f>VLOOKUP(A2806,'Mano Obra'!$B$3:$D$290,2,0)</f>
        <v>2090000.0000000002</v>
      </c>
      <c r="C2806" s="101">
        <v>1</v>
      </c>
      <c r="D2806" s="104">
        <f>VLOOKUP(A2806,'Mano Obra'!$B$2:$T$117,19,0)</f>
        <v>120456</v>
      </c>
      <c r="E2806" s="246">
        <f>H2768</f>
        <v>6.25E-2</v>
      </c>
      <c r="F2806" s="538">
        <f t="shared" ref="F2806:F2807" si="165">E2806*D2806*C2806</f>
        <v>7528.5</v>
      </c>
      <c r="G2806" s="557"/>
      <c r="H2806" s="121"/>
      <c r="J2806" s="136">
        <f>((('Mano Obra'!$M$5/30)*F2806)/D2806)*G2775</f>
        <v>0</v>
      </c>
    </row>
    <row r="2807" spans="1:13">
      <c r="A2807" s="558" t="s">
        <v>4186</v>
      </c>
      <c r="B2807" s="559">
        <f>VLOOKUP(A2807,'Mano Obra'!$B$3:$D$290,2,0)</f>
        <v>1100000</v>
      </c>
      <c r="C2807" s="101">
        <v>1</v>
      </c>
      <c r="D2807" s="104">
        <f>VLOOKUP(A2807,'Mano Obra'!$B$2:$T$117,19,0)</f>
        <v>72664</v>
      </c>
      <c r="E2807" s="246">
        <f>H2768</f>
        <v>6.25E-2</v>
      </c>
      <c r="F2807" s="538">
        <f t="shared" si="165"/>
        <v>4541.5</v>
      </c>
      <c r="G2807" s="557"/>
      <c r="H2807" s="120"/>
      <c r="J2807" s="136">
        <f>((('Mano Obra'!$M$6/30)*F2807)/D2807)*G2775</f>
        <v>0</v>
      </c>
    </row>
    <row r="2808" spans="1:13" ht="16.5">
      <c r="A2808" s="560" t="s">
        <v>4101</v>
      </c>
      <c r="B2808" s="560"/>
      <c r="C2808" s="560"/>
      <c r="D2808" s="560"/>
      <c r="E2808" s="560"/>
      <c r="F2808" s="560"/>
      <c r="G2808" s="560"/>
      <c r="H2808" s="105">
        <f>SUM(F2805:F2807)</f>
        <v>22484</v>
      </c>
      <c r="J2808" s="136"/>
    </row>
    <row r="2809" spans="1:13">
      <c r="A2809" s="227" t="s">
        <v>4237</v>
      </c>
      <c r="B2809" s="205"/>
      <c r="C2809" s="205"/>
      <c r="D2809" s="202"/>
      <c r="E2809" s="203"/>
      <c r="F2809" s="204"/>
      <c r="G2809" s="203"/>
      <c r="H2809" s="212"/>
    </row>
    <row r="2810" spans="1:13">
      <c r="A2810" s="561" t="s">
        <v>4224</v>
      </c>
      <c r="B2810" s="562"/>
      <c r="C2810" s="562"/>
      <c r="D2810" s="562"/>
      <c r="E2810" s="200"/>
      <c r="F2810" s="201" t="s">
        <v>4238</v>
      </c>
      <c r="G2810" s="200" t="s">
        <v>4239</v>
      </c>
      <c r="H2810" s="213"/>
    </row>
    <row r="2811" spans="1:13">
      <c r="A2811" s="223" t="s">
        <v>4097</v>
      </c>
      <c r="B2811" s="72"/>
      <c r="C2811" s="72"/>
      <c r="D2811" s="73"/>
      <c r="E2811" s="78"/>
      <c r="F2811" s="79">
        <v>0</v>
      </c>
      <c r="G2811" s="80">
        <f>F2811*H2776</f>
        <v>0</v>
      </c>
      <c r="H2811" s="212"/>
    </row>
    <row r="2812" spans="1:13">
      <c r="A2812" s="224" t="s">
        <v>4240</v>
      </c>
      <c r="B2812" s="81"/>
      <c r="C2812" s="81"/>
      <c r="D2812" s="82"/>
      <c r="E2812" s="78"/>
      <c r="F2812" s="79">
        <v>0</v>
      </c>
      <c r="G2812" s="80">
        <f>F2812*H2776</f>
        <v>0</v>
      </c>
      <c r="H2812" s="212"/>
    </row>
    <row r="2813" spans="1:13">
      <c r="A2813" s="224" t="s">
        <v>4</v>
      </c>
      <c r="B2813" s="81"/>
      <c r="C2813" s="81"/>
      <c r="D2813" s="82"/>
      <c r="E2813" s="78"/>
      <c r="F2813" s="79">
        <v>0</v>
      </c>
      <c r="G2813" s="80">
        <f>F2813*H2776</f>
        <v>0</v>
      </c>
      <c r="H2813" s="212"/>
    </row>
    <row r="2814" spans="1:13">
      <c r="A2814" s="225"/>
      <c r="B2814" s="83"/>
      <c r="C2814" s="75"/>
      <c r="D2814" s="84"/>
      <c r="E2814" s="85"/>
      <c r="F2814" s="86"/>
      <c r="G2814" s="87"/>
      <c r="H2814" s="214"/>
    </row>
    <row r="2815" spans="1:13">
      <c r="A2815" s="226"/>
      <c r="B2815" s="83"/>
      <c r="C2815" s="83"/>
      <c r="D2815" s="84"/>
      <c r="E2815" s="88"/>
      <c r="F2815" s="563" t="s">
        <v>4241</v>
      </c>
      <c r="G2815" s="564"/>
      <c r="H2815" s="233">
        <f>H2776+G2811+G2812+G2813</f>
        <v>206609.57724999997</v>
      </c>
    </row>
    <row r="2816" spans="1:13">
      <c r="A2816" s="83"/>
      <c r="B2816" s="83"/>
      <c r="C2816" s="83"/>
      <c r="D2816" s="84"/>
      <c r="E2816" s="388"/>
      <c r="F2816" s="389"/>
      <c r="G2816" s="389"/>
      <c r="H2816" s="390"/>
    </row>
    <row r="2817" spans="1:14" ht="16.5">
      <c r="A2817" s="90"/>
      <c r="B2817" s="90"/>
      <c r="C2817" s="90"/>
      <c r="D2817" s="90"/>
      <c r="E2817" s="90"/>
      <c r="F2817" s="90"/>
      <c r="G2817" s="90"/>
      <c r="H2817" s="381"/>
    </row>
    <row r="2818" spans="1:14">
      <c r="A2818" s="579" t="s">
        <v>4225</v>
      </c>
      <c r="B2818" s="580"/>
      <c r="C2818" s="580"/>
      <c r="D2818" s="580"/>
      <c r="E2818" s="580"/>
      <c r="F2818" s="580"/>
      <c r="G2818" s="580"/>
      <c r="H2818" s="581"/>
    </row>
    <row r="2819" spans="1:14" ht="16.5">
      <c r="A2819" s="91"/>
      <c r="B2819" s="92"/>
      <c r="C2819" s="92"/>
      <c r="D2819" s="92"/>
      <c r="E2819" s="92"/>
      <c r="F2819" s="93"/>
      <c r="G2819" s="94"/>
      <c r="H2819" s="380">
        <f>ROUND((30/60)/8,4)</f>
        <v>6.25E-2</v>
      </c>
      <c r="I2819" s="115"/>
    </row>
    <row r="2820" spans="1:14">
      <c r="A2820" s="582" t="s">
        <v>4220</v>
      </c>
      <c r="B2820" s="584" t="str">
        <f>COSTOS!$C$14</f>
        <v>MODERNIZACION A TECNOLOGIA LED</v>
      </c>
      <c r="C2820" s="584"/>
      <c r="D2820" s="584"/>
      <c r="E2820" s="584"/>
      <c r="F2820" s="584"/>
      <c r="G2820" s="584"/>
      <c r="H2820" s="585" t="s">
        <v>4221</v>
      </c>
    </row>
    <row r="2821" spans="1:14">
      <c r="A2821" s="583"/>
      <c r="B2821" s="584"/>
      <c r="C2821" s="584"/>
      <c r="D2821" s="584"/>
      <c r="E2821" s="584"/>
      <c r="F2821" s="584"/>
      <c r="G2821" s="584"/>
      <c r="H2821" s="585"/>
    </row>
    <row r="2822" spans="1:14">
      <c r="A2822" s="583"/>
      <c r="B2822" s="584"/>
      <c r="C2822" s="584"/>
      <c r="D2822" s="584"/>
      <c r="E2822" s="584"/>
      <c r="F2822" s="584"/>
      <c r="G2822" s="584"/>
      <c r="H2822" s="585"/>
    </row>
    <row r="2823" spans="1:14" ht="15" customHeight="1">
      <c r="A2823" s="583"/>
      <c r="B2823" s="584"/>
      <c r="C2823" s="584"/>
      <c r="D2823" s="584"/>
      <c r="E2823" s="584"/>
      <c r="F2823" s="584"/>
      <c r="G2823" s="584"/>
      <c r="H2823" s="216">
        <f ca="1">TODAY()</f>
        <v>44889</v>
      </c>
      <c r="K2823" t="s">
        <v>4391</v>
      </c>
      <c r="L2823" t="s">
        <v>4392</v>
      </c>
      <c r="M2823" t="s">
        <v>4393</v>
      </c>
      <c r="N2823" t="s">
        <v>4394</v>
      </c>
    </row>
    <row r="2824" spans="1:14" ht="60.75" customHeight="1">
      <c r="A2824" s="228" t="s">
        <v>4222</v>
      </c>
      <c r="B2824" s="565" t="str">
        <f>COSTOS!$D$16</f>
        <v>Luminarias</v>
      </c>
      <c r="C2824" s="565"/>
      <c r="D2824" s="565"/>
      <c r="E2824" s="565"/>
      <c r="F2824" s="565"/>
      <c r="G2824" s="70" t="s">
        <v>4223</v>
      </c>
      <c r="H2824" s="391">
        <v>1.56</v>
      </c>
      <c r="K2824" s="62">
        <f>H2849</f>
        <v>544429.04600000009</v>
      </c>
      <c r="L2824" s="62">
        <f>H2859</f>
        <v>22484</v>
      </c>
      <c r="M2824" s="62">
        <f>H2832</f>
        <v>4034.53125</v>
      </c>
      <c r="N2824" s="62">
        <f>H2853</f>
        <v>4800</v>
      </c>
    </row>
    <row r="2825" spans="1:14" ht="43.15" customHeight="1">
      <c r="A2825" s="229" t="s">
        <v>4224</v>
      </c>
      <c r="B2825" s="566" t="str">
        <f>VLOOKUP(H2824,COSTOS!C:M,2,0)</f>
        <v>Luminaria Led 60w monoff</v>
      </c>
      <c r="C2825" s="567"/>
      <c r="D2825" s="567"/>
      <c r="E2825" s="568"/>
      <c r="F2825" s="71" t="s">
        <v>0</v>
      </c>
      <c r="G2825" s="356" t="str">
        <f>VLOOKUP(H2824,COSTOS!C:M,8,0)</f>
        <v>Und</v>
      </c>
      <c r="H2825" s="276"/>
      <c r="I2825" s="306"/>
      <c r="J2825" s="308"/>
      <c r="K2825" s="308"/>
      <c r="L2825" s="308"/>
    </row>
    <row r="2826" spans="1:14">
      <c r="A2826" s="230"/>
      <c r="B2826" s="112"/>
      <c r="C2826" s="112"/>
      <c r="D2826" s="112"/>
      <c r="E2826" s="113"/>
      <c r="F2826" s="114" t="s">
        <v>1</v>
      </c>
      <c r="G2826" s="356">
        <f>VLOOKUP(H2824,COSTOS!C:M,9,0)</f>
        <v>0</v>
      </c>
      <c r="H2826" s="357"/>
      <c r="I2826" s="307"/>
    </row>
    <row r="2827" spans="1:14" ht="16.5">
      <c r="A2827" s="231" t="s">
        <v>4226</v>
      </c>
      <c r="B2827" s="75"/>
      <c r="C2827" s="75"/>
      <c r="D2827" s="76"/>
      <c r="E2827" s="209"/>
      <c r="F2827" s="210"/>
      <c r="G2827" s="211" t="s">
        <v>4227</v>
      </c>
      <c r="H2827" s="217">
        <f>H2832+H2849+H2853+H2859</f>
        <v>575747.57725000009</v>
      </c>
    </row>
    <row r="2828" spans="1:14" ht="39">
      <c r="A2828" s="569" t="s">
        <v>4224</v>
      </c>
      <c r="B2828" s="569"/>
      <c r="C2828" s="569"/>
      <c r="D2828" s="77" t="s">
        <v>0</v>
      </c>
      <c r="E2828" s="207" t="s">
        <v>4228</v>
      </c>
      <c r="F2828" s="208" t="s">
        <v>4215</v>
      </c>
      <c r="G2828" s="74" t="s">
        <v>2</v>
      </c>
      <c r="H2828" s="218" t="s">
        <v>4229</v>
      </c>
      <c r="K2828" s="309"/>
    </row>
    <row r="2829" spans="1:14">
      <c r="A2829" s="536" t="s">
        <v>3946</v>
      </c>
      <c r="B2829" s="570" t="str">
        <f>VLOOKUP(A2829,'Equip, Herr y Transp'!$B$2:$D$739,2,0)</f>
        <v>EQU</v>
      </c>
      <c r="C2829" s="570"/>
      <c r="D2829" s="95" t="str">
        <f>VLOOKUP(A2829,'Equip, Herr y Transp'!$B$2:$D$218,2,0)</f>
        <v>EQU</v>
      </c>
      <c r="E2829" s="95">
        <f>VLOOKUP(A2829,'Equip, Herr y Transp'!$B$2:$D$218,3,0)</f>
        <v>14130</v>
      </c>
      <c r="F2829" s="96">
        <f>H2819</f>
        <v>6.25E-2</v>
      </c>
      <c r="G2829" s="122">
        <f>F2829*E2829</f>
        <v>883.125</v>
      </c>
      <c r="H2829" s="118"/>
    </row>
    <row r="2830" spans="1:14">
      <c r="A2830" s="536" t="s">
        <v>3904</v>
      </c>
      <c r="B2830" s="570" t="str">
        <f>VLOOKUP(A2830,'Equip, Herr y Transp'!$B$2:$D$739,2,0)</f>
        <v>EQU</v>
      </c>
      <c r="C2830" s="570"/>
      <c r="D2830" s="95" t="str">
        <f>VLOOKUP(A2830,'Equip, Herr y Transp'!$B$2:$D$218,2,0)</f>
        <v>EQU</v>
      </c>
      <c r="E2830" s="95">
        <f>VLOOKUP(A2830,'Equip, Herr y Transp'!$B$2:$D$218,3,0)</f>
        <v>26672.5</v>
      </c>
      <c r="F2830" s="96">
        <f>H2819</f>
        <v>6.25E-2</v>
      </c>
      <c r="G2830" s="122">
        <f>F2830*E2830</f>
        <v>1667.03125</v>
      </c>
      <c r="H2830" s="117"/>
    </row>
    <row r="2831" spans="1:14">
      <c r="A2831" s="536" t="s">
        <v>3937</v>
      </c>
      <c r="B2831" s="570" t="str">
        <f>VLOOKUP(A2831,'Equip, Herr y Transp'!$B$2:$D$739,2,0)</f>
        <v>EQU</v>
      </c>
      <c r="C2831" s="570"/>
      <c r="D2831" s="95" t="str">
        <f>VLOOKUP(A2831,'Equip, Herr y Transp'!$B$2:$D$218,2,0)</f>
        <v>EQU</v>
      </c>
      <c r="E2831" s="95">
        <f>VLOOKUP(A2831,'Equip, Herr y Transp'!$B$2:$D$218,3,0)</f>
        <v>23750</v>
      </c>
      <c r="F2831" s="96">
        <f>H2819</f>
        <v>6.25E-2</v>
      </c>
      <c r="G2831" s="122">
        <f>F2831*E2831</f>
        <v>1484.375</v>
      </c>
      <c r="H2831" s="117"/>
    </row>
    <row r="2832" spans="1:14" ht="16.5">
      <c r="A2832" s="540" t="s">
        <v>4100</v>
      </c>
      <c r="B2832" s="541"/>
      <c r="C2832" s="541"/>
      <c r="D2832" s="541"/>
      <c r="E2832" s="541"/>
      <c r="F2832" s="541"/>
      <c r="G2832" s="541"/>
      <c r="H2832" s="97">
        <f>SUM(G2829:G2831)</f>
        <v>4034.53125</v>
      </c>
    </row>
    <row r="2833" spans="1:15" ht="16.5">
      <c r="A2833" s="571" t="s">
        <v>4230</v>
      </c>
      <c r="B2833" s="572"/>
      <c r="C2833" s="572"/>
      <c r="D2833" s="572"/>
      <c r="E2833" s="572"/>
      <c r="F2833" s="572"/>
      <c r="G2833" s="572"/>
      <c r="H2833" s="573"/>
      <c r="K2833" s="56"/>
      <c r="L2833" s="56"/>
      <c r="M2833" s="56"/>
      <c r="N2833" s="56"/>
      <c r="O2833" s="56"/>
    </row>
    <row r="2834" spans="1:15" ht="30" customHeight="1">
      <c r="A2834" s="574" t="s">
        <v>7</v>
      </c>
      <c r="B2834" s="575"/>
      <c r="C2834" s="109" t="s">
        <v>0</v>
      </c>
      <c r="D2834" s="110" t="s">
        <v>4098</v>
      </c>
      <c r="E2834" s="111" t="s">
        <v>1</v>
      </c>
      <c r="F2834" s="576" t="s">
        <v>4218</v>
      </c>
      <c r="G2834" s="576"/>
      <c r="H2834" s="215"/>
      <c r="K2834" s="56"/>
      <c r="L2834" s="56"/>
      <c r="M2834" s="56"/>
      <c r="N2834" s="56"/>
      <c r="O2834" s="56"/>
    </row>
    <row r="2835" spans="1:15">
      <c r="A2835" s="577" t="s">
        <v>4724</v>
      </c>
      <c r="B2835" s="578"/>
      <c r="C2835" s="98" t="str">
        <f>VLOOKUP(A2835,'Materiales '!$C$2:$F$1302,3,0)</f>
        <v>Und</v>
      </c>
      <c r="D2835" s="99">
        <f>VLOOKUP(A2835,'Materiales '!$C$2:$F$1302,4,0)</f>
        <v>405790.00000000006</v>
      </c>
      <c r="E2835" s="100">
        <v>1</v>
      </c>
      <c r="F2835" s="538">
        <f>E2835*D2835</f>
        <v>405790.00000000006</v>
      </c>
      <c r="G2835" s="539"/>
      <c r="H2835" s="121"/>
      <c r="I2835">
        <f>E2835*G2826</f>
        <v>0</v>
      </c>
      <c r="J2835" s="67"/>
      <c r="K2835" s="56"/>
      <c r="L2835" s="56"/>
      <c r="M2835" s="56"/>
      <c r="N2835" s="56"/>
      <c r="O2835" s="56"/>
    </row>
    <row r="2836" spans="1:15">
      <c r="A2836" s="577" t="s">
        <v>4214</v>
      </c>
      <c r="B2836" s="578"/>
      <c r="C2836" s="98" t="str">
        <f>VLOOKUP(A2836,'Materiales '!$C$2:$F$1302,3,0)</f>
        <v>Und</v>
      </c>
      <c r="D2836" s="99">
        <f>VLOOKUP(A2836,'Materiales '!$C$2:$F$1302,4,0)</f>
        <v>22848</v>
      </c>
      <c r="E2836" s="100">
        <v>1</v>
      </c>
      <c r="F2836" s="538">
        <f t="shared" ref="F2836:F2842" si="166">E2836*D2836</f>
        <v>22848</v>
      </c>
      <c r="G2836" s="539"/>
      <c r="H2836" s="121"/>
      <c r="I2836">
        <f>E2836*G2826</f>
        <v>0</v>
      </c>
      <c r="J2836" s="67"/>
      <c r="K2836" s="56"/>
      <c r="L2836" s="56"/>
      <c r="M2836" s="56"/>
      <c r="N2836" s="56"/>
      <c r="O2836" s="56"/>
    </row>
    <row r="2837" spans="1:15">
      <c r="A2837" s="536" t="s">
        <v>4484</v>
      </c>
      <c r="B2837" s="537" t="str">
        <f>VLOOKUP(A2837,'Materiales '!$C$2:$F$1302,3,0)</f>
        <v>Und</v>
      </c>
      <c r="C2837" s="98" t="str">
        <f>VLOOKUP(A2837,'Materiales '!$C$2:$F$1302,3,0)</f>
        <v>Und</v>
      </c>
      <c r="D2837" s="99">
        <f>VLOOKUP(A2837,'Materiales '!$C$2:$F$1302,4,0)</f>
        <v>21705.599999999999</v>
      </c>
      <c r="E2837" s="100">
        <v>2</v>
      </c>
      <c r="F2837" s="538">
        <f t="shared" si="166"/>
        <v>43411.199999999997</v>
      </c>
      <c r="G2837" s="539"/>
      <c r="H2837" s="121"/>
      <c r="I2837">
        <f>E2837*G2826</f>
        <v>0</v>
      </c>
      <c r="J2837" s="68"/>
      <c r="K2837" s="56"/>
      <c r="L2837" s="56"/>
      <c r="M2837" s="56"/>
      <c r="N2837" s="56"/>
      <c r="O2837" s="56"/>
    </row>
    <row r="2838" spans="1:15">
      <c r="A2838" s="536" t="s">
        <v>4489</v>
      </c>
      <c r="B2838" s="537" t="str">
        <f>VLOOKUP(A2838,'Materiales '!$C$2:$F$1302,3,0)</f>
        <v>Und</v>
      </c>
      <c r="C2838" s="98" t="str">
        <f>VLOOKUP(A2838,'Materiales '!$C$2:$F$1302,3,0)</f>
        <v>Und</v>
      </c>
      <c r="D2838" s="99">
        <f>VLOOKUP(A2838,'Materiales '!$C$2:$F$1302,4,0)</f>
        <v>8039.6399999999994</v>
      </c>
      <c r="E2838" s="100">
        <v>3</v>
      </c>
      <c r="F2838" s="538">
        <f t="shared" si="166"/>
        <v>24118.92</v>
      </c>
      <c r="G2838" s="539"/>
      <c r="H2838" s="121"/>
      <c r="I2838">
        <f>E2838*G2826</f>
        <v>0</v>
      </c>
      <c r="J2838" s="68"/>
      <c r="K2838" s="56"/>
      <c r="L2838" s="56"/>
      <c r="M2838" s="56"/>
      <c r="N2838" s="56"/>
      <c r="O2838" s="56"/>
    </row>
    <row r="2839" spans="1:15">
      <c r="A2839" s="536" t="s">
        <v>4554</v>
      </c>
      <c r="B2839" s="537" t="str">
        <f>VLOOKUP(A2839,'Materiales '!$C$2:$F$1302,3,0)</f>
        <v>Und</v>
      </c>
      <c r="C2839" s="98" t="str">
        <f>VLOOKUP(A2839,'Materiales '!$C$2:$F$1302,3,0)</f>
        <v>Und</v>
      </c>
      <c r="D2839" s="99">
        <f>VLOOKUP(A2839,'Materiales '!$C$2:$F$1302,4,0)</f>
        <v>2535.5329999999999</v>
      </c>
      <c r="E2839" s="100">
        <v>2</v>
      </c>
      <c r="F2839" s="538">
        <f t="shared" si="166"/>
        <v>5071.0659999999998</v>
      </c>
      <c r="G2839" s="539"/>
      <c r="H2839" s="121"/>
      <c r="I2839">
        <f>E2839*G2826</f>
        <v>0</v>
      </c>
      <c r="J2839" s="68"/>
      <c r="K2839" s="56"/>
      <c r="L2839" s="56"/>
      <c r="M2839" s="56"/>
      <c r="N2839" s="56"/>
      <c r="O2839" s="56"/>
    </row>
    <row r="2840" spans="1:15">
      <c r="A2840" s="536" t="s">
        <v>4450</v>
      </c>
      <c r="B2840" s="537" t="str">
        <f>VLOOKUP(A2840,'Materiales '!$C$2:$F$1302,3,0)</f>
        <v>Ml</v>
      </c>
      <c r="C2840" s="98" t="str">
        <f>VLOOKUP(A2840,'Materiales '!$C$2:$F$1302,3,0)</f>
        <v>Ml</v>
      </c>
      <c r="D2840" s="99">
        <f>VLOOKUP(A2840,'Materiales '!$C$2:$F$1302,4,0)</f>
        <v>6791.5679999999993</v>
      </c>
      <c r="E2840" s="100">
        <v>1</v>
      </c>
      <c r="F2840" s="538">
        <f t="shared" si="166"/>
        <v>6791.5679999999993</v>
      </c>
      <c r="G2840" s="539"/>
      <c r="H2840" s="121"/>
      <c r="I2840">
        <f>E2840*G2826</f>
        <v>0</v>
      </c>
      <c r="J2840" s="68"/>
      <c r="K2840" s="56"/>
      <c r="L2840" s="56"/>
      <c r="M2840" s="56"/>
      <c r="N2840" s="56"/>
      <c r="O2840" s="56"/>
    </row>
    <row r="2841" spans="1:15">
      <c r="A2841" s="536" t="s">
        <v>4493</v>
      </c>
      <c r="B2841" s="537" t="str">
        <f>VLOOKUP(A2841,'Materiales '!$C$2:$F$1302,3,0)</f>
        <v>Und</v>
      </c>
      <c r="C2841" s="98" t="str">
        <f>VLOOKUP(A2841,'Materiales '!$C$2:$F$1302,3,0)</f>
        <v>Und</v>
      </c>
      <c r="D2841" s="99">
        <f>VLOOKUP(A2841,'Materiales '!$C$2:$F$1302,4,0)</f>
        <v>232.76399999999998</v>
      </c>
      <c r="E2841" s="100">
        <v>3</v>
      </c>
      <c r="F2841" s="538">
        <f t="shared" si="166"/>
        <v>698.29199999999992</v>
      </c>
      <c r="G2841" s="539"/>
      <c r="H2841" s="121"/>
      <c r="I2841">
        <f>E2841*G2826</f>
        <v>0</v>
      </c>
      <c r="J2841" s="68"/>
      <c r="K2841" s="56"/>
      <c r="L2841" s="56"/>
      <c r="M2841" s="56"/>
      <c r="N2841" s="56"/>
      <c r="O2841" s="56"/>
    </row>
    <row r="2842" spans="1:15" ht="21.75" customHeight="1">
      <c r="A2842" s="536" t="s">
        <v>4639</v>
      </c>
      <c r="B2842" s="537" t="str">
        <f>VLOOKUP(A2842,'Materiales '!$C$2:$F$1302,3,0)</f>
        <v>Und</v>
      </c>
      <c r="C2842" s="98" t="str">
        <f>VLOOKUP(A2842,'Materiales '!$C$2:$F$1302,3,0)</f>
        <v>Und</v>
      </c>
      <c r="D2842" s="99">
        <f>VLOOKUP(A2842,'Materiales '!$C$2:$F$1302,4,0)</f>
        <v>35700</v>
      </c>
      <c r="E2842" s="100">
        <v>1</v>
      </c>
      <c r="F2842" s="538">
        <f t="shared" si="166"/>
        <v>35700</v>
      </c>
      <c r="G2842" s="539"/>
      <c r="H2842" s="121"/>
      <c r="I2842">
        <f>E2842*G2826</f>
        <v>0</v>
      </c>
      <c r="J2842" s="68"/>
      <c r="K2842" s="56"/>
      <c r="L2842" s="56"/>
      <c r="M2842" s="56"/>
      <c r="N2842" s="56"/>
      <c r="O2842" s="56"/>
    </row>
    <row r="2843" spans="1:15">
      <c r="A2843" s="536" t="s">
        <v>8</v>
      </c>
      <c r="B2843" s="537" t="str">
        <f>VLOOKUP(A2843,'Materiales '!$C$2:$F$1302,3,0)</f>
        <v>-</v>
      </c>
      <c r="C2843" s="98" t="str">
        <f>VLOOKUP(A2843,'Materiales '!$C$2:$F$1302,3,0)</f>
        <v>-</v>
      </c>
      <c r="D2843" s="99">
        <f>VLOOKUP(A2843,'Materiales '!$C$2:$F$1302,4,0)</f>
        <v>0</v>
      </c>
      <c r="E2843" s="100"/>
      <c r="F2843" s="538">
        <f>E2843*D2843</f>
        <v>0</v>
      </c>
      <c r="G2843" s="539"/>
      <c r="H2843" s="120"/>
      <c r="I2843">
        <f>E2843*G2826</f>
        <v>0</v>
      </c>
      <c r="J2843" s="68"/>
      <c r="K2843" s="56"/>
      <c r="L2843" s="56"/>
      <c r="M2843" s="56"/>
      <c r="N2843" s="56"/>
      <c r="O2843" s="56"/>
    </row>
    <row r="2844" spans="1:15">
      <c r="A2844" s="536" t="s">
        <v>8</v>
      </c>
      <c r="B2844" s="537" t="str">
        <f>VLOOKUP(A2844,'Materiales '!$C$2:$F$1302,3,0)</f>
        <v>-</v>
      </c>
      <c r="C2844" s="98" t="str">
        <f>VLOOKUP(A2844,'Materiales '!$C$2:$F$1302,3,0)</f>
        <v>-</v>
      </c>
      <c r="D2844" s="99">
        <f>VLOOKUP(A2844,'Materiales '!$C$2:$F$1302,4,0)</f>
        <v>0</v>
      </c>
      <c r="E2844" s="100"/>
      <c r="F2844" s="538">
        <f t="shared" ref="F2844:F2847" si="167">E2844*D2844</f>
        <v>0</v>
      </c>
      <c r="G2844" s="539"/>
      <c r="H2844" s="121"/>
      <c r="I2844">
        <f>E2844*G2826</f>
        <v>0</v>
      </c>
      <c r="J2844" s="68"/>
      <c r="K2844" s="56"/>
      <c r="L2844" s="56"/>
      <c r="M2844" s="56"/>
      <c r="N2844" s="56"/>
      <c r="O2844" s="56"/>
    </row>
    <row r="2845" spans="1:15">
      <c r="A2845" s="536" t="s">
        <v>8</v>
      </c>
      <c r="B2845" s="537" t="str">
        <f>VLOOKUP(A2845,'Materiales '!$C$2:$F$1302,3,0)</f>
        <v>-</v>
      </c>
      <c r="C2845" s="98" t="str">
        <f>VLOOKUP(A2845,'Materiales '!$C$2:$F$1302,3,0)</f>
        <v>-</v>
      </c>
      <c r="D2845" s="99">
        <f>VLOOKUP(A2845,'Materiales '!$C$2:$F$1302,4,0)</f>
        <v>0</v>
      </c>
      <c r="E2845" s="100"/>
      <c r="F2845" s="538">
        <f t="shared" si="167"/>
        <v>0</v>
      </c>
      <c r="G2845" s="539"/>
      <c r="H2845" s="121"/>
      <c r="I2845">
        <f>E2845*G2826</f>
        <v>0</v>
      </c>
      <c r="J2845" s="68"/>
      <c r="K2845" s="56"/>
      <c r="L2845" s="56"/>
      <c r="M2845" s="56"/>
      <c r="N2845" s="56"/>
      <c r="O2845" s="56"/>
    </row>
    <row r="2846" spans="1:15">
      <c r="A2846" s="536" t="s">
        <v>8</v>
      </c>
      <c r="B2846" s="537" t="str">
        <f>VLOOKUP(A2846,'Materiales '!$C$2:$F$1302,3,0)</f>
        <v>-</v>
      </c>
      <c r="C2846" s="98" t="str">
        <f>VLOOKUP(A2846,'Materiales '!$C$2:$F$1302,3,0)</f>
        <v>-</v>
      </c>
      <c r="D2846" s="99">
        <f>VLOOKUP(A2846,'Materiales '!$C$2:$F$1302,4,0)</f>
        <v>0</v>
      </c>
      <c r="E2846" s="100"/>
      <c r="F2846" s="538">
        <f t="shared" si="167"/>
        <v>0</v>
      </c>
      <c r="G2846" s="539"/>
      <c r="H2846" s="121"/>
      <c r="I2846">
        <f>E2846*G2826</f>
        <v>0</v>
      </c>
      <c r="J2846" s="68"/>
      <c r="K2846" s="56"/>
      <c r="L2846" s="56"/>
      <c r="M2846" s="56"/>
      <c r="N2846" s="56"/>
      <c r="O2846" s="56"/>
    </row>
    <row r="2847" spans="1:15">
      <c r="A2847" s="536" t="s">
        <v>8</v>
      </c>
      <c r="B2847" s="537" t="str">
        <f>VLOOKUP(A2847,'Materiales '!$C$2:$F$1302,3,0)</f>
        <v>-</v>
      </c>
      <c r="C2847" s="98" t="str">
        <f>VLOOKUP(A2847,'Materiales '!$C$2:$F$1302,3,0)</f>
        <v>-</v>
      </c>
      <c r="D2847" s="99">
        <f>VLOOKUP(A2847,'Materiales '!$C$2:$F$1302,4,0)</f>
        <v>0</v>
      </c>
      <c r="E2847" s="100"/>
      <c r="F2847" s="538">
        <f t="shared" si="167"/>
        <v>0</v>
      </c>
      <c r="G2847" s="539"/>
      <c r="H2847" s="121"/>
      <c r="I2847">
        <f>E2847*G2826</f>
        <v>0</v>
      </c>
      <c r="J2847" s="68"/>
      <c r="K2847" s="56"/>
      <c r="L2847" s="56"/>
      <c r="M2847" s="56"/>
      <c r="N2847" s="56"/>
      <c r="O2847" s="56"/>
    </row>
    <row r="2848" spans="1:15">
      <c r="A2848" s="536" t="s">
        <v>8</v>
      </c>
      <c r="B2848" s="537" t="str">
        <f>VLOOKUP(A2848,'Materiales '!$C$2:$F$1302,3,0)</f>
        <v>-</v>
      </c>
      <c r="C2848" s="98" t="str">
        <f>VLOOKUP(A2848,'Materiales '!$C$2:$F$1302,3,0)</f>
        <v>-</v>
      </c>
      <c r="D2848" s="99">
        <f>VLOOKUP(A2848,'Materiales '!$C$2:$F$1302,4,0)</f>
        <v>0</v>
      </c>
      <c r="E2848" s="100"/>
      <c r="F2848" s="538">
        <f>E2848*D2848</f>
        <v>0</v>
      </c>
      <c r="G2848" s="539"/>
      <c r="H2848" s="120"/>
      <c r="I2848">
        <f>E2848*G2826</f>
        <v>0</v>
      </c>
      <c r="J2848" s="68"/>
      <c r="K2848" s="56"/>
      <c r="L2848" s="56"/>
      <c r="M2848" s="56"/>
      <c r="N2848" s="56"/>
      <c r="O2848" s="56"/>
    </row>
    <row r="2849" spans="1:15" ht="16.5">
      <c r="A2849" s="540" t="s">
        <v>4099</v>
      </c>
      <c r="B2849" s="541"/>
      <c r="C2849" s="541"/>
      <c r="D2849" s="541"/>
      <c r="E2849" s="541"/>
      <c r="F2849" s="541"/>
      <c r="G2849" s="542"/>
      <c r="H2849" s="116">
        <f>SUM(F2835:F2848)</f>
        <v>544429.04600000009</v>
      </c>
      <c r="J2849" s="68"/>
      <c r="K2849" s="56"/>
      <c r="L2849" s="56"/>
      <c r="M2849" s="56"/>
      <c r="N2849" s="56"/>
      <c r="O2849" s="56"/>
    </row>
    <row r="2850" spans="1:15" ht="16.5">
      <c r="A2850" s="543" t="s">
        <v>4231</v>
      </c>
      <c r="B2850" s="544"/>
      <c r="C2850" s="544"/>
      <c r="D2850" s="544"/>
      <c r="E2850" s="545"/>
      <c r="F2850" s="544"/>
      <c r="G2850" s="544"/>
      <c r="H2850" s="546"/>
      <c r="J2850" s="68"/>
      <c r="K2850" s="56"/>
      <c r="L2850" s="56"/>
      <c r="M2850" s="56"/>
      <c r="N2850" s="56"/>
      <c r="O2850" s="56"/>
    </row>
    <row r="2851" spans="1:15">
      <c r="A2851" s="547" t="s">
        <v>7</v>
      </c>
      <c r="B2851" s="548"/>
      <c r="C2851" s="108" t="s">
        <v>4232</v>
      </c>
      <c r="D2851" s="107" t="s">
        <v>4233</v>
      </c>
      <c r="E2851" s="206" t="s">
        <v>4234</v>
      </c>
      <c r="F2851" s="549" t="s">
        <v>4218</v>
      </c>
      <c r="G2851" s="549"/>
      <c r="H2851" s="119"/>
      <c r="K2851" s="56"/>
      <c r="L2851" s="56"/>
      <c r="M2851" s="56"/>
      <c r="N2851" s="56"/>
      <c r="O2851" s="56"/>
    </row>
    <row r="2852" spans="1:15">
      <c r="A2852" s="550" t="s">
        <v>3928</v>
      </c>
      <c r="B2852" s="551"/>
      <c r="C2852" s="232">
        <v>1</v>
      </c>
      <c r="D2852" s="102">
        <v>0.03</v>
      </c>
      <c r="E2852" s="103">
        <f>VLOOKUP(A2852,'Equip, Herr y Transp'!$B$2:$D$218,3,0)</f>
        <v>160000</v>
      </c>
      <c r="F2852" s="552">
        <f>E2852*D2852*C2852</f>
        <v>4800</v>
      </c>
      <c r="G2852" s="553"/>
      <c r="H2852" s="117"/>
      <c r="M2852" s="56"/>
    </row>
    <row r="2853" spans="1:15" ht="16.5">
      <c r="A2853" s="554" t="s">
        <v>4216</v>
      </c>
      <c r="B2853" s="555"/>
      <c r="C2853" s="555"/>
      <c r="D2853" s="555"/>
      <c r="E2853" s="555"/>
      <c r="F2853" s="555"/>
      <c r="G2853" s="555"/>
      <c r="H2853" s="105">
        <f>F2852</f>
        <v>4800</v>
      </c>
    </row>
    <row r="2854" spans="1:15" ht="16.5">
      <c r="A2854" s="543" t="s">
        <v>4235</v>
      </c>
      <c r="B2854" s="544"/>
      <c r="C2854" s="544"/>
      <c r="D2854" s="544"/>
      <c r="E2854" s="544"/>
      <c r="F2854" s="544"/>
      <c r="G2854" s="544"/>
      <c r="H2854" s="546"/>
    </row>
    <row r="2855" spans="1:15">
      <c r="A2855" s="547" t="s">
        <v>7</v>
      </c>
      <c r="B2855" s="548"/>
      <c r="C2855" s="106" t="s">
        <v>1</v>
      </c>
      <c r="D2855" s="107" t="s">
        <v>4236</v>
      </c>
      <c r="E2855" s="108" t="s">
        <v>4215</v>
      </c>
      <c r="F2855" s="547" t="s">
        <v>5</v>
      </c>
      <c r="G2855" s="556"/>
      <c r="H2855" s="119"/>
    </row>
    <row r="2856" spans="1:15">
      <c r="A2856" s="550" t="s">
        <v>4196</v>
      </c>
      <c r="B2856" s="551"/>
      <c r="C2856" s="101">
        <v>1</v>
      </c>
      <c r="D2856" s="104">
        <f>VLOOKUP(A2856,'Mano Obra'!$B$2:$T$117,19,0)</f>
        <v>166624</v>
      </c>
      <c r="E2856" s="246">
        <f>H2819</f>
        <v>6.25E-2</v>
      </c>
      <c r="F2856" s="538">
        <f>E2856*D2856*C2856</f>
        <v>10414</v>
      </c>
      <c r="G2856" s="557"/>
      <c r="H2856" s="121"/>
      <c r="I2856" s="69"/>
      <c r="J2856" s="136">
        <f>((('Mano Obra'!$M$4/30)*F2856)/D2856)*G2826</f>
        <v>0</v>
      </c>
    </row>
    <row r="2857" spans="1:15">
      <c r="A2857" s="558" t="s">
        <v>4197</v>
      </c>
      <c r="B2857" s="559">
        <f>VLOOKUP(A2857,'Mano Obra'!$B$3:$D$290,2,0)</f>
        <v>2090000.0000000002</v>
      </c>
      <c r="C2857" s="101">
        <v>1</v>
      </c>
      <c r="D2857" s="104">
        <f>VLOOKUP(A2857,'Mano Obra'!$B$2:$T$117,19,0)</f>
        <v>120456</v>
      </c>
      <c r="E2857" s="246">
        <f>H2819</f>
        <v>6.25E-2</v>
      </c>
      <c r="F2857" s="538">
        <f t="shared" ref="F2857:F2858" si="168">E2857*D2857*C2857</f>
        <v>7528.5</v>
      </c>
      <c r="G2857" s="557"/>
      <c r="H2857" s="121"/>
      <c r="J2857" s="136">
        <f>((('Mano Obra'!$M$5/30)*F2857)/D2857)*G2826</f>
        <v>0</v>
      </c>
    </row>
    <row r="2858" spans="1:15">
      <c r="A2858" s="558" t="s">
        <v>4186</v>
      </c>
      <c r="B2858" s="559">
        <f>VLOOKUP(A2858,'Mano Obra'!$B$3:$D$290,2,0)</f>
        <v>1100000</v>
      </c>
      <c r="C2858" s="101">
        <v>1</v>
      </c>
      <c r="D2858" s="104">
        <f>VLOOKUP(A2858,'Mano Obra'!$B$2:$T$117,19,0)</f>
        <v>72664</v>
      </c>
      <c r="E2858" s="246">
        <f>H2819</f>
        <v>6.25E-2</v>
      </c>
      <c r="F2858" s="538">
        <f t="shared" si="168"/>
        <v>4541.5</v>
      </c>
      <c r="G2858" s="557"/>
      <c r="H2858" s="120"/>
      <c r="J2858" s="136">
        <f>((('Mano Obra'!$M$6/30)*F2858)/D2858)*G2826</f>
        <v>0</v>
      </c>
    </row>
    <row r="2859" spans="1:15" ht="16.5">
      <c r="A2859" s="560" t="s">
        <v>4101</v>
      </c>
      <c r="B2859" s="560"/>
      <c r="C2859" s="560"/>
      <c r="D2859" s="560"/>
      <c r="E2859" s="560"/>
      <c r="F2859" s="560"/>
      <c r="G2859" s="560"/>
      <c r="H2859" s="105">
        <f>SUM(F2856:F2858)</f>
        <v>22484</v>
      </c>
      <c r="J2859" s="136"/>
    </row>
    <row r="2860" spans="1:15">
      <c r="A2860" s="227" t="s">
        <v>4237</v>
      </c>
      <c r="B2860" s="205"/>
      <c r="C2860" s="205"/>
      <c r="D2860" s="202"/>
      <c r="E2860" s="203"/>
      <c r="F2860" s="204"/>
      <c r="G2860" s="203"/>
      <c r="H2860" s="212"/>
    </row>
    <row r="2861" spans="1:15">
      <c r="A2861" s="561" t="s">
        <v>4224</v>
      </c>
      <c r="B2861" s="562"/>
      <c r="C2861" s="562"/>
      <c r="D2861" s="562"/>
      <c r="E2861" s="200"/>
      <c r="F2861" s="201" t="s">
        <v>4238</v>
      </c>
      <c r="G2861" s="200" t="s">
        <v>4239</v>
      </c>
      <c r="H2861" s="213"/>
    </row>
    <row r="2862" spans="1:15">
      <c r="A2862" s="223" t="s">
        <v>4097</v>
      </c>
      <c r="B2862" s="72"/>
      <c r="C2862" s="72"/>
      <c r="D2862" s="73"/>
      <c r="E2862" s="78"/>
      <c r="F2862" s="79">
        <v>0</v>
      </c>
      <c r="G2862" s="80">
        <f>F2862*H2827</f>
        <v>0</v>
      </c>
      <c r="H2862" s="212"/>
    </row>
    <row r="2863" spans="1:15">
      <c r="A2863" s="224" t="s">
        <v>4240</v>
      </c>
      <c r="B2863" s="81"/>
      <c r="C2863" s="81"/>
      <c r="D2863" s="82"/>
      <c r="E2863" s="78"/>
      <c r="F2863" s="79">
        <v>0</v>
      </c>
      <c r="G2863" s="80">
        <f>F2863*H2827</f>
        <v>0</v>
      </c>
      <c r="H2863" s="212"/>
    </row>
    <row r="2864" spans="1:15">
      <c r="A2864" s="224" t="s">
        <v>4</v>
      </c>
      <c r="B2864" s="81"/>
      <c r="C2864" s="81"/>
      <c r="D2864" s="82"/>
      <c r="E2864" s="78"/>
      <c r="F2864" s="79">
        <v>0</v>
      </c>
      <c r="G2864" s="80">
        <f>F2864*H2827</f>
        <v>0</v>
      </c>
      <c r="H2864" s="212"/>
    </row>
    <row r="2865" spans="1:14">
      <c r="A2865" s="225"/>
      <c r="B2865" s="83"/>
      <c r="C2865" s="75"/>
      <c r="D2865" s="84"/>
      <c r="E2865" s="85"/>
      <c r="F2865" s="86"/>
      <c r="G2865" s="87"/>
      <c r="H2865" s="214"/>
    </row>
    <row r="2866" spans="1:14">
      <c r="A2866" s="226"/>
      <c r="B2866" s="83"/>
      <c r="C2866" s="83"/>
      <c r="D2866" s="84"/>
      <c r="E2866" s="88"/>
      <c r="F2866" s="563" t="s">
        <v>4241</v>
      </c>
      <c r="G2866" s="564"/>
      <c r="H2866" s="233">
        <f>H2827+G2862+G2863+G2864</f>
        <v>575747.57725000009</v>
      </c>
    </row>
    <row r="2867" spans="1:14">
      <c r="A2867" s="83"/>
      <c r="B2867" s="83"/>
      <c r="C2867" s="83"/>
      <c r="D2867" s="84"/>
      <c r="E2867" s="388"/>
      <c r="F2867" s="389"/>
      <c r="G2867" s="389"/>
      <c r="H2867" s="390"/>
    </row>
    <row r="2868" spans="1:14" ht="16.5">
      <c r="A2868" s="90"/>
      <c r="B2868" s="90"/>
      <c r="C2868" s="90"/>
      <c r="D2868" s="90"/>
      <c r="E2868" s="90"/>
      <c r="F2868" s="90"/>
      <c r="G2868" s="90"/>
      <c r="H2868" s="381"/>
    </row>
    <row r="2869" spans="1:14">
      <c r="A2869" s="579" t="s">
        <v>4225</v>
      </c>
      <c r="B2869" s="580"/>
      <c r="C2869" s="580"/>
      <c r="D2869" s="580"/>
      <c r="E2869" s="580"/>
      <c r="F2869" s="580"/>
      <c r="G2869" s="580"/>
      <c r="H2869" s="581"/>
    </row>
    <row r="2870" spans="1:14" ht="16.5">
      <c r="A2870" s="91"/>
      <c r="B2870" s="92"/>
      <c r="C2870" s="92"/>
      <c r="D2870" s="92"/>
      <c r="E2870" s="92"/>
      <c r="F2870" s="93"/>
      <c r="G2870" s="94"/>
      <c r="H2870" s="380">
        <f>ROUND((30/60)/8,4)</f>
        <v>6.25E-2</v>
      </c>
      <c r="I2870" s="115"/>
    </row>
    <row r="2871" spans="1:14">
      <c r="A2871" s="582" t="s">
        <v>4220</v>
      </c>
      <c r="B2871" s="584" t="str">
        <f>COSTOS!$C$14</f>
        <v>MODERNIZACION A TECNOLOGIA LED</v>
      </c>
      <c r="C2871" s="584"/>
      <c r="D2871" s="584"/>
      <c r="E2871" s="584"/>
      <c r="F2871" s="584"/>
      <c r="G2871" s="584"/>
      <c r="H2871" s="585" t="s">
        <v>4221</v>
      </c>
    </row>
    <row r="2872" spans="1:14">
      <c r="A2872" s="583"/>
      <c r="B2872" s="584"/>
      <c r="C2872" s="584"/>
      <c r="D2872" s="584"/>
      <c r="E2872" s="584"/>
      <c r="F2872" s="584"/>
      <c r="G2872" s="584"/>
      <c r="H2872" s="585"/>
    </row>
    <row r="2873" spans="1:14">
      <c r="A2873" s="583"/>
      <c r="B2873" s="584"/>
      <c r="C2873" s="584"/>
      <c r="D2873" s="584"/>
      <c r="E2873" s="584"/>
      <c r="F2873" s="584"/>
      <c r="G2873" s="584"/>
      <c r="H2873" s="585"/>
    </row>
    <row r="2874" spans="1:14" ht="15" customHeight="1">
      <c r="A2874" s="583"/>
      <c r="B2874" s="584"/>
      <c r="C2874" s="584"/>
      <c r="D2874" s="584"/>
      <c r="E2874" s="584"/>
      <c r="F2874" s="584"/>
      <c r="G2874" s="584"/>
      <c r="H2874" s="216">
        <f ca="1">TODAY()</f>
        <v>44889</v>
      </c>
      <c r="K2874" t="s">
        <v>4391</v>
      </c>
      <c r="L2874" t="s">
        <v>4392</v>
      </c>
      <c r="M2874" t="s">
        <v>4393</v>
      </c>
      <c r="N2874" t="s">
        <v>4394</v>
      </c>
    </row>
    <row r="2875" spans="1:14" ht="60.75" customHeight="1">
      <c r="A2875" s="228" t="s">
        <v>4222</v>
      </c>
      <c r="B2875" s="565" t="str">
        <f>COSTOS!$D$16</f>
        <v>Luminarias</v>
      </c>
      <c r="C2875" s="565"/>
      <c r="D2875" s="565"/>
      <c r="E2875" s="565"/>
      <c r="F2875" s="565"/>
      <c r="G2875" s="70" t="s">
        <v>4223</v>
      </c>
      <c r="H2875" s="391">
        <v>1.57</v>
      </c>
      <c r="K2875" s="62">
        <f>H2900</f>
        <v>820628.04599999997</v>
      </c>
      <c r="L2875" s="62">
        <f>H2910</f>
        <v>22484</v>
      </c>
      <c r="M2875" s="62">
        <f>H2883</f>
        <v>4034.53125</v>
      </c>
      <c r="N2875" s="62">
        <f>H2904</f>
        <v>4800</v>
      </c>
    </row>
    <row r="2876" spans="1:14" ht="43.15" customHeight="1">
      <c r="A2876" s="229" t="s">
        <v>4224</v>
      </c>
      <c r="B2876" s="566" t="str">
        <f>VLOOKUP(H2875,COSTOS!C:M,2,0)</f>
        <v>Luminaria Led 80w monoff</v>
      </c>
      <c r="C2876" s="567"/>
      <c r="D2876" s="567"/>
      <c r="E2876" s="568"/>
      <c r="F2876" s="71" t="s">
        <v>0</v>
      </c>
      <c r="G2876" s="356" t="str">
        <f>VLOOKUP(H2875,COSTOS!C:M,8,0)</f>
        <v>Und</v>
      </c>
      <c r="H2876" s="276"/>
      <c r="I2876" s="306"/>
      <c r="J2876" s="308"/>
      <c r="K2876" s="308"/>
      <c r="L2876" s="308"/>
    </row>
    <row r="2877" spans="1:14">
      <c r="A2877" s="230"/>
      <c r="B2877" s="112"/>
      <c r="C2877" s="112"/>
      <c r="D2877" s="112"/>
      <c r="E2877" s="113"/>
      <c r="F2877" s="114" t="s">
        <v>1</v>
      </c>
      <c r="G2877" s="356">
        <f>VLOOKUP(H2875,COSTOS!C:M,9,0)</f>
        <v>0</v>
      </c>
      <c r="H2877" s="357"/>
      <c r="I2877" s="307"/>
    </row>
    <row r="2878" spans="1:14" ht="16.5">
      <c r="A2878" s="231" t="s">
        <v>4226</v>
      </c>
      <c r="B2878" s="75"/>
      <c r="C2878" s="75"/>
      <c r="D2878" s="76"/>
      <c r="E2878" s="209"/>
      <c r="F2878" s="210"/>
      <c r="G2878" s="211" t="s">
        <v>4227</v>
      </c>
      <c r="H2878" s="217">
        <f>H2883+H2900+H2904+H2910</f>
        <v>851946.57724999997</v>
      </c>
    </row>
    <row r="2879" spans="1:14" ht="39">
      <c r="A2879" s="569" t="s">
        <v>4224</v>
      </c>
      <c r="B2879" s="569"/>
      <c r="C2879" s="569"/>
      <c r="D2879" s="77" t="s">
        <v>0</v>
      </c>
      <c r="E2879" s="207" t="s">
        <v>4228</v>
      </c>
      <c r="F2879" s="208" t="s">
        <v>4215</v>
      </c>
      <c r="G2879" s="74" t="s">
        <v>2</v>
      </c>
      <c r="H2879" s="218" t="s">
        <v>4229</v>
      </c>
      <c r="K2879" s="309"/>
    </row>
    <row r="2880" spans="1:14">
      <c r="A2880" s="536" t="s">
        <v>3946</v>
      </c>
      <c r="B2880" s="570" t="str">
        <f>VLOOKUP(A2880,'Equip, Herr y Transp'!$B$2:$D$739,2,0)</f>
        <v>EQU</v>
      </c>
      <c r="C2880" s="570"/>
      <c r="D2880" s="95" t="str">
        <f>VLOOKUP(A2880,'Equip, Herr y Transp'!$B$2:$D$218,2,0)</f>
        <v>EQU</v>
      </c>
      <c r="E2880" s="95">
        <f>VLOOKUP(A2880,'Equip, Herr y Transp'!$B$2:$D$218,3,0)</f>
        <v>14130</v>
      </c>
      <c r="F2880" s="96">
        <f>H2870</f>
        <v>6.25E-2</v>
      </c>
      <c r="G2880" s="122">
        <f>F2880*E2880</f>
        <v>883.125</v>
      </c>
      <c r="H2880" s="118"/>
    </row>
    <row r="2881" spans="1:15">
      <c r="A2881" s="536" t="s">
        <v>3904</v>
      </c>
      <c r="B2881" s="570" t="str">
        <f>VLOOKUP(A2881,'Equip, Herr y Transp'!$B$2:$D$739,2,0)</f>
        <v>EQU</v>
      </c>
      <c r="C2881" s="570"/>
      <c r="D2881" s="95" t="str">
        <f>VLOOKUP(A2881,'Equip, Herr y Transp'!$B$2:$D$218,2,0)</f>
        <v>EQU</v>
      </c>
      <c r="E2881" s="95">
        <f>VLOOKUP(A2881,'Equip, Herr y Transp'!$B$2:$D$218,3,0)</f>
        <v>26672.5</v>
      </c>
      <c r="F2881" s="96">
        <f>H2870</f>
        <v>6.25E-2</v>
      </c>
      <c r="G2881" s="122">
        <f>F2881*E2881</f>
        <v>1667.03125</v>
      </c>
      <c r="H2881" s="117"/>
    </row>
    <row r="2882" spans="1:15">
      <c r="A2882" s="536" t="s">
        <v>3937</v>
      </c>
      <c r="B2882" s="570" t="str">
        <f>VLOOKUP(A2882,'Equip, Herr y Transp'!$B$2:$D$739,2,0)</f>
        <v>EQU</v>
      </c>
      <c r="C2882" s="570"/>
      <c r="D2882" s="95" t="str">
        <f>VLOOKUP(A2882,'Equip, Herr y Transp'!$B$2:$D$218,2,0)</f>
        <v>EQU</v>
      </c>
      <c r="E2882" s="95">
        <f>VLOOKUP(A2882,'Equip, Herr y Transp'!$B$2:$D$218,3,0)</f>
        <v>23750</v>
      </c>
      <c r="F2882" s="96">
        <f>H2870</f>
        <v>6.25E-2</v>
      </c>
      <c r="G2882" s="122">
        <f>F2882*E2882</f>
        <v>1484.375</v>
      </c>
      <c r="H2882" s="117"/>
    </row>
    <row r="2883" spans="1:15" ht="16.5">
      <c r="A2883" s="540" t="s">
        <v>4100</v>
      </c>
      <c r="B2883" s="541"/>
      <c r="C2883" s="541"/>
      <c r="D2883" s="541"/>
      <c r="E2883" s="541"/>
      <c r="F2883" s="541"/>
      <c r="G2883" s="541"/>
      <c r="H2883" s="97">
        <f>SUM(G2880:G2882)</f>
        <v>4034.53125</v>
      </c>
    </row>
    <row r="2884" spans="1:15" ht="16.5">
      <c r="A2884" s="571" t="s">
        <v>4230</v>
      </c>
      <c r="B2884" s="572"/>
      <c r="C2884" s="572"/>
      <c r="D2884" s="572"/>
      <c r="E2884" s="572"/>
      <c r="F2884" s="572"/>
      <c r="G2884" s="572"/>
      <c r="H2884" s="573"/>
      <c r="K2884" s="56"/>
      <c r="L2884" s="56"/>
      <c r="M2884" s="56"/>
      <c r="N2884" s="56"/>
      <c r="O2884" s="56"/>
    </row>
    <row r="2885" spans="1:15" ht="30" customHeight="1">
      <c r="A2885" s="574" t="s">
        <v>7</v>
      </c>
      <c r="B2885" s="575"/>
      <c r="C2885" s="109" t="s">
        <v>0</v>
      </c>
      <c r="D2885" s="110" t="s">
        <v>4098</v>
      </c>
      <c r="E2885" s="111" t="s">
        <v>1</v>
      </c>
      <c r="F2885" s="576" t="s">
        <v>4218</v>
      </c>
      <c r="G2885" s="576"/>
      <c r="H2885" s="215"/>
      <c r="K2885" s="56"/>
      <c r="L2885" s="56"/>
      <c r="M2885" s="56"/>
      <c r="N2885" s="56"/>
      <c r="O2885" s="56"/>
    </row>
    <row r="2886" spans="1:15">
      <c r="A2886" s="577" t="s">
        <v>4767</v>
      </c>
      <c r="B2886" s="578"/>
      <c r="C2886" s="98" t="str">
        <f>VLOOKUP(A2886,'Materiales '!$C$2:$F$1302,3,0)</f>
        <v>Und</v>
      </c>
      <c r="D2886" s="99">
        <f>VLOOKUP(A2886,'Materiales '!$C$2:$F$1302,4,0)</f>
        <v>681989</v>
      </c>
      <c r="E2886" s="100">
        <v>1</v>
      </c>
      <c r="F2886" s="538">
        <f>E2886*D2886</f>
        <v>681989</v>
      </c>
      <c r="G2886" s="539"/>
      <c r="H2886" s="121"/>
      <c r="I2886">
        <f>E2886*G2877</f>
        <v>0</v>
      </c>
      <c r="J2886" s="67"/>
      <c r="K2886" s="56"/>
      <c r="L2886" s="56"/>
      <c r="M2886" s="56"/>
      <c r="N2886" s="56"/>
      <c r="O2886" s="56"/>
    </row>
    <row r="2887" spans="1:15">
      <c r="A2887" s="577" t="s">
        <v>4214</v>
      </c>
      <c r="B2887" s="578"/>
      <c r="C2887" s="98" t="str">
        <f>VLOOKUP(A2887,'Materiales '!$C$2:$F$1302,3,0)</f>
        <v>Und</v>
      </c>
      <c r="D2887" s="99">
        <f>VLOOKUP(A2887,'Materiales '!$C$2:$F$1302,4,0)</f>
        <v>22848</v>
      </c>
      <c r="E2887" s="100">
        <v>1</v>
      </c>
      <c r="F2887" s="538">
        <f t="shared" ref="F2887:F2893" si="169">E2887*D2887</f>
        <v>22848</v>
      </c>
      <c r="G2887" s="539"/>
      <c r="H2887" s="121"/>
      <c r="I2887">
        <f>E2887*G2877</f>
        <v>0</v>
      </c>
      <c r="J2887" s="67"/>
      <c r="K2887" s="56"/>
      <c r="L2887" s="56"/>
      <c r="M2887" s="56"/>
      <c r="N2887" s="56"/>
      <c r="O2887" s="56"/>
    </row>
    <row r="2888" spans="1:15">
      <c r="A2888" s="536" t="s">
        <v>4484</v>
      </c>
      <c r="B2888" s="537" t="str">
        <f>VLOOKUP(A2888,'Materiales '!$C$2:$F$1302,3,0)</f>
        <v>Und</v>
      </c>
      <c r="C2888" s="98" t="str">
        <f>VLOOKUP(A2888,'Materiales '!$C$2:$F$1302,3,0)</f>
        <v>Und</v>
      </c>
      <c r="D2888" s="99">
        <f>VLOOKUP(A2888,'Materiales '!$C$2:$F$1302,4,0)</f>
        <v>21705.599999999999</v>
      </c>
      <c r="E2888" s="100">
        <v>2</v>
      </c>
      <c r="F2888" s="538">
        <f t="shared" si="169"/>
        <v>43411.199999999997</v>
      </c>
      <c r="G2888" s="539"/>
      <c r="H2888" s="121"/>
      <c r="I2888">
        <f>E2888*G2877</f>
        <v>0</v>
      </c>
      <c r="J2888" s="68"/>
      <c r="K2888" s="56"/>
      <c r="L2888" s="56"/>
      <c r="M2888" s="56"/>
      <c r="N2888" s="56"/>
      <c r="O2888" s="56"/>
    </row>
    <row r="2889" spans="1:15">
      <c r="A2889" s="536" t="s">
        <v>4489</v>
      </c>
      <c r="B2889" s="537" t="str">
        <f>VLOOKUP(A2889,'Materiales '!$C$2:$F$1302,3,0)</f>
        <v>Und</v>
      </c>
      <c r="C2889" s="98" t="str">
        <f>VLOOKUP(A2889,'Materiales '!$C$2:$F$1302,3,0)</f>
        <v>Und</v>
      </c>
      <c r="D2889" s="99">
        <f>VLOOKUP(A2889,'Materiales '!$C$2:$F$1302,4,0)</f>
        <v>8039.6399999999994</v>
      </c>
      <c r="E2889" s="100">
        <v>3</v>
      </c>
      <c r="F2889" s="538">
        <f t="shared" si="169"/>
        <v>24118.92</v>
      </c>
      <c r="G2889" s="539"/>
      <c r="H2889" s="121"/>
      <c r="I2889">
        <f>E2889*G2877</f>
        <v>0</v>
      </c>
      <c r="J2889" s="68"/>
      <c r="K2889" s="56"/>
      <c r="L2889" s="56"/>
      <c r="M2889" s="56"/>
      <c r="N2889" s="56"/>
      <c r="O2889" s="56"/>
    </row>
    <row r="2890" spans="1:15">
      <c r="A2890" s="536" t="s">
        <v>4554</v>
      </c>
      <c r="B2890" s="537" t="str">
        <f>VLOOKUP(A2890,'Materiales '!$C$2:$F$1302,3,0)</f>
        <v>Und</v>
      </c>
      <c r="C2890" s="98" t="str">
        <f>VLOOKUP(A2890,'Materiales '!$C$2:$F$1302,3,0)</f>
        <v>Und</v>
      </c>
      <c r="D2890" s="99">
        <f>VLOOKUP(A2890,'Materiales '!$C$2:$F$1302,4,0)</f>
        <v>2535.5329999999999</v>
      </c>
      <c r="E2890" s="100">
        <v>2</v>
      </c>
      <c r="F2890" s="538">
        <f t="shared" si="169"/>
        <v>5071.0659999999998</v>
      </c>
      <c r="G2890" s="539"/>
      <c r="H2890" s="121"/>
      <c r="I2890">
        <f>E2890*G2877</f>
        <v>0</v>
      </c>
      <c r="J2890" s="68"/>
      <c r="K2890" s="56"/>
      <c r="L2890" s="56"/>
      <c r="M2890" s="56"/>
      <c r="N2890" s="56"/>
      <c r="O2890" s="56"/>
    </row>
    <row r="2891" spans="1:15">
      <c r="A2891" s="536" t="s">
        <v>4450</v>
      </c>
      <c r="B2891" s="537" t="str">
        <f>VLOOKUP(A2891,'Materiales '!$C$2:$F$1302,3,0)</f>
        <v>Ml</v>
      </c>
      <c r="C2891" s="98" t="str">
        <f>VLOOKUP(A2891,'Materiales '!$C$2:$F$1302,3,0)</f>
        <v>Ml</v>
      </c>
      <c r="D2891" s="99">
        <f>VLOOKUP(A2891,'Materiales '!$C$2:$F$1302,4,0)</f>
        <v>6791.5679999999993</v>
      </c>
      <c r="E2891" s="100">
        <v>1</v>
      </c>
      <c r="F2891" s="538">
        <f t="shared" si="169"/>
        <v>6791.5679999999993</v>
      </c>
      <c r="G2891" s="539"/>
      <c r="H2891" s="121"/>
      <c r="I2891">
        <f>E2891*G2877</f>
        <v>0</v>
      </c>
      <c r="J2891" s="68"/>
      <c r="K2891" s="56"/>
      <c r="L2891" s="56"/>
      <c r="M2891" s="56"/>
      <c r="N2891" s="56"/>
      <c r="O2891" s="56"/>
    </row>
    <row r="2892" spans="1:15">
      <c r="A2892" s="536" t="s">
        <v>4493</v>
      </c>
      <c r="B2892" s="537" t="str">
        <f>VLOOKUP(A2892,'Materiales '!$C$2:$F$1302,3,0)</f>
        <v>Und</v>
      </c>
      <c r="C2892" s="98" t="str">
        <f>VLOOKUP(A2892,'Materiales '!$C$2:$F$1302,3,0)</f>
        <v>Und</v>
      </c>
      <c r="D2892" s="99">
        <f>VLOOKUP(A2892,'Materiales '!$C$2:$F$1302,4,0)</f>
        <v>232.76399999999998</v>
      </c>
      <c r="E2892" s="100">
        <v>3</v>
      </c>
      <c r="F2892" s="538">
        <f t="shared" si="169"/>
        <v>698.29199999999992</v>
      </c>
      <c r="G2892" s="539"/>
      <c r="H2892" s="121"/>
      <c r="I2892">
        <f>E2892*G2877</f>
        <v>0</v>
      </c>
      <c r="J2892" s="68"/>
      <c r="K2892" s="56"/>
      <c r="L2892" s="56"/>
      <c r="M2892" s="56"/>
      <c r="N2892" s="56"/>
      <c r="O2892" s="56"/>
    </row>
    <row r="2893" spans="1:15" ht="21.75" customHeight="1">
      <c r="A2893" s="536" t="s">
        <v>4639</v>
      </c>
      <c r="B2893" s="537" t="str">
        <f>VLOOKUP(A2893,'Materiales '!$C$2:$F$1302,3,0)</f>
        <v>Und</v>
      </c>
      <c r="C2893" s="98" t="str">
        <f>VLOOKUP(A2893,'Materiales '!$C$2:$F$1302,3,0)</f>
        <v>Und</v>
      </c>
      <c r="D2893" s="99">
        <f>VLOOKUP(A2893,'Materiales '!$C$2:$F$1302,4,0)</f>
        <v>35700</v>
      </c>
      <c r="E2893" s="100">
        <v>1</v>
      </c>
      <c r="F2893" s="538">
        <f t="shared" si="169"/>
        <v>35700</v>
      </c>
      <c r="G2893" s="539"/>
      <c r="H2893" s="121"/>
      <c r="I2893">
        <f>E2893*G2877</f>
        <v>0</v>
      </c>
      <c r="J2893" s="68"/>
      <c r="K2893" s="56"/>
      <c r="L2893" s="56"/>
      <c r="M2893" s="56"/>
      <c r="N2893" s="56"/>
      <c r="O2893" s="56"/>
    </row>
    <row r="2894" spans="1:15">
      <c r="A2894" s="536" t="s">
        <v>8</v>
      </c>
      <c r="B2894" s="537" t="str">
        <f>VLOOKUP(A2894,'Materiales '!$C$2:$F$1302,3,0)</f>
        <v>-</v>
      </c>
      <c r="C2894" s="98" t="str">
        <f>VLOOKUP(A2894,'Materiales '!$C$2:$F$1302,3,0)</f>
        <v>-</v>
      </c>
      <c r="D2894" s="99">
        <f>VLOOKUP(A2894,'Materiales '!$C$2:$F$1302,4,0)</f>
        <v>0</v>
      </c>
      <c r="E2894" s="100"/>
      <c r="F2894" s="538">
        <f>E2894*D2894</f>
        <v>0</v>
      </c>
      <c r="G2894" s="539"/>
      <c r="H2894" s="120"/>
      <c r="I2894">
        <f>E2894*G2877</f>
        <v>0</v>
      </c>
      <c r="J2894" s="68"/>
      <c r="K2894" s="56"/>
      <c r="L2894" s="56"/>
      <c r="M2894" s="56"/>
      <c r="N2894" s="56"/>
      <c r="O2894" s="56"/>
    </row>
    <row r="2895" spans="1:15">
      <c r="A2895" s="536" t="s">
        <v>8</v>
      </c>
      <c r="B2895" s="537" t="str">
        <f>VLOOKUP(A2895,'Materiales '!$C$2:$F$1302,3,0)</f>
        <v>-</v>
      </c>
      <c r="C2895" s="98" t="str">
        <f>VLOOKUP(A2895,'Materiales '!$C$2:$F$1302,3,0)</f>
        <v>-</v>
      </c>
      <c r="D2895" s="99">
        <f>VLOOKUP(A2895,'Materiales '!$C$2:$F$1302,4,0)</f>
        <v>0</v>
      </c>
      <c r="E2895" s="100"/>
      <c r="F2895" s="538">
        <f t="shared" ref="F2895:F2898" si="170">E2895*D2895</f>
        <v>0</v>
      </c>
      <c r="G2895" s="539"/>
      <c r="H2895" s="121"/>
      <c r="I2895">
        <f>E2895*G2877</f>
        <v>0</v>
      </c>
      <c r="J2895" s="68"/>
      <c r="K2895" s="56"/>
      <c r="L2895" s="56"/>
      <c r="M2895" s="56"/>
      <c r="N2895" s="56"/>
      <c r="O2895" s="56"/>
    </row>
    <row r="2896" spans="1:15">
      <c r="A2896" s="536" t="s">
        <v>8</v>
      </c>
      <c r="B2896" s="537" t="str">
        <f>VLOOKUP(A2896,'Materiales '!$C$2:$F$1302,3,0)</f>
        <v>-</v>
      </c>
      <c r="C2896" s="98" t="str">
        <f>VLOOKUP(A2896,'Materiales '!$C$2:$F$1302,3,0)</f>
        <v>-</v>
      </c>
      <c r="D2896" s="99">
        <f>VLOOKUP(A2896,'Materiales '!$C$2:$F$1302,4,0)</f>
        <v>0</v>
      </c>
      <c r="E2896" s="100"/>
      <c r="F2896" s="538">
        <f t="shared" si="170"/>
        <v>0</v>
      </c>
      <c r="G2896" s="539"/>
      <c r="H2896" s="121"/>
      <c r="I2896">
        <f>E2896*G2877</f>
        <v>0</v>
      </c>
      <c r="J2896" s="68"/>
      <c r="K2896" s="56"/>
      <c r="L2896" s="56"/>
      <c r="M2896" s="56"/>
      <c r="N2896" s="56"/>
      <c r="O2896" s="56"/>
    </row>
    <row r="2897" spans="1:15">
      <c r="A2897" s="536" t="s">
        <v>8</v>
      </c>
      <c r="B2897" s="537" t="str">
        <f>VLOOKUP(A2897,'Materiales '!$C$2:$F$1302,3,0)</f>
        <v>-</v>
      </c>
      <c r="C2897" s="98" t="str">
        <f>VLOOKUP(A2897,'Materiales '!$C$2:$F$1302,3,0)</f>
        <v>-</v>
      </c>
      <c r="D2897" s="99">
        <f>VLOOKUP(A2897,'Materiales '!$C$2:$F$1302,4,0)</f>
        <v>0</v>
      </c>
      <c r="E2897" s="100"/>
      <c r="F2897" s="538">
        <f t="shared" si="170"/>
        <v>0</v>
      </c>
      <c r="G2897" s="539"/>
      <c r="H2897" s="121"/>
      <c r="I2897">
        <f>E2897*G2877</f>
        <v>0</v>
      </c>
      <c r="J2897" s="68"/>
      <c r="K2897" s="56"/>
      <c r="L2897" s="56"/>
      <c r="M2897" s="56"/>
      <c r="N2897" s="56"/>
      <c r="O2897" s="56"/>
    </row>
    <row r="2898" spans="1:15">
      <c r="A2898" s="536" t="s">
        <v>8</v>
      </c>
      <c r="B2898" s="537" t="str">
        <f>VLOOKUP(A2898,'Materiales '!$C$2:$F$1302,3,0)</f>
        <v>-</v>
      </c>
      <c r="C2898" s="98" t="str">
        <f>VLOOKUP(A2898,'Materiales '!$C$2:$F$1302,3,0)</f>
        <v>-</v>
      </c>
      <c r="D2898" s="99">
        <f>VLOOKUP(A2898,'Materiales '!$C$2:$F$1302,4,0)</f>
        <v>0</v>
      </c>
      <c r="E2898" s="100"/>
      <c r="F2898" s="538">
        <f t="shared" si="170"/>
        <v>0</v>
      </c>
      <c r="G2898" s="539"/>
      <c r="H2898" s="121"/>
      <c r="I2898">
        <f>E2898*G2877</f>
        <v>0</v>
      </c>
      <c r="J2898" s="68"/>
      <c r="K2898" s="56"/>
      <c r="L2898" s="56"/>
      <c r="M2898" s="56"/>
      <c r="N2898" s="56"/>
      <c r="O2898" s="56"/>
    </row>
    <row r="2899" spans="1:15">
      <c r="A2899" s="536" t="s">
        <v>8</v>
      </c>
      <c r="B2899" s="537" t="str">
        <f>VLOOKUP(A2899,'Materiales '!$C$2:$F$1302,3,0)</f>
        <v>-</v>
      </c>
      <c r="C2899" s="98" t="str">
        <f>VLOOKUP(A2899,'Materiales '!$C$2:$F$1302,3,0)</f>
        <v>-</v>
      </c>
      <c r="D2899" s="99">
        <f>VLOOKUP(A2899,'Materiales '!$C$2:$F$1302,4,0)</f>
        <v>0</v>
      </c>
      <c r="E2899" s="100"/>
      <c r="F2899" s="538">
        <f>E2899*D2899</f>
        <v>0</v>
      </c>
      <c r="G2899" s="539"/>
      <c r="H2899" s="120"/>
      <c r="I2899">
        <f>E2899*G2877</f>
        <v>0</v>
      </c>
      <c r="J2899" s="68"/>
      <c r="K2899" s="56"/>
      <c r="L2899" s="56"/>
      <c r="M2899" s="56"/>
      <c r="N2899" s="56"/>
      <c r="O2899" s="56"/>
    </row>
    <row r="2900" spans="1:15" ht="16.5">
      <c r="A2900" s="540" t="s">
        <v>4099</v>
      </c>
      <c r="B2900" s="541"/>
      <c r="C2900" s="541"/>
      <c r="D2900" s="541"/>
      <c r="E2900" s="541"/>
      <c r="F2900" s="541"/>
      <c r="G2900" s="542"/>
      <c r="H2900" s="116">
        <f>SUM(F2886:F2899)</f>
        <v>820628.04599999997</v>
      </c>
      <c r="J2900" s="68"/>
      <c r="K2900" s="56"/>
      <c r="L2900" s="56"/>
      <c r="M2900" s="56"/>
      <c r="N2900" s="56"/>
      <c r="O2900" s="56"/>
    </row>
    <row r="2901" spans="1:15" ht="16.5">
      <c r="A2901" s="543" t="s">
        <v>4231</v>
      </c>
      <c r="B2901" s="544"/>
      <c r="C2901" s="544"/>
      <c r="D2901" s="544"/>
      <c r="E2901" s="545"/>
      <c r="F2901" s="544"/>
      <c r="G2901" s="544"/>
      <c r="H2901" s="546"/>
      <c r="J2901" s="68"/>
      <c r="K2901" s="56"/>
      <c r="L2901" s="56"/>
      <c r="M2901" s="56"/>
      <c r="N2901" s="56"/>
      <c r="O2901" s="56"/>
    </row>
    <row r="2902" spans="1:15">
      <c r="A2902" s="547" t="s">
        <v>7</v>
      </c>
      <c r="B2902" s="548"/>
      <c r="C2902" s="108" t="s">
        <v>4232</v>
      </c>
      <c r="D2902" s="107" t="s">
        <v>4233</v>
      </c>
      <c r="E2902" s="206" t="s">
        <v>4234</v>
      </c>
      <c r="F2902" s="549" t="s">
        <v>4218</v>
      </c>
      <c r="G2902" s="549"/>
      <c r="H2902" s="119"/>
      <c r="K2902" s="56"/>
      <c r="L2902" s="56"/>
      <c r="M2902" s="56"/>
      <c r="N2902" s="56"/>
      <c r="O2902" s="56"/>
    </row>
    <row r="2903" spans="1:15">
      <c r="A2903" s="550" t="s">
        <v>3928</v>
      </c>
      <c r="B2903" s="551"/>
      <c r="C2903" s="232">
        <v>1</v>
      </c>
      <c r="D2903" s="102">
        <v>0.03</v>
      </c>
      <c r="E2903" s="103">
        <f>VLOOKUP(A2903,'Equip, Herr y Transp'!$B$2:$D$218,3,0)</f>
        <v>160000</v>
      </c>
      <c r="F2903" s="552">
        <f>E2903*D2903*C2903</f>
        <v>4800</v>
      </c>
      <c r="G2903" s="553"/>
      <c r="H2903" s="117"/>
      <c r="M2903" s="56"/>
    </row>
    <row r="2904" spans="1:15" ht="16.5">
      <c r="A2904" s="554" t="s">
        <v>4216</v>
      </c>
      <c r="B2904" s="555"/>
      <c r="C2904" s="555"/>
      <c r="D2904" s="555"/>
      <c r="E2904" s="555"/>
      <c r="F2904" s="555"/>
      <c r="G2904" s="555"/>
      <c r="H2904" s="105">
        <f>F2903</f>
        <v>4800</v>
      </c>
    </row>
    <row r="2905" spans="1:15" ht="16.5">
      <c r="A2905" s="543" t="s">
        <v>4235</v>
      </c>
      <c r="B2905" s="544"/>
      <c r="C2905" s="544"/>
      <c r="D2905" s="544"/>
      <c r="E2905" s="544"/>
      <c r="F2905" s="544"/>
      <c r="G2905" s="544"/>
      <c r="H2905" s="546"/>
    </row>
    <row r="2906" spans="1:15">
      <c r="A2906" s="547" t="s">
        <v>7</v>
      </c>
      <c r="B2906" s="548"/>
      <c r="C2906" s="106" t="s">
        <v>1</v>
      </c>
      <c r="D2906" s="107" t="s">
        <v>4236</v>
      </c>
      <c r="E2906" s="108" t="s">
        <v>4215</v>
      </c>
      <c r="F2906" s="547" t="s">
        <v>5</v>
      </c>
      <c r="G2906" s="556"/>
      <c r="H2906" s="119"/>
    </row>
    <row r="2907" spans="1:15">
      <c r="A2907" s="550" t="s">
        <v>4196</v>
      </c>
      <c r="B2907" s="551"/>
      <c r="C2907" s="101">
        <v>1</v>
      </c>
      <c r="D2907" s="104">
        <f>VLOOKUP(A2907,'Mano Obra'!$B$2:$T$117,19,0)</f>
        <v>166624</v>
      </c>
      <c r="E2907" s="246">
        <f>H2870</f>
        <v>6.25E-2</v>
      </c>
      <c r="F2907" s="538">
        <f>E2907*D2907*C2907</f>
        <v>10414</v>
      </c>
      <c r="G2907" s="557"/>
      <c r="H2907" s="121"/>
      <c r="I2907" s="69"/>
      <c r="J2907" s="136">
        <f>((('Mano Obra'!$M$4/30)*F2907)/D2907)*G2877</f>
        <v>0</v>
      </c>
    </row>
    <row r="2908" spans="1:15">
      <c r="A2908" s="558" t="s">
        <v>4197</v>
      </c>
      <c r="B2908" s="559">
        <f>VLOOKUP(A2908,'Mano Obra'!$B$3:$D$290,2,0)</f>
        <v>2090000.0000000002</v>
      </c>
      <c r="C2908" s="101">
        <v>1</v>
      </c>
      <c r="D2908" s="104">
        <f>VLOOKUP(A2908,'Mano Obra'!$B$2:$T$117,19,0)</f>
        <v>120456</v>
      </c>
      <c r="E2908" s="246">
        <f>H2870</f>
        <v>6.25E-2</v>
      </c>
      <c r="F2908" s="538">
        <f t="shared" ref="F2908:F2909" si="171">E2908*D2908*C2908</f>
        <v>7528.5</v>
      </c>
      <c r="G2908" s="557"/>
      <c r="H2908" s="121"/>
      <c r="J2908" s="136">
        <f>((('Mano Obra'!$M$5/30)*F2908)/D2908)*G2877</f>
        <v>0</v>
      </c>
    </row>
    <row r="2909" spans="1:15">
      <c r="A2909" s="558" t="s">
        <v>4186</v>
      </c>
      <c r="B2909" s="559">
        <f>VLOOKUP(A2909,'Mano Obra'!$B$3:$D$290,2,0)</f>
        <v>1100000</v>
      </c>
      <c r="C2909" s="101">
        <v>1</v>
      </c>
      <c r="D2909" s="104">
        <f>VLOOKUP(A2909,'Mano Obra'!$B$2:$T$117,19,0)</f>
        <v>72664</v>
      </c>
      <c r="E2909" s="246">
        <f>H2870</f>
        <v>6.25E-2</v>
      </c>
      <c r="F2909" s="538">
        <f t="shared" si="171"/>
        <v>4541.5</v>
      </c>
      <c r="G2909" s="557"/>
      <c r="H2909" s="120"/>
      <c r="J2909" s="136">
        <f>((('Mano Obra'!$M$6/30)*F2909)/D2909)*G2877</f>
        <v>0</v>
      </c>
    </row>
    <row r="2910" spans="1:15" ht="16.5">
      <c r="A2910" s="560" t="s">
        <v>4101</v>
      </c>
      <c r="B2910" s="560"/>
      <c r="C2910" s="560"/>
      <c r="D2910" s="560"/>
      <c r="E2910" s="560"/>
      <c r="F2910" s="560"/>
      <c r="G2910" s="560"/>
      <c r="H2910" s="105">
        <f>SUM(F2907:F2909)</f>
        <v>22484</v>
      </c>
      <c r="J2910" s="136"/>
    </row>
    <row r="2911" spans="1:15">
      <c r="A2911" s="227" t="s">
        <v>4237</v>
      </c>
      <c r="B2911" s="205"/>
      <c r="C2911" s="205"/>
      <c r="D2911" s="202"/>
      <c r="E2911" s="203"/>
      <c r="F2911" s="204"/>
      <c r="G2911" s="203"/>
      <c r="H2911" s="212"/>
    </row>
    <row r="2912" spans="1:15">
      <c r="A2912" s="561" t="s">
        <v>4224</v>
      </c>
      <c r="B2912" s="562"/>
      <c r="C2912" s="562"/>
      <c r="D2912" s="562"/>
      <c r="E2912" s="200"/>
      <c r="F2912" s="201" t="s">
        <v>4238</v>
      </c>
      <c r="G2912" s="200" t="s">
        <v>4239</v>
      </c>
      <c r="H2912" s="213"/>
    </row>
    <row r="2913" spans="1:14">
      <c r="A2913" s="223" t="s">
        <v>4097</v>
      </c>
      <c r="B2913" s="72"/>
      <c r="C2913" s="72"/>
      <c r="D2913" s="73"/>
      <c r="E2913" s="78"/>
      <c r="F2913" s="79">
        <v>0</v>
      </c>
      <c r="G2913" s="80">
        <f>F2913*H2878</f>
        <v>0</v>
      </c>
      <c r="H2913" s="212"/>
    </row>
    <row r="2914" spans="1:14">
      <c r="A2914" s="224" t="s">
        <v>4240</v>
      </c>
      <c r="B2914" s="81"/>
      <c r="C2914" s="81"/>
      <c r="D2914" s="82"/>
      <c r="E2914" s="78"/>
      <c r="F2914" s="79">
        <v>0</v>
      </c>
      <c r="G2914" s="80">
        <f>F2914*H2878</f>
        <v>0</v>
      </c>
      <c r="H2914" s="212"/>
    </row>
    <row r="2915" spans="1:14">
      <c r="A2915" s="224" t="s">
        <v>4</v>
      </c>
      <c r="B2915" s="81"/>
      <c r="C2915" s="81"/>
      <c r="D2915" s="82"/>
      <c r="E2915" s="78"/>
      <c r="F2915" s="79">
        <v>0</v>
      </c>
      <c r="G2915" s="80">
        <f>F2915*H2878</f>
        <v>0</v>
      </c>
      <c r="H2915" s="212"/>
    </row>
    <row r="2916" spans="1:14">
      <c r="A2916" s="225"/>
      <c r="B2916" s="83"/>
      <c r="C2916" s="75"/>
      <c r="D2916" s="84"/>
      <c r="E2916" s="85"/>
      <c r="F2916" s="86"/>
      <c r="G2916" s="87"/>
      <c r="H2916" s="214"/>
    </row>
    <row r="2917" spans="1:14">
      <c r="A2917" s="226"/>
      <c r="B2917" s="83"/>
      <c r="C2917" s="83"/>
      <c r="D2917" s="84"/>
      <c r="E2917" s="88"/>
      <c r="F2917" s="563" t="s">
        <v>4241</v>
      </c>
      <c r="G2917" s="564"/>
      <c r="H2917" s="233">
        <f>H2878+G2913+G2914+G2915</f>
        <v>851946.57724999997</v>
      </c>
    </row>
    <row r="2918" spans="1:14">
      <c r="A2918" s="83"/>
      <c r="B2918" s="83"/>
      <c r="C2918" s="83"/>
      <c r="D2918" s="84"/>
      <c r="E2918" s="388"/>
      <c r="F2918" s="389"/>
      <c r="G2918" s="389"/>
      <c r="H2918" s="390"/>
    </row>
    <row r="2919" spans="1:14" ht="16.5">
      <c r="A2919" s="90"/>
      <c r="B2919" s="90"/>
      <c r="C2919" s="90"/>
      <c r="D2919" s="90"/>
      <c r="E2919" s="90"/>
      <c r="F2919" s="90"/>
      <c r="G2919" s="90"/>
      <c r="H2919" s="381"/>
    </row>
    <row r="2920" spans="1:14">
      <c r="A2920" s="579" t="s">
        <v>4225</v>
      </c>
      <c r="B2920" s="580"/>
      <c r="C2920" s="580"/>
      <c r="D2920" s="580"/>
      <c r="E2920" s="580"/>
      <c r="F2920" s="580"/>
      <c r="G2920" s="580"/>
      <c r="H2920" s="581"/>
    </row>
    <row r="2921" spans="1:14" ht="16.5">
      <c r="A2921" s="91"/>
      <c r="B2921" s="92"/>
      <c r="C2921" s="92"/>
      <c r="D2921" s="92"/>
      <c r="E2921" s="92"/>
      <c r="F2921" s="93"/>
      <c r="G2921" s="94"/>
      <c r="H2921" s="380">
        <f>ROUND((30/60)/8,4)</f>
        <v>6.25E-2</v>
      </c>
      <c r="I2921" s="115"/>
    </row>
    <row r="2922" spans="1:14">
      <c r="A2922" s="582" t="s">
        <v>4220</v>
      </c>
      <c r="B2922" s="584" t="str">
        <f>COSTOS!$C$14</f>
        <v>MODERNIZACION A TECNOLOGIA LED</v>
      </c>
      <c r="C2922" s="584"/>
      <c r="D2922" s="584"/>
      <c r="E2922" s="584"/>
      <c r="F2922" s="584"/>
      <c r="G2922" s="584"/>
      <c r="H2922" s="585" t="s">
        <v>4221</v>
      </c>
    </row>
    <row r="2923" spans="1:14">
      <c r="A2923" s="583"/>
      <c r="B2923" s="584"/>
      <c r="C2923" s="584"/>
      <c r="D2923" s="584"/>
      <c r="E2923" s="584"/>
      <c r="F2923" s="584"/>
      <c r="G2923" s="584"/>
      <c r="H2923" s="585"/>
    </row>
    <row r="2924" spans="1:14">
      <c r="A2924" s="583"/>
      <c r="B2924" s="584"/>
      <c r="C2924" s="584"/>
      <c r="D2924" s="584"/>
      <c r="E2924" s="584"/>
      <c r="F2924" s="584"/>
      <c r="G2924" s="584"/>
      <c r="H2924" s="585"/>
    </row>
    <row r="2925" spans="1:14" ht="15" customHeight="1">
      <c r="A2925" s="583"/>
      <c r="B2925" s="584"/>
      <c r="C2925" s="584"/>
      <c r="D2925" s="584"/>
      <c r="E2925" s="584"/>
      <c r="F2925" s="584"/>
      <c r="G2925" s="584"/>
      <c r="H2925" s="216">
        <f ca="1">TODAY()</f>
        <v>44889</v>
      </c>
      <c r="K2925" t="s">
        <v>4391</v>
      </c>
      <c r="L2925" t="s">
        <v>4392</v>
      </c>
      <c r="M2925" t="s">
        <v>4393</v>
      </c>
      <c r="N2925" t="s">
        <v>4394</v>
      </c>
    </row>
    <row r="2926" spans="1:14" ht="60.75" customHeight="1">
      <c r="A2926" s="228" t="s">
        <v>4222</v>
      </c>
      <c r="B2926" s="565" t="str">
        <f>COSTOS!$D$16</f>
        <v>Luminarias</v>
      </c>
      <c r="C2926" s="565"/>
      <c r="D2926" s="565"/>
      <c r="E2926" s="565"/>
      <c r="F2926" s="565"/>
      <c r="G2926" s="70" t="s">
        <v>4223</v>
      </c>
      <c r="H2926" s="391">
        <v>1.58</v>
      </c>
      <c r="K2926" s="62">
        <f>H2951</f>
        <v>870239.14600000007</v>
      </c>
      <c r="L2926" s="62">
        <f>H2961</f>
        <v>22484</v>
      </c>
      <c r="M2926" s="62">
        <f>H2934</f>
        <v>4034.53125</v>
      </c>
      <c r="N2926" s="62">
        <f>H2955</f>
        <v>4800</v>
      </c>
    </row>
    <row r="2927" spans="1:14" ht="43.15" customHeight="1">
      <c r="A2927" s="229" t="s">
        <v>4224</v>
      </c>
      <c r="B2927" s="566" t="str">
        <f>VLOOKUP(H2926,COSTOS!C:M,2,0)</f>
        <v>Luminaria Led 90w</v>
      </c>
      <c r="C2927" s="567"/>
      <c r="D2927" s="567"/>
      <c r="E2927" s="568"/>
      <c r="F2927" s="71" t="s">
        <v>0</v>
      </c>
      <c r="G2927" s="356" t="str">
        <f>VLOOKUP(H2926,COSTOS!C:M,8,0)</f>
        <v>Und</v>
      </c>
      <c r="H2927" s="276"/>
      <c r="I2927" s="306"/>
      <c r="J2927" s="308"/>
      <c r="K2927" s="308"/>
      <c r="L2927" s="308"/>
    </row>
    <row r="2928" spans="1:14">
      <c r="A2928" s="230"/>
      <c r="B2928" s="112"/>
      <c r="C2928" s="112"/>
      <c r="D2928" s="112"/>
      <c r="E2928" s="113"/>
      <c r="F2928" s="114" t="s">
        <v>1</v>
      </c>
      <c r="G2928" s="356">
        <f>VLOOKUP(H2926,COSTOS!C:M,9,0)</f>
        <v>0</v>
      </c>
      <c r="H2928" s="357"/>
      <c r="I2928" s="307"/>
    </row>
    <row r="2929" spans="1:15" ht="16.5">
      <c r="A2929" s="231" t="s">
        <v>4226</v>
      </c>
      <c r="B2929" s="75"/>
      <c r="C2929" s="75"/>
      <c r="D2929" s="76"/>
      <c r="E2929" s="209"/>
      <c r="F2929" s="210"/>
      <c r="G2929" s="211" t="s">
        <v>4227</v>
      </c>
      <c r="H2929" s="217">
        <f>H2934+H2951+H2955+H2961</f>
        <v>901557.67725000007</v>
      </c>
    </row>
    <row r="2930" spans="1:15" ht="39">
      <c r="A2930" s="569" t="s">
        <v>4224</v>
      </c>
      <c r="B2930" s="569"/>
      <c r="C2930" s="569"/>
      <c r="D2930" s="77" t="s">
        <v>0</v>
      </c>
      <c r="E2930" s="207" t="s">
        <v>4228</v>
      </c>
      <c r="F2930" s="208" t="s">
        <v>4215</v>
      </c>
      <c r="G2930" s="74" t="s">
        <v>2</v>
      </c>
      <c r="H2930" s="218" t="s">
        <v>4229</v>
      </c>
      <c r="K2930" s="309"/>
    </row>
    <row r="2931" spans="1:15">
      <c r="A2931" s="536" t="s">
        <v>3946</v>
      </c>
      <c r="B2931" s="570" t="str">
        <f>VLOOKUP(A2931,'Equip, Herr y Transp'!$B$2:$D$739,2,0)</f>
        <v>EQU</v>
      </c>
      <c r="C2931" s="570"/>
      <c r="D2931" s="95" t="str">
        <f>VLOOKUP(A2931,'Equip, Herr y Transp'!$B$2:$D$218,2,0)</f>
        <v>EQU</v>
      </c>
      <c r="E2931" s="95">
        <f>VLOOKUP(A2931,'Equip, Herr y Transp'!$B$2:$D$218,3,0)</f>
        <v>14130</v>
      </c>
      <c r="F2931" s="96">
        <f>H2921</f>
        <v>6.25E-2</v>
      </c>
      <c r="G2931" s="122">
        <f>F2931*E2931</f>
        <v>883.125</v>
      </c>
      <c r="H2931" s="118"/>
    </row>
    <row r="2932" spans="1:15">
      <c r="A2932" s="536" t="s">
        <v>3904</v>
      </c>
      <c r="B2932" s="570" t="str">
        <f>VLOOKUP(A2932,'Equip, Herr y Transp'!$B$2:$D$739,2,0)</f>
        <v>EQU</v>
      </c>
      <c r="C2932" s="570"/>
      <c r="D2932" s="95" t="str">
        <f>VLOOKUP(A2932,'Equip, Herr y Transp'!$B$2:$D$218,2,0)</f>
        <v>EQU</v>
      </c>
      <c r="E2932" s="95">
        <f>VLOOKUP(A2932,'Equip, Herr y Transp'!$B$2:$D$218,3,0)</f>
        <v>26672.5</v>
      </c>
      <c r="F2932" s="96">
        <f>H2921</f>
        <v>6.25E-2</v>
      </c>
      <c r="G2932" s="122">
        <f>F2932*E2932</f>
        <v>1667.03125</v>
      </c>
      <c r="H2932" s="117"/>
    </row>
    <row r="2933" spans="1:15">
      <c r="A2933" s="536" t="s">
        <v>3937</v>
      </c>
      <c r="B2933" s="570" t="str">
        <f>VLOOKUP(A2933,'Equip, Herr y Transp'!$B$2:$D$739,2,0)</f>
        <v>EQU</v>
      </c>
      <c r="C2933" s="570"/>
      <c r="D2933" s="95" t="str">
        <f>VLOOKUP(A2933,'Equip, Herr y Transp'!$B$2:$D$218,2,0)</f>
        <v>EQU</v>
      </c>
      <c r="E2933" s="95">
        <f>VLOOKUP(A2933,'Equip, Herr y Transp'!$B$2:$D$218,3,0)</f>
        <v>23750</v>
      </c>
      <c r="F2933" s="96">
        <f>H2921</f>
        <v>6.25E-2</v>
      </c>
      <c r="G2933" s="122">
        <f>F2933*E2933</f>
        <v>1484.375</v>
      </c>
      <c r="H2933" s="117"/>
    </row>
    <row r="2934" spans="1:15" ht="16.5">
      <c r="A2934" s="540" t="s">
        <v>4100</v>
      </c>
      <c r="B2934" s="541"/>
      <c r="C2934" s="541"/>
      <c r="D2934" s="541"/>
      <c r="E2934" s="541"/>
      <c r="F2934" s="541"/>
      <c r="G2934" s="541"/>
      <c r="H2934" s="97">
        <f>SUM(G2931:G2933)</f>
        <v>4034.53125</v>
      </c>
    </row>
    <row r="2935" spans="1:15" ht="16.5">
      <c r="A2935" s="571" t="s">
        <v>4230</v>
      </c>
      <c r="B2935" s="572"/>
      <c r="C2935" s="572"/>
      <c r="D2935" s="572"/>
      <c r="E2935" s="572"/>
      <c r="F2935" s="572"/>
      <c r="G2935" s="572"/>
      <c r="H2935" s="573"/>
      <c r="K2935" s="56"/>
      <c r="L2935" s="56"/>
      <c r="M2935" s="56"/>
      <c r="N2935" s="56"/>
      <c r="O2935" s="56"/>
    </row>
    <row r="2936" spans="1:15" ht="30" customHeight="1">
      <c r="A2936" s="574" t="s">
        <v>7</v>
      </c>
      <c r="B2936" s="575"/>
      <c r="C2936" s="109" t="s">
        <v>0</v>
      </c>
      <c r="D2936" s="110" t="s">
        <v>4098</v>
      </c>
      <c r="E2936" s="111" t="s">
        <v>1</v>
      </c>
      <c r="F2936" s="576" t="s">
        <v>4218</v>
      </c>
      <c r="G2936" s="576"/>
      <c r="H2936" s="215"/>
      <c r="K2936" s="56"/>
      <c r="L2936" s="56"/>
      <c r="M2936" s="56"/>
      <c r="N2936" s="56"/>
      <c r="O2936" s="56"/>
    </row>
    <row r="2937" spans="1:15">
      <c r="A2937" s="577" t="s">
        <v>4768</v>
      </c>
      <c r="B2937" s="578"/>
      <c r="C2937" s="98" t="str">
        <f>VLOOKUP(A2937,'Materiales '!$C$2:$F$1302,3,0)</f>
        <v>Und</v>
      </c>
      <c r="D2937" s="99">
        <f>VLOOKUP(A2937,'Materiales '!$C$2:$F$1302,4,0)</f>
        <v>731600.10000000009</v>
      </c>
      <c r="E2937" s="100">
        <v>1</v>
      </c>
      <c r="F2937" s="538">
        <f>E2937*D2937</f>
        <v>731600.10000000009</v>
      </c>
      <c r="G2937" s="539"/>
      <c r="H2937" s="121"/>
      <c r="I2937">
        <f>E2937*G2928</f>
        <v>0</v>
      </c>
      <c r="J2937" s="67"/>
      <c r="K2937" s="56"/>
      <c r="L2937" s="56"/>
      <c r="M2937" s="56"/>
      <c r="N2937" s="56"/>
      <c r="O2937" s="56"/>
    </row>
    <row r="2938" spans="1:15">
      <c r="A2938" s="577" t="s">
        <v>4214</v>
      </c>
      <c r="B2938" s="578"/>
      <c r="C2938" s="98" t="str">
        <f>VLOOKUP(A2938,'Materiales '!$C$2:$F$1302,3,0)</f>
        <v>Und</v>
      </c>
      <c r="D2938" s="99">
        <f>VLOOKUP(A2938,'Materiales '!$C$2:$F$1302,4,0)</f>
        <v>22848</v>
      </c>
      <c r="E2938" s="100">
        <v>1</v>
      </c>
      <c r="F2938" s="538">
        <f t="shared" ref="F2938:F2944" si="172">E2938*D2938</f>
        <v>22848</v>
      </c>
      <c r="G2938" s="539"/>
      <c r="H2938" s="121"/>
      <c r="I2938">
        <f>E2938*G2928</f>
        <v>0</v>
      </c>
      <c r="J2938" s="67"/>
      <c r="K2938" s="56"/>
      <c r="L2938" s="56"/>
      <c r="M2938" s="56"/>
      <c r="N2938" s="56"/>
      <c r="O2938" s="56"/>
    </row>
    <row r="2939" spans="1:15">
      <c r="A2939" s="536" t="s">
        <v>4484</v>
      </c>
      <c r="B2939" s="537" t="str">
        <f>VLOOKUP(A2939,'Materiales '!$C$2:$F$1302,3,0)</f>
        <v>Und</v>
      </c>
      <c r="C2939" s="98" t="str">
        <f>VLOOKUP(A2939,'Materiales '!$C$2:$F$1302,3,0)</f>
        <v>Und</v>
      </c>
      <c r="D2939" s="99">
        <f>VLOOKUP(A2939,'Materiales '!$C$2:$F$1302,4,0)</f>
        <v>21705.599999999999</v>
      </c>
      <c r="E2939" s="100">
        <v>2</v>
      </c>
      <c r="F2939" s="538">
        <f t="shared" si="172"/>
        <v>43411.199999999997</v>
      </c>
      <c r="G2939" s="539"/>
      <c r="H2939" s="121"/>
      <c r="I2939">
        <f>E2939*G2928</f>
        <v>0</v>
      </c>
      <c r="J2939" s="68"/>
      <c r="K2939" s="56"/>
      <c r="L2939" s="56"/>
      <c r="M2939" s="56"/>
      <c r="N2939" s="56"/>
      <c r="O2939" s="56"/>
    </row>
    <row r="2940" spans="1:15">
      <c r="A2940" s="536" t="s">
        <v>4489</v>
      </c>
      <c r="B2940" s="537" t="str">
        <f>VLOOKUP(A2940,'Materiales '!$C$2:$F$1302,3,0)</f>
        <v>Und</v>
      </c>
      <c r="C2940" s="98" t="str">
        <f>VLOOKUP(A2940,'Materiales '!$C$2:$F$1302,3,0)</f>
        <v>Und</v>
      </c>
      <c r="D2940" s="99">
        <f>VLOOKUP(A2940,'Materiales '!$C$2:$F$1302,4,0)</f>
        <v>8039.6399999999994</v>
      </c>
      <c r="E2940" s="100">
        <v>3</v>
      </c>
      <c r="F2940" s="538">
        <f t="shared" si="172"/>
        <v>24118.92</v>
      </c>
      <c r="G2940" s="539"/>
      <c r="H2940" s="121"/>
      <c r="I2940">
        <f>E2940*G2928</f>
        <v>0</v>
      </c>
      <c r="J2940" s="68"/>
      <c r="K2940" s="56"/>
      <c r="L2940" s="56"/>
      <c r="M2940" s="56"/>
      <c r="N2940" s="56"/>
      <c r="O2940" s="56"/>
    </row>
    <row r="2941" spans="1:15">
      <c r="A2941" s="536" t="s">
        <v>4554</v>
      </c>
      <c r="B2941" s="537" t="str">
        <f>VLOOKUP(A2941,'Materiales '!$C$2:$F$1302,3,0)</f>
        <v>Und</v>
      </c>
      <c r="C2941" s="98" t="str">
        <f>VLOOKUP(A2941,'Materiales '!$C$2:$F$1302,3,0)</f>
        <v>Und</v>
      </c>
      <c r="D2941" s="99">
        <f>VLOOKUP(A2941,'Materiales '!$C$2:$F$1302,4,0)</f>
        <v>2535.5329999999999</v>
      </c>
      <c r="E2941" s="100">
        <v>2</v>
      </c>
      <c r="F2941" s="538">
        <f t="shared" si="172"/>
        <v>5071.0659999999998</v>
      </c>
      <c r="G2941" s="539"/>
      <c r="H2941" s="121"/>
      <c r="I2941">
        <f>E2941*G2928</f>
        <v>0</v>
      </c>
      <c r="J2941" s="68"/>
      <c r="K2941" s="56"/>
      <c r="L2941" s="56"/>
      <c r="M2941" s="56"/>
      <c r="N2941" s="56"/>
      <c r="O2941" s="56"/>
    </row>
    <row r="2942" spans="1:15">
      <c r="A2942" s="536" t="s">
        <v>4450</v>
      </c>
      <c r="B2942" s="537" t="str">
        <f>VLOOKUP(A2942,'Materiales '!$C$2:$F$1302,3,0)</f>
        <v>Ml</v>
      </c>
      <c r="C2942" s="98" t="str">
        <f>VLOOKUP(A2942,'Materiales '!$C$2:$F$1302,3,0)</f>
        <v>Ml</v>
      </c>
      <c r="D2942" s="99">
        <f>VLOOKUP(A2942,'Materiales '!$C$2:$F$1302,4,0)</f>
        <v>6791.5679999999993</v>
      </c>
      <c r="E2942" s="100">
        <v>1</v>
      </c>
      <c r="F2942" s="538">
        <f t="shared" si="172"/>
        <v>6791.5679999999993</v>
      </c>
      <c r="G2942" s="539"/>
      <c r="H2942" s="121"/>
      <c r="I2942">
        <f>E2942*G2928</f>
        <v>0</v>
      </c>
      <c r="J2942" s="68"/>
      <c r="K2942" s="56"/>
      <c r="L2942" s="56"/>
      <c r="M2942" s="56"/>
      <c r="N2942" s="56"/>
      <c r="O2942" s="56"/>
    </row>
    <row r="2943" spans="1:15">
      <c r="A2943" s="536" t="s">
        <v>4493</v>
      </c>
      <c r="B2943" s="537" t="str">
        <f>VLOOKUP(A2943,'Materiales '!$C$2:$F$1302,3,0)</f>
        <v>Und</v>
      </c>
      <c r="C2943" s="98" t="str">
        <f>VLOOKUP(A2943,'Materiales '!$C$2:$F$1302,3,0)</f>
        <v>Und</v>
      </c>
      <c r="D2943" s="99">
        <f>VLOOKUP(A2943,'Materiales '!$C$2:$F$1302,4,0)</f>
        <v>232.76399999999998</v>
      </c>
      <c r="E2943" s="100">
        <v>3</v>
      </c>
      <c r="F2943" s="538">
        <f t="shared" si="172"/>
        <v>698.29199999999992</v>
      </c>
      <c r="G2943" s="539"/>
      <c r="H2943" s="121"/>
      <c r="I2943">
        <f>E2943*G2928</f>
        <v>0</v>
      </c>
      <c r="J2943" s="68"/>
      <c r="K2943" s="56"/>
      <c r="L2943" s="56"/>
      <c r="M2943" s="56"/>
      <c r="N2943" s="56"/>
      <c r="O2943" s="56"/>
    </row>
    <row r="2944" spans="1:15" ht="21.75" customHeight="1">
      <c r="A2944" s="536" t="s">
        <v>4639</v>
      </c>
      <c r="B2944" s="537" t="str">
        <f>VLOOKUP(A2944,'Materiales '!$C$2:$F$1302,3,0)</f>
        <v>Und</v>
      </c>
      <c r="C2944" s="98" t="str">
        <f>VLOOKUP(A2944,'Materiales '!$C$2:$F$1302,3,0)</f>
        <v>Und</v>
      </c>
      <c r="D2944" s="99">
        <f>VLOOKUP(A2944,'Materiales '!$C$2:$F$1302,4,0)</f>
        <v>35700</v>
      </c>
      <c r="E2944" s="100">
        <v>1</v>
      </c>
      <c r="F2944" s="538">
        <f t="shared" si="172"/>
        <v>35700</v>
      </c>
      <c r="G2944" s="539"/>
      <c r="H2944" s="121"/>
      <c r="I2944">
        <f>E2944*G2928</f>
        <v>0</v>
      </c>
      <c r="J2944" s="68"/>
      <c r="K2944" s="56"/>
      <c r="L2944" s="56"/>
      <c r="M2944" s="56"/>
      <c r="N2944" s="56"/>
      <c r="O2944" s="56"/>
    </row>
    <row r="2945" spans="1:15">
      <c r="A2945" s="536" t="s">
        <v>8</v>
      </c>
      <c r="B2945" s="537" t="str">
        <f>VLOOKUP(A2945,'Materiales '!$C$2:$F$1302,3,0)</f>
        <v>-</v>
      </c>
      <c r="C2945" s="98" t="str">
        <f>VLOOKUP(A2945,'Materiales '!$C$2:$F$1302,3,0)</f>
        <v>-</v>
      </c>
      <c r="D2945" s="99">
        <f>VLOOKUP(A2945,'Materiales '!$C$2:$F$1302,4,0)</f>
        <v>0</v>
      </c>
      <c r="E2945" s="100"/>
      <c r="F2945" s="538">
        <f>E2945*D2945</f>
        <v>0</v>
      </c>
      <c r="G2945" s="539"/>
      <c r="H2945" s="120"/>
      <c r="I2945">
        <f>E2945*G2928</f>
        <v>0</v>
      </c>
      <c r="J2945" s="68"/>
      <c r="K2945" s="56"/>
      <c r="L2945" s="56"/>
      <c r="M2945" s="56"/>
      <c r="N2945" s="56"/>
      <c r="O2945" s="56"/>
    </row>
    <row r="2946" spans="1:15">
      <c r="A2946" s="536" t="s">
        <v>8</v>
      </c>
      <c r="B2946" s="537" t="str">
        <f>VLOOKUP(A2946,'Materiales '!$C$2:$F$1302,3,0)</f>
        <v>-</v>
      </c>
      <c r="C2946" s="98" t="str">
        <f>VLOOKUP(A2946,'Materiales '!$C$2:$F$1302,3,0)</f>
        <v>-</v>
      </c>
      <c r="D2946" s="99">
        <f>VLOOKUP(A2946,'Materiales '!$C$2:$F$1302,4,0)</f>
        <v>0</v>
      </c>
      <c r="E2946" s="100"/>
      <c r="F2946" s="538">
        <f t="shared" ref="F2946:F2949" si="173">E2946*D2946</f>
        <v>0</v>
      </c>
      <c r="G2946" s="539"/>
      <c r="H2946" s="121"/>
      <c r="I2946">
        <f>E2946*G2928</f>
        <v>0</v>
      </c>
      <c r="J2946" s="68"/>
      <c r="K2946" s="56"/>
      <c r="L2946" s="56"/>
      <c r="M2946" s="56"/>
      <c r="N2946" s="56"/>
      <c r="O2946" s="56"/>
    </row>
    <row r="2947" spans="1:15">
      <c r="A2947" s="536" t="s">
        <v>8</v>
      </c>
      <c r="B2947" s="537" t="str">
        <f>VLOOKUP(A2947,'Materiales '!$C$2:$F$1302,3,0)</f>
        <v>-</v>
      </c>
      <c r="C2947" s="98" t="str">
        <f>VLOOKUP(A2947,'Materiales '!$C$2:$F$1302,3,0)</f>
        <v>-</v>
      </c>
      <c r="D2947" s="99">
        <f>VLOOKUP(A2947,'Materiales '!$C$2:$F$1302,4,0)</f>
        <v>0</v>
      </c>
      <c r="E2947" s="100"/>
      <c r="F2947" s="538">
        <f t="shared" si="173"/>
        <v>0</v>
      </c>
      <c r="G2947" s="539"/>
      <c r="H2947" s="121"/>
      <c r="I2947">
        <f>E2947*G2928</f>
        <v>0</v>
      </c>
      <c r="J2947" s="68"/>
      <c r="K2947" s="56"/>
      <c r="L2947" s="56"/>
      <c r="M2947" s="56"/>
      <c r="N2947" s="56"/>
      <c r="O2947" s="56"/>
    </row>
    <row r="2948" spans="1:15">
      <c r="A2948" s="536" t="s">
        <v>8</v>
      </c>
      <c r="B2948" s="537" t="str">
        <f>VLOOKUP(A2948,'Materiales '!$C$2:$F$1302,3,0)</f>
        <v>-</v>
      </c>
      <c r="C2948" s="98" t="str">
        <f>VLOOKUP(A2948,'Materiales '!$C$2:$F$1302,3,0)</f>
        <v>-</v>
      </c>
      <c r="D2948" s="99">
        <f>VLOOKUP(A2948,'Materiales '!$C$2:$F$1302,4,0)</f>
        <v>0</v>
      </c>
      <c r="E2948" s="100"/>
      <c r="F2948" s="538">
        <f t="shared" si="173"/>
        <v>0</v>
      </c>
      <c r="G2948" s="539"/>
      <c r="H2948" s="121"/>
      <c r="I2948">
        <f>E2948*G2928</f>
        <v>0</v>
      </c>
      <c r="J2948" s="68"/>
      <c r="K2948" s="56"/>
      <c r="L2948" s="56"/>
      <c r="M2948" s="56"/>
      <c r="N2948" s="56"/>
      <c r="O2948" s="56"/>
    </row>
    <row r="2949" spans="1:15">
      <c r="A2949" s="536" t="s">
        <v>8</v>
      </c>
      <c r="B2949" s="537" t="str">
        <f>VLOOKUP(A2949,'Materiales '!$C$2:$F$1302,3,0)</f>
        <v>-</v>
      </c>
      <c r="C2949" s="98" t="str">
        <f>VLOOKUP(A2949,'Materiales '!$C$2:$F$1302,3,0)</f>
        <v>-</v>
      </c>
      <c r="D2949" s="99">
        <f>VLOOKUP(A2949,'Materiales '!$C$2:$F$1302,4,0)</f>
        <v>0</v>
      </c>
      <c r="E2949" s="100"/>
      <c r="F2949" s="538">
        <f t="shared" si="173"/>
        <v>0</v>
      </c>
      <c r="G2949" s="539"/>
      <c r="H2949" s="121"/>
      <c r="I2949">
        <f>E2949*G2928</f>
        <v>0</v>
      </c>
      <c r="J2949" s="68"/>
      <c r="K2949" s="56"/>
      <c r="L2949" s="56"/>
      <c r="M2949" s="56"/>
      <c r="N2949" s="56"/>
      <c r="O2949" s="56"/>
    </row>
    <row r="2950" spans="1:15">
      <c r="A2950" s="536" t="s">
        <v>8</v>
      </c>
      <c r="B2950" s="537" t="str">
        <f>VLOOKUP(A2950,'Materiales '!$C$2:$F$1302,3,0)</f>
        <v>-</v>
      </c>
      <c r="C2950" s="98" t="str">
        <f>VLOOKUP(A2950,'Materiales '!$C$2:$F$1302,3,0)</f>
        <v>-</v>
      </c>
      <c r="D2950" s="99">
        <f>VLOOKUP(A2950,'Materiales '!$C$2:$F$1302,4,0)</f>
        <v>0</v>
      </c>
      <c r="E2950" s="100"/>
      <c r="F2950" s="538">
        <f>E2950*D2950</f>
        <v>0</v>
      </c>
      <c r="G2950" s="539"/>
      <c r="H2950" s="120"/>
      <c r="I2950">
        <f>E2950*G2928</f>
        <v>0</v>
      </c>
      <c r="J2950" s="68"/>
      <c r="K2950" s="56"/>
      <c r="L2950" s="56"/>
      <c r="M2950" s="56"/>
      <c r="N2950" s="56"/>
      <c r="O2950" s="56"/>
    </row>
    <row r="2951" spans="1:15" ht="16.5">
      <c r="A2951" s="540" t="s">
        <v>4099</v>
      </c>
      <c r="B2951" s="541"/>
      <c r="C2951" s="541"/>
      <c r="D2951" s="541"/>
      <c r="E2951" s="541"/>
      <c r="F2951" s="541"/>
      <c r="G2951" s="542"/>
      <c r="H2951" s="116">
        <f>SUM(F2937:F2950)</f>
        <v>870239.14600000007</v>
      </c>
      <c r="J2951" s="68"/>
      <c r="K2951" s="56"/>
      <c r="L2951" s="56"/>
      <c r="M2951" s="56"/>
      <c r="N2951" s="56"/>
      <c r="O2951" s="56"/>
    </row>
    <row r="2952" spans="1:15" ht="16.5">
      <c r="A2952" s="543" t="s">
        <v>4231</v>
      </c>
      <c r="B2952" s="544"/>
      <c r="C2952" s="544"/>
      <c r="D2952" s="544"/>
      <c r="E2952" s="545"/>
      <c r="F2952" s="544"/>
      <c r="G2952" s="544"/>
      <c r="H2952" s="546"/>
      <c r="J2952" s="68"/>
      <c r="K2952" s="56"/>
      <c r="L2952" s="56"/>
      <c r="M2952" s="56"/>
      <c r="N2952" s="56"/>
      <c r="O2952" s="56"/>
    </row>
    <row r="2953" spans="1:15">
      <c r="A2953" s="547" t="s">
        <v>7</v>
      </c>
      <c r="B2953" s="548"/>
      <c r="C2953" s="108" t="s">
        <v>4232</v>
      </c>
      <c r="D2953" s="107" t="s">
        <v>4233</v>
      </c>
      <c r="E2953" s="206" t="s">
        <v>4234</v>
      </c>
      <c r="F2953" s="549" t="s">
        <v>4218</v>
      </c>
      <c r="G2953" s="549"/>
      <c r="H2953" s="119"/>
      <c r="K2953" s="56"/>
      <c r="L2953" s="56"/>
      <c r="M2953" s="56"/>
      <c r="N2953" s="56"/>
      <c r="O2953" s="56"/>
    </row>
    <row r="2954" spans="1:15">
      <c r="A2954" s="550" t="s">
        <v>3928</v>
      </c>
      <c r="B2954" s="551"/>
      <c r="C2954" s="232">
        <v>1</v>
      </c>
      <c r="D2954" s="102">
        <v>0.03</v>
      </c>
      <c r="E2954" s="103">
        <f>VLOOKUP(A2954,'Equip, Herr y Transp'!$B$2:$D$218,3,0)</f>
        <v>160000</v>
      </c>
      <c r="F2954" s="552">
        <f>E2954*D2954*C2954</f>
        <v>4800</v>
      </c>
      <c r="G2954" s="553"/>
      <c r="H2954" s="117"/>
      <c r="M2954" s="56"/>
    </row>
    <row r="2955" spans="1:15" ht="16.5">
      <c r="A2955" s="554" t="s">
        <v>4216</v>
      </c>
      <c r="B2955" s="555"/>
      <c r="C2955" s="555"/>
      <c r="D2955" s="555"/>
      <c r="E2955" s="555"/>
      <c r="F2955" s="555"/>
      <c r="G2955" s="555"/>
      <c r="H2955" s="105">
        <f>F2954</f>
        <v>4800</v>
      </c>
    </row>
    <row r="2956" spans="1:15" ht="16.5">
      <c r="A2956" s="543" t="s">
        <v>4235</v>
      </c>
      <c r="B2956" s="544"/>
      <c r="C2956" s="544"/>
      <c r="D2956" s="544"/>
      <c r="E2956" s="544"/>
      <c r="F2956" s="544"/>
      <c r="G2956" s="544"/>
      <c r="H2956" s="546"/>
    </row>
    <row r="2957" spans="1:15">
      <c r="A2957" s="547" t="s">
        <v>7</v>
      </c>
      <c r="B2957" s="548"/>
      <c r="C2957" s="106" t="s">
        <v>1</v>
      </c>
      <c r="D2957" s="107" t="s">
        <v>4236</v>
      </c>
      <c r="E2957" s="108" t="s">
        <v>4215</v>
      </c>
      <c r="F2957" s="547" t="s">
        <v>5</v>
      </c>
      <c r="G2957" s="556"/>
      <c r="H2957" s="119"/>
    </row>
    <row r="2958" spans="1:15">
      <c r="A2958" s="550" t="s">
        <v>4196</v>
      </c>
      <c r="B2958" s="551"/>
      <c r="C2958" s="101">
        <v>1</v>
      </c>
      <c r="D2958" s="104">
        <f>VLOOKUP(A2958,'Mano Obra'!$B$2:$T$117,19,0)</f>
        <v>166624</v>
      </c>
      <c r="E2958" s="246">
        <f>H2921</f>
        <v>6.25E-2</v>
      </c>
      <c r="F2958" s="538">
        <f>E2958*D2958*C2958</f>
        <v>10414</v>
      </c>
      <c r="G2958" s="557"/>
      <c r="H2958" s="121"/>
      <c r="I2958" s="69"/>
      <c r="J2958" s="136">
        <f>((('Mano Obra'!$M$4/30)*F2958)/D2958)*G2928</f>
        <v>0</v>
      </c>
    </row>
    <row r="2959" spans="1:15">
      <c r="A2959" s="558" t="s">
        <v>4197</v>
      </c>
      <c r="B2959" s="559">
        <f>VLOOKUP(A2959,'Mano Obra'!$B$3:$D$290,2,0)</f>
        <v>2090000.0000000002</v>
      </c>
      <c r="C2959" s="101">
        <v>1</v>
      </c>
      <c r="D2959" s="104">
        <f>VLOOKUP(A2959,'Mano Obra'!$B$2:$T$117,19,0)</f>
        <v>120456</v>
      </c>
      <c r="E2959" s="246">
        <f>H2921</f>
        <v>6.25E-2</v>
      </c>
      <c r="F2959" s="538">
        <f t="shared" ref="F2959:F2960" si="174">E2959*D2959*C2959</f>
        <v>7528.5</v>
      </c>
      <c r="G2959" s="557"/>
      <c r="H2959" s="121"/>
      <c r="J2959" s="136">
        <f>((('Mano Obra'!$M$5/30)*F2959)/D2959)*G2928</f>
        <v>0</v>
      </c>
    </row>
    <row r="2960" spans="1:15">
      <c r="A2960" s="558" t="s">
        <v>4186</v>
      </c>
      <c r="B2960" s="559">
        <f>VLOOKUP(A2960,'Mano Obra'!$B$3:$D$290,2,0)</f>
        <v>1100000</v>
      </c>
      <c r="C2960" s="101">
        <v>1</v>
      </c>
      <c r="D2960" s="104">
        <f>VLOOKUP(A2960,'Mano Obra'!$B$2:$T$117,19,0)</f>
        <v>72664</v>
      </c>
      <c r="E2960" s="246">
        <f>H2921</f>
        <v>6.25E-2</v>
      </c>
      <c r="F2960" s="538">
        <f t="shared" si="174"/>
        <v>4541.5</v>
      </c>
      <c r="G2960" s="557"/>
      <c r="H2960" s="120"/>
      <c r="J2960" s="136">
        <f>((('Mano Obra'!$M$6/30)*F2960)/D2960)*G2928</f>
        <v>0</v>
      </c>
    </row>
    <row r="2961" spans="1:14" ht="16.5">
      <c r="A2961" s="560" t="s">
        <v>4101</v>
      </c>
      <c r="B2961" s="560"/>
      <c r="C2961" s="560"/>
      <c r="D2961" s="560"/>
      <c r="E2961" s="560"/>
      <c r="F2961" s="560"/>
      <c r="G2961" s="560"/>
      <c r="H2961" s="105">
        <f>SUM(F2958:F2960)</f>
        <v>22484</v>
      </c>
      <c r="J2961" s="136"/>
    </row>
    <row r="2962" spans="1:14">
      <c r="A2962" s="227" t="s">
        <v>4237</v>
      </c>
      <c r="B2962" s="205"/>
      <c r="C2962" s="205"/>
      <c r="D2962" s="202"/>
      <c r="E2962" s="203"/>
      <c r="F2962" s="204"/>
      <c r="G2962" s="203"/>
      <c r="H2962" s="212"/>
    </row>
    <row r="2963" spans="1:14">
      <c r="A2963" s="561" t="s">
        <v>4224</v>
      </c>
      <c r="B2963" s="562"/>
      <c r="C2963" s="562"/>
      <c r="D2963" s="562"/>
      <c r="E2963" s="200"/>
      <c r="F2963" s="201" t="s">
        <v>4238</v>
      </c>
      <c r="G2963" s="200" t="s">
        <v>4239</v>
      </c>
      <c r="H2963" s="213"/>
    </row>
    <row r="2964" spans="1:14">
      <c r="A2964" s="223" t="s">
        <v>4097</v>
      </c>
      <c r="B2964" s="72"/>
      <c r="C2964" s="72"/>
      <c r="D2964" s="73"/>
      <c r="E2964" s="78"/>
      <c r="F2964" s="79">
        <v>0</v>
      </c>
      <c r="G2964" s="80">
        <f>F2964*H2929</f>
        <v>0</v>
      </c>
      <c r="H2964" s="212"/>
    </row>
    <row r="2965" spans="1:14">
      <c r="A2965" s="224" t="s">
        <v>4240</v>
      </c>
      <c r="B2965" s="81"/>
      <c r="C2965" s="81"/>
      <c r="D2965" s="82"/>
      <c r="E2965" s="78"/>
      <c r="F2965" s="79">
        <v>0</v>
      </c>
      <c r="G2965" s="80">
        <f>F2965*H2929</f>
        <v>0</v>
      </c>
      <c r="H2965" s="212"/>
    </row>
    <row r="2966" spans="1:14">
      <c r="A2966" s="224" t="s">
        <v>4</v>
      </c>
      <c r="B2966" s="81"/>
      <c r="C2966" s="81"/>
      <c r="D2966" s="82"/>
      <c r="E2966" s="78"/>
      <c r="F2966" s="79">
        <v>0</v>
      </c>
      <c r="G2966" s="80">
        <f>F2966*H2929</f>
        <v>0</v>
      </c>
      <c r="H2966" s="212"/>
    </row>
    <row r="2967" spans="1:14">
      <c r="A2967" s="225"/>
      <c r="B2967" s="83"/>
      <c r="C2967" s="75"/>
      <c r="D2967" s="84"/>
      <c r="E2967" s="85"/>
      <c r="F2967" s="86"/>
      <c r="G2967" s="87"/>
      <c r="H2967" s="214"/>
    </row>
    <row r="2968" spans="1:14">
      <c r="A2968" s="226"/>
      <c r="B2968" s="83"/>
      <c r="C2968" s="83"/>
      <c r="D2968" s="84"/>
      <c r="E2968" s="88"/>
      <c r="F2968" s="563" t="s">
        <v>4241</v>
      </c>
      <c r="G2968" s="564"/>
      <c r="H2968" s="233">
        <f>H2929+G2964+G2965+G2966</f>
        <v>901557.67725000007</v>
      </c>
    </row>
    <row r="2969" spans="1:14">
      <c r="A2969" s="83"/>
      <c r="B2969" s="83"/>
      <c r="C2969" s="83"/>
      <c r="D2969" s="84"/>
      <c r="E2969" s="388"/>
      <c r="F2969" s="389"/>
      <c r="G2969" s="389"/>
      <c r="H2969" s="390"/>
    </row>
    <row r="2970" spans="1:14" ht="16.5">
      <c r="A2970" s="90"/>
      <c r="B2970" s="90"/>
      <c r="C2970" s="90"/>
      <c r="D2970" s="90"/>
      <c r="E2970" s="90"/>
      <c r="F2970" s="90"/>
      <c r="G2970" s="90"/>
      <c r="H2970" s="381"/>
    </row>
    <row r="2971" spans="1:14">
      <c r="A2971" s="579" t="s">
        <v>4225</v>
      </c>
      <c r="B2971" s="580"/>
      <c r="C2971" s="580"/>
      <c r="D2971" s="580"/>
      <c r="E2971" s="580"/>
      <c r="F2971" s="580"/>
      <c r="G2971" s="580"/>
      <c r="H2971" s="581"/>
    </row>
    <row r="2972" spans="1:14" ht="16.5">
      <c r="A2972" s="91"/>
      <c r="B2972" s="92"/>
      <c r="C2972" s="92"/>
      <c r="D2972" s="92"/>
      <c r="E2972" s="92"/>
      <c r="F2972" s="93"/>
      <c r="G2972" s="94"/>
      <c r="H2972" s="380">
        <f>ROUND((30/60)/8,4)</f>
        <v>6.25E-2</v>
      </c>
      <c r="I2972" s="115"/>
    </row>
    <row r="2973" spans="1:14">
      <c r="A2973" s="582" t="s">
        <v>4220</v>
      </c>
      <c r="B2973" s="584" t="str">
        <f>COSTOS!$C$14</f>
        <v>MODERNIZACION A TECNOLOGIA LED</v>
      </c>
      <c r="C2973" s="584"/>
      <c r="D2973" s="584"/>
      <c r="E2973" s="584"/>
      <c r="F2973" s="584"/>
      <c r="G2973" s="584"/>
      <c r="H2973" s="585" t="s">
        <v>4221</v>
      </c>
    </row>
    <row r="2974" spans="1:14">
      <c r="A2974" s="583"/>
      <c r="B2974" s="584"/>
      <c r="C2974" s="584"/>
      <c r="D2974" s="584"/>
      <c r="E2974" s="584"/>
      <c r="F2974" s="584"/>
      <c r="G2974" s="584"/>
      <c r="H2974" s="585"/>
    </row>
    <row r="2975" spans="1:14">
      <c r="A2975" s="583"/>
      <c r="B2975" s="584"/>
      <c r="C2975" s="584"/>
      <c r="D2975" s="584"/>
      <c r="E2975" s="584"/>
      <c r="F2975" s="584"/>
      <c r="G2975" s="584"/>
      <c r="H2975" s="585"/>
    </row>
    <row r="2976" spans="1:14" ht="15" customHeight="1">
      <c r="A2976" s="583"/>
      <c r="B2976" s="584"/>
      <c r="C2976" s="584"/>
      <c r="D2976" s="584"/>
      <c r="E2976" s="584"/>
      <c r="F2976" s="584"/>
      <c r="G2976" s="584"/>
      <c r="H2976" s="216">
        <f ca="1">TODAY()</f>
        <v>44889</v>
      </c>
      <c r="K2976" t="s">
        <v>4391</v>
      </c>
      <c r="L2976" t="s">
        <v>4392</v>
      </c>
      <c r="M2976" t="s">
        <v>4393</v>
      </c>
      <c r="N2976" t="s">
        <v>4394</v>
      </c>
    </row>
    <row r="2977" spans="1:15" ht="60.75" customHeight="1">
      <c r="A2977" s="228" t="s">
        <v>4222</v>
      </c>
      <c r="B2977" s="565" t="str">
        <f>COSTOS!$D$16</f>
        <v>Luminarias</v>
      </c>
      <c r="C2977" s="565"/>
      <c r="D2977" s="565"/>
      <c r="E2977" s="565"/>
      <c r="F2977" s="565"/>
      <c r="G2977" s="70" t="s">
        <v>4223</v>
      </c>
      <c r="H2977" s="391">
        <v>1.59</v>
      </c>
      <c r="K2977" s="62">
        <f>H3002</f>
        <v>870239.14600000007</v>
      </c>
      <c r="L2977" s="62">
        <f>H3012</f>
        <v>22484</v>
      </c>
      <c r="M2977" s="62">
        <f>H2985</f>
        <v>4034.53125</v>
      </c>
      <c r="N2977" s="62">
        <f>H3006</f>
        <v>4800</v>
      </c>
    </row>
    <row r="2978" spans="1:15" ht="43.15" customHeight="1">
      <c r="A2978" s="229" t="s">
        <v>4224</v>
      </c>
      <c r="B2978" s="566" t="str">
        <f>VLOOKUP(H2977,COSTOS!C:M,2,0)</f>
        <v>Luminaria Led 100w monoff</v>
      </c>
      <c r="C2978" s="567"/>
      <c r="D2978" s="567"/>
      <c r="E2978" s="568"/>
      <c r="F2978" s="71" t="s">
        <v>0</v>
      </c>
      <c r="G2978" s="356" t="str">
        <f>VLOOKUP(H2977,COSTOS!C:M,8,0)</f>
        <v>Und</v>
      </c>
      <c r="H2978" s="276"/>
      <c r="I2978" s="306"/>
      <c r="J2978" s="308"/>
      <c r="K2978" s="308"/>
      <c r="L2978" s="308"/>
    </row>
    <row r="2979" spans="1:15">
      <c r="A2979" s="230"/>
      <c r="B2979" s="112"/>
      <c r="C2979" s="112"/>
      <c r="D2979" s="112"/>
      <c r="E2979" s="113"/>
      <c r="F2979" s="114" t="s">
        <v>1</v>
      </c>
      <c r="G2979" s="356">
        <f>VLOOKUP(H2977,COSTOS!C:M,9,0)</f>
        <v>0</v>
      </c>
      <c r="H2979" s="357"/>
      <c r="I2979" s="307"/>
    </row>
    <row r="2980" spans="1:15" ht="16.5">
      <c r="A2980" s="231" t="s">
        <v>4226</v>
      </c>
      <c r="B2980" s="75"/>
      <c r="C2980" s="75"/>
      <c r="D2980" s="76"/>
      <c r="E2980" s="209"/>
      <c r="F2980" s="210"/>
      <c r="G2980" s="211" t="s">
        <v>4227</v>
      </c>
      <c r="H2980" s="217">
        <f>H2985+H3002+H3006+H3012</f>
        <v>901557.67725000007</v>
      </c>
    </row>
    <row r="2981" spans="1:15" ht="39">
      <c r="A2981" s="569" t="s">
        <v>4224</v>
      </c>
      <c r="B2981" s="569"/>
      <c r="C2981" s="569"/>
      <c r="D2981" s="77" t="s">
        <v>0</v>
      </c>
      <c r="E2981" s="207" t="s">
        <v>4228</v>
      </c>
      <c r="F2981" s="208" t="s">
        <v>4215</v>
      </c>
      <c r="G2981" s="74" t="s">
        <v>2</v>
      </c>
      <c r="H2981" s="218" t="s">
        <v>4229</v>
      </c>
      <c r="K2981" s="309"/>
    </row>
    <row r="2982" spans="1:15">
      <c r="A2982" s="536" t="s">
        <v>3946</v>
      </c>
      <c r="B2982" s="570" t="str">
        <f>VLOOKUP(A2982,'Equip, Herr y Transp'!$B$2:$D$739,2,0)</f>
        <v>EQU</v>
      </c>
      <c r="C2982" s="570"/>
      <c r="D2982" s="95" t="str">
        <f>VLOOKUP(A2982,'Equip, Herr y Transp'!$B$2:$D$218,2,0)</f>
        <v>EQU</v>
      </c>
      <c r="E2982" s="95">
        <f>VLOOKUP(A2982,'Equip, Herr y Transp'!$B$2:$D$218,3,0)</f>
        <v>14130</v>
      </c>
      <c r="F2982" s="96">
        <f>H2972</f>
        <v>6.25E-2</v>
      </c>
      <c r="G2982" s="122">
        <f>F2982*E2982</f>
        <v>883.125</v>
      </c>
      <c r="H2982" s="118"/>
    </row>
    <row r="2983" spans="1:15">
      <c r="A2983" s="536" t="s">
        <v>3904</v>
      </c>
      <c r="B2983" s="570" t="str">
        <f>VLOOKUP(A2983,'Equip, Herr y Transp'!$B$2:$D$739,2,0)</f>
        <v>EQU</v>
      </c>
      <c r="C2983" s="570"/>
      <c r="D2983" s="95" t="str">
        <f>VLOOKUP(A2983,'Equip, Herr y Transp'!$B$2:$D$218,2,0)</f>
        <v>EQU</v>
      </c>
      <c r="E2983" s="95">
        <f>VLOOKUP(A2983,'Equip, Herr y Transp'!$B$2:$D$218,3,0)</f>
        <v>26672.5</v>
      </c>
      <c r="F2983" s="96">
        <f>H2972</f>
        <v>6.25E-2</v>
      </c>
      <c r="G2983" s="122">
        <f>F2983*E2983</f>
        <v>1667.03125</v>
      </c>
      <c r="H2983" s="117"/>
    </row>
    <row r="2984" spans="1:15">
      <c r="A2984" s="536" t="s">
        <v>3937</v>
      </c>
      <c r="B2984" s="570" t="str">
        <f>VLOOKUP(A2984,'Equip, Herr y Transp'!$B$2:$D$739,2,0)</f>
        <v>EQU</v>
      </c>
      <c r="C2984" s="570"/>
      <c r="D2984" s="95" t="str">
        <f>VLOOKUP(A2984,'Equip, Herr y Transp'!$B$2:$D$218,2,0)</f>
        <v>EQU</v>
      </c>
      <c r="E2984" s="95">
        <f>VLOOKUP(A2984,'Equip, Herr y Transp'!$B$2:$D$218,3,0)</f>
        <v>23750</v>
      </c>
      <c r="F2984" s="96">
        <f>H2972</f>
        <v>6.25E-2</v>
      </c>
      <c r="G2984" s="122">
        <f>F2984*E2984</f>
        <v>1484.375</v>
      </c>
      <c r="H2984" s="117"/>
    </row>
    <row r="2985" spans="1:15" ht="16.5">
      <c r="A2985" s="540" t="s">
        <v>4100</v>
      </c>
      <c r="B2985" s="541"/>
      <c r="C2985" s="541"/>
      <c r="D2985" s="541"/>
      <c r="E2985" s="541"/>
      <c r="F2985" s="541"/>
      <c r="G2985" s="541"/>
      <c r="H2985" s="97">
        <f>SUM(G2982:G2984)</f>
        <v>4034.53125</v>
      </c>
    </row>
    <row r="2986" spans="1:15" ht="16.5">
      <c r="A2986" s="571" t="s">
        <v>4230</v>
      </c>
      <c r="B2986" s="572"/>
      <c r="C2986" s="572"/>
      <c r="D2986" s="572"/>
      <c r="E2986" s="572"/>
      <c r="F2986" s="572"/>
      <c r="G2986" s="572"/>
      <c r="H2986" s="573"/>
      <c r="K2986" s="56"/>
      <c r="L2986" s="56"/>
      <c r="M2986" s="56"/>
      <c r="N2986" s="56"/>
      <c r="O2986" s="56"/>
    </row>
    <row r="2987" spans="1:15" ht="30" customHeight="1">
      <c r="A2987" s="574" t="s">
        <v>7</v>
      </c>
      <c r="B2987" s="575"/>
      <c r="C2987" s="109" t="s">
        <v>0</v>
      </c>
      <c r="D2987" s="110" t="s">
        <v>4098</v>
      </c>
      <c r="E2987" s="111" t="s">
        <v>1</v>
      </c>
      <c r="F2987" s="576" t="s">
        <v>4218</v>
      </c>
      <c r="G2987" s="576"/>
      <c r="H2987" s="215"/>
      <c r="K2987" s="56"/>
      <c r="L2987" s="56"/>
      <c r="M2987" s="56"/>
      <c r="N2987" s="56"/>
      <c r="O2987" s="56"/>
    </row>
    <row r="2988" spans="1:15">
      <c r="A2988" s="577" t="s">
        <v>4768</v>
      </c>
      <c r="B2988" s="578"/>
      <c r="C2988" s="98" t="str">
        <f>VLOOKUP(A2988,'Materiales '!$C$2:$F$1302,3,0)</f>
        <v>Und</v>
      </c>
      <c r="D2988" s="99">
        <f>VLOOKUP(A2988,'Materiales '!$C$2:$F$1302,4,0)</f>
        <v>731600.10000000009</v>
      </c>
      <c r="E2988" s="100">
        <v>1</v>
      </c>
      <c r="F2988" s="538">
        <f>E2988*D2988</f>
        <v>731600.10000000009</v>
      </c>
      <c r="G2988" s="539"/>
      <c r="H2988" s="121"/>
      <c r="I2988">
        <f>E2988*G2979</f>
        <v>0</v>
      </c>
      <c r="J2988" s="67"/>
      <c r="K2988" s="56"/>
      <c r="L2988" s="56"/>
      <c r="M2988" s="56"/>
      <c r="N2988" s="56"/>
      <c r="O2988" s="56"/>
    </row>
    <row r="2989" spans="1:15">
      <c r="A2989" s="577" t="s">
        <v>4214</v>
      </c>
      <c r="B2989" s="578"/>
      <c r="C2989" s="98" t="str">
        <f>VLOOKUP(A2989,'Materiales '!$C$2:$F$1302,3,0)</f>
        <v>Und</v>
      </c>
      <c r="D2989" s="99">
        <f>VLOOKUP(A2989,'Materiales '!$C$2:$F$1302,4,0)</f>
        <v>22848</v>
      </c>
      <c r="E2989" s="100">
        <v>1</v>
      </c>
      <c r="F2989" s="538">
        <f t="shared" ref="F2989:F2995" si="175">E2989*D2989</f>
        <v>22848</v>
      </c>
      <c r="G2989" s="539"/>
      <c r="H2989" s="121"/>
      <c r="I2989">
        <f>E2989*G2979</f>
        <v>0</v>
      </c>
      <c r="J2989" s="67"/>
      <c r="K2989" s="56"/>
      <c r="L2989" s="56"/>
      <c r="M2989" s="56"/>
      <c r="N2989" s="56"/>
      <c r="O2989" s="56"/>
    </row>
    <row r="2990" spans="1:15">
      <c r="A2990" s="536" t="s">
        <v>4484</v>
      </c>
      <c r="B2990" s="537" t="str">
        <f>VLOOKUP(A2990,'Materiales '!$C$2:$F$1302,3,0)</f>
        <v>Und</v>
      </c>
      <c r="C2990" s="98" t="str">
        <f>VLOOKUP(A2990,'Materiales '!$C$2:$F$1302,3,0)</f>
        <v>Und</v>
      </c>
      <c r="D2990" s="99">
        <f>VLOOKUP(A2990,'Materiales '!$C$2:$F$1302,4,0)</f>
        <v>21705.599999999999</v>
      </c>
      <c r="E2990" s="100">
        <v>2</v>
      </c>
      <c r="F2990" s="538">
        <f t="shared" si="175"/>
        <v>43411.199999999997</v>
      </c>
      <c r="G2990" s="539"/>
      <c r="H2990" s="121"/>
      <c r="I2990">
        <f>E2990*G2979</f>
        <v>0</v>
      </c>
      <c r="J2990" s="68"/>
      <c r="K2990" s="56"/>
      <c r="L2990" s="56"/>
      <c r="M2990" s="56"/>
      <c r="N2990" s="56"/>
      <c r="O2990" s="56"/>
    </row>
    <row r="2991" spans="1:15">
      <c r="A2991" s="536" t="s">
        <v>4489</v>
      </c>
      <c r="B2991" s="537" t="str">
        <f>VLOOKUP(A2991,'Materiales '!$C$2:$F$1302,3,0)</f>
        <v>Und</v>
      </c>
      <c r="C2991" s="98" t="str">
        <f>VLOOKUP(A2991,'Materiales '!$C$2:$F$1302,3,0)</f>
        <v>Und</v>
      </c>
      <c r="D2991" s="99">
        <f>VLOOKUP(A2991,'Materiales '!$C$2:$F$1302,4,0)</f>
        <v>8039.6399999999994</v>
      </c>
      <c r="E2991" s="100">
        <v>3</v>
      </c>
      <c r="F2991" s="538">
        <f t="shared" si="175"/>
        <v>24118.92</v>
      </c>
      <c r="G2991" s="539"/>
      <c r="H2991" s="121"/>
      <c r="I2991">
        <f>E2991*G2979</f>
        <v>0</v>
      </c>
      <c r="J2991" s="68"/>
      <c r="K2991" s="56"/>
      <c r="L2991" s="56"/>
      <c r="M2991" s="56"/>
      <c r="N2991" s="56"/>
      <c r="O2991" s="56"/>
    </row>
    <row r="2992" spans="1:15">
      <c r="A2992" s="536" t="s">
        <v>4554</v>
      </c>
      <c r="B2992" s="537" t="str">
        <f>VLOOKUP(A2992,'Materiales '!$C$2:$F$1302,3,0)</f>
        <v>Und</v>
      </c>
      <c r="C2992" s="98" t="str">
        <f>VLOOKUP(A2992,'Materiales '!$C$2:$F$1302,3,0)</f>
        <v>Und</v>
      </c>
      <c r="D2992" s="99">
        <f>VLOOKUP(A2992,'Materiales '!$C$2:$F$1302,4,0)</f>
        <v>2535.5329999999999</v>
      </c>
      <c r="E2992" s="100">
        <v>2</v>
      </c>
      <c r="F2992" s="538">
        <f t="shared" si="175"/>
        <v>5071.0659999999998</v>
      </c>
      <c r="G2992" s="539"/>
      <c r="H2992" s="121"/>
      <c r="I2992">
        <f>E2992*G2979</f>
        <v>0</v>
      </c>
      <c r="J2992" s="68"/>
      <c r="K2992" s="56"/>
      <c r="L2992" s="56"/>
      <c r="M2992" s="56"/>
      <c r="N2992" s="56"/>
      <c r="O2992" s="56"/>
    </row>
    <row r="2993" spans="1:15">
      <c r="A2993" s="536" t="s">
        <v>4450</v>
      </c>
      <c r="B2993" s="537" t="str">
        <f>VLOOKUP(A2993,'Materiales '!$C$2:$F$1302,3,0)</f>
        <v>Ml</v>
      </c>
      <c r="C2993" s="98" t="str">
        <f>VLOOKUP(A2993,'Materiales '!$C$2:$F$1302,3,0)</f>
        <v>Ml</v>
      </c>
      <c r="D2993" s="99">
        <f>VLOOKUP(A2993,'Materiales '!$C$2:$F$1302,4,0)</f>
        <v>6791.5679999999993</v>
      </c>
      <c r="E2993" s="100">
        <v>1</v>
      </c>
      <c r="F2993" s="538">
        <f t="shared" si="175"/>
        <v>6791.5679999999993</v>
      </c>
      <c r="G2993" s="539"/>
      <c r="H2993" s="121"/>
      <c r="I2993">
        <f>E2993*G2979</f>
        <v>0</v>
      </c>
      <c r="J2993" s="68"/>
      <c r="K2993" s="56"/>
      <c r="L2993" s="56"/>
      <c r="M2993" s="56"/>
      <c r="N2993" s="56"/>
      <c r="O2993" s="56"/>
    </row>
    <row r="2994" spans="1:15">
      <c r="A2994" s="536" t="s">
        <v>4493</v>
      </c>
      <c r="B2994" s="537" t="str">
        <f>VLOOKUP(A2994,'Materiales '!$C$2:$F$1302,3,0)</f>
        <v>Und</v>
      </c>
      <c r="C2994" s="98" t="str">
        <f>VLOOKUP(A2994,'Materiales '!$C$2:$F$1302,3,0)</f>
        <v>Und</v>
      </c>
      <c r="D2994" s="99">
        <f>VLOOKUP(A2994,'Materiales '!$C$2:$F$1302,4,0)</f>
        <v>232.76399999999998</v>
      </c>
      <c r="E2994" s="100">
        <v>3</v>
      </c>
      <c r="F2994" s="538">
        <f t="shared" si="175"/>
        <v>698.29199999999992</v>
      </c>
      <c r="G2994" s="539"/>
      <c r="H2994" s="121"/>
      <c r="I2994">
        <f>E2994*G2979</f>
        <v>0</v>
      </c>
      <c r="J2994" s="68"/>
      <c r="K2994" s="56"/>
      <c r="L2994" s="56"/>
      <c r="M2994" s="56"/>
      <c r="N2994" s="56"/>
      <c r="O2994" s="56"/>
    </row>
    <row r="2995" spans="1:15" ht="21.75" customHeight="1">
      <c r="A2995" s="536" t="s">
        <v>4639</v>
      </c>
      <c r="B2995" s="537" t="str">
        <f>VLOOKUP(A2995,'Materiales '!$C$2:$F$1302,3,0)</f>
        <v>Und</v>
      </c>
      <c r="C2995" s="98" t="str">
        <f>VLOOKUP(A2995,'Materiales '!$C$2:$F$1302,3,0)</f>
        <v>Und</v>
      </c>
      <c r="D2995" s="99">
        <f>VLOOKUP(A2995,'Materiales '!$C$2:$F$1302,4,0)</f>
        <v>35700</v>
      </c>
      <c r="E2995" s="100">
        <v>1</v>
      </c>
      <c r="F2995" s="538">
        <f t="shared" si="175"/>
        <v>35700</v>
      </c>
      <c r="G2995" s="539"/>
      <c r="H2995" s="121"/>
      <c r="I2995">
        <f>E2995*G2979</f>
        <v>0</v>
      </c>
      <c r="J2995" s="68"/>
      <c r="K2995" s="56"/>
      <c r="L2995" s="56"/>
      <c r="M2995" s="56"/>
      <c r="N2995" s="56"/>
      <c r="O2995" s="56"/>
    </row>
    <row r="2996" spans="1:15">
      <c r="A2996" s="536" t="s">
        <v>8</v>
      </c>
      <c r="B2996" s="537" t="str">
        <f>VLOOKUP(A2996,'Materiales '!$C$2:$F$1302,3,0)</f>
        <v>-</v>
      </c>
      <c r="C2996" s="98" t="str">
        <f>VLOOKUP(A2996,'Materiales '!$C$2:$F$1302,3,0)</f>
        <v>-</v>
      </c>
      <c r="D2996" s="99">
        <f>VLOOKUP(A2996,'Materiales '!$C$2:$F$1302,4,0)</f>
        <v>0</v>
      </c>
      <c r="E2996" s="100"/>
      <c r="F2996" s="538">
        <f>E2996*D2996</f>
        <v>0</v>
      </c>
      <c r="G2996" s="539"/>
      <c r="H2996" s="120"/>
      <c r="I2996">
        <f>E2996*G2979</f>
        <v>0</v>
      </c>
      <c r="J2996" s="68"/>
      <c r="K2996" s="56"/>
      <c r="L2996" s="56"/>
      <c r="M2996" s="56"/>
      <c r="N2996" s="56"/>
      <c r="O2996" s="56"/>
    </row>
    <row r="2997" spans="1:15">
      <c r="A2997" s="536" t="s">
        <v>8</v>
      </c>
      <c r="B2997" s="537" t="str">
        <f>VLOOKUP(A2997,'Materiales '!$C$2:$F$1302,3,0)</f>
        <v>-</v>
      </c>
      <c r="C2997" s="98" t="str">
        <f>VLOOKUP(A2997,'Materiales '!$C$2:$F$1302,3,0)</f>
        <v>-</v>
      </c>
      <c r="D2997" s="99">
        <f>VLOOKUP(A2997,'Materiales '!$C$2:$F$1302,4,0)</f>
        <v>0</v>
      </c>
      <c r="E2997" s="100"/>
      <c r="F2997" s="538">
        <f t="shared" ref="F2997:F3000" si="176">E2997*D2997</f>
        <v>0</v>
      </c>
      <c r="G2997" s="539"/>
      <c r="H2997" s="121"/>
      <c r="I2997">
        <f>E2997*G2979</f>
        <v>0</v>
      </c>
      <c r="J2997" s="68"/>
      <c r="K2997" s="56"/>
      <c r="L2997" s="56"/>
      <c r="M2997" s="56"/>
      <c r="N2997" s="56"/>
      <c r="O2997" s="56"/>
    </row>
    <row r="2998" spans="1:15">
      <c r="A2998" s="536" t="s">
        <v>8</v>
      </c>
      <c r="B2998" s="537" t="str">
        <f>VLOOKUP(A2998,'Materiales '!$C$2:$F$1302,3,0)</f>
        <v>-</v>
      </c>
      <c r="C2998" s="98" t="str">
        <f>VLOOKUP(A2998,'Materiales '!$C$2:$F$1302,3,0)</f>
        <v>-</v>
      </c>
      <c r="D2998" s="99">
        <f>VLOOKUP(A2998,'Materiales '!$C$2:$F$1302,4,0)</f>
        <v>0</v>
      </c>
      <c r="E2998" s="100"/>
      <c r="F2998" s="538">
        <f t="shared" si="176"/>
        <v>0</v>
      </c>
      <c r="G2998" s="539"/>
      <c r="H2998" s="121"/>
      <c r="I2998">
        <f>E2998*G2979</f>
        <v>0</v>
      </c>
      <c r="J2998" s="68"/>
      <c r="K2998" s="56"/>
      <c r="L2998" s="56"/>
      <c r="M2998" s="56"/>
      <c r="N2998" s="56"/>
      <c r="O2998" s="56"/>
    </row>
    <row r="2999" spans="1:15">
      <c r="A2999" s="536" t="s">
        <v>8</v>
      </c>
      <c r="B2999" s="537" t="str">
        <f>VLOOKUP(A2999,'Materiales '!$C$2:$F$1302,3,0)</f>
        <v>-</v>
      </c>
      <c r="C2999" s="98" t="str">
        <f>VLOOKUP(A2999,'Materiales '!$C$2:$F$1302,3,0)</f>
        <v>-</v>
      </c>
      <c r="D2999" s="99">
        <f>VLOOKUP(A2999,'Materiales '!$C$2:$F$1302,4,0)</f>
        <v>0</v>
      </c>
      <c r="E2999" s="100"/>
      <c r="F2999" s="538">
        <f t="shared" si="176"/>
        <v>0</v>
      </c>
      <c r="G2999" s="539"/>
      <c r="H2999" s="121"/>
      <c r="I2999">
        <f>E2999*G2979</f>
        <v>0</v>
      </c>
      <c r="J2999" s="68"/>
      <c r="K2999" s="56"/>
      <c r="L2999" s="56"/>
      <c r="M2999" s="56"/>
      <c r="N2999" s="56"/>
      <c r="O2999" s="56"/>
    </row>
    <row r="3000" spans="1:15">
      <c r="A3000" s="536" t="s">
        <v>8</v>
      </c>
      <c r="B3000" s="537" t="str">
        <f>VLOOKUP(A3000,'Materiales '!$C$2:$F$1302,3,0)</f>
        <v>-</v>
      </c>
      <c r="C3000" s="98" t="str">
        <f>VLOOKUP(A3000,'Materiales '!$C$2:$F$1302,3,0)</f>
        <v>-</v>
      </c>
      <c r="D3000" s="99">
        <f>VLOOKUP(A3000,'Materiales '!$C$2:$F$1302,4,0)</f>
        <v>0</v>
      </c>
      <c r="E3000" s="100"/>
      <c r="F3000" s="538">
        <f t="shared" si="176"/>
        <v>0</v>
      </c>
      <c r="G3000" s="539"/>
      <c r="H3000" s="121"/>
      <c r="I3000">
        <f>E3000*G2979</f>
        <v>0</v>
      </c>
      <c r="J3000" s="68"/>
      <c r="K3000" s="56"/>
      <c r="L3000" s="56"/>
      <c r="M3000" s="56"/>
      <c r="N3000" s="56"/>
      <c r="O3000" s="56"/>
    </row>
    <row r="3001" spans="1:15">
      <c r="A3001" s="536" t="s">
        <v>8</v>
      </c>
      <c r="B3001" s="537" t="str">
        <f>VLOOKUP(A3001,'Materiales '!$C$2:$F$1302,3,0)</f>
        <v>-</v>
      </c>
      <c r="C3001" s="98" t="str">
        <f>VLOOKUP(A3001,'Materiales '!$C$2:$F$1302,3,0)</f>
        <v>-</v>
      </c>
      <c r="D3001" s="99">
        <f>VLOOKUP(A3001,'Materiales '!$C$2:$F$1302,4,0)</f>
        <v>0</v>
      </c>
      <c r="E3001" s="100"/>
      <c r="F3001" s="538">
        <f>E3001*D3001</f>
        <v>0</v>
      </c>
      <c r="G3001" s="539"/>
      <c r="H3001" s="120"/>
      <c r="I3001">
        <f>E3001*G2979</f>
        <v>0</v>
      </c>
      <c r="J3001" s="68"/>
      <c r="K3001" s="56"/>
      <c r="L3001" s="56"/>
      <c r="M3001" s="56"/>
      <c r="N3001" s="56"/>
      <c r="O3001" s="56"/>
    </row>
    <row r="3002" spans="1:15" ht="16.5">
      <c r="A3002" s="540" t="s">
        <v>4099</v>
      </c>
      <c r="B3002" s="541"/>
      <c r="C3002" s="541"/>
      <c r="D3002" s="541"/>
      <c r="E3002" s="541"/>
      <c r="F3002" s="541"/>
      <c r="G3002" s="542"/>
      <c r="H3002" s="116">
        <f>SUM(F2988:F3001)</f>
        <v>870239.14600000007</v>
      </c>
      <c r="J3002" s="68"/>
      <c r="K3002" s="56"/>
      <c r="L3002" s="56"/>
      <c r="M3002" s="56"/>
      <c r="N3002" s="56"/>
      <c r="O3002" s="56"/>
    </row>
    <row r="3003" spans="1:15" ht="16.5">
      <c r="A3003" s="543" t="s">
        <v>4231</v>
      </c>
      <c r="B3003" s="544"/>
      <c r="C3003" s="544"/>
      <c r="D3003" s="544"/>
      <c r="E3003" s="545"/>
      <c r="F3003" s="544"/>
      <c r="G3003" s="544"/>
      <c r="H3003" s="546"/>
      <c r="J3003" s="68"/>
      <c r="K3003" s="56"/>
      <c r="L3003" s="56"/>
      <c r="M3003" s="56"/>
      <c r="N3003" s="56"/>
      <c r="O3003" s="56"/>
    </row>
    <row r="3004" spans="1:15">
      <c r="A3004" s="547" t="s">
        <v>7</v>
      </c>
      <c r="B3004" s="548"/>
      <c r="C3004" s="108" t="s">
        <v>4232</v>
      </c>
      <c r="D3004" s="107" t="s">
        <v>4233</v>
      </c>
      <c r="E3004" s="206" t="s">
        <v>4234</v>
      </c>
      <c r="F3004" s="549" t="s">
        <v>4218</v>
      </c>
      <c r="G3004" s="549"/>
      <c r="H3004" s="119"/>
      <c r="K3004" s="56"/>
      <c r="L3004" s="56"/>
      <c r="M3004" s="56"/>
      <c r="N3004" s="56"/>
      <c r="O3004" s="56"/>
    </row>
    <row r="3005" spans="1:15">
      <c r="A3005" s="550" t="s">
        <v>3928</v>
      </c>
      <c r="B3005" s="551"/>
      <c r="C3005" s="232">
        <v>1</v>
      </c>
      <c r="D3005" s="102">
        <v>0.03</v>
      </c>
      <c r="E3005" s="103">
        <f>VLOOKUP(A3005,'Equip, Herr y Transp'!$B$2:$D$218,3,0)</f>
        <v>160000</v>
      </c>
      <c r="F3005" s="552">
        <f>E3005*D3005*C3005</f>
        <v>4800</v>
      </c>
      <c r="G3005" s="553"/>
      <c r="H3005" s="117"/>
      <c r="M3005" s="56"/>
    </row>
    <row r="3006" spans="1:15" ht="16.5">
      <c r="A3006" s="554" t="s">
        <v>4216</v>
      </c>
      <c r="B3006" s="555"/>
      <c r="C3006" s="555"/>
      <c r="D3006" s="555"/>
      <c r="E3006" s="555"/>
      <c r="F3006" s="555"/>
      <c r="G3006" s="555"/>
      <c r="H3006" s="105">
        <f>F3005</f>
        <v>4800</v>
      </c>
    </row>
    <row r="3007" spans="1:15" ht="16.5">
      <c r="A3007" s="543" t="s">
        <v>4235</v>
      </c>
      <c r="B3007" s="544"/>
      <c r="C3007" s="544"/>
      <c r="D3007" s="544"/>
      <c r="E3007" s="544"/>
      <c r="F3007" s="544"/>
      <c r="G3007" s="544"/>
      <c r="H3007" s="546"/>
    </row>
    <row r="3008" spans="1:15">
      <c r="A3008" s="547" t="s">
        <v>7</v>
      </c>
      <c r="B3008" s="548"/>
      <c r="C3008" s="106" t="s">
        <v>1</v>
      </c>
      <c r="D3008" s="107" t="s">
        <v>4236</v>
      </c>
      <c r="E3008" s="108" t="s">
        <v>4215</v>
      </c>
      <c r="F3008" s="547" t="s">
        <v>5</v>
      </c>
      <c r="G3008" s="556"/>
      <c r="H3008" s="119"/>
    </row>
    <row r="3009" spans="1:10">
      <c r="A3009" s="550" t="s">
        <v>4196</v>
      </c>
      <c r="B3009" s="551"/>
      <c r="C3009" s="101">
        <v>1</v>
      </c>
      <c r="D3009" s="104">
        <f>VLOOKUP(A3009,'Mano Obra'!$B$2:$T$117,19,0)</f>
        <v>166624</v>
      </c>
      <c r="E3009" s="246">
        <f>H2972</f>
        <v>6.25E-2</v>
      </c>
      <c r="F3009" s="538">
        <f>E3009*D3009*C3009</f>
        <v>10414</v>
      </c>
      <c r="G3009" s="557"/>
      <c r="H3009" s="121"/>
      <c r="I3009" s="69"/>
      <c r="J3009" s="136">
        <f>((('Mano Obra'!$M$4/30)*F3009)/D3009)*G2979</f>
        <v>0</v>
      </c>
    </row>
    <row r="3010" spans="1:10">
      <c r="A3010" s="558" t="s">
        <v>4197</v>
      </c>
      <c r="B3010" s="559">
        <f>VLOOKUP(A3010,'Mano Obra'!$B$3:$D$290,2,0)</f>
        <v>2090000.0000000002</v>
      </c>
      <c r="C3010" s="101">
        <v>1</v>
      </c>
      <c r="D3010" s="104">
        <f>VLOOKUP(A3010,'Mano Obra'!$B$2:$T$117,19,0)</f>
        <v>120456</v>
      </c>
      <c r="E3010" s="246">
        <f>H2972</f>
        <v>6.25E-2</v>
      </c>
      <c r="F3010" s="538">
        <f t="shared" ref="F3010:F3011" si="177">E3010*D3010*C3010</f>
        <v>7528.5</v>
      </c>
      <c r="G3010" s="557"/>
      <c r="H3010" s="121"/>
      <c r="J3010" s="136">
        <f>((('Mano Obra'!$M$5/30)*F3010)/D3010)*G2979</f>
        <v>0</v>
      </c>
    </row>
    <row r="3011" spans="1:10">
      <c r="A3011" s="558" t="s">
        <v>4186</v>
      </c>
      <c r="B3011" s="559">
        <f>VLOOKUP(A3011,'Mano Obra'!$B$3:$D$290,2,0)</f>
        <v>1100000</v>
      </c>
      <c r="C3011" s="101">
        <v>1</v>
      </c>
      <c r="D3011" s="104">
        <f>VLOOKUP(A3011,'Mano Obra'!$B$2:$T$117,19,0)</f>
        <v>72664</v>
      </c>
      <c r="E3011" s="246">
        <f>H2972</f>
        <v>6.25E-2</v>
      </c>
      <c r="F3011" s="538">
        <f t="shared" si="177"/>
        <v>4541.5</v>
      </c>
      <c r="G3011" s="557"/>
      <c r="H3011" s="120"/>
      <c r="J3011" s="136">
        <f>((('Mano Obra'!$M$6/30)*F3011)/D3011)*G2979</f>
        <v>0</v>
      </c>
    </row>
    <row r="3012" spans="1:10" ht="16.5">
      <c r="A3012" s="560" t="s">
        <v>4101</v>
      </c>
      <c r="B3012" s="560"/>
      <c r="C3012" s="560"/>
      <c r="D3012" s="560"/>
      <c r="E3012" s="560"/>
      <c r="F3012" s="560"/>
      <c r="G3012" s="560"/>
      <c r="H3012" s="105">
        <f>SUM(F3009:F3011)</f>
        <v>22484</v>
      </c>
      <c r="J3012" s="136"/>
    </row>
    <row r="3013" spans="1:10">
      <c r="A3013" s="227" t="s">
        <v>4237</v>
      </c>
      <c r="B3013" s="205"/>
      <c r="C3013" s="205"/>
      <c r="D3013" s="202"/>
      <c r="E3013" s="203"/>
      <c r="F3013" s="204"/>
      <c r="G3013" s="203"/>
      <c r="H3013" s="212"/>
    </row>
    <row r="3014" spans="1:10">
      <c r="A3014" s="561" t="s">
        <v>4224</v>
      </c>
      <c r="B3014" s="562"/>
      <c r="C3014" s="562"/>
      <c r="D3014" s="562"/>
      <c r="E3014" s="200"/>
      <c r="F3014" s="201" t="s">
        <v>4238</v>
      </c>
      <c r="G3014" s="200" t="s">
        <v>4239</v>
      </c>
      <c r="H3014" s="213"/>
    </row>
    <row r="3015" spans="1:10">
      <c r="A3015" s="223" t="s">
        <v>4097</v>
      </c>
      <c r="B3015" s="72"/>
      <c r="C3015" s="72"/>
      <c r="D3015" s="73"/>
      <c r="E3015" s="78"/>
      <c r="F3015" s="79">
        <v>0</v>
      </c>
      <c r="G3015" s="80">
        <f>F3015*H2980</f>
        <v>0</v>
      </c>
      <c r="H3015" s="212"/>
    </row>
    <row r="3016" spans="1:10">
      <c r="A3016" s="224" t="s">
        <v>4240</v>
      </c>
      <c r="B3016" s="81"/>
      <c r="C3016" s="81"/>
      <c r="D3016" s="82"/>
      <c r="E3016" s="78"/>
      <c r="F3016" s="79">
        <v>0</v>
      </c>
      <c r="G3016" s="80">
        <f>F3016*H2980</f>
        <v>0</v>
      </c>
      <c r="H3016" s="212"/>
    </row>
    <row r="3017" spans="1:10">
      <c r="A3017" s="224" t="s">
        <v>4</v>
      </c>
      <c r="B3017" s="81"/>
      <c r="C3017" s="81"/>
      <c r="D3017" s="82"/>
      <c r="E3017" s="78"/>
      <c r="F3017" s="79">
        <v>0</v>
      </c>
      <c r="G3017" s="80">
        <f>F3017*H2980</f>
        <v>0</v>
      </c>
      <c r="H3017" s="212"/>
    </row>
    <row r="3018" spans="1:10">
      <c r="A3018" s="225"/>
      <c r="B3018" s="83"/>
      <c r="C3018" s="75"/>
      <c r="D3018" s="84"/>
      <c r="E3018" s="85"/>
      <c r="F3018" s="86"/>
      <c r="G3018" s="87"/>
      <c r="H3018" s="214"/>
    </row>
    <row r="3019" spans="1:10">
      <c r="A3019" s="226"/>
      <c r="B3019" s="83"/>
      <c r="C3019" s="83"/>
      <c r="D3019" s="84"/>
      <c r="E3019" s="88"/>
      <c r="F3019" s="563" t="s">
        <v>4241</v>
      </c>
      <c r="G3019" s="564"/>
      <c r="H3019" s="233">
        <f>H2980+G3015+G3016+G3017</f>
        <v>901557.67725000007</v>
      </c>
    </row>
    <row r="3020" spans="1:10">
      <c r="A3020" s="83"/>
      <c r="B3020" s="83"/>
      <c r="C3020" s="83"/>
      <c r="D3020" s="84"/>
      <c r="E3020" s="388"/>
      <c r="F3020" s="389"/>
      <c r="G3020" s="389"/>
      <c r="H3020" s="390"/>
    </row>
    <row r="3021" spans="1:10" ht="16.5">
      <c r="A3021" s="90"/>
      <c r="B3021" s="90"/>
      <c r="C3021" s="90"/>
      <c r="D3021" s="90"/>
      <c r="E3021" s="90"/>
      <c r="F3021" s="90"/>
      <c r="G3021" s="90"/>
      <c r="H3021" s="381"/>
    </row>
    <row r="3022" spans="1:10">
      <c r="A3022" s="579" t="s">
        <v>4225</v>
      </c>
      <c r="B3022" s="580"/>
      <c r="C3022" s="580"/>
      <c r="D3022" s="580"/>
      <c r="E3022" s="580"/>
      <c r="F3022" s="580"/>
      <c r="G3022" s="580"/>
      <c r="H3022" s="581"/>
    </row>
    <row r="3023" spans="1:10" ht="16.5">
      <c r="A3023" s="91"/>
      <c r="B3023" s="92"/>
      <c r="C3023" s="92"/>
      <c r="D3023" s="92"/>
      <c r="E3023" s="92"/>
      <c r="F3023" s="93"/>
      <c r="G3023" s="94"/>
      <c r="H3023" s="380">
        <f>ROUND((30/60)/8,4)</f>
        <v>6.25E-2</v>
      </c>
      <c r="I3023" s="115"/>
    </row>
    <row r="3024" spans="1:10">
      <c r="A3024" s="582" t="s">
        <v>4220</v>
      </c>
      <c r="B3024" s="584" t="str">
        <f>COSTOS!$C$14</f>
        <v>MODERNIZACION A TECNOLOGIA LED</v>
      </c>
      <c r="C3024" s="584"/>
      <c r="D3024" s="584"/>
      <c r="E3024" s="584"/>
      <c r="F3024" s="584"/>
      <c r="G3024" s="584"/>
      <c r="H3024" s="585" t="s">
        <v>4221</v>
      </c>
    </row>
    <row r="3025" spans="1:15">
      <c r="A3025" s="583"/>
      <c r="B3025" s="584"/>
      <c r="C3025" s="584"/>
      <c r="D3025" s="584"/>
      <c r="E3025" s="584"/>
      <c r="F3025" s="584"/>
      <c r="G3025" s="584"/>
      <c r="H3025" s="585"/>
    </row>
    <row r="3026" spans="1:15">
      <c r="A3026" s="583"/>
      <c r="B3026" s="584"/>
      <c r="C3026" s="584"/>
      <c r="D3026" s="584"/>
      <c r="E3026" s="584"/>
      <c r="F3026" s="584"/>
      <c r="G3026" s="584"/>
      <c r="H3026" s="585"/>
    </row>
    <row r="3027" spans="1:15" ht="15" customHeight="1">
      <c r="A3027" s="583"/>
      <c r="B3027" s="584"/>
      <c r="C3027" s="584"/>
      <c r="D3027" s="584"/>
      <c r="E3027" s="584"/>
      <c r="F3027" s="584"/>
      <c r="G3027" s="584"/>
      <c r="H3027" s="216">
        <f ca="1">TODAY()</f>
        <v>44889</v>
      </c>
      <c r="K3027" t="s">
        <v>4391</v>
      </c>
      <c r="L3027" t="s">
        <v>4392</v>
      </c>
      <c r="M3027" t="s">
        <v>4393</v>
      </c>
      <c r="N3027" t="s">
        <v>4394</v>
      </c>
    </row>
    <row r="3028" spans="1:15" ht="60.75" customHeight="1">
      <c r="A3028" s="228" t="s">
        <v>4222</v>
      </c>
      <c r="B3028" s="565" t="str">
        <f>COSTOS!$D$16</f>
        <v>Luminarias</v>
      </c>
      <c r="C3028" s="565"/>
      <c r="D3028" s="565"/>
      <c r="E3028" s="565"/>
      <c r="F3028" s="565"/>
      <c r="G3028" s="70" t="s">
        <v>4223</v>
      </c>
      <c r="H3028" s="391" t="s">
        <v>4775</v>
      </c>
      <c r="K3028" s="62">
        <f>H3053</f>
        <v>886601.64600000007</v>
      </c>
      <c r="L3028" s="62">
        <f>H3063</f>
        <v>22484</v>
      </c>
      <c r="M3028" s="62">
        <f>H3036</f>
        <v>4034.53125</v>
      </c>
      <c r="N3028" s="62">
        <f>H3057</f>
        <v>4800</v>
      </c>
    </row>
    <row r="3029" spans="1:15" ht="43.15" customHeight="1">
      <c r="A3029" s="229" t="s">
        <v>4224</v>
      </c>
      <c r="B3029" s="566" t="str">
        <f>VLOOKUP(H3028,COSTOS!C:M,2,0)</f>
        <v>Luminaria Led 120w monoff</v>
      </c>
      <c r="C3029" s="567"/>
      <c r="D3029" s="567"/>
      <c r="E3029" s="568"/>
      <c r="F3029" s="71" t="s">
        <v>0</v>
      </c>
      <c r="G3029" s="356" t="str">
        <f>VLOOKUP(H3028,COSTOS!C:M,8,0)</f>
        <v>Und</v>
      </c>
      <c r="H3029" s="276"/>
      <c r="I3029" s="306"/>
      <c r="J3029" s="308"/>
      <c r="K3029" s="308"/>
      <c r="L3029" s="308"/>
    </row>
    <row r="3030" spans="1:15">
      <c r="A3030" s="230"/>
      <c r="B3030" s="112"/>
      <c r="C3030" s="112"/>
      <c r="D3030" s="112"/>
      <c r="E3030" s="113"/>
      <c r="F3030" s="114" t="s">
        <v>1</v>
      </c>
      <c r="G3030" s="356">
        <f>VLOOKUP(H3028,COSTOS!C:M,9,0)</f>
        <v>0</v>
      </c>
      <c r="H3030" s="357"/>
      <c r="I3030" s="307"/>
    </row>
    <row r="3031" spans="1:15" ht="16.5">
      <c r="A3031" s="231" t="s">
        <v>4226</v>
      </c>
      <c r="B3031" s="75"/>
      <c r="C3031" s="75"/>
      <c r="D3031" s="76"/>
      <c r="E3031" s="209"/>
      <c r="F3031" s="210"/>
      <c r="G3031" s="211" t="s">
        <v>4227</v>
      </c>
      <c r="H3031" s="217">
        <f>H3036+H3053+H3057+H3063</f>
        <v>917920.17725000007</v>
      </c>
    </row>
    <row r="3032" spans="1:15" ht="39">
      <c r="A3032" s="569" t="s">
        <v>4224</v>
      </c>
      <c r="B3032" s="569"/>
      <c r="C3032" s="569"/>
      <c r="D3032" s="77" t="s">
        <v>0</v>
      </c>
      <c r="E3032" s="207" t="s">
        <v>4228</v>
      </c>
      <c r="F3032" s="208" t="s">
        <v>4215</v>
      </c>
      <c r="G3032" s="74" t="s">
        <v>2</v>
      </c>
      <c r="H3032" s="218" t="s">
        <v>4229</v>
      </c>
      <c r="K3032" s="309"/>
    </row>
    <row r="3033" spans="1:15">
      <c r="A3033" s="536" t="s">
        <v>3946</v>
      </c>
      <c r="B3033" s="570" t="str">
        <f>VLOOKUP(A3033,'Equip, Herr y Transp'!$B$2:$D$739,2,0)</f>
        <v>EQU</v>
      </c>
      <c r="C3033" s="570"/>
      <c r="D3033" s="95" t="str">
        <f>VLOOKUP(A3033,'Equip, Herr y Transp'!$B$2:$D$218,2,0)</f>
        <v>EQU</v>
      </c>
      <c r="E3033" s="95">
        <f>VLOOKUP(A3033,'Equip, Herr y Transp'!$B$2:$D$218,3,0)</f>
        <v>14130</v>
      </c>
      <c r="F3033" s="96">
        <f>H3023</f>
        <v>6.25E-2</v>
      </c>
      <c r="G3033" s="122">
        <f>F3033*E3033</f>
        <v>883.125</v>
      </c>
      <c r="H3033" s="118"/>
    </row>
    <row r="3034" spans="1:15">
      <c r="A3034" s="536" t="s">
        <v>3904</v>
      </c>
      <c r="B3034" s="570" t="str">
        <f>VLOOKUP(A3034,'Equip, Herr y Transp'!$B$2:$D$739,2,0)</f>
        <v>EQU</v>
      </c>
      <c r="C3034" s="570"/>
      <c r="D3034" s="95" t="str">
        <f>VLOOKUP(A3034,'Equip, Herr y Transp'!$B$2:$D$218,2,0)</f>
        <v>EQU</v>
      </c>
      <c r="E3034" s="95">
        <f>VLOOKUP(A3034,'Equip, Herr y Transp'!$B$2:$D$218,3,0)</f>
        <v>26672.5</v>
      </c>
      <c r="F3034" s="96">
        <f>H3023</f>
        <v>6.25E-2</v>
      </c>
      <c r="G3034" s="122">
        <f>F3034*E3034</f>
        <v>1667.03125</v>
      </c>
      <c r="H3034" s="117"/>
    </row>
    <row r="3035" spans="1:15">
      <c r="A3035" s="536" t="s">
        <v>3937</v>
      </c>
      <c r="B3035" s="570" t="str">
        <f>VLOOKUP(A3035,'Equip, Herr y Transp'!$B$2:$D$739,2,0)</f>
        <v>EQU</v>
      </c>
      <c r="C3035" s="570"/>
      <c r="D3035" s="95" t="str">
        <f>VLOOKUP(A3035,'Equip, Herr y Transp'!$B$2:$D$218,2,0)</f>
        <v>EQU</v>
      </c>
      <c r="E3035" s="95">
        <f>VLOOKUP(A3035,'Equip, Herr y Transp'!$B$2:$D$218,3,0)</f>
        <v>23750</v>
      </c>
      <c r="F3035" s="96">
        <f>H3023</f>
        <v>6.25E-2</v>
      </c>
      <c r="G3035" s="122">
        <f>F3035*E3035</f>
        <v>1484.375</v>
      </c>
      <c r="H3035" s="117"/>
    </row>
    <row r="3036" spans="1:15" ht="16.5">
      <c r="A3036" s="540" t="s">
        <v>4100</v>
      </c>
      <c r="B3036" s="541"/>
      <c r="C3036" s="541"/>
      <c r="D3036" s="541"/>
      <c r="E3036" s="541"/>
      <c r="F3036" s="541"/>
      <c r="G3036" s="541"/>
      <c r="H3036" s="97">
        <f>SUM(G3033:G3035)</f>
        <v>4034.53125</v>
      </c>
    </row>
    <row r="3037" spans="1:15" ht="16.5">
      <c r="A3037" s="571" t="s">
        <v>4230</v>
      </c>
      <c r="B3037" s="572"/>
      <c r="C3037" s="572"/>
      <c r="D3037" s="572"/>
      <c r="E3037" s="572"/>
      <c r="F3037" s="572"/>
      <c r="G3037" s="572"/>
      <c r="H3037" s="573"/>
      <c r="K3037" s="56"/>
      <c r="L3037" s="56"/>
      <c r="M3037" s="56"/>
      <c r="N3037" s="56"/>
      <c r="O3037" s="56"/>
    </row>
    <row r="3038" spans="1:15" ht="30" customHeight="1">
      <c r="A3038" s="574" t="s">
        <v>7</v>
      </c>
      <c r="B3038" s="575"/>
      <c r="C3038" s="109" t="s">
        <v>0</v>
      </c>
      <c r="D3038" s="110" t="s">
        <v>4098</v>
      </c>
      <c r="E3038" s="111" t="s">
        <v>1</v>
      </c>
      <c r="F3038" s="576" t="s">
        <v>4218</v>
      </c>
      <c r="G3038" s="576"/>
      <c r="H3038" s="215"/>
      <c r="K3038" s="56"/>
      <c r="L3038" s="56"/>
      <c r="M3038" s="56"/>
      <c r="N3038" s="56"/>
      <c r="O3038" s="56"/>
    </row>
    <row r="3039" spans="1:15">
      <c r="A3039" s="577" t="s">
        <v>4770</v>
      </c>
      <c r="B3039" s="578"/>
      <c r="C3039" s="98" t="str">
        <f>VLOOKUP(A3039,'Materiales '!$C$2:$F$1302,3,0)</f>
        <v>Und</v>
      </c>
      <c r="D3039" s="99">
        <f>VLOOKUP(A3039,'Materiales '!$C$2:$F$1302,4,0)</f>
        <v>747962.60000000009</v>
      </c>
      <c r="E3039" s="100">
        <v>1</v>
      </c>
      <c r="F3039" s="538">
        <f>E3039*D3039</f>
        <v>747962.60000000009</v>
      </c>
      <c r="G3039" s="539"/>
      <c r="H3039" s="121"/>
      <c r="I3039">
        <f>E3039*G3030</f>
        <v>0</v>
      </c>
      <c r="J3039" s="67"/>
      <c r="K3039" s="56"/>
      <c r="L3039" s="56"/>
      <c r="M3039" s="56"/>
      <c r="N3039" s="56"/>
      <c r="O3039" s="56"/>
    </row>
    <row r="3040" spans="1:15">
      <c r="A3040" s="577" t="s">
        <v>4214</v>
      </c>
      <c r="B3040" s="578"/>
      <c r="C3040" s="98" t="str">
        <f>VLOOKUP(A3040,'Materiales '!$C$2:$F$1302,3,0)</f>
        <v>Und</v>
      </c>
      <c r="D3040" s="99">
        <f>VLOOKUP(A3040,'Materiales '!$C$2:$F$1302,4,0)</f>
        <v>22848</v>
      </c>
      <c r="E3040" s="100">
        <v>1</v>
      </c>
      <c r="F3040" s="538">
        <f t="shared" ref="F3040:F3046" si="178">E3040*D3040</f>
        <v>22848</v>
      </c>
      <c r="G3040" s="539"/>
      <c r="H3040" s="121"/>
      <c r="I3040">
        <f>E3040*G3030</f>
        <v>0</v>
      </c>
      <c r="J3040" s="67"/>
      <c r="K3040" s="56"/>
      <c r="L3040" s="56"/>
      <c r="M3040" s="56"/>
      <c r="N3040" s="56"/>
      <c r="O3040" s="56"/>
    </row>
    <row r="3041" spans="1:15">
      <c r="A3041" s="536" t="s">
        <v>4484</v>
      </c>
      <c r="B3041" s="537" t="str">
        <f>VLOOKUP(A3041,'Materiales '!$C$2:$F$1302,3,0)</f>
        <v>Und</v>
      </c>
      <c r="C3041" s="98" t="str">
        <f>VLOOKUP(A3041,'Materiales '!$C$2:$F$1302,3,0)</f>
        <v>Und</v>
      </c>
      <c r="D3041" s="99">
        <f>VLOOKUP(A3041,'Materiales '!$C$2:$F$1302,4,0)</f>
        <v>21705.599999999999</v>
      </c>
      <c r="E3041" s="100">
        <v>2</v>
      </c>
      <c r="F3041" s="538">
        <f t="shared" si="178"/>
        <v>43411.199999999997</v>
      </c>
      <c r="G3041" s="539"/>
      <c r="H3041" s="121"/>
      <c r="I3041">
        <f>E3041*G3030</f>
        <v>0</v>
      </c>
      <c r="J3041" s="68"/>
      <c r="K3041" s="56"/>
      <c r="L3041" s="56"/>
      <c r="M3041" s="56"/>
      <c r="N3041" s="56"/>
      <c r="O3041" s="56"/>
    </row>
    <row r="3042" spans="1:15">
      <c r="A3042" s="536" t="s">
        <v>4489</v>
      </c>
      <c r="B3042" s="537" t="str">
        <f>VLOOKUP(A3042,'Materiales '!$C$2:$F$1302,3,0)</f>
        <v>Und</v>
      </c>
      <c r="C3042" s="98" t="str">
        <f>VLOOKUP(A3042,'Materiales '!$C$2:$F$1302,3,0)</f>
        <v>Und</v>
      </c>
      <c r="D3042" s="99">
        <f>VLOOKUP(A3042,'Materiales '!$C$2:$F$1302,4,0)</f>
        <v>8039.6399999999994</v>
      </c>
      <c r="E3042" s="100">
        <v>3</v>
      </c>
      <c r="F3042" s="538">
        <f t="shared" si="178"/>
        <v>24118.92</v>
      </c>
      <c r="G3042" s="539"/>
      <c r="H3042" s="121"/>
      <c r="I3042">
        <f>E3042*G3030</f>
        <v>0</v>
      </c>
      <c r="J3042" s="68"/>
      <c r="K3042" s="56"/>
      <c r="L3042" s="56"/>
      <c r="M3042" s="56"/>
      <c r="N3042" s="56"/>
      <c r="O3042" s="56"/>
    </row>
    <row r="3043" spans="1:15">
      <c r="A3043" s="536" t="s">
        <v>4554</v>
      </c>
      <c r="B3043" s="537" t="str">
        <f>VLOOKUP(A3043,'Materiales '!$C$2:$F$1302,3,0)</f>
        <v>Und</v>
      </c>
      <c r="C3043" s="98" t="str">
        <f>VLOOKUP(A3043,'Materiales '!$C$2:$F$1302,3,0)</f>
        <v>Und</v>
      </c>
      <c r="D3043" s="99">
        <f>VLOOKUP(A3043,'Materiales '!$C$2:$F$1302,4,0)</f>
        <v>2535.5329999999999</v>
      </c>
      <c r="E3043" s="100">
        <v>2</v>
      </c>
      <c r="F3043" s="538">
        <f t="shared" si="178"/>
        <v>5071.0659999999998</v>
      </c>
      <c r="G3043" s="539"/>
      <c r="H3043" s="121"/>
      <c r="I3043">
        <f>E3043*G3030</f>
        <v>0</v>
      </c>
      <c r="J3043" s="68"/>
      <c r="K3043" s="56"/>
      <c r="L3043" s="56"/>
      <c r="M3043" s="56"/>
      <c r="N3043" s="56"/>
      <c r="O3043" s="56"/>
    </row>
    <row r="3044" spans="1:15">
      <c r="A3044" s="536" t="s">
        <v>4450</v>
      </c>
      <c r="B3044" s="537" t="str">
        <f>VLOOKUP(A3044,'Materiales '!$C$2:$F$1302,3,0)</f>
        <v>Ml</v>
      </c>
      <c r="C3044" s="98" t="str">
        <f>VLOOKUP(A3044,'Materiales '!$C$2:$F$1302,3,0)</f>
        <v>Ml</v>
      </c>
      <c r="D3044" s="99">
        <f>VLOOKUP(A3044,'Materiales '!$C$2:$F$1302,4,0)</f>
        <v>6791.5679999999993</v>
      </c>
      <c r="E3044" s="100">
        <v>1</v>
      </c>
      <c r="F3044" s="538">
        <f t="shared" si="178"/>
        <v>6791.5679999999993</v>
      </c>
      <c r="G3044" s="539"/>
      <c r="H3044" s="121"/>
      <c r="I3044">
        <f>E3044*G3030</f>
        <v>0</v>
      </c>
      <c r="J3044" s="68"/>
      <c r="K3044" s="56"/>
      <c r="L3044" s="56"/>
      <c r="M3044" s="56"/>
      <c r="N3044" s="56"/>
      <c r="O3044" s="56"/>
    </row>
    <row r="3045" spans="1:15">
      <c r="A3045" s="536" t="s">
        <v>4493</v>
      </c>
      <c r="B3045" s="537" t="str">
        <f>VLOOKUP(A3045,'Materiales '!$C$2:$F$1302,3,0)</f>
        <v>Und</v>
      </c>
      <c r="C3045" s="98" t="str">
        <f>VLOOKUP(A3045,'Materiales '!$C$2:$F$1302,3,0)</f>
        <v>Und</v>
      </c>
      <c r="D3045" s="99">
        <f>VLOOKUP(A3045,'Materiales '!$C$2:$F$1302,4,0)</f>
        <v>232.76399999999998</v>
      </c>
      <c r="E3045" s="100">
        <v>3</v>
      </c>
      <c r="F3045" s="538">
        <f t="shared" si="178"/>
        <v>698.29199999999992</v>
      </c>
      <c r="G3045" s="539"/>
      <c r="H3045" s="121"/>
      <c r="I3045">
        <f>E3045*G3030</f>
        <v>0</v>
      </c>
      <c r="J3045" s="68"/>
      <c r="K3045" s="56"/>
      <c r="L3045" s="56"/>
      <c r="M3045" s="56"/>
      <c r="N3045" s="56"/>
      <c r="O3045" s="56"/>
    </row>
    <row r="3046" spans="1:15" ht="21.75" customHeight="1">
      <c r="A3046" s="536" t="s">
        <v>4639</v>
      </c>
      <c r="B3046" s="537" t="str">
        <f>VLOOKUP(A3046,'Materiales '!$C$2:$F$1302,3,0)</f>
        <v>Und</v>
      </c>
      <c r="C3046" s="98" t="str">
        <f>VLOOKUP(A3046,'Materiales '!$C$2:$F$1302,3,0)</f>
        <v>Und</v>
      </c>
      <c r="D3046" s="99">
        <f>VLOOKUP(A3046,'Materiales '!$C$2:$F$1302,4,0)</f>
        <v>35700</v>
      </c>
      <c r="E3046" s="100">
        <v>1</v>
      </c>
      <c r="F3046" s="538">
        <f t="shared" si="178"/>
        <v>35700</v>
      </c>
      <c r="G3046" s="539"/>
      <c r="H3046" s="121"/>
      <c r="I3046">
        <f>E3046*G3030</f>
        <v>0</v>
      </c>
      <c r="J3046" s="68"/>
      <c r="K3046" s="56"/>
      <c r="L3046" s="56"/>
      <c r="M3046" s="56"/>
      <c r="N3046" s="56"/>
      <c r="O3046" s="56"/>
    </row>
    <row r="3047" spans="1:15">
      <c r="A3047" s="536" t="s">
        <v>8</v>
      </c>
      <c r="B3047" s="537" t="str">
        <f>VLOOKUP(A3047,'Materiales '!$C$2:$F$1302,3,0)</f>
        <v>-</v>
      </c>
      <c r="C3047" s="98" t="str">
        <f>VLOOKUP(A3047,'Materiales '!$C$2:$F$1302,3,0)</f>
        <v>-</v>
      </c>
      <c r="D3047" s="99">
        <f>VLOOKUP(A3047,'Materiales '!$C$2:$F$1302,4,0)</f>
        <v>0</v>
      </c>
      <c r="E3047" s="100"/>
      <c r="F3047" s="538">
        <f>E3047*D3047</f>
        <v>0</v>
      </c>
      <c r="G3047" s="539"/>
      <c r="H3047" s="120"/>
      <c r="I3047">
        <f>E3047*G3030</f>
        <v>0</v>
      </c>
      <c r="J3047" s="68"/>
      <c r="K3047" s="56"/>
      <c r="L3047" s="56"/>
      <c r="M3047" s="56"/>
      <c r="N3047" s="56"/>
      <c r="O3047" s="56"/>
    </row>
    <row r="3048" spans="1:15">
      <c r="A3048" s="536" t="s">
        <v>8</v>
      </c>
      <c r="B3048" s="537" t="str">
        <f>VLOOKUP(A3048,'Materiales '!$C$2:$F$1302,3,0)</f>
        <v>-</v>
      </c>
      <c r="C3048" s="98" t="str">
        <f>VLOOKUP(A3048,'Materiales '!$C$2:$F$1302,3,0)</f>
        <v>-</v>
      </c>
      <c r="D3048" s="99">
        <f>VLOOKUP(A3048,'Materiales '!$C$2:$F$1302,4,0)</f>
        <v>0</v>
      </c>
      <c r="E3048" s="100"/>
      <c r="F3048" s="538">
        <f t="shared" ref="F3048:F3051" si="179">E3048*D3048</f>
        <v>0</v>
      </c>
      <c r="G3048" s="539"/>
      <c r="H3048" s="121"/>
      <c r="I3048">
        <f>E3048*G3030</f>
        <v>0</v>
      </c>
      <c r="J3048" s="68"/>
      <c r="K3048" s="56"/>
      <c r="L3048" s="56"/>
      <c r="M3048" s="56"/>
      <c r="N3048" s="56"/>
      <c r="O3048" s="56"/>
    </row>
    <row r="3049" spans="1:15">
      <c r="A3049" s="536" t="s">
        <v>8</v>
      </c>
      <c r="B3049" s="537" t="str">
        <f>VLOOKUP(A3049,'Materiales '!$C$2:$F$1302,3,0)</f>
        <v>-</v>
      </c>
      <c r="C3049" s="98" t="str">
        <f>VLOOKUP(A3049,'Materiales '!$C$2:$F$1302,3,0)</f>
        <v>-</v>
      </c>
      <c r="D3049" s="99">
        <f>VLOOKUP(A3049,'Materiales '!$C$2:$F$1302,4,0)</f>
        <v>0</v>
      </c>
      <c r="E3049" s="100"/>
      <c r="F3049" s="538">
        <f t="shared" si="179"/>
        <v>0</v>
      </c>
      <c r="G3049" s="539"/>
      <c r="H3049" s="121"/>
      <c r="I3049">
        <f>E3049*G3030</f>
        <v>0</v>
      </c>
      <c r="J3049" s="68"/>
      <c r="K3049" s="56"/>
      <c r="L3049" s="56"/>
      <c r="M3049" s="56"/>
      <c r="N3049" s="56"/>
      <c r="O3049" s="56"/>
    </row>
    <row r="3050" spans="1:15">
      <c r="A3050" s="536" t="s">
        <v>8</v>
      </c>
      <c r="B3050" s="537" t="str">
        <f>VLOOKUP(A3050,'Materiales '!$C$2:$F$1302,3,0)</f>
        <v>-</v>
      </c>
      <c r="C3050" s="98" t="str">
        <f>VLOOKUP(A3050,'Materiales '!$C$2:$F$1302,3,0)</f>
        <v>-</v>
      </c>
      <c r="D3050" s="99">
        <f>VLOOKUP(A3050,'Materiales '!$C$2:$F$1302,4,0)</f>
        <v>0</v>
      </c>
      <c r="E3050" s="100"/>
      <c r="F3050" s="538">
        <f t="shared" si="179"/>
        <v>0</v>
      </c>
      <c r="G3050" s="539"/>
      <c r="H3050" s="121"/>
      <c r="I3050">
        <f>E3050*G3030</f>
        <v>0</v>
      </c>
      <c r="J3050" s="68"/>
      <c r="K3050" s="56"/>
      <c r="L3050" s="56"/>
      <c r="M3050" s="56"/>
      <c r="N3050" s="56"/>
      <c r="O3050" s="56"/>
    </row>
    <row r="3051" spans="1:15">
      <c r="A3051" s="536" t="s">
        <v>8</v>
      </c>
      <c r="B3051" s="537" t="str">
        <f>VLOOKUP(A3051,'Materiales '!$C$2:$F$1302,3,0)</f>
        <v>-</v>
      </c>
      <c r="C3051" s="98" t="str">
        <f>VLOOKUP(A3051,'Materiales '!$C$2:$F$1302,3,0)</f>
        <v>-</v>
      </c>
      <c r="D3051" s="99">
        <f>VLOOKUP(A3051,'Materiales '!$C$2:$F$1302,4,0)</f>
        <v>0</v>
      </c>
      <c r="E3051" s="100"/>
      <c r="F3051" s="538">
        <f t="shared" si="179"/>
        <v>0</v>
      </c>
      <c r="G3051" s="539"/>
      <c r="H3051" s="121"/>
      <c r="I3051">
        <f>E3051*G3030</f>
        <v>0</v>
      </c>
      <c r="J3051" s="68"/>
      <c r="K3051" s="56"/>
      <c r="L3051" s="56"/>
      <c r="M3051" s="56"/>
      <c r="N3051" s="56"/>
      <c r="O3051" s="56"/>
    </row>
    <row r="3052" spans="1:15">
      <c r="A3052" s="536" t="s">
        <v>8</v>
      </c>
      <c r="B3052" s="537" t="str">
        <f>VLOOKUP(A3052,'Materiales '!$C$2:$F$1302,3,0)</f>
        <v>-</v>
      </c>
      <c r="C3052" s="98" t="str">
        <f>VLOOKUP(A3052,'Materiales '!$C$2:$F$1302,3,0)</f>
        <v>-</v>
      </c>
      <c r="D3052" s="99">
        <f>VLOOKUP(A3052,'Materiales '!$C$2:$F$1302,4,0)</f>
        <v>0</v>
      </c>
      <c r="E3052" s="100"/>
      <c r="F3052" s="538">
        <f>E3052*D3052</f>
        <v>0</v>
      </c>
      <c r="G3052" s="539"/>
      <c r="H3052" s="120"/>
      <c r="I3052">
        <f>E3052*G3030</f>
        <v>0</v>
      </c>
      <c r="J3052" s="68"/>
      <c r="K3052" s="56"/>
      <c r="L3052" s="56"/>
      <c r="M3052" s="56"/>
      <c r="N3052" s="56"/>
      <c r="O3052" s="56"/>
    </row>
    <row r="3053" spans="1:15" ht="16.5">
      <c r="A3053" s="540" t="s">
        <v>4099</v>
      </c>
      <c r="B3053" s="541"/>
      <c r="C3053" s="541"/>
      <c r="D3053" s="541"/>
      <c r="E3053" s="541"/>
      <c r="F3053" s="541"/>
      <c r="G3053" s="542"/>
      <c r="H3053" s="116">
        <f>SUM(F3039:F3052)</f>
        <v>886601.64600000007</v>
      </c>
      <c r="J3053" s="68"/>
      <c r="K3053" s="56"/>
      <c r="L3053" s="56"/>
      <c r="M3053" s="56"/>
      <c r="N3053" s="56"/>
      <c r="O3053" s="56"/>
    </row>
    <row r="3054" spans="1:15" ht="16.5">
      <c r="A3054" s="543" t="s">
        <v>4231</v>
      </c>
      <c r="B3054" s="544"/>
      <c r="C3054" s="544"/>
      <c r="D3054" s="544"/>
      <c r="E3054" s="545"/>
      <c r="F3054" s="544"/>
      <c r="G3054" s="544"/>
      <c r="H3054" s="546"/>
      <c r="J3054" s="68"/>
      <c r="K3054" s="56"/>
      <c r="L3054" s="56"/>
      <c r="M3054" s="56"/>
      <c r="N3054" s="56"/>
      <c r="O3054" s="56"/>
    </row>
    <row r="3055" spans="1:15">
      <c r="A3055" s="547" t="s">
        <v>7</v>
      </c>
      <c r="B3055" s="548"/>
      <c r="C3055" s="108" t="s">
        <v>4232</v>
      </c>
      <c r="D3055" s="107" t="s">
        <v>4233</v>
      </c>
      <c r="E3055" s="206" t="s">
        <v>4234</v>
      </c>
      <c r="F3055" s="549" t="s">
        <v>4218</v>
      </c>
      <c r="G3055" s="549"/>
      <c r="H3055" s="119"/>
      <c r="K3055" s="56"/>
      <c r="L3055" s="56"/>
      <c r="M3055" s="56"/>
      <c r="N3055" s="56"/>
      <c r="O3055" s="56"/>
    </row>
    <row r="3056" spans="1:15">
      <c r="A3056" s="550" t="s">
        <v>3928</v>
      </c>
      <c r="B3056" s="551"/>
      <c r="C3056" s="232">
        <v>1</v>
      </c>
      <c r="D3056" s="102">
        <v>0.03</v>
      </c>
      <c r="E3056" s="103">
        <f>VLOOKUP(A3056,'Equip, Herr y Transp'!$B$2:$D$218,3,0)</f>
        <v>160000</v>
      </c>
      <c r="F3056" s="552">
        <f>E3056*D3056*C3056</f>
        <v>4800</v>
      </c>
      <c r="G3056" s="553"/>
      <c r="H3056" s="117"/>
      <c r="M3056" s="56"/>
    </row>
    <row r="3057" spans="1:10" ht="16.5">
      <c r="A3057" s="554" t="s">
        <v>4216</v>
      </c>
      <c r="B3057" s="555"/>
      <c r="C3057" s="555"/>
      <c r="D3057" s="555"/>
      <c r="E3057" s="555"/>
      <c r="F3057" s="555"/>
      <c r="G3057" s="555"/>
      <c r="H3057" s="105">
        <f>F3056</f>
        <v>4800</v>
      </c>
    </row>
    <row r="3058" spans="1:10" ht="16.5">
      <c r="A3058" s="543" t="s">
        <v>4235</v>
      </c>
      <c r="B3058" s="544"/>
      <c r="C3058" s="544"/>
      <c r="D3058" s="544"/>
      <c r="E3058" s="544"/>
      <c r="F3058" s="544"/>
      <c r="G3058" s="544"/>
      <c r="H3058" s="546"/>
    </row>
    <row r="3059" spans="1:10">
      <c r="A3059" s="547" t="s">
        <v>7</v>
      </c>
      <c r="B3059" s="548"/>
      <c r="C3059" s="106" t="s">
        <v>1</v>
      </c>
      <c r="D3059" s="107" t="s">
        <v>4236</v>
      </c>
      <c r="E3059" s="108" t="s">
        <v>4215</v>
      </c>
      <c r="F3059" s="547" t="s">
        <v>5</v>
      </c>
      <c r="G3059" s="556"/>
      <c r="H3059" s="119"/>
    </row>
    <row r="3060" spans="1:10">
      <c r="A3060" s="550" t="s">
        <v>4196</v>
      </c>
      <c r="B3060" s="551"/>
      <c r="C3060" s="101">
        <v>1</v>
      </c>
      <c r="D3060" s="104">
        <f>VLOOKUP(A3060,'Mano Obra'!$B$2:$T$117,19,0)</f>
        <v>166624</v>
      </c>
      <c r="E3060" s="246">
        <f>H3023</f>
        <v>6.25E-2</v>
      </c>
      <c r="F3060" s="538">
        <f>E3060*D3060*C3060</f>
        <v>10414</v>
      </c>
      <c r="G3060" s="557"/>
      <c r="H3060" s="121"/>
      <c r="I3060" s="69"/>
      <c r="J3060" s="136">
        <f>((('Mano Obra'!$M$4/30)*F3060)/D3060)*G3030</f>
        <v>0</v>
      </c>
    </row>
    <row r="3061" spans="1:10">
      <c r="A3061" s="558" t="s">
        <v>4197</v>
      </c>
      <c r="B3061" s="559">
        <f>VLOOKUP(A3061,'Mano Obra'!$B$3:$D$290,2,0)</f>
        <v>2090000.0000000002</v>
      </c>
      <c r="C3061" s="101">
        <v>1</v>
      </c>
      <c r="D3061" s="104">
        <f>VLOOKUP(A3061,'Mano Obra'!$B$2:$T$117,19,0)</f>
        <v>120456</v>
      </c>
      <c r="E3061" s="246">
        <f>H3023</f>
        <v>6.25E-2</v>
      </c>
      <c r="F3061" s="538">
        <f t="shared" ref="F3061:F3062" si="180">E3061*D3061*C3061</f>
        <v>7528.5</v>
      </c>
      <c r="G3061" s="557"/>
      <c r="H3061" s="121"/>
      <c r="J3061" s="136">
        <f>((('Mano Obra'!$M$5/30)*F3061)/D3061)*G3030</f>
        <v>0</v>
      </c>
    </row>
    <row r="3062" spans="1:10">
      <c r="A3062" s="558" t="s">
        <v>4186</v>
      </c>
      <c r="B3062" s="559">
        <f>VLOOKUP(A3062,'Mano Obra'!$B$3:$D$290,2,0)</f>
        <v>1100000</v>
      </c>
      <c r="C3062" s="101">
        <v>1</v>
      </c>
      <c r="D3062" s="104">
        <f>VLOOKUP(A3062,'Mano Obra'!$B$2:$T$117,19,0)</f>
        <v>72664</v>
      </c>
      <c r="E3062" s="246">
        <f>H3023</f>
        <v>6.25E-2</v>
      </c>
      <c r="F3062" s="538">
        <f t="shared" si="180"/>
        <v>4541.5</v>
      </c>
      <c r="G3062" s="557"/>
      <c r="H3062" s="120"/>
      <c r="J3062" s="136">
        <f>((('Mano Obra'!$M$6/30)*F3062)/D3062)*G3030</f>
        <v>0</v>
      </c>
    </row>
    <row r="3063" spans="1:10" ht="16.5">
      <c r="A3063" s="560" t="s">
        <v>4101</v>
      </c>
      <c r="B3063" s="560"/>
      <c r="C3063" s="560"/>
      <c r="D3063" s="560"/>
      <c r="E3063" s="560"/>
      <c r="F3063" s="560"/>
      <c r="G3063" s="560"/>
      <c r="H3063" s="105">
        <f>SUM(F3060:F3062)</f>
        <v>22484</v>
      </c>
      <c r="J3063" s="136"/>
    </row>
    <row r="3064" spans="1:10">
      <c r="A3064" s="227" t="s">
        <v>4237</v>
      </c>
      <c r="B3064" s="205"/>
      <c r="C3064" s="205"/>
      <c r="D3064" s="202"/>
      <c r="E3064" s="203"/>
      <c r="F3064" s="204"/>
      <c r="G3064" s="203"/>
      <c r="H3064" s="212"/>
    </row>
    <row r="3065" spans="1:10">
      <c r="A3065" s="561" t="s">
        <v>4224</v>
      </c>
      <c r="B3065" s="562"/>
      <c r="C3065" s="562"/>
      <c r="D3065" s="562"/>
      <c r="E3065" s="200"/>
      <c r="F3065" s="201" t="s">
        <v>4238</v>
      </c>
      <c r="G3065" s="200" t="s">
        <v>4239</v>
      </c>
      <c r="H3065" s="213"/>
    </row>
    <row r="3066" spans="1:10">
      <c r="A3066" s="223" t="s">
        <v>4097</v>
      </c>
      <c r="B3066" s="72"/>
      <c r="C3066" s="72"/>
      <c r="D3066" s="73"/>
      <c r="E3066" s="78"/>
      <c r="F3066" s="79">
        <v>0</v>
      </c>
      <c r="G3066" s="80">
        <f>F3066*H3031</f>
        <v>0</v>
      </c>
      <c r="H3066" s="212"/>
    </row>
    <row r="3067" spans="1:10">
      <c r="A3067" s="224" t="s">
        <v>4240</v>
      </c>
      <c r="B3067" s="81"/>
      <c r="C3067" s="81"/>
      <c r="D3067" s="82"/>
      <c r="E3067" s="78"/>
      <c r="F3067" s="79">
        <v>0</v>
      </c>
      <c r="G3067" s="80">
        <f>F3067*H3031</f>
        <v>0</v>
      </c>
      <c r="H3067" s="212"/>
    </row>
    <row r="3068" spans="1:10">
      <c r="A3068" s="224" t="s">
        <v>4</v>
      </c>
      <c r="B3068" s="81"/>
      <c r="C3068" s="81"/>
      <c r="D3068" s="82"/>
      <c r="E3068" s="78"/>
      <c r="F3068" s="79">
        <v>0</v>
      </c>
      <c r="G3068" s="80">
        <f>F3068*H3031</f>
        <v>0</v>
      </c>
      <c r="H3068" s="212"/>
    </row>
    <row r="3069" spans="1:10">
      <c r="A3069" s="225"/>
      <c r="B3069" s="83"/>
      <c r="C3069" s="75"/>
      <c r="D3069" s="84"/>
      <c r="E3069" s="85"/>
      <c r="F3069" s="86"/>
      <c r="G3069" s="87"/>
      <c r="H3069" s="214"/>
    </row>
    <row r="3070" spans="1:10">
      <c r="A3070" s="226"/>
      <c r="B3070" s="83"/>
      <c r="C3070" s="83"/>
      <c r="D3070" s="84"/>
      <c r="E3070" s="88"/>
      <c r="F3070" s="563" t="s">
        <v>4241</v>
      </c>
      <c r="G3070" s="564"/>
      <c r="H3070" s="233">
        <f>H3031+G3066+G3067+G3068</f>
        <v>917920.17725000007</v>
      </c>
    </row>
    <row r="3071" spans="1:10">
      <c r="A3071" s="83"/>
      <c r="B3071" s="83"/>
      <c r="C3071" s="83"/>
      <c r="D3071" s="84"/>
      <c r="E3071" s="388"/>
      <c r="F3071" s="389"/>
      <c r="G3071" s="389"/>
      <c r="H3071" s="390"/>
    </row>
    <row r="3072" spans="1:10" ht="16.5">
      <c r="A3072" s="90"/>
      <c r="B3072" s="90"/>
      <c r="C3072" s="90"/>
      <c r="D3072" s="90"/>
      <c r="E3072" s="90"/>
      <c r="F3072" s="90"/>
      <c r="G3072" s="90"/>
      <c r="H3072" s="381"/>
    </row>
    <row r="3073" spans="1:15">
      <c r="A3073" s="579" t="s">
        <v>4225</v>
      </c>
      <c r="B3073" s="580"/>
      <c r="C3073" s="580"/>
      <c r="D3073" s="580"/>
      <c r="E3073" s="580"/>
      <c r="F3073" s="580"/>
      <c r="G3073" s="580"/>
      <c r="H3073" s="581"/>
    </row>
    <row r="3074" spans="1:15" ht="16.5">
      <c r="A3074" s="91"/>
      <c r="B3074" s="92"/>
      <c r="C3074" s="92"/>
      <c r="D3074" s="92"/>
      <c r="E3074" s="92"/>
      <c r="F3074" s="93"/>
      <c r="G3074" s="94"/>
      <c r="H3074" s="380">
        <f>ROUND((30/60)/8,4)</f>
        <v>6.25E-2</v>
      </c>
      <c r="I3074" s="115"/>
    </row>
    <row r="3075" spans="1:15">
      <c r="A3075" s="582" t="s">
        <v>4220</v>
      </c>
      <c r="B3075" s="584" t="str">
        <f>COSTOS!$C$14</f>
        <v>MODERNIZACION A TECNOLOGIA LED</v>
      </c>
      <c r="C3075" s="584"/>
      <c r="D3075" s="584"/>
      <c r="E3075" s="584"/>
      <c r="F3075" s="584"/>
      <c r="G3075" s="584"/>
      <c r="H3075" s="585" t="s">
        <v>4221</v>
      </c>
    </row>
    <row r="3076" spans="1:15">
      <c r="A3076" s="583"/>
      <c r="B3076" s="584"/>
      <c r="C3076" s="584"/>
      <c r="D3076" s="584"/>
      <c r="E3076" s="584"/>
      <c r="F3076" s="584"/>
      <c r="G3076" s="584"/>
      <c r="H3076" s="585"/>
    </row>
    <row r="3077" spans="1:15">
      <c r="A3077" s="583"/>
      <c r="B3077" s="584"/>
      <c r="C3077" s="584"/>
      <c r="D3077" s="584"/>
      <c r="E3077" s="584"/>
      <c r="F3077" s="584"/>
      <c r="G3077" s="584"/>
      <c r="H3077" s="585"/>
    </row>
    <row r="3078" spans="1:15" ht="15" customHeight="1">
      <c r="A3078" s="583"/>
      <c r="B3078" s="584"/>
      <c r="C3078" s="584"/>
      <c r="D3078" s="584"/>
      <c r="E3078" s="584"/>
      <c r="F3078" s="584"/>
      <c r="G3078" s="584"/>
      <c r="H3078" s="216">
        <f ca="1">TODAY()</f>
        <v>44889</v>
      </c>
      <c r="K3078" t="s">
        <v>4391</v>
      </c>
      <c r="L3078" t="s">
        <v>4392</v>
      </c>
      <c r="M3078" t="s">
        <v>4393</v>
      </c>
      <c r="N3078" t="s">
        <v>4394</v>
      </c>
    </row>
    <row r="3079" spans="1:15" ht="60.75" customHeight="1">
      <c r="A3079" s="228" t="s">
        <v>4222</v>
      </c>
      <c r="B3079" s="565" t="str">
        <f>COSTOS!$D$16</f>
        <v>Luminarias</v>
      </c>
      <c r="C3079" s="565"/>
      <c r="D3079" s="565"/>
      <c r="E3079" s="565"/>
      <c r="F3079" s="565"/>
      <c r="G3079" s="70" t="s">
        <v>4223</v>
      </c>
      <c r="H3079" s="391">
        <v>1.61</v>
      </c>
      <c r="K3079" s="62">
        <f>H3104</f>
        <v>870577.65339999995</v>
      </c>
      <c r="L3079" s="62">
        <f>H3114</f>
        <v>22484</v>
      </c>
      <c r="M3079" s="62">
        <f>H3087</f>
        <v>4034.53125</v>
      </c>
      <c r="N3079" s="62">
        <f>H3108</f>
        <v>4800</v>
      </c>
    </row>
    <row r="3080" spans="1:15" ht="43.15" customHeight="1">
      <c r="A3080" s="229" t="s">
        <v>4224</v>
      </c>
      <c r="B3080" s="566" t="str">
        <f>VLOOKUP(H3079,COSTOS!C:M,2,0)</f>
        <v>Luminaria Led 27.8w agm</v>
      </c>
      <c r="C3080" s="567"/>
      <c r="D3080" s="567"/>
      <c r="E3080" s="568"/>
      <c r="F3080" s="71" t="s">
        <v>0</v>
      </c>
      <c r="G3080" s="356" t="str">
        <f>VLOOKUP(H3079,COSTOS!C:M,8,0)</f>
        <v>Und</v>
      </c>
      <c r="H3080" s="276"/>
      <c r="I3080" s="306"/>
      <c r="J3080" s="308"/>
      <c r="K3080" s="308"/>
      <c r="L3080" s="308"/>
    </row>
    <row r="3081" spans="1:15">
      <c r="A3081" s="230"/>
      <c r="B3081" s="112"/>
      <c r="C3081" s="112"/>
      <c r="D3081" s="112"/>
      <c r="E3081" s="113"/>
      <c r="F3081" s="114" t="s">
        <v>1</v>
      </c>
      <c r="G3081" s="356">
        <f>VLOOKUP(H3079,COSTOS!C:M,9,0)</f>
        <v>1</v>
      </c>
      <c r="H3081" s="357"/>
      <c r="I3081" s="307"/>
    </row>
    <row r="3082" spans="1:15" ht="16.5">
      <c r="A3082" s="231" t="s">
        <v>4226</v>
      </c>
      <c r="B3082" s="75"/>
      <c r="C3082" s="75"/>
      <c r="D3082" s="76"/>
      <c r="E3082" s="209"/>
      <c r="F3082" s="210"/>
      <c r="G3082" s="211" t="s">
        <v>4227</v>
      </c>
      <c r="H3082" s="217">
        <f>H3087+H3104+H3108+H3114</f>
        <v>901896.18464999995</v>
      </c>
    </row>
    <row r="3083" spans="1:15" ht="39">
      <c r="A3083" s="569" t="s">
        <v>4224</v>
      </c>
      <c r="B3083" s="569"/>
      <c r="C3083" s="569"/>
      <c r="D3083" s="77" t="s">
        <v>0</v>
      </c>
      <c r="E3083" s="207" t="s">
        <v>4228</v>
      </c>
      <c r="F3083" s="208" t="s">
        <v>4215</v>
      </c>
      <c r="G3083" s="74" t="s">
        <v>2</v>
      </c>
      <c r="H3083" s="218" t="s">
        <v>4229</v>
      </c>
      <c r="K3083" s="309"/>
    </row>
    <row r="3084" spans="1:15">
      <c r="A3084" s="536" t="s">
        <v>3946</v>
      </c>
      <c r="B3084" s="570" t="str">
        <f>VLOOKUP(A3084,'Equip, Herr y Transp'!$B$2:$D$739,2,0)</f>
        <v>EQU</v>
      </c>
      <c r="C3084" s="570"/>
      <c r="D3084" s="95" t="str">
        <f>VLOOKUP(A3084,'Equip, Herr y Transp'!$B$2:$D$218,2,0)</f>
        <v>EQU</v>
      </c>
      <c r="E3084" s="95">
        <f>VLOOKUP(A3084,'Equip, Herr y Transp'!$B$2:$D$218,3,0)</f>
        <v>14130</v>
      </c>
      <c r="F3084" s="96">
        <f>H3074</f>
        <v>6.25E-2</v>
      </c>
      <c r="G3084" s="122">
        <f>F3084*E3084</f>
        <v>883.125</v>
      </c>
      <c r="H3084" s="118"/>
    </row>
    <row r="3085" spans="1:15">
      <c r="A3085" s="536" t="s">
        <v>3904</v>
      </c>
      <c r="B3085" s="570" t="str">
        <f>VLOOKUP(A3085,'Equip, Herr y Transp'!$B$2:$D$739,2,0)</f>
        <v>EQU</v>
      </c>
      <c r="C3085" s="570"/>
      <c r="D3085" s="95" t="str">
        <f>VLOOKUP(A3085,'Equip, Herr y Transp'!$B$2:$D$218,2,0)</f>
        <v>EQU</v>
      </c>
      <c r="E3085" s="95">
        <f>VLOOKUP(A3085,'Equip, Herr y Transp'!$B$2:$D$218,3,0)</f>
        <v>26672.5</v>
      </c>
      <c r="F3085" s="96">
        <f>H3074</f>
        <v>6.25E-2</v>
      </c>
      <c r="G3085" s="122">
        <f>F3085*E3085</f>
        <v>1667.03125</v>
      </c>
      <c r="H3085" s="117"/>
    </row>
    <row r="3086" spans="1:15">
      <c r="A3086" s="536" t="s">
        <v>3937</v>
      </c>
      <c r="B3086" s="570" t="str">
        <f>VLOOKUP(A3086,'Equip, Herr y Transp'!$B$2:$D$739,2,0)</f>
        <v>EQU</v>
      </c>
      <c r="C3086" s="570"/>
      <c r="D3086" s="95" t="str">
        <f>VLOOKUP(A3086,'Equip, Herr y Transp'!$B$2:$D$218,2,0)</f>
        <v>EQU</v>
      </c>
      <c r="E3086" s="95">
        <f>VLOOKUP(A3086,'Equip, Herr y Transp'!$B$2:$D$218,3,0)</f>
        <v>23750</v>
      </c>
      <c r="F3086" s="96">
        <f>H3074</f>
        <v>6.25E-2</v>
      </c>
      <c r="G3086" s="122">
        <f>F3086*E3086</f>
        <v>1484.375</v>
      </c>
      <c r="H3086" s="117"/>
    </row>
    <row r="3087" spans="1:15" ht="16.5">
      <c r="A3087" s="540" t="s">
        <v>4100</v>
      </c>
      <c r="B3087" s="541"/>
      <c r="C3087" s="541"/>
      <c r="D3087" s="541"/>
      <c r="E3087" s="541"/>
      <c r="F3087" s="541"/>
      <c r="G3087" s="541"/>
      <c r="H3087" s="97">
        <f>SUM(G3084:G3086)</f>
        <v>4034.53125</v>
      </c>
    </row>
    <row r="3088" spans="1:15" ht="16.5">
      <c r="A3088" s="571" t="s">
        <v>4230</v>
      </c>
      <c r="B3088" s="572"/>
      <c r="C3088" s="572"/>
      <c r="D3088" s="572"/>
      <c r="E3088" s="572"/>
      <c r="F3088" s="572"/>
      <c r="G3088" s="572"/>
      <c r="H3088" s="573"/>
      <c r="K3088" s="56"/>
      <c r="L3088" s="56"/>
      <c r="M3088" s="56"/>
      <c r="N3088" s="56"/>
      <c r="O3088" s="56"/>
    </row>
    <row r="3089" spans="1:15" ht="30" customHeight="1">
      <c r="A3089" s="574" t="s">
        <v>7</v>
      </c>
      <c r="B3089" s="575"/>
      <c r="C3089" s="109" t="s">
        <v>0</v>
      </c>
      <c r="D3089" s="110" t="s">
        <v>4098</v>
      </c>
      <c r="E3089" s="111" t="s">
        <v>1</v>
      </c>
      <c r="F3089" s="576" t="s">
        <v>4218</v>
      </c>
      <c r="G3089" s="576"/>
      <c r="H3089" s="215"/>
      <c r="K3089" s="56"/>
      <c r="L3089" s="56"/>
      <c r="M3089" s="56"/>
      <c r="N3089" s="56"/>
      <c r="O3089" s="56"/>
    </row>
    <row r="3090" spans="1:15">
      <c r="A3090" s="577" t="s">
        <v>4771</v>
      </c>
      <c r="B3090" s="578"/>
      <c r="C3090" s="98" t="str">
        <f>VLOOKUP(A3090,'Materiales '!$C$2:$F$1302,3,0)</f>
        <v>Und</v>
      </c>
      <c r="D3090" s="99">
        <f>VLOOKUP(A3090,'Materiales '!$C$2:$F$1302,4,0)</f>
        <v>731938.60739999998</v>
      </c>
      <c r="E3090" s="100">
        <v>1</v>
      </c>
      <c r="F3090" s="538">
        <f>E3090*D3090</f>
        <v>731938.60739999998</v>
      </c>
      <c r="G3090" s="539"/>
      <c r="H3090" s="121"/>
      <c r="I3090">
        <f>E3090*G3081</f>
        <v>1</v>
      </c>
      <c r="J3090" s="67"/>
      <c r="K3090" s="56"/>
      <c r="L3090" s="56"/>
      <c r="M3090" s="56"/>
      <c r="N3090" s="56"/>
      <c r="O3090" s="56"/>
    </row>
    <row r="3091" spans="1:15">
      <c r="A3091" s="577" t="s">
        <v>4214</v>
      </c>
      <c r="B3091" s="578"/>
      <c r="C3091" s="98" t="str">
        <f>VLOOKUP(A3091,'Materiales '!$C$2:$F$1302,3,0)</f>
        <v>Und</v>
      </c>
      <c r="D3091" s="99">
        <f>VLOOKUP(A3091,'Materiales '!$C$2:$F$1302,4,0)</f>
        <v>22848</v>
      </c>
      <c r="E3091" s="100">
        <v>1</v>
      </c>
      <c r="F3091" s="538">
        <f t="shared" ref="F3091:F3097" si="181">E3091*D3091</f>
        <v>22848</v>
      </c>
      <c r="G3091" s="539"/>
      <c r="H3091" s="121"/>
      <c r="I3091">
        <f>E3091*G3081</f>
        <v>1</v>
      </c>
      <c r="J3091" s="67"/>
      <c r="K3091" s="56"/>
      <c r="L3091" s="56"/>
      <c r="M3091" s="56"/>
      <c r="N3091" s="56"/>
      <c r="O3091" s="56"/>
    </row>
    <row r="3092" spans="1:15">
      <c r="A3092" s="536" t="s">
        <v>4484</v>
      </c>
      <c r="B3092" s="537" t="str">
        <f>VLOOKUP(A3092,'Materiales '!$C$2:$F$1302,3,0)</f>
        <v>Und</v>
      </c>
      <c r="C3092" s="98" t="str">
        <f>VLOOKUP(A3092,'Materiales '!$C$2:$F$1302,3,0)</f>
        <v>Und</v>
      </c>
      <c r="D3092" s="99">
        <f>VLOOKUP(A3092,'Materiales '!$C$2:$F$1302,4,0)</f>
        <v>21705.599999999999</v>
      </c>
      <c r="E3092" s="100">
        <v>2</v>
      </c>
      <c r="F3092" s="538">
        <f t="shared" si="181"/>
        <v>43411.199999999997</v>
      </c>
      <c r="G3092" s="539"/>
      <c r="H3092" s="121"/>
      <c r="I3092">
        <f>E3092*G3081</f>
        <v>2</v>
      </c>
      <c r="J3092" s="68"/>
      <c r="K3092" s="56"/>
      <c r="L3092" s="56"/>
      <c r="M3092" s="56"/>
      <c r="N3092" s="56"/>
      <c r="O3092" s="56"/>
    </row>
    <row r="3093" spans="1:15">
      <c r="A3093" s="536" t="s">
        <v>4489</v>
      </c>
      <c r="B3093" s="537" t="str">
        <f>VLOOKUP(A3093,'Materiales '!$C$2:$F$1302,3,0)</f>
        <v>Und</v>
      </c>
      <c r="C3093" s="98" t="str">
        <f>VLOOKUP(A3093,'Materiales '!$C$2:$F$1302,3,0)</f>
        <v>Und</v>
      </c>
      <c r="D3093" s="99">
        <f>VLOOKUP(A3093,'Materiales '!$C$2:$F$1302,4,0)</f>
        <v>8039.6399999999994</v>
      </c>
      <c r="E3093" s="100">
        <v>3</v>
      </c>
      <c r="F3093" s="538">
        <f t="shared" si="181"/>
        <v>24118.92</v>
      </c>
      <c r="G3093" s="539"/>
      <c r="H3093" s="121"/>
      <c r="I3093">
        <f>E3093*G3081</f>
        <v>3</v>
      </c>
      <c r="J3093" s="68"/>
      <c r="K3093" s="56"/>
      <c r="L3093" s="56"/>
      <c r="M3093" s="56"/>
      <c r="N3093" s="56"/>
      <c r="O3093" s="56"/>
    </row>
    <row r="3094" spans="1:15">
      <c r="A3094" s="536" t="s">
        <v>4554</v>
      </c>
      <c r="B3094" s="537" t="str">
        <f>VLOOKUP(A3094,'Materiales '!$C$2:$F$1302,3,0)</f>
        <v>Und</v>
      </c>
      <c r="C3094" s="98" t="str">
        <f>VLOOKUP(A3094,'Materiales '!$C$2:$F$1302,3,0)</f>
        <v>Und</v>
      </c>
      <c r="D3094" s="99">
        <f>VLOOKUP(A3094,'Materiales '!$C$2:$F$1302,4,0)</f>
        <v>2535.5329999999999</v>
      </c>
      <c r="E3094" s="100">
        <v>2</v>
      </c>
      <c r="F3094" s="538">
        <f t="shared" si="181"/>
        <v>5071.0659999999998</v>
      </c>
      <c r="G3094" s="539"/>
      <c r="H3094" s="121"/>
      <c r="I3094">
        <f>E3094*G3081</f>
        <v>2</v>
      </c>
      <c r="J3094" s="68"/>
      <c r="K3094" s="56"/>
      <c r="L3094" s="56"/>
      <c r="M3094" s="56"/>
      <c r="N3094" s="56"/>
      <c r="O3094" s="56"/>
    </row>
    <row r="3095" spans="1:15">
      <c r="A3095" s="536" t="s">
        <v>4450</v>
      </c>
      <c r="B3095" s="537" t="str">
        <f>VLOOKUP(A3095,'Materiales '!$C$2:$F$1302,3,0)</f>
        <v>Ml</v>
      </c>
      <c r="C3095" s="98" t="str">
        <f>VLOOKUP(A3095,'Materiales '!$C$2:$F$1302,3,0)</f>
        <v>Ml</v>
      </c>
      <c r="D3095" s="99">
        <f>VLOOKUP(A3095,'Materiales '!$C$2:$F$1302,4,0)</f>
        <v>6791.5679999999993</v>
      </c>
      <c r="E3095" s="100">
        <v>1</v>
      </c>
      <c r="F3095" s="538">
        <f t="shared" si="181"/>
        <v>6791.5679999999993</v>
      </c>
      <c r="G3095" s="539"/>
      <c r="H3095" s="121"/>
      <c r="I3095">
        <f>E3095*G3081</f>
        <v>1</v>
      </c>
      <c r="J3095" s="68"/>
      <c r="K3095" s="56"/>
      <c r="L3095" s="56"/>
      <c r="M3095" s="56"/>
      <c r="N3095" s="56"/>
      <c r="O3095" s="56"/>
    </row>
    <row r="3096" spans="1:15">
      <c r="A3096" s="536" t="s">
        <v>4493</v>
      </c>
      <c r="B3096" s="537" t="str">
        <f>VLOOKUP(A3096,'Materiales '!$C$2:$F$1302,3,0)</f>
        <v>Und</v>
      </c>
      <c r="C3096" s="98" t="str">
        <f>VLOOKUP(A3096,'Materiales '!$C$2:$F$1302,3,0)</f>
        <v>Und</v>
      </c>
      <c r="D3096" s="99">
        <f>VLOOKUP(A3096,'Materiales '!$C$2:$F$1302,4,0)</f>
        <v>232.76399999999998</v>
      </c>
      <c r="E3096" s="100">
        <v>3</v>
      </c>
      <c r="F3096" s="538">
        <f t="shared" si="181"/>
        <v>698.29199999999992</v>
      </c>
      <c r="G3096" s="539"/>
      <c r="H3096" s="121"/>
      <c r="I3096">
        <f>E3096*G3081</f>
        <v>3</v>
      </c>
      <c r="J3096" s="68"/>
      <c r="K3096" s="56"/>
      <c r="L3096" s="56"/>
      <c r="M3096" s="56"/>
      <c r="N3096" s="56"/>
      <c r="O3096" s="56"/>
    </row>
    <row r="3097" spans="1:15" ht="21.75" customHeight="1">
      <c r="A3097" s="536" t="s">
        <v>4639</v>
      </c>
      <c r="B3097" s="537" t="str">
        <f>VLOOKUP(A3097,'Materiales '!$C$2:$F$1302,3,0)</f>
        <v>Und</v>
      </c>
      <c r="C3097" s="98" t="str">
        <f>VLOOKUP(A3097,'Materiales '!$C$2:$F$1302,3,0)</f>
        <v>Und</v>
      </c>
      <c r="D3097" s="99">
        <f>VLOOKUP(A3097,'Materiales '!$C$2:$F$1302,4,0)</f>
        <v>35700</v>
      </c>
      <c r="E3097" s="100">
        <v>1</v>
      </c>
      <c r="F3097" s="538">
        <f t="shared" si="181"/>
        <v>35700</v>
      </c>
      <c r="G3097" s="539"/>
      <c r="H3097" s="121"/>
      <c r="I3097">
        <f>E3097*G3081</f>
        <v>1</v>
      </c>
      <c r="J3097" s="68"/>
      <c r="K3097" s="56"/>
      <c r="L3097" s="56"/>
      <c r="M3097" s="56"/>
      <c r="N3097" s="56"/>
      <c r="O3097" s="56"/>
    </row>
    <row r="3098" spans="1:15">
      <c r="A3098" s="536" t="s">
        <v>8</v>
      </c>
      <c r="B3098" s="537" t="str">
        <f>VLOOKUP(A3098,'Materiales '!$C$2:$F$1302,3,0)</f>
        <v>-</v>
      </c>
      <c r="C3098" s="98" t="str">
        <f>VLOOKUP(A3098,'Materiales '!$C$2:$F$1302,3,0)</f>
        <v>-</v>
      </c>
      <c r="D3098" s="99">
        <f>VLOOKUP(A3098,'Materiales '!$C$2:$F$1302,4,0)</f>
        <v>0</v>
      </c>
      <c r="E3098" s="100"/>
      <c r="F3098" s="538">
        <f>E3098*D3098</f>
        <v>0</v>
      </c>
      <c r="G3098" s="539"/>
      <c r="H3098" s="120"/>
      <c r="I3098">
        <f>E3098*G3081</f>
        <v>0</v>
      </c>
      <c r="J3098" s="68"/>
      <c r="K3098" s="56"/>
      <c r="L3098" s="56"/>
      <c r="M3098" s="56"/>
      <c r="N3098" s="56"/>
      <c r="O3098" s="56"/>
    </row>
    <row r="3099" spans="1:15">
      <c r="A3099" s="536" t="s">
        <v>8</v>
      </c>
      <c r="B3099" s="537" t="str">
        <f>VLOOKUP(A3099,'Materiales '!$C$2:$F$1302,3,0)</f>
        <v>-</v>
      </c>
      <c r="C3099" s="98" t="str">
        <f>VLOOKUP(A3099,'Materiales '!$C$2:$F$1302,3,0)</f>
        <v>-</v>
      </c>
      <c r="D3099" s="99">
        <f>VLOOKUP(A3099,'Materiales '!$C$2:$F$1302,4,0)</f>
        <v>0</v>
      </c>
      <c r="E3099" s="100"/>
      <c r="F3099" s="538">
        <f t="shared" ref="F3099:F3102" si="182">E3099*D3099</f>
        <v>0</v>
      </c>
      <c r="G3099" s="539"/>
      <c r="H3099" s="121"/>
      <c r="I3099">
        <f>E3099*G3081</f>
        <v>0</v>
      </c>
      <c r="J3099" s="68"/>
      <c r="K3099" s="56"/>
      <c r="L3099" s="56"/>
      <c r="M3099" s="56"/>
      <c r="N3099" s="56"/>
      <c r="O3099" s="56"/>
    </row>
    <row r="3100" spans="1:15">
      <c r="A3100" s="536" t="s">
        <v>8</v>
      </c>
      <c r="B3100" s="537" t="str">
        <f>VLOOKUP(A3100,'Materiales '!$C$2:$F$1302,3,0)</f>
        <v>-</v>
      </c>
      <c r="C3100" s="98" t="str">
        <f>VLOOKUP(A3100,'Materiales '!$C$2:$F$1302,3,0)</f>
        <v>-</v>
      </c>
      <c r="D3100" s="99">
        <f>VLOOKUP(A3100,'Materiales '!$C$2:$F$1302,4,0)</f>
        <v>0</v>
      </c>
      <c r="E3100" s="100"/>
      <c r="F3100" s="538">
        <f t="shared" si="182"/>
        <v>0</v>
      </c>
      <c r="G3100" s="539"/>
      <c r="H3100" s="121"/>
      <c r="I3100">
        <f>E3100*G3081</f>
        <v>0</v>
      </c>
      <c r="J3100" s="68"/>
      <c r="K3100" s="56"/>
      <c r="L3100" s="56"/>
      <c r="M3100" s="56"/>
      <c r="N3100" s="56"/>
      <c r="O3100" s="56"/>
    </row>
    <row r="3101" spans="1:15">
      <c r="A3101" s="536" t="s">
        <v>8</v>
      </c>
      <c r="B3101" s="537" t="str">
        <f>VLOOKUP(A3101,'Materiales '!$C$2:$F$1302,3,0)</f>
        <v>-</v>
      </c>
      <c r="C3101" s="98" t="str">
        <f>VLOOKUP(A3101,'Materiales '!$C$2:$F$1302,3,0)</f>
        <v>-</v>
      </c>
      <c r="D3101" s="99">
        <f>VLOOKUP(A3101,'Materiales '!$C$2:$F$1302,4,0)</f>
        <v>0</v>
      </c>
      <c r="E3101" s="100"/>
      <c r="F3101" s="538">
        <f t="shared" si="182"/>
        <v>0</v>
      </c>
      <c r="G3101" s="539"/>
      <c r="H3101" s="121"/>
      <c r="I3101">
        <f>E3101*G3081</f>
        <v>0</v>
      </c>
      <c r="J3101" s="68"/>
      <c r="K3101" s="56"/>
      <c r="L3101" s="56"/>
      <c r="M3101" s="56"/>
      <c r="N3101" s="56"/>
      <c r="O3101" s="56"/>
    </row>
    <row r="3102" spans="1:15">
      <c r="A3102" s="536" t="s">
        <v>8</v>
      </c>
      <c r="B3102" s="537" t="str">
        <f>VLOOKUP(A3102,'Materiales '!$C$2:$F$1302,3,0)</f>
        <v>-</v>
      </c>
      <c r="C3102" s="98" t="str">
        <f>VLOOKUP(A3102,'Materiales '!$C$2:$F$1302,3,0)</f>
        <v>-</v>
      </c>
      <c r="D3102" s="99">
        <f>VLOOKUP(A3102,'Materiales '!$C$2:$F$1302,4,0)</f>
        <v>0</v>
      </c>
      <c r="E3102" s="100"/>
      <c r="F3102" s="538">
        <f t="shared" si="182"/>
        <v>0</v>
      </c>
      <c r="G3102" s="539"/>
      <c r="H3102" s="121"/>
      <c r="I3102">
        <f>E3102*G3081</f>
        <v>0</v>
      </c>
      <c r="J3102" s="68"/>
      <c r="K3102" s="56"/>
      <c r="L3102" s="56"/>
      <c r="M3102" s="56"/>
      <c r="N3102" s="56"/>
      <c r="O3102" s="56"/>
    </row>
    <row r="3103" spans="1:15">
      <c r="A3103" s="536" t="s">
        <v>8</v>
      </c>
      <c r="B3103" s="537" t="str">
        <f>VLOOKUP(A3103,'Materiales '!$C$2:$F$1302,3,0)</f>
        <v>-</v>
      </c>
      <c r="C3103" s="98" t="str">
        <f>VLOOKUP(A3103,'Materiales '!$C$2:$F$1302,3,0)</f>
        <v>-</v>
      </c>
      <c r="D3103" s="99">
        <f>VLOOKUP(A3103,'Materiales '!$C$2:$F$1302,4,0)</f>
        <v>0</v>
      </c>
      <c r="E3103" s="100"/>
      <c r="F3103" s="538">
        <f>E3103*D3103</f>
        <v>0</v>
      </c>
      <c r="G3103" s="539"/>
      <c r="H3103" s="120"/>
      <c r="I3103">
        <f>E3103*G3081</f>
        <v>0</v>
      </c>
      <c r="J3103" s="68"/>
      <c r="K3103" s="56"/>
      <c r="L3103" s="56"/>
      <c r="M3103" s="56"/>
      <c r="N3103" s="56"/>
      <c r="O3103" s="56"/>
    </row>
    <row r="3104" spans="1:15" ht="16.5">
      <c r="A3104" s="540" t="s">
        <v>4099</v>
      </c>
      <c r="B3104" s="541"/>
      <c r="C3104" s="541"/>
      <c r="D3104" s="541"/>
      <c r="E3104" s="541"/>
      <c r="F3104" s="541"/>
      <c r="G3104" s="542"/>
      <c r="H3104" s="116">
        <f>SUM(F3090:F3103)</f>
        <v>870577.65339999995</v>
      </c>
      <c r="J3104" s="68"/>
      <c r="K3104" s="56"/>
      <c r="L3104" s="56"/>
      <c r="M3104" s="56"/>
      <c r="N3104" s="56"/>
      <c r="O3104" s="56"/>
    </row>
    <row r="3105" spans="1:15" ht="16.5">
      <c r="A3105" s="543" t="s">
        <v>4231</v>
      </c>
      <c r="B3105" s="544"/>
      <c r="C3105" s="544"/>
      <c r="D3105" s="544"/>
      <c r="E3105" s="545"/>
      <c r="F3105" s="544"/>
      <c r="G3105" s="544"/>
      <c r="H3105" s="546"/>
      <c r="J3105" s="68"/>
      <c r="K3105" s="56"/>
      <c r="L3105" s="56"/>
      <c r="M3105" s="56"/>
      <c r="N3105" s="56"/>
      <c r="O3105" s="56"/>
    </row>
    <row r="3106" spans="1:15">
      <c r="A3106" s="547" t="s">
        <v>7</v>
      </c>
      <c r="B3106" s="548"/>
      <c r="C3106" s="108" t="s">
        <v>4232</v>
      </c>
      <c r="D3106" s="107" t="s">
        <v>4233</v>
      </c>
      <c r="E3106" s="206" t="s">
        <v>4234</v>
      </c>
      <c r="F3106" s="549" t="s">
        <v>4218</v>
      </c>
      <c r="G3106" s="549"/>
      <c r="H3106" s="119"/>
      <c r="K3106" s="56"/>
      <c r="L3106" s="56"/>
      <c r="M3106" s="56"/>
      <c r="N3106" s="56"/>
      <c r="O3106" s="56"/>
    </row>
    <row r="3107" spans="1:15">
      <c r="A3107" s="550" t="s">
        <v>3928</v>
      </c>
      <c r="B3107" s="551"/>
      <c r="C3107" s="232">
        <v>1</v>
      </c>
      <c r="D3107" s="102">
        <v>0.03</v>
      </c>
      <c r="E3107" s="103">
        <f>VLOOKUP(A3107,'Equip, Herr y Transp'!$B$2:$D$218,3,0)</f>
        <v>160000</v>
      </c>
      <c r="F3107" s="552">
        <f>E3107*D3107*C3107</f>
        <v>4800</v>
      </c>
      <c r="G3107" s="553"/>
      <c r="H3107" s="117"/>
      <c r="M3107" s="56"/>
    </row>
    <row r="3108" spans="1:15" ht="16.5">
      <c r="A3108" s="554" t="s">
        <v>4216</v>
      </c>
      <c r="B3108" s="555"/>
      <c r="C3108" s="555"/>
      <c r="D3108" s="555"/>
      <c r="E3108" s="555"/>
      <c r="F3108" s="555"/>
      <c r="G3108" s="555"/>
      <c r="H3108" s="105">
        <f>F3107</f>
        <v>4800</v>
      </c>
    </row>
    <row r="3109" spans="1:15" ht="16.5">
      <c r="A3109" s="543" t="s">
        <v>4235</v>
      </c>
      <c r="B3109" s="544"/>
      <c r="C3109" s="544"/>
      <c r="D3109" s="544"/>
      <c r="E3109" s="544"/>
      <c r="F3109" s="544"/>
      <c r="G3109" s="544"/>
      <c r="H3109" s="546"/>
    </row>
    <row r="3110" spans="1:15">
      <c r="A3110" s="547" t="s">
        <v>7</v>
      </c>
      <c r="B3110" s="548"/>
      <c r="C3110" s="106" t="s">
        <v>1</v>
      </c>
      <c r="D3110" s="107" t="s">
        <v>4236</v>
      </c>
      <c r="E3110" s="108" t="s">
        <v>4215</v>
      </c>
      <c r="F3110" s="547" t="s">
        <v>5</v>
      </c>
      <c r="G3110" s="556"/>
      <c r="H3110" s="119"/>
    </row>
    <row r="3111" spans="1:15">
      <c r="A3111" s="550" t="s">
        <v>4196</v>
      </c>
      <c r="B3111" s="551"/>
      <c r="C3111" s="101">
        <v>1</v>
      </c>
      <c r="D3111" s="104">
        <f>VLOOKUP(A3111,'Mano Obra'!$B$2:$T$117,19,0)</f>
        <v>166624</v>
      </c>
      <c r="E3111" s="246">
        <f>H3074</f>
        <v>6.25E-2</v>
      </c>
      <c r="F3111" s="538">
        <f>E3111*D3111*C3111</f>
        <v>10414</v>
      </c>
      <c r="G3111" s="557"/>
      <c r="H3111" s="121"/>
      <c r="I3111" s="69"/>
      <c r="J3111" s="136">
        <f>((('Mano Obra'!$M$4/30)*F3111)/D3111)*G3081</f>
        <v>676.29972569444442</v>
      </c>
    </row>
    <row r="3112" spans="1:15">
      <c r="A3112" s="558" t="s">
        <v>4197</v>
      </c>
      <c r="B3112" s="559">
        <f>VLOOKUP(A3112,'Mano Obra'!$B$3:$D$290,2,0)</f>
        <v>2090000.0000000002</v>
      </c>
      <c r="C3112" s="101">
        <v>1</v>
      </c>
      <c r="D3112" s="104">
        <f>VLOOKUP(A3112,'Mano Obra'!$B$2:$T$117,19,0)</f>
        <v>120456</v>
      </c>
      <c r="E3112" s="246">
        <f>H3074</f>
        <v>6.25E-2</v>
      </c>
      <c r="F3112" s="538">
        <f t="shared" ref="F3112:F3113" si="183">E3112*D3112*C3112</f>
        <v>7528.5</v>
      </c>
      <c r="G3112" s="557"/>
      <c r="H3112" s="121"/>
      <c r="J3112" s="136">
        <f>((('Mano Obra'!$M$5/30)*F3112)/D3112)*G3081</f>
        <v>676.29972569444442</v>
      </c>
    </row>
    <row r="3113" spans="1:15">
      <c r="A3113" s="558" t="s">
        <v>4186</v>
      </c>
      <c r="B3113" s="559">
        <f>VLOOKUP(A3113,'Mano Obra'!$B$3:$D$290,2,0)</f>
        <v>1100000</v>
      </c>
      <c r="C3113" s="101">
        <v>1</v>
      </c>
      <c r="D3113" s="104">
        <f>VLOOKUP(A3113,'Mano Obra'!$B$2:$T$117,19,0)</f>
        <v>72664</v>
      </c>
      <c r="E3113" s="246">
        <f>H3074</f>
        <v>6.25E-2</v>
      </c>
      <c r="F3113" s="538">
        <f t="shared" si="183"/>
        <v>4541.5</v>
      </c>
      <c r="G3113" s="557"/>
      <c r="H3113" s="120"/>
      <c r="J3113" s="136">
        <f>((('Mano Obra'!$M$6/30)*F3113)/D3113)*G3081</f>
        <v>676.29972569444442</v>
      </c>
    </row>
    <row r="3114" spans="1:15" ht="16.5">
      <c r="A3114" s="560" t="s">
        <v>4101</v>
      </c>
      <c r="B3114" s="560"/>
      <c r="C3114" s="560"/>
      <c r="D3114" s="560"/>
      <c r="E3114" s="560"/>
      <c r="F3114" s="560"/>
      <c r="G3114" s="560"/>
      <c r="H3114" s="105">
        <f>SUM(F3111:F3113)</f>
        <v>22484</v>
      </c>
      <c r="J3114" s="136"/>
    </row>
    <row r="3115" spans="1:15">
      <c r="A3115" s="227" t="s">
        <v>4237</v>
      </c>
      <c r="B3115" s="205"/>
      <c r="C3115" s="205"/>
      <c r="D3115" s="202"/>
      <c r="E3115" s="203"/>
      <c r="F3115" s="204"/>
      <c r="G3115" s="203"/>
      <c r="H3115" s="212"/>
    </row>
    <row r="3116" spans="1:15">
      <c r="A3116" s="561" t="s">
        <v>4224</v>
      </c>
      <c r="B3116" s="562"/>
      <c r="C3116" s="562"/>
      <c r="D3116" s="562"/>
      <c r="E3116" s="200"/>
      <c r="F3116" s="201" t="s">
        <v>4238</v>
      </c>
      <c r="G3116" s="200" t="s">
        <v>4239</v>
      </c>
      <c r="H3116" s="213"/>
    </row>
    <row r="3117" spans="1:15">
      <c r="A3117" s="223" t="s">
        <v>4097</v>
      </c>
      <c r="B3117" s="72"/>
      <c r="C3117" s="72"/>
      <c r="D3117" s="73"/>
      <c r="E3117" s="78"/>
      <c r="F3117" s="79">
        <v>0</v>
      </c>
      <c r="G3117" s="80">
        <f>F3117*H3082</f>
        <v>0</v>
      </c>
      <c r="H3117" s="212"/>
    </row>
    <row r="3118" spans="1:15">
      <c r="A3118" s="224" t="s">
        <v>4240</v>
      </c>
      <c r="B3118" s="81"/>
      <c r="C3118" s="81"/>
      <c r="D3118" s="82"/>
      <c r="E3118" s="78"/>
      <c r="F3118" s="79">
        <v>0</v>
      </c>
      <c r="G3118" s="80">
        <f>F3118*H3082</f>
        <v>0</v>
      </c>
      <c r="H3118" s="212"/>
    </row>
    <row r="3119" spans="1:15">
      <c r="A3119" s="224" t="s">
        <v>4</v>
      </c>
      <c r="B3119" s="81"/>
      <c r="C3119" s="81"/>
      <c r="D3119" s="82"/>
      <c r="E3119" s="78"/>
      <c r="F3119" s="79">
        <v>0</v>
      </c>
      <c r="G3119" s="80">
        <f>F3119*H3082</f>
        <v>0</v>
      </c>
      <c r="H3119" s="212"/>
    </row>
    <row r="3120" spans="1:15">
      <c r="A3120" s="225"/>
      <c r="B3120" s="83"/>
      <c r="C3120" s="75"/>
      <c r="D3120" s="84"/>
      <c r="E3120" s="85"/>
      <c r="F3120" s="86"/>
      <c r="G3120" s="87"/>
      <c r="H3120" s="214"/>
    </row>
    <row r="3121" spans="1:14">
      <c r="A3121" s="226"/>
      <c r="B3121" s="83"/>
      <c r="C3121" s="83"/>
      <c r="D3121" s="84"/>
      <c r="E3121" s="88"/>
      <c r="F3121" s="563" t="s">
        <v>4241</v>
      </c>
      <c r="G3121" s="564"/>
      <c r="H3121" s="233">
        <f>H3082+G3117+G3118+G3119</f>
        <v>901896.18464999995</v>
      </c>
    </row>
    <row r="3122" spans="1:14">
      <c r="A3122" s="83"/>
      <c r="B3122" s="83"/>
      <c r="C3122" s="83"/>
      <c r="D3122" s="84"/>
      <c r="E3122" s="388"/>
      <c r="F3122" s="389"/>
      <c r="G3122" s="389"/>
      <c r="H3122" s="390"/>
    </row>
    <row r="3123" spans="1:14" ht="16.5">
      <c r="A3123" s="90"/>
      <c r="B3123" s="90"/>
      <c r="C3123" s="90"/>
      <c r="D3123" s="90"/>
      <c r="E3123" s="90"/>
      <c r="F3123" s="90"/>
      <c r="G3123" s="90"/>
      <c r="H3123" s="381"/>
    </row>
    <row r="3124" spans="1:14">
      <c r="A3124" s="579" t="s">
        <v>4225</v>
      </c>
      <c r="B3124" s="580"/>
      <c r="C3124" s="580"/>
      <c r="D3124" s="580"/>
      <c r="E3124" s="580"/>
      <c r="F3124" s="580"/>
      <c r="G3124" s="580"/>
      <c r="H3124" s="581"/>
    </row>
    <row r="3125" spans="1:14" ht="16.5">
      <c r="A3125" s="91"/>
      <c r="B3125" s="92"/>
      <c r="C3125" s="92"/>
      <c r="D3125" s="92"/>
      <c r="E3125" s="92"/>
      <c r="F3125" s="93"/>
      <c r="G3125" s="94"/>
      <c r="H3125" s="380">
        <f>ROUND((30/60)/8,4)</f>
        <v>6.25E-2</v>
      </c>
      <c r="I3125" s="115"/>
    </row>
    <row r="3126" spans="1:14">
      <c r="A3126" s="582" t="s">
        <v>4220</v>
      </c>
      <c r="B3126" s="584" t="str">
        <f>COSTOS!$C$14</f>
        <v>MODERNIZACION A TECNOLOGIA LED</v>
      </c>
      <c r="C3126" s="584"/>
      <c r="D3126" s="584"/>
      <c r="E3126" s="584"/>
      <c r="F3126" s="584"/>
      <c r="G3126" s="584"/>
      <c r="H3126" s="585" t="s">
        <v>4221</v>
      </c>
    </row>
    <row r="3127" spans="1:14">
      <c r="A3127" s="583"/>
      <c r="B3127" s="584"/>
      <c r="C3127" s="584"/>
      <c r="D3127" s="584"/>
      <c r="E3127" s="584"/>
      <c r="F3127" s="584"/>
      <c r="G3127" s="584"/>
      <c r="H3127" s="585"/>
    </row>
    <row r="3128" spans="1:14">
      <c r="A3128" s="583"/>
      <c r="B3128" s="584"/>
      <c r="C3128" s="584"/>
      <c r="D3128" s="584"/>
      <c r="E3128" s="584"/>
      <c r="F3128" s="584"/>
      <c r="G3128" s="584"/>
      <c r="H3128" s="585"/>
    </row>
    <row r="3129" spans="1:14" ht="15" customHeight="1">
      <c r="A3129" s="583"/>
      <c r="B3129" s="584"/>
      <c r="C3129" s="584"/>
      <c r="D3129" s="584"/>
      <c r="E3129" s="584"/>
      <c r="F3129" s="584"/>
      <c r="G3129" s="584"/>
      <c r="H3129" s="216">
        <f ca="1">TODAY()</f>
        <v>44889</v>
      </c>
      <c r="K3129" t="s">
        <v>4391</v>
      </c>
      <c r="L3129" t="s">
        <v>4392</v>
      </c>
      <c r="M3129" t="s">
        <v>4393</v>
      </c>
      <c r="N3129" t="s">
        <v>4394</v>
      </c>
    </row>
    <row r="3130" spans="1:14" ht="60.75" customHeight="1">
      <c r="A3130" s="228" t="s">
        <v>4222</v>
      </c>
      <c r="B3130" s="565" t="str">
        <f>COSTOS!$D$16</f>
        <v>Luminarias</v>
      </c>
      <c r="C3130" s="565"/>
      <c r="D3130" s="565"/>
      <c r="E3130" s="565"/>
      <c r="F3130" s="565"/>
      <c r="G3130" s="70" t="s">
        <v>4223</v>
      </c>
      <c r="H3130" s="391">
        <v>1.62</v>
      </c>
      <c r="K3130" s="62">
        <f>H3155</f>
        <v>991714.34600000002</v>
      </c>
      <c r="L3130" s="62">
        <f>H3165</f>
        <v>22484</v>
      </c>
      <c r="M3130" s="62">
        <f>H3138</f>
        <v>4034.53125</v>
      </c>
      <c r="N3130" s="62">
        <f>H3159</f>
        <v>4800</v>
      </c>
    </row>
    <row r="3131" spans="1:14" ht="43.15" customHeight="1">
      <c r="A3131" s="229" t="s">
        <v>4224</v>
      </c>
      <c r="B3131" s="566" t="str">
        <f>VLOOKUP(H3130,COSTOS!C:M,2,0)</f>
        <v>Luminaria Led 60.2w agm</v>
      </c>
      <c r="C3131" s="567"/>
      <c r="D3131" s="567"/>
      <c r="E3131" s="568"/>
      <c r="F3131" s="71" t="s">
        <v>0</v>
      </c>
      <c r="G3131" s="356" t="str">
        <f>VLOOKUP(H3130,COSTOS!C:M,8,0)</f>
        <v>Und</v>
      </c>
      <c r="H3131" s="276"/>
      <c r="I3131" s="306"/>
      <c r="J3131" s="308"/>
      <c r="K3131" s="308"/>
      <c r="L3131" s="308"/>
    </row>
    <row r="3132" spans="1:14">
      <c r="A3132" s="230"/>
      <c r="B3132" s="112"/>
      <c r="C3132" s="112"/>
      <c r="D3132" s="112"/>
      <c r="E3132" s="113"/>
      <c r="F3132" s="114" t="s">
        <v>1</v>
      </c>
      <c r="G3132" s="356">
        <f>VLOOKUP(H3130,COSTOS!C:M,9,0)</f>
        <v>0</v>
      </c>
      <c r="H3132" s="357"/>
      <c r="I3132" s="307"/>
    </row>
    <row r="3133" spans="1:14" ht="16.5">
      <c r="A3133" s="231" t="s">
        <v>4226</v>
      </c>
      <c r="B3133" s="75"/>
      <c r="C3133" s="75"/>
      <c r="D3133" s="76"/>
      <c r="E3133" s="209"/>
      <c r="F3133" s="210"/>
      <c r="G3133" s="211" t="s">
        <v>4227</v>
      </c>
      <c r="H3133" s="217">
        <f>H3138+H3155+H3159+H3165</f>
        <v>1023032.87725</v>
      </c>
    </row>
    <row r="3134" spans="1:14" ht="39">
      <c r="A3134" s="569" t="s">
        <v>4224</v>
      </c>
      <c r="B3134" s="569"/>
      <c r="C3134" s="569"/>
      <c r="D3134" s="77" t="s">
        <v>0</v>
      </c>
      <c r="E3134" s="207" t="s">
        <v>4228</v>
      </c>
      <c r="F3134" s="208" t="s">
        <v>4215</v>
      </c>
      <c r="G3134" s="74" t="s">
        <v>2</v>
      </c>
      <c r="H3134" s="218" t="s">
        <v>4229</v>
      </c>
      <c r="K3134" s="309"/>
    </row>
    <row r="3135" spans="1:14">
      <c r="A3135" s="536" t="s">
        <v>3946</v>
      </c>
      <c r="B3135" s="570" t="str">
        <f>VLOOKUP(A3135,'Equip, Herr y Transp'!$B$2:$D$739,2,0)</f>
        <v>EQU</v>
      </c>
      <c r="C3135" s="570"/>
      <c r="D3135" s="95" t="str">
        <f>VLOOKUP(A3135,'Equip, Herr y Transp'!$B$2:$D$218,2,0)</f>
        <v>EQU</v>
      </c>
      <c r="E3135" s="95">
        <f>VLOOKUP(A3135,'Equip, Herr y Transp'!$B$2:$D$218,3,0)</f>
        <v>14130</v>
      </c>
      <c r="F3135" s="96">
        <f>H3125</f>
        <v>6.25E-2</v>
      </c>
      <c r="G3135" s="122">
        <f>F3135*E3135</f>
        <v>883.125</v>
      </c>
      <c r="H3135" s="118"/>
    </row>
    <row r="3136" spans="1:14">
      <c r="A3136" s="536" t="s">
        <v>3904</v>
      </c>
      <c r="B3136" s="570" t="str">
        <f>VLOOKUP(A3136,'Equip, Herr y Transp'!$B$2:$D$739,2,0)</f>
        <v>EQU</v>
      </c>
      <c r="C3136" s="570"/>
      <c r="D3136" s="95" t="str">
        <f>VLOOKUP(A3136,'Equip, Herr y Transp'!$B$2:$D$218,2,0)</f>
        <v>EQU</v>
      </c>
      <c r="E3136" s="95">
        <f>VLOOKUP(A3136,'Equip, Herr y Transp'!$B$2:$D$218,3,0)</f>
        <v>26672.5</v>
      </c>
      <c r="F3136" s="96">
        <f>H3125</f>
        <v>6.25E-2</v>
      </c>
      <c r="G3136" s="122">
        <f>F3136*E3136</f>
        <v>1667.03125</v>
      </c>
      <c r="H3136" s="117"/>
    </row>
    <row r="3137" spans="1:15">
      <c r="A3137" s="536" t="s">
        <v>3937</v>
      </c>
      <c r="B3137" s="570" t="str">
        <f>VLOOKUP(A3137,'Equip, Herr y Transp'!$B$2:$D$739,2,0)</f>
        <v>EQU</v>
      </c>
      <c r="C3137" s="570"/>
      <c r="D3137" s="95" t="str">
        <f>VLOOKUP(A3137,'Equip, Herr y Transp'!$B$2:$D$218,2,0)</f>
        <v>EQU</v>
      </c>
      <c r="E3137" s="95">
        <f>VLOOKUP(A3137,'Equip, Herr y Transp'!$B$2:$D$218,3,0)</f>
        <v>23750</v>
      </c>
      <c r="F3137" s="96">
        <f>H3125</f>
        <v>6.25E-2</v>
      </c>
      <c r="G3137" s="122">
        <f>F3137*E3137</f>
        <v>1484.375</v>
      </c>
      <c r="H3137" s="117"/>
    </row>
    <row r="3138" spans="1:15" ht="16.5">
      <c r="A3138" s="540" t="s">
        <v>4100</v>
      </c>
      <c r="B3138" s="541"/>
      <c r="C3138" s="541"/>
      <c r="D3138" s="541"/>
      <c r="E3138" s="541"/>
      <c r="F3138" s="541"/>
      <c r="G3138" s="541"/>
      <c r="H3138" s="97">
        <f>SUM(G3135:G3137)</f>
        <v>4034.53125</v>
      </c>
    </row>
    <row r="3139" spans="1:15" ht="16.5">
      <c r="A3139" s="571" t="s">
        <v>4230</v>
      </c>
      <c r="B3139" s="572"/>
      <c r="C3139" s="572"/>
      <c r="D3139" s="572"/>
      <c r="E3139" s="572"/>
      <c r="F3139" s="572"/>
      <c r="G3139" s="572"/>
      <c r="H3139" s="573"/>
      <c r="K3139" s="56"/>
      <c r="L3139" s="56"/>
      <c r="M3139" s="56"/>
      <c r="N3139" s="56"/>
      <c r="O3139" s="56"/>
    </row>
    <row r="3140" spans="1:15" ht="30" customHeight="1">
      <c r="A3140" s="574" t="s">
        <v>7</v>
      </c>
      <c r="B3140" s="575"/>
      <c r="C3140" s="109" t="s">
        <v>0</v>
      </c>
      <c r="D3140" s="110" t="s">
        <v>4098</v>
      </c>
      <c r="E3140" s="111" t="s">
        <v>1</v>
      </c>
      <c r="F3140" s="576" t="s">
        <v>4218</v>
      </c>
      <c r="G3140" s="576"/>
      <c r="H3140" s="215"/>
      <c r="K3140" s="56"/>
      <c r="L3140" s="56"/>
      <c r="M3140" s="56"/>
      <c r="N3140" s="56"/>
      <c r="O3140" s="56"/>
    </row>
    <row r="3141" spans="1:15">
      <c r="A3141" s="577" t="s">
        <v>4772</v>
      </c>
      <c r="B3141" s="578"/>
      <c r="C3141" s="98" t="str">
        <f>VLOOKUP(A3141,'Materiales '!$C$2:$F$1302,3,0)</f>
        <v>Und</v>
      </c>
      <c r="D3141" s="99">
        <f>VLOOKUP(A3141,'Materiales '!$C$2:$F$1302,4,0)</f>
        <v>853075.3</v>
      </c>
      <c r="E3141" s="100">
        <v>1</v>
      </c>
      <c r="F3141" s="538">
        <f>E3141*D3141</f>
        <v>853075.3</v>
      </c>
      <c r="G3141" s="539"/>
      <c r="H3141" s="121"/>
      <c r="I3141">
        <f>E3141*G3132</f>
        <v>0</v>
      </c>
      <c r="J3141" s="67"/>
      <c r="K3141" s="56"/>
      <c r="L3141" s="56"/>
      <c r="M3141" s="56"/>
      <c r="N3141" s="56"/>
      <c r="O3141" s="56"/>
    </row>
    <row r="3142" spans="1:15">
      <c r="A3142" s="577" t="s">
        <v>4214</v>
      </c>
      <c r="B3142" s="578"/>
      <c r="C3142" s="98" t="str">
        <f>VLOOKUP(A3142,'Materiales '!$C$2:$F$1302,3,0)</f>
        <v>Und</v>
      </c>
      <c r="D3142" s="99">
        <f>VLOOKUP(A3142,'Materiales '!$C$2:$F$1302,4,0)</f>
        <v>22848</v>
      </c>
      <c r="E3142" s="100">
        <v>1</v>
      </c>
      <c r="F3142" s="538">
        <f t="shared" ref="F3142:F3148" si="184">E3142*D3142</f>
        <v>22848</v>
      </c>
      <c r="G3142" s="539"/>
      <c r="H3142" s="121"/>
      <c r="I3142">
        <f>E3142*G3132</f>
        <v>0</v>
      </c>
      <c r="J3142" s="67"/>
      <c r="K3142" s="56"/>
      <c r="L3142" s="56"/>
      <c r="M3142" s="56"/>
      <c r="N3142" s="56"/>
      <c r="O3142" s="56"/>
    </row>
    <row r="3143" spans="1:15">
      <c r="A3143" s="536" t="s">
        <v>4484</v>
      </c>
      <c r="B3143" s="537" t="str">
        <f>VLOOKUP(A3143,'Materiales '!$C$2:$F$1302,3,0)</f>
        <v>Und</v>
      </c>
      <c r="C3143" s="98" t="str">
        <f>VLOOKUP(A3143,'Materiales '!$C$2:$F$1302,3,0)</f>
        <v>Und</v>
      </c>
      <c r="D3143" s="99">
        <f>VLOOKUP(A3143,'Materiales '!$C$2:$F$1302,4,0)</f>
        <v>21705.599999999999</v>
      </c>
      <c r="E3143" s="100">
        <v>2</v>
      </c>
      <c r="F3143" s="538">
        <f t="shared" si="184"/>
        <v>43411.199999999997</v>
      </c>
      <c r="G3143" s="539"/>
      <c r="H3143" s="121"/>
      <c r="I3143">
        <f>E3143*G3132</f>
        <v>0</v>
      </c>
      <c r="J3143" s="68"/>
      <c r="K3143" s="56"/>
      <c r="L3143" s="56"/>
      <c r="M3143" s="56"/>
      <c r="N3143" s="56"/>
      <c r="O3143" s="56"/>
    </row>
    <row r="3144" spans="1:15">
      <c r="A3144" s="536" t="s">
        <v>4489</v>
      </c>
      <c r="B3144" s="537" t="str">
        <f>VLOOKUP(A3144,'Materiales '!$C$2:$F$1302,3,0)</f>
        <v>Und</v>
      </c>
      <c r="C3144" s="98" t="str">
        <f>VLOOKUP(A3144,'Materiales '!$C$2:$F$1302,3,0)</f>
        <v>Und</v>
      </c>
      <c r="D3144" s="99">
        <f>VLOOKUP(A3144,'Materiales '!$C$2:$F$1302,4,0)</f>
        <v>8039.6399999999994</v>
      </c>
      <c r="E3144" s="100">
        <v>3</v>
      </c>
      <c r="F3144" s="538">
        <f t="shared" si="184"/>
        <v>24118.92</v>
      </c>
      <c r="G3144" s="539"/>
      <c r="H3144" s="121"/>
      <c r="I3144">
        <f>E3144*G3132</f>
        <v>0</v>
      </c>
      <c r="J3144" s="68"/>
      <c r="K3144" s="56"/>
      <c r="L3144" s="56"/>
      <c r="M3144" s="56"/>
      <c r="N3144" s="56"/>
      <c r="O3144" s="56"/>
    </row>
    <row r="3145" spans="1:15">
      <c r="A3145" s="536" t="s">
        <v>4554</v>
      </c>
      <c r="B3145" s="537" t="str">
        <f>VLOOKUP(A3145,'Materiales '!$C$2:$F$1302,3,0)</f>
        <v>Und</v>
      </c>
      <c r="C3145" s="98" t="str">
        <f>VLOOKUP(A3145,'Materiales '!$C$2:$F$1302,3,0)</f>
        <v>Und</v>
      </c>
      <c r="D3145" s="99">
        <f>VLOOKUP(A3145,'Materiales '!$C$2:$F$1302,4,0)</f>
        <v>2535.5329999999999</v>
      </c>
      <c r="E3145" s="100">
        <v>2</v>
      </c>
      <c r="F3145" s="538">
        <f t="shared" si="184"/>
        <v>5071.0659999999998</v>
      </c>
      <c r="G3145" s="539"/>
      <c r="H3145" s="121"/>
      <c r="I3145">
        <f>E3145*G3132</f>
        <v>0</v>
      </c>
      <c r="J3145" s="68"/>
      <c r="K3145" s="56"/>
      <c r="L3145" s="56"/>
      <c r="M3145" s="56"/>
      <c r="N3145" s="56"/>
      <c r="O3145" s="56"/>
    </row>
    <row r="3146" spans="1:15">
      <c r="A3146" s="536" t="s">
        <v>4450</v>
      </c>
      <c r="B3146" s="537" t="str">
        <f>VLOOKUP(A3146,'Materiales '!$C$2:$F$1302,3,0)</f>
        <v>Ml</v>
      </c>
      <c r="C3146" s="98" t="str">
        <f>VLOOKUP(A3146,'Materiales '!$C$2:$F$1302,3,0)</f>
        <v>Ml</v>
      </c>
      <c r="D3146" s="99">
        <f>VLOOKUP(A3146,'Materiales '!$C$2:$F$1302,4,0)</f>
        <v>6791.5679999999993</v>
      </c>
      <c r="E3146" s="100">
        <v>1</v>
      </c>
      <c r="F3146" s="538">
        <f t="shared" si="184"/>
        <v>6791.5679999999993</v>
      </c>
      <c r="G3146" s="539"/>
      <c r="H3146" s="121"/>
      <c r="I3146">
        <f>E3146*G3132</f>
        <v>0</v>
      </c>
      <c r="J3146" s="68"/>
      <c r="K3146" s="56"/>
      <c r="L3146" s="56"/>
      <c r="M3146" s="56"/>
      <c r="N3146" s="56"/>
      <c r="O3146" s="56"/>
    </row>
    <row r="3147" spans="1:15">
      <c r="A3147" s="536" t="s">
        <v>4493</v>
      </c>
      <c r="B3147" s="537" t="str">
        <f>VLOOKUP(A3147,'Materiales '!$C$2:$F$1302,3,0)</f>
        <v>Und</v>
      </c>
      <c r="C3147" s="98" t="str">
        <f>VLOOKUP(A3147,'Materiales '!$C$2:$F$1302,3,0)</f>
        <v>Und</v>
      </c>
      <c r="D3147" s="99">
        <f>VLOOKUP(A3147,'Materiales '!$C$2:$F$1302,4,0)</f>
        <v>232.76399999999998</v>
      </c>
      <c r="E3147" s="100">
        <v>3</v>
      </c>
      <c r="F3147" s="538">
        <f t="shared" si="184"/>
        <v>698.29199999999992</v>
      </c>
      <c r="G3147" s="539"/>
      <c r="H3147" s="121"/>
      <c r="I3147">
        <f>E3147*G3132</f>
        <v>0</v>
      </c>
      <c r="J3147" s="68"/>
      <c r="K3147" s="56"/>
      <c r="L3147" s="56"/>
      <c r="M3147" s="56"/>
      <c r="N3147" s="56"/>
      <c r="O3147" s="56"/>
    </row>
    <row r="3148" spans="1:15" ht="21.75" customHeight="1">
      <c r="A3148" s="536" t="s">
        <v>4639</v>
      </c>
      <c r="B3148" s="537" t="str">
        <f>VLOOKUP(A3148,'Materiales '!$C$2:$F$1302,3,0)</f>
        <v>Und</v>
      </c>
      <c r="C3148" s="98" t="str">
        <f>VLOOKUP(A3148,'Materiales '!$C$2:$F$1302,3,0)</f>
        <v>Und</v>
      </c>
      <c r="D3148" s="99">
        <f>VLOOKUP(A3148,'Materiales '!$C$2:$F$1302,4,0)</f>
        <v>35700</v>
      </c>
      <c r="E3148" s="100">
        <v>1</v>
      </c>
      <c r="F3148" s="538">
        <f t="shared" si="184"/>
        <v>35700</v>
      </c>
      <c r="G3148" s="539"/>
      <c r="H3148" s="121"/>
      <c r="I3148">
        <f>E3148*G3132</f>
        <v>0</v>
      </c>
      <c r="J3148" s="68"/>
      <c r="K3148" s="56"/>
      <c r="L3148" s="56"/>
      <c r="M3148" s="56"/>
      <c r="N3148" s="56"/>
      <c r="O3148" s="56"/>
    </row>
    <row r="3149" spans="1:15">
      <c r="A3149" s="536" t="s">
        <v>8</v>
      </c>
      <c r="B3149" s="537" t="str">
        <f>VLOOKUP(A3149,'Materiales '!$C$2:$F$1302,3,0)</f>
        <v>-</v>
      </c>
      <c r="C3149" s="98" t="str">
        <f>VLOOKUP(A3149,'Materiales '!$C$2:$F$1302,3,0)</f>
        <v>-</v>
      </c>
      <c r="D3149" s="99">
        <f>VLOOKUP(A3149,'Materiales '!$C$2:$F$1302,4,0)</f>
        <v>0</v>
      </c>
      <c r="E3149" s="100"/>
      <c r="F3149" s="538">
        <f>E3149*D3149</f>
        <v>0</v>
      </c>
      <c r="G3149" s="539"/>
      <c r="H3149" s="120"/>
      <c r="I3149">
        <f>E3149*G3132</f>
        <v>0</v>
      </c>
      <c r="J3149" s="68"/>
      <c r="K3149" s="56"/>
      <c r="L3149" s="56"/>
      <c r="M3149" s="56"/>
      <c r="N3149" s="56"/>
      <c r="O3149" s="56"/>
    </row>
    <row r="3150" spans="1:15">
      <c r="A3150" s="536" t="s">
        <v>8</v>
      </c>
      <c r="B3150" s="537" t="str">
        <f>VLOOKUP(A3150,'Materiales '!$C$2:$F$1302,3,0)</f>
        <v>-</v>
      </c>
      <c r="C3150" s="98" t="str">
        <f>VLOOKUP(A3150,'Materiales '!$C$2:$F$1302,3,0)</f>
        <v>-</v>
      </c>
      <c r="D3150" s="99">
        <f>VLOOKUP(A3150,'Materiales '!$C$2:$F$1302,4,0)</f>
        <v>0</v>
      </c>
      <c r="E3150" s="100"/>
      <c r="F3150" s="538">
        <f t="shared" ref="F3150:F3153" si="185">E3150*D3150</f>
        <v>0</v>
      </c>
      <c r="G3150" s="539"/>
      <c r="H3150" s="121"/>
      <c r="I3150">
        <f>E3150*G3132</f>
        <v>0</v>
      </c>
      <c r="J3150" s="68"/>
      <c r="K3150" s="56"/>
      <c r="L3150" s="56"/>
      <c r="M3150" s="56"/>
      <c r="N3150" s="56"/>
      <c r="O3150" s="56"/>
    </row>
    <row r="3151" spans="1:15">
      <c r="A3151" s="536" t="s">
        <v>8</v>
      </c>
      <c r="B3151" s="537" t="str">
        <f>VLOOKUP(A3151,'Materiales '!$C$2:$F$1302,3,0)</f>
        <v>-</v>
      </c>
      <c r="C3151" s="98" t="str">
        <f>VLOOKUP(A3151,'Materiales '!$C$2:$F$1302,3,0)</f>
        <v>-</v>
      </c>
      <c r="D3151" s="99">
        <f>VLOOKUP(A3151,'Materiales '!$C$2:$F$1302,4,0)</f>
        <v>0</v>
      </c>
      <c r="E3151" s="100"/>
      <c r="F3151" s="538">
        <f t="shared" si="185"/>
        <v>0</v>
      </c>
      <c r="G3151" s="539"/>
      <c r="H3151" s="121"/>
      <c r="I3151">
        <f>E3151*G3132</f>
        <v>0</v>
      </c>
      <c r="J3151" s="68"/>
      <c r="K3151" s="56"/>
      <c r="L3151" s="56"/>
      <c r="M3151" s="56"/>
      <c r="N3151" s="56"/>
      <c r="O3151" s="56"/>
    </row>
    <row r="3152" spans="1:15">
      <c r="A3152" s="536" t="s">
        <v>8</v>
      </c>
      <c r="B3152" s="537" t="str">
        <f>VLOOKUP(A3152,'Materiales '!$C$2:$F$1302,3,0)</f>
        <v>-</v>
      </c>
      <c r="C3152" s="98" t="str">
        <f>VLOOKUP(A3152,'Materiales '!$C$2:$F$1302,3,0)</f>
        <v>-</v>
      </c>
      <c r="D3152" s="99">
        <f>VLOOKUP(A3152,'Materiales '!$C$2:$F$1302,4,0)</f>
        <v>0</v>
      </c>
      <c r="E3152" s="100"/>
      <c r="F3152" s="538">
        <f t="shared" si="185"/>
        <v>0</v>
      </c>
      <c r="G3152" s="539"/>
      <c r="H3152" s="121"/>
      <c r="I3152">
        <f>E3152*G3132</f>
        <v>0</v>
      </c>
      <c r="J3152" s="68"/>
      <c r="K3152" s="56"/>
      <c r="L3152" s="56"/>
      <c r="M3152" s="56"/>
      <c r="N3152" s="56"/>
      <c r="O3152" s="56"/>
    </row>
    <row r="3153" spans="1:15">
      <c r="A3153" s="536" t="s">
        <v>8</v>
      </c>
      <c r="B3153" s="537" t="str">
        <f>VLOOKUP(A3153,'Materiales '!$C$2:$F$1302,3,0)</f>
        <v>-</v>
      </c>
      <c r="C3153" s="98" t="str">
        <f>VLOOKUP(A3153,'Materiales '!$C$2:$F$1302,3,0)</f>
        <v>-</v>
      </c>
      <c r="D3153" s="99">
        <f>VLOOKUP(A3153,'Materiales '!$C$2:$F$1302,4,0)</f>
        <v>0</v>
      </c>
      <c r="E3153" s="100"/>
      <c r="F3153" s="538">
        <f t="shared" si="185"/>
        <v>0</v>
      </c>
      <c r="G3153" s="539"/>
      <c r="H3153" s="121"/>
      <c r="I3153">
        <f>E3153*G3132</f>
        <v>0</v>
      </c>
      <c r="J3153" s="68"/>
      <c r="K3153" s="56"/>
      <c r="L3153" s="56"/>
      <c r="M3153" s="56"/>
      <c r="N3153" s="56"/>
      <c r="O3153" s="56"/>
    </row>
    <row r="3154" spans="1:15">
      <c r="A3154" s="536" t="s">
        <v>8</v>
      </c>
      <c r="B3154" s="537" t="str">
        <f>VLOOKUP(A3154,'Materiales '!$C$2:$F$1302,3,0)</f>
        <v>-</v>
      </c>
      <c r="C3154" s="98" t="str">
        <f>VLOOKUP(A3154,'Materiales '!$C$2:$F$1302,3,0)</f>
        <v>-</v>
      </c>
      <c r="D3154" s="99">
        <f>VLOOKUP(A3154,'Materiales '!$C$2:$F$1302,4,0)</f>
        <v>0</v>
      </c>
      <c r="E3154" s="100"/>
      <c r="F3154" s="538">
        <f>E3154*D3154</f>
        <v>0</v>
      </c>
      <c r="G3154" s="539"/>
      <c r="H3154" s="120"/>
      <c r="I3154">
        <f>E3154*G3132</f>
        <v>0</v>
      </c>
      <c r="J3154" s="68"/>
      <c r="K3154" s="56"/>
      <c r="L3154" s="56"/>
      <c r="M3154" s="56"/>
      <c r="N3154" s="56"/>
      <c r="O3154" s="56"/>
    </row>
    <row r="3155" spans="1:15" ht="16.5">
      <c r="A3155" s="540" t="s">
        <v>4099</v>
      </c>
      <c r="B3155" s="541"/>
      <c r="C3155" s="541"/>
      <c r="D3155" s="541"/>
      <c r="E3155" s="541"/>
      <c r="F3155" s="541"/>
      <c r="G3155" s="542"/>
      <c r="H3155" s="116">
        <f>SUM(F3141:F3154)</f>
        <v>991714.34600000002</v>
      </c>
      <c r="J3155" s="68"/>
      <c r="K3155" s="56"/>
      <c r="L3155" s="56"/>
      <c r="M3155" s="56"/>
      <c r="N3155" s="56"/>
      <c r="O3155" s="56"/>
    </row>
    <row r="3156" spans="1:15" ht="16.5">
      <c r="A3156" s="543" t="s">
        <v>4231</v>
      </c>
      <c r="B3156" s="544"/>
      <c r="C3156" s="544"/>
      <c r="D3156" s="544"/>
      <c r="E3156" s="545"/>
      <c r="F3156" s="544"/>
      <c r="G3156" s="544"/>
      <c r="H3156" s="546"/>
      <c r="J3156" s="68"/>
      <c r="K3156" s="56"/>
      <c r="L3156" s="56"/>
      <c r="M3156" s="56"/>
      <c r="N3156" s="56"/>
      <c r="O3156" s="56"/>
    </row>
    <row r="3157" spans="1:15">
      <c r="A3157" s="547" t="s">
        <v>7</v>
      </c>
      <c r="B3157" s="548"/>
      <c r="C3157" s="108" t="s">
        <v>4232</v>
      </c>
      <c r="D3157" s="107" t="s">
        <v>4233</v>
      </c>
      <c r="E3157" s="206" t="s">
        <v>4234</v>
      </c>
      <c r="F3157" s="549" t="s">
        <v>4218</v>
      </c>
      <c r="G3157" s="549"/>
      <c r="H3157" s="119"/>
      <c r="K3157" s="56"/>
      <c r="L3157" s="56"/>
      <c r="M3157" s="56"/>
      <c r="N3157" s="56"/>
      <c r="O3157" s="56"/>
    </row>
    <row r="3158" spans="1:15">
      <c r="A3158" s="550" t="s">
        <v>3928</v>
      </c>
      <c r="B3158" s="551"/>
      <c r="C3158" s="232">
        <v>1</v>
      </c>
      <c r="D3158" s="102">
        <v>0.03</v>
      </c>
      <c r="E3158" s="103">
        <f>VLOOKUP(A3158,'Equip, Herr y Transp'!$B$2:$D$218,3,0)</f>
        <v>160000</v>
      </c>
      <c r="F3158" s="552">
        <f>E3158*D3158*C3158</f>
        <v>4800</v>
      </c>
      <c r="G3158" s="553"/>
      <c r="H3158" s="117"/>
      <c r="M3158" s="56"/>
    </row>
    <row r="3159" spans="1:15" ht="16.5">
      <c r="A3159" s="554" t="s">
        <v>4216</v>
      </c>
      <c r="B3159" s="555"/>
      <c r="C3159" s="555"/>
      <c r="D3159" s="555"/>
      <c r="E3159" s="555"/>
      <c r="F3159" s="555"/>
      <c r="G3159" s="555"/>
      <c r="H3159" s="105">
        <f>F3158</f>
        <v>4800</v>
      </c>
    </row>
    <row r="3160" spans="1:15" ht="16.5">
      <c r="A3160" s="543" t="s">
        <v>4235</v>
      </c>
      <c r="B3160" s="544"/>
      <c r="C3160" s="544"/>
      <c r="D3160" s="544"/>
      <c r="E3160" s="544"/>
      <c r="F3160" s="544"/>
      <c r="G3160" s="544"/>
      <c r="H3160" s="546"/>
    </row>
    <row r="3161" spans="1:15">
      <c r="A3161" s="547" t="s">
        <v>7</v>
      </c>
      <c r="B3161" s="548"/>
      <c r="C3161" s="106" t="s">
        <v>1</v>
      </c>
      <c r="D3161" s="107" t="s">
        <v>4236</v>
      </c>
      <c r="E3161" s="108" t="s">
        <v>4215</v>
      </c>
      <c r="F3161" s="547" t="s">
        <v>5</v>
      </c>
      <c r="G3161" s="556"/>
      <c r="H3161" s="119"/>
    </row>
    <row r="3162" spans="1:15">
      <c r="A3162" s="550" t="s">
        <v>4196</v>
      </c>
      <c r="B3162" s="551"/>
      <c r="C3162" s="101">
        <v>1</v>
      </c>
      <c r="D3162" s="104">
        <f>VLOOKUP(A3162,'Mano Obra'!$B$2:$T$117,19,0)</f>
        <v>166624</v>
      </c>
      <c r="E3162" s="246">
        <f>H3125</f>
        <v>6.25E-2</v>
      </c>
      <c r="F3162" s="538">
        <f>E3162*D3162*C3162</f>
        <v>10414</v>
      </c>
      <c r="G3162" s="557"/>
      <c r="H3162" s="121"/>
      <c r="I3162" s="69"/>
      <c r="J3162" s="136">
        <f>((('Mano Obra'!$M$4/30)*F3162)/D3162)*G3132</f>
        <v>0</v>
      </c>
    </row>
    <row r="3163" spans="1:15">
      <c r="A3163" s="558" t="s">
        <v>4197</v>
      </c>
      <c r="B3163" s="559">
        <f>VLOOKUP(A3163,'Mano Obra'!$B$3:$D$290,2,0)</f>
        <v>2090000.0000000002</v>
      </c>
      <c r="C3163" s="101">
        <v>1</v>
      </c>
      <c r="D3163" s="104">
        <f>VLOOKUP(A3163,'Mano Obra'!$B$2:$T$117,19,0)</f>
        <v>120456</v>
      </c>
      <c r="E3163" s="246">
        <f>H3125</f>
        <v>6.25E-2</v>
      </c>
      <c r="F3163" s="538">
        <f t="shared" ref="F3163:F3164" si="186">E3163*D3163*C3163</f>
        <v>7528.5</v>
      </c>
      <c r="G3163" s="557"/>
      <c r="H3163" s="121"/>
      <c r="J3163" s="136">
        <f>((('Mano Obra'!$M$5/30)*F3163)/D3163)*G3132</f>
        <v>0</v>
      </c>
    </row>
    <row r="3164" spans="1:15">
      <c r="A3164" s="558" t="s">
        <v>4186</v>
      </c>
      <c r="B3164" s="559">
        <f>VLOOKUP(A3164,'Mano Obra'!$B$3:$D$290,2,0)</f>
        <v>1100000</v>
      </c>
      <c r="C3164" s="101">
        <v>1</v>
      </c>
      <c r="D3164" s="104">
        <f>VLOOKUP(A3164,'Mano Obra'!$B$2:$T$117,19,0)</f>
        <v>72664</v>
      </c>
      <c r="E3164" s="246">
        <f>H3125</f>
        <v>6.25E-2</v>
      </c>
      <c r="F3164" s="538">
        <f t="shared" si="186"/>
        <v>4541.5</v>
      </c>
      <c r="G3164" s="557"/>
      <c r="H3164" s="120"/>
      <c r="J3164" s="136">
        <f>((('Mano Obra'!$M$6/30)*F3164)/D3164)*G3132</f>
        <v>0</v>
      </c>
    </row>
    <row r="3165" spans="1:15" ht="16.5">
      <c r="A3165" s="560" t="s">
        <v>4101</v>
      </c>
      <c r="B3165" s="560"/>
      <c r="C3165" s="560"/>
      <c r="D3165" s="560"/>
      <c r="E3165" s="560"/>
      <c r="F3165" s="560"/>
      <c r="G3165" s="560"/>
      <c r="H3165" s="105">
        <f>SUM(F3162:F3164)</f>
        <v>22484</v>
      </c>
      <c r="J3165" s="136"/>
    </row>
    <row r="3166" spans="1:15">
      <c r="A3166" s="227" t="s">
        <v>4237</v>
      </c>
      <c r="B3166" s="205"/>
      <c r="C3166" s="205"/>
      <c r="D3166" s="202"/>
      <c r="E3166" s="203"/>
      <c r="F3166" s="204"/>
      <c r="G3166" s="203"/>
      <c r="H3166" s="212"/>
    </row>
    <row r="3167" spans="1:15">
      <c r="A3167" s="561" t="s">
        <v>4224</v>
      </c>
      <c r="B3167" s="562"/>
      <c r="C3167" s="562"/>
      <c r="D3167" s="562"/>
      <c r="E3167" s="200"/>
      <c r="F3167" s="201" t="s">
        <v>4238</v>
      </c>
      <c r="G3167" s="200" t="s">
        <v>4239</v>
      </c>
      <c r="H3167" s="213"/>
    </row>
    <row r="3168" spans="1:15">
      <c r="A3168" s="223" t="s">
        <v>4097</v>
      </c>
      <c r="B3168" s="72"/>
      <c r="C3168" s="72"/>
      <c r="D3168" s="73"/>
      <c r="E3168" s="78"/>
      <c r="F3168" s="79">
        <v>0</v>
      </c>
      <c r="G3168" s="80">
        <f>F3168*H3133</f>
        <v>0</v>
      </c>
      <c r="H3168" s="212"/>
    </row>
    <row r="3169" spans="1:14">
      <c r="A3169" s="224" t="s">
        <v>4240</v>
      </c>
      <c r="B3169" s="81"/>
      <c r="C3169" s="81"/>
      <c r="D3169" s="82"/>
      <c r="E3169" s="78"/>
      <c r="F3169" s="79">
        <v>0</v>
      </c>
      <c r="G3169" s="80">
        <f>F3169*H3133</f>
        <v>0</v>
      </c>
      <c r="H3169" s="212"/>
    </row>
    <row r="3170" spans="1:14">
      <c r="A3170" s="224" t="s">
        <v>4</v>
      </c>
      <c r="B3170" s="81"/>
      <c r="C3170" s="81"/>
      <c r="D3170" s="82"/>
      <c r="E3170" s="78"/>
      <c r="F3170" s="79">
        <v>0</v>
      </c>
      <c r="G3170" s="80">
        <f>F3170*H3133</f>
        <v>0</v>
      </c>
      <c r="H3170" s="212"/>
    </row>
    <row r="3171" spans="1:14">
      <c r="A3171" s="225"/>
      <c r="B3171" s="83"/>
      <c r="C3171" s="75"/>
      <c r="D3171" s="84"/>
      <c r="E3171" s="85"/>
      <c r="F3171" s="86"/>
      <c r="G3171" s="87"/>
      <c r="H3171" s="214"/>
    </row>
    <row r="3172" spans="1:14">
      <c r="A3172" s="226"/>
      <c r="B3172" s="83"/>
      <c r="C3172" s="83"/>
      <c r="D3172" s="84"/>
      <c r="E3172" s="88"/>
      <c r="F3172" s="563" t="s">
        <v>4241</v>
      </c>
      <c r="G3172" s="564"/>
      <c r="H3172" s="233">
        <f>H3133+G3168+G3169+G3170</f>
        <v>1023032.87725</v>
      </c>
    </row>
    <row r="3173" spans="1:14">
      <c r="A3173" s="83"/>
      <c r="B3173" s="83"/>
      <c r="C3173" s="83"/>
      <c r="D3173" s="84"/>
      <c r="E3173" s="388"/>
      <c r="F3173" s="389"/>
      <c r="G3173" s="389"/>
      <c r="H3173" s="390"/>
    </row>
    <row r="3174" spans="1:14" ht="16.5">
      <c r="A3174" s="90"/>
      <c r="B3174" s="90"/>
      <c r="C3174" s="90"/>
      <c r="D3174" s="90"/>
      <c r="E3174" s="90"/>
      <c r="F3174" s="90"/>
      <c r="G3174" s="90"/>
      <c r="H3174" s="381"/>
    </row>
    <row r="3175" spans="1:14">
      <c r="A3175" s="579" t="s">
        <v>4225</v>
      </c>
      <c r="B3175" s="580"/>
      <c r="C3175" s="580"/>
      <c r="D3175" s="580"/>
      <c r="E3175" s="580"/>
      <c r="F3175" s="580"/>
      <c r="G3175" s="580"/>
      <c r="H3175" s="581"/>
    </row>
    <row r="3176" spans="1:14" ht="16.5">
      <c r="A3176" s="91"/>
      <c r="B3176" s="92"/>
      <c r="C3176" s="92"/>
      <c r="D3176" s="92"/>
      <c r="E3176" s="92"/>
      <c r="F3176" s="93"/>
      <c r="G3176" s="94"/>
      <c r="H3176" s="380">
        <f>ROUND((30/60)/8,4)</f>
        <v>6.25E-2</v>
      </c>
      <c r="I3176" s="115"/>
    </row>
    <row r="3177" spans="1:14">
      <c r="A3177" s="582" t="s">
        <v>4220</v>
      </c>
      <c r="B3177" s="584" t="str">
        <f>COSTOS!$C$14</f>
        <v>MODERNIZACION A TECNOLOGIA LED</v>
      </c>
      <c r="C3177" s="584"/>
      <c r="D3177" s="584"/>
      <c r="E3177" s="584"/>
      <c r="F3177" s="584"/>
      <c r="G3177" s="584"/>
      <c r="H3177" s="585" t="s">
        <v>4221</v>
      </c>
    </row>
    <row r="3178" spans="1:14">
      <c r="A3178" s="583"/>
      <c r="B3178" s="584"/>
      <c r="C3178" s="584"/>
      <c r="D3178" s="584"/>
      <c r="E3178" s="584"/>
      <c r="F3178" s="584"/>
      <c r="G3178" s="584"/>
      <c r="H3178" s="585"/>
    </row>
    <row r="3179" spans="1:14">
      <c r="A3179" s="583"/>
      <c r="B3179" s="584"/>
      <c r="C3179" s="584"/>
      <c r="D3179" s="584"/>
      <c r="E3179" s="584"/>
      <c r="F3179" s="584"/>
      <c r="G3179" s="584"/>
      <c r="H3179" s="585"/>
    </row>
    <row r="3180" spans="1:14" ht="15" customHeight="1">
      <c r="A3180" s="583"/>
      <c r="B3180" s="584"/>
      <c r="C3180" s="584"/>
      <c r="D3180" s="584"/>
      <c r="E3180" s="584"/>
      <c r="F3180" s="584"/>
      <c r="G3180" s="584"/>
      <c r="H3180" s="216">
        <f ca="1">TODAY()</f>
        <v>44889</v>
      </c>
      <c r="K3180" t="s">
        <v>4391</v>
      </c>
      <c r="L3180" t="s">
        <v>4392</v>
      </c>
      <c r="M3180" t="s">
        <v>4393</v>
      </c>
      <c r="N3180" t="s">
        <v>4394</v>
      </c>
    </row>
    <row r="3181" spans="1:14" ht="60.75" customHeight="1">
      <c r="A3181" s="228" t="s">
        <v>4222</v>
      </c>
      <c r="B3181" s="565" t="str">
        <f>COSTOS!$D$16</f>
        <v>Luminarias</v>
      </c>
      <c r="C3181" s="565"/>
      <c r="D3181" s="565"/>
      <c r="E3181" s="565"/>
      <c r="F3181" s="565"/>
      <c r="G3181" s="70" t="s">
        <v>4223</v>
      </c>
      <c r="H3181" s="391">
        <v>1.63</v>
      </c>
      <c r="K3181" s="62">
        <f>H3206</f>
        <v>1126410.446</v>
      </c>
      <c r="L3181" s="62">
        <f>H3216</f>
        <v>22484</v>
      </c>
      <c r="M3181" s="62">
        <f>H3189</f>
        <v>4034.53125</v>
      </c>
      <c r="N3181" s="62">
        <f>H3210</f>
        <v>4800</v>
      </c>
    </row>
    <row r="3182" spans="1:14" ht="43.15" customHeight="1">
      <c r="A3182" s="229" t="s">
        <v>4224</v>
      </c>
      <c r="B3182" s="566" t="str">
        <f>VLOOKUP(H3181,COSTOS!C:M,2,0)</f>
        <v>Luminaria Led 74.1w agm</v>
      </c>
      <c r="C3182" s="567"/>
      <c r="D3182" s="567"/>
      <c r="E3182" s="568"/>
      <c r="F3182" s="71" t="s">
        <v>0</v>
      </c>
      <c r="G3182" s="356" t="str">
        <f>VLOOKUP(H3181,COSTOS!C:M,8,0)</f>
        <v>Und</v>
      </c>
      <c r="H3182" s="276"/>
      <c r="I3182" s="306"/>
      <c r="J3182" s="308"/>
      <c r="K3182" s="308"/>
      <c r="L3182" s="308"/>
    </row>
    <row r="3183" spans="1:14">
      <c r="A3183" s="230"/>
      <c r="B3183" s="112"/>
      <c r="C3183" s="112"/>
      <c r="D3183" s="112"/>
      <c r="E3183" s="113"/>
      <c r="F3183" s="114" t="s">
        <v>1</v>
      </c>
      <c r="G3183" s="356">
        <f>VLOOKUP(H3181,COSTOS!C:M,9,0)</f>
        <v>1</v>
      </c>
      <c r="H3183" s="357"/>
      <c r="I3183" s="307"/>
    </row>
    <row r="3184" spans="1:14" ht="16.5">
      <c r="A3184" s="231" t="s">
        <v>4226</v>
      </c>
      <c r="B3184" s="75"/>
      <c r="C3184" s="75"/>
      <c r="D3184" s="76"/>
      <c r="E3184" s="209"/>
      <c r="F3184" s="210"/>
      <c r="G3184" s="211" t="s">
        <v>4227</v>
      </c>
      <c r="H3184" s="217">
        <f>H3189+H3206+H3210+H3216</f>
        <v>1157728.97725</v>
      </c>
    </row>
    <row r="3185" spans="1:15" ht="39">
      <c r="A3185" s="569" t="s">
        <v>4224</v>
      </c>
      <c r="B3185" s="569"/>
      <c r="C3185" s="569"/>
      <c r="D3185" s="77" t="s">
        <v>0</v>
      </c>
      <c r="E3185" s="207" t="s">
        <v>4228</v>
      </c>
      <c r="F3185" s="208" t="s">
        <v>4215</v>
      </c>
      <c r="G3185" s="74" t="s">
        <v>2</v>
      </c>
      <c r="H3185" s="218" t="s">
        <v>4229</v>
      </c>
      <c r="K3185" s="309"/>
    </row>
    <row r="3186" spans="1:15">
      <c r="A3186" s="536" t="s">
        <v>3946</v>
      </c>
      <c r="B3186" s="570" t="str">
        <f>VLOOKUP(A3186,'Equip, Herr y Transp'!$B$2:$D$739,2,0)</f>
        <v>EQU</v>
      </c>
      <c r="C3186" s="570"/>
      <c r="D3186" s="95" t="str">
        <f>VLOOKUP(A3186,'Equip, Herr y Transp'!$B$2:$D$218,2,0)</f>
        <v>EQU</v>
      </c>
      <c r="E3186" s="95">
        <f>VLOOKUP(A3186,'Equip, Herr y Transp'!$B$2:$D$218,3,0)</f>
        <v>14130</v>
      </c>
      <c r="F3186" s="96">
        <f>H3176</f>
        <v>6.25E-2</v>
      </c>
      <c r="G3186" s="122">
        <f>F3186*E3186</f>
        <v>883.125</v>
      </c>
      <c r="H3186" s="118"/>
    </row>
    <row r="3187" spans="1:15">
      <c r="A3187" s="536" t="s">
        <v>3904</v>
      </c>
      <c r="B3187" s="570" t="str">
        <f>VLOOKUP(A3187,'Equip, Herr y Transp'!$B$2:$D$739,2,0)</f>
        <v>EQU</v>
      </c>
      <c r="C3187" s="570"/>
      <c r="D3187" s="95" t="str">
        <f>VLOOKUP(A3187,'Equip, Herr y Transp'!$B$2:$D$218,2,0)</f>
        <v>EQU</v>
      </c>
      <c r="E3187" s="95">
        <f>VLOOKUP(A3187,'Equip, Herr y Transp'!$B$2:$D$218,3,0)</f>
        <v>26672.5</v>
      </c>
      <c r="F3187" s="96">
        <f>H3176</f>
        <v>6.25E-2</v>
      </c>
      <c r="G3187" s="122">
        <f>F3187*E3187</f>
        <v>1667.03125</v>
      </c>
      <c r="H3187" s="117"/>
    </row>
    <row r="3188" spans="1:15">
      <c r="A3188" s="536" t="s">
        <v>3937</v>
      </c>
      <c r="B3188" s="570" t="str">
        <f>VLOOKUP(A3188,'Equip, Herr y Transp'!$B$2:$D$739,2,0)</f>
        <v>EQU</v>
      </c>
      <c r="C3188" s="570"/>
      <c r="D3188" s="95" t="str">
        <f>VLOOKUP(A3188,'Equip, Herr y Transp'!$B$2:$D$218,2,0)</f>
        <v>EQU</v>
      </c>
      <c r="E3188" s="95">
        <f>VLOOKUP(A3188,'Equip, Herr y Transp'!$B$2:$D$218,3,0)</f>
        <v>23750</v>
      </c>
      <c r="F3188" s="96">
        <f>H3176</f>
        <v>6.25E-2</v>
      </c>
      <c r="G3188" s="122">
        <f>F3188*E3188</f>
        <v>1484.375</v>
      </c>
      <c r="H3188" s="117"/>
    </row>
    <row r="3189" spans="1:15" ht="16.5">
      <c r="A3189" s="540" t="s">
        <v>4100</v>
      </c>
      <c r="B3189" s="541"/>
      <c r="C3189" s="541"/>
      <c r="D3189" s="541"/>
      <c r="E3189" s="541"/>
      <c r="F3189" s="541"/>
      <c r="G3189" s="541"/>
      <c r="H3189" s="97">
        <f>SUM(G3186:G3188)</f>
        <v>4034.53125</v>
      </c>
    </row>
    <row r="3190" spans="1:15" ht="16.5">
      <c r="A3190" s="571" t="s">
        <v>4230</v>
      </c>
      <c r="B3190" s="572"/>
      <c r="C3190" s="572"/>
      <c r="D3190" s="572"/>
      <c r="E3190" s="572"/>
      <c r="F3190" s="572"/>
      <c r="G3190" s="572"/>
      <c r="H3190" s="573"/>
      <c r="K3190" s="56"/>
      <c r="L3190" s="56"/>
      <c r="M3190" s="56"/>
      <c r="N3190" s="56"/>
      <c r="O3190" s="56"/>
    </row>
    <row r="3191" spans="1:15" ht="30" customHeight="1">
      <c r="A3191" s="574" t="s">
        <v>7</v>
      </c>
      <c r="B3191" s="575"/>
      <c r="C3191" s="109" t="s">
        <v>0</v>
      </c>
      <c r="D3191" s="110" t="s">
        <v>4098</v>
      </c>
      <c r="E3191" s="111" t="s">
        <v>1</v>
      </c>
      <c r="F3191" s="576" t="s">
        <v>4218</v>
      </c>
      <c r="G3191" s="576"/>
      <c r="H3191" s="215"/>
      <c r="K3191" s="56"/>
      <c r="L3191" s="56"/>
      <c r="M3191" s="56"/>
      <c r="N3191" s="56"/>
      <c r="O3191" s="56"/>
    </row>
    <row r="3192" spans="1:15">
      <c r="A3192" s="577" t="s">
        <v>4773</v>
      </c>
      <c r="B3192" s="578"/>
      <c r="C3192" s="98" t="str">
        <f>VLOOKUP(A3192,'Materiales '!$C$2:$F$1302,3,0)</f>
        <v>Und</v>
      </c>
      <c r="D3192" s="99">
        <f>VLOOKUP(A3192,'Materiales '!$C$2:$F$1302,4,0)</f>
        <v>987771.4</v>
      </c>
      <c r="E3192" s="100">
        <v>1</v>
      </c>
      <c r="F3192" s="538">
        <f>E3192*D3192</f>
        <v>987771.4</v>
      </c>
      <c r="G3192" s="539"/>
      <c r="H3192" s="121"/>
      <c r="I3192">
        <f>E3192*G3183</f>
        <v>1</v>
      </c>
      <c r="J3192" s="67"/>
      <c r="K3192" s="56"/>
      <c r="L3192" s="56"/>
      <c r="M3192" s="56"/>
      <c r="N3192" s="56"/>
      <c r="O3192" s="56"/>
    </row>
    <row r="3193" spans="1:15">
      <c r="A3193" s="577" t="s">
        <v>4214</v>
      </c>
      <c r="B3193" s="578"/>
      <c r="C3193" s="98" t="str">
        <f>VLOOKUP(A3193,'Materiales '!$C$2:$F$1302,3,0)</f>
        <v>Und</v>
      </c>
      <c r="D3193" s="99">
        <f>VLOOKUP(A3193,'Materiales '!$C$2:$F$1302,4,0)</f>
        <v>22848</v>
      </c>
      <c r="E3193" s="100">
        <v>1</v>
      </c>
      <c r="F3193" s="538">
        <f t="shared" ref="F3193:F3199" si="187">E3193*D3193</f>
        <v>22848</v>
      </c>
      <c r="G3193" s="539"/>
      <c r="H3193" s="121"/>
      <c r="I3193">
        <f>E3193*G3183</f>
        <v>1</v>
      </c>
      <c r="J3193" s="67"/>
      <c r="K3193" s="56"/>
      <c r="L3193" s="56"/>
      <c r="M3193" s="56"/>
      <c r="N3193" s="56"/>
      <c r="O3193" s="56"/>
    </row>
    <row r="3194" spans="1:15">
      <c r="A3194" s="536" t="s">
        <v>4484</v>
      </c>
      <c r="B3194" s="537" t="str">
        <f>VLOOKUP(A3194,'Materiales '!$C$2:$F$1302,3,0)</f>
        <v>Und</v>
      </c>
      <c r="C3194" s="98" t="str">
        <f>VLOOKUP(A3194,'Materiales '!$C$2:$F$1302,3,0)</f>
        <v>Und</v>
      </c>
      <c r="D3194" s="99">
        <f>VLOOKUP(A3194,'Materiales '!$C$2:$F$1302,4,0)</f>
        <v>21705.599999999999</v>
      </c>
      <c r="E3194" s="100">
        <v>2</v>
      </c>
      <c r="F3194" s="538">
        <f t="shared" si="187"/>
        <v>43411.199999999997</v>
      </c>
      <c r="G3194" s="539"/>
      <c r="H3194" s="121"/>
      <c r="I3194">
        <f>E3194*G3183</f>
        <v>2</v>
      </c>
      <c r="J3194" s="68"/>
      <c r="K3194" s="56"/>
      <c r="L3194" s="56"/>
      <c r="M3194" s="56"/>
      <c r="N3194" s="56"/>
      <c r="O3194" s="56"/>
    </row>
    <row r="3195" spans="1:15">
      <c r="A3195" s="536" t="s">
        <v>4489</v>
      </c>
      <c r="B3195" s="537" t="str">
        <f>VLOOKUP(A3195,'Materiales '!$C$2:$F$1302,3,0)</f>
        <v>Und</v>
      </c>
      <c r="C3195" s="98" t="str">
        <f>VLOOKUP(A3195,'Materiales '!$C$2:$F$1302,3,0)</f>
        <v>Und</v>
      </c>
      <c r="D3195" s="99">
        <f>VLOOKUP(A3195,'Materiales '!$C$2:$F$1302,4,0)</f>
        <v>8039.6399999999994</v>
      </c>
      <c r="E3195" s="100">
        <v>3</v>
      </c>
      <c r="F3195" s="538">
        <f t="shared" si="187"/>
        <v>24118.92</v>
      </c>
      <c r="G3195" s="539"/>
      <c r="H3195" s="121"/>
      <c r="I3195">
        <f>E3195*G3183</f>
        <v>3</v>
      </c>
      <c r="J3195" s="68"/>
      <c r="K3195" s="56"/>
      <c r="L3195" s="56"/>
      <c r="M3195" s="56"/>
      <c r="N3195" s="56"/>
      <c r="O3195" s="56"/>
    </row>
    <row r="3196" spans="1:15">
      <c r="A3196" s="536" t="s">
        <v>4554</v>
      </c>
      <c r="B3196" s="537" t="str">
        <f>VLOOKUP(A3196,'Materiales '!$C$2:$F$1302,3,0)</f>
        <v>Und</v>
      </c>
      <c r="C3196" s="98" t="str">
        <f>VLOOKUP(A3196,'Materiales '!$C$2:$F$1302,3,0)</f>
        <v>Und</v>
      </c>
      <c r="D3196" s="99">
        <f>VLOOKUP(A3196,'Materiales '!$C$2:$F$1302,4,0)</f>
        <v>2535.5329999999999</v>
      </c>
      <c r="E3196" s="100">
        <v>2</v>
      </c>
      <c r="F3196" s="538">
        <f t="shared" si="187"/>
        <v>5071.0659999999998</v>
      </c>
      <c r="G3196" s="539"/>
      <c r="H3196" s="121"/>
      <c r="I3196">
        <f>E3196*G3183</f>
        <v>2</v>
      </c>
      <c r="J3196" s="68"/>
      <c r="K3196" s="56"/>
      <c r="L3196" s="56"/>
      <c r="M3196" s="56"/>
      <c r="N3196" s="56"/>
      <c r="O3196" s="56"/>
    </row>
    <row r="3197" spans="1:15">
      <c r="A3197" s="536" t="s">
        <v>4450</v>
      </c>
      <c r="B3197" s="537" t="str">
        <f>VLOOKUP(A3197,'Materiales '!$C$2:$F$1302,3,0)</f>
        <v>Ml</v>
      </c>
      <c r="C3197" s="98" t="str">
        <f>VLOOKUP(A3197,'Materiales '!$C$2:$F$1302,3,0)</f>
        <v>Ml</v>
      </c>
      <c r="D3197" s="99">
        <f>VLOOKUP(A3197,'Materiales '!$C$2:$F$1302,4,0)</f>
        <v>6791.5679999999993</v>
      </c>
      <c r="E3197" s="100">
        <v>1</v>
      </c>
      <c r="F3197" s="538">
        <f t="shared" si="187"/>
        <v>6791.5679999999993</v>
      </c>
      <c r="G3197" s="539"/>
      <c r="H3197" s="121"/>
      <c r="I3197">
        <f>E3197*G3183</f>
        <v>1</v>
      </c>
      <c r="J3197" s="68"/>
      <c r="K3197" s="56"/>
      <c r="L3197" s="56"/>
      <c r="M3197" s="56"/>
      <c r="N3197" s="56"/>
      <c r="O3197" s="56"/>
    </row>
    <row r="3198" spans="1:15">
      <c r="A3198" s="536" t="s">
        <v>4493</v>
      </c>
      <c r="B3198" s="537" t="str">
        <f>VLOOKUP(A3198,'Materiales '!$C$2:$F$1302,3,0)</f>
        <v>Und</v>
      </c>
      <c r="C3198" s="98" t="str">
        <f>VLOOKUP(A3198,'Materiales '!$C$2:$F$1302,3,0)</f>
        <v>Und</v>
      </c>
      <c r="D3198" s="99">
        <f>VLOOKUP(A3198,'Materiales '!$C$2:$F$1302,4,0)</f>
        <v>232.76399999999998</v>
      </c>
      <c r="E3198" s="100">
        <v>3</v>
      </c>
      <c r="F3198" s="538">
        <f t="shared" si="187"/>
        <v>698.29199999999992</v>
      </c>
      <c r="G3198" s="539"/>
      <c r="H3198" s="121"/>
      <c r="I3198">
        <f>E3198*G3183</f>
        <v>3</v>
      </c>
      <c r="J3198" s="68"/>
      <c r="K3198" s="56"/>
      <c r="L3198" s="56"/>
      <c r="M3198" s="56"/>
      <c r="N3198" s="56"/>
      <c r="O3198" s="56"/>
    </row>
    <row r="3199" spans="1:15" ht="21.75" customHeight="1">
      <c r="A3199" s="536" t="s">
        <v>4639</v>
      </c>
      <c r="B3199" s="537" t="str">
        <f>VLOOKUP(A3199,'Materiales '!$C$2:$F$1302,3,0)</f>
        <v>Und</v>
      </c>
      <c r="C3199" s="98" t="str">
        <f>VLOOKUP(A3199,'Materiales '!$C$2:$F$1302,3,0)</f>
        <v>Und</v>
      </c>
      <c r="D3199" s="99">
        <f>VLOOKUP(A3199,'Materiales '!$C$2:$F$1302,4,0)</f>
        <v>35700</v>
      </c>
      <c r="E3199" s="100">
        <v>1</v>
      </c>
      <c r="F3199" s="538">
        <f t="shared" si="187"/>
        <v>35700</v>
      </c>
      <c r="G3199" s="539"/>
      <c r="H3199" s="121"/>
      <c r="I3199">
        <f>E3199*G3183</f>
        <v>1</v>
      </c>
      <c r="J3199" s="68"/>
      <c r="K3199" s="56"/>
      <c r="L3199" s="56"/>
      <c r="M3199" s="56"/>
      <c r="N3199" s="56"/>
      <c r="O3199" s="56"/>
    </row>
    <row r="3200" spans="1:15">
      <c r="A3200" s="536" t="s">
        <v>8</v>
      </c>
      <c r="B3200" s="537" t="str">
        <f>VLOOKUP(A3200,'Materiales '!$C$2:$F$1302,3,0)</f>
        <v>-</v>
      </c>
      <c r="C3200" s="98" t="str">
        <f>VLOOKUP(A3200,'Materiales '!$C$2:$F$1302,3,0)</f>
        <v>-</v>
      </c>
      <c r="D3200" s="99">
        <f>VLOOKUP(A3200,'Materiales '!$C$2:$F$1302,4,0)</f>
        <v>0</v>
      </c>
      <c r="E3200" s="100"/>
      <c r="F3200" s="538">
        <f>E3200*D3200</f>
        <v>0</v>
      </c>
      <c r="G3200" s="539"/>
      <c r="H3200" s="120"/>
      <c r="I3200">
        <f>E3200*G3183</f>
        <v>0</v>
      </c>
      <c r="J3200" s="68"/>
      <c r="K3200" s="56"/>
      <c r="L3200" s="56"/>
      <c r="M3200" s="56"/>
      <c r="N3200" s="56"/>
      <c r="O3200" s="56"/>
    </row>
    <row r="3201" spans="1:15">
      <c r="A3201" s="536" t="s">
        <v>8</v>
      </c>
      <c r="B3201" s="537" t="str">
        <f>VLOOKUP(A3201,'Materiales '!$C$2:$F$1302,3,0)</f>
        <v>-</v>
      </c>
      <c r="C3201" s="98" t="str">
        <f>VLOOKUP(A3201,'Materiales '!$C$2:$F$1302,3,0)</f>
        <v>-</v>
      </c>
      <c r="D3201" s="99">
        <f>VLOOKUP(A3201,'Materiales '!$C$2:$F$1302,4,0)</f>
        <v>0</v>
      </c>
      <c r="E3201" s="100"/>
      <c r="F3201" s="538">
        <f t="shared" ref="F3201:F3204" si="188">E3201*D3201</f>
        <v>0</v>
      </c>
      <c r="G3201" s="539"/>
      <c r="H3201" s="121"/>
      <c r="I3201">
        <f>E3201*G3183</f>
        <v>0</v>
      </c>
      <c r="J3201" s="68"/>
      <c r="K3201" s="56"/>
      <c r="L3201" s="56"/>
      <c r="M3201" s="56"/>
      <c r="N3201" s="56"/>
      <c r="O3201" s="56"/>
    </row>
    <row r="3202" spans="1:15">
      <c r="A3202" s="536" t="s">
        <v>8</v>
      </c>
      <c r="B3202" s="537" t="str">
        <f>VLOOKUP(A3202,'Materiales '!$C$2:$F$1302,3,0)</f>
        <v>-</v>
      </c>
      <c r="C3202" s="98" t="str">
        <f>VLOOKUP(A3202,'Materiales '!$C$2:$F$1302,3,0)</f>
        <v>-</v>
      </c>
      <c r="D3202" s="99">
        <f>VLOOKUP(A3202,'Materiales '!$C$2:$F$1302,4,0)</f>
        <v>0</v>
      </c>
      <c r="E3202" s="100"/>
      <c r="F3202" s="538">
        <f t="shared" si="188"/>
        <v>0</v>
      </c>
      <c r="G3202" s="539"/>
      <c r="H3202" s="121"/>
      <c r="I3202">
        <f>E3202*G3183</f>
        <v>0</v>
      </c>
      <c r="J3202" s="68"/>
      <c r="K3202" s="56"/>
      <c r="L3202" s="56"/>
      <c r="M3202" s="56"/>
      <c r="N3202" s="56"/>
      <c r="O3202" s="56"/>
    </row>
    <row r="3203" spans="1:15">
      <c r="A3203" s="536" t="s">
        <v>8</v>
      </c>
      <c r="B3203" s="537" t="str">
        <f>VLOOKUP(A3203,'Materiales '!$C$2:$F$1302,3,0)</f>
        <v>-</v>
      </c>
      <c r="C3203" s="98" t="str">
        <f>VLOOKUP(A3203,'Materiales '!$C$2:$F$1302,3,0)</f>
        <v>-</v>
      </c>
      <c r="D3203" s="99">
        <f>VLOOKUP(A3203,'Materiales '!$C$2:$F$1302,4,0)</f>
        <v>0</v>
      </c>
      <c r="E3203" s="100"/>
      <c r="F3203" s="538">
        <f t="shared" si="188"/>
        <v>0</v>
      </c>
      <c r="G3203" s="539"/>
      <c r="H3203" s="121"/>
      <c r="I3203">
        <f>E3203*G3183</f>
        <v>0</v>
      </c>
      <c r="J3203" s="68"/>
      <c r="K3203" s="56"/>
      <c r="L3203" s="56"/>
      <c r="M3203" s="56"/>
      <c r="N3203" s="56"/>
      <c r="O3203" s="56"/>
    </row>
    <row r="3204" spans="1:15">
      <c r="A3204" s="536" t="s">
        <v>8</v>
      </c>
      <c r="B3204" s="537" t="str">
        <f>VLOOKUP(A3204,'Materiales '!$C$2:$F$1302,3,0)</f>
        <v>-</v>
      </c>
      <c r="C3204" s="98" t="str">
        <f>VLOOKUP(A3204,'Materiales '!$C$2:$F$1302,3,0)</f>
        <v>-</v>
      </c>
      <c r="D3204" s="99">
        <f>VLOOKUP(A3204,'Materiales '!$C$2:$F$1302,4,0)</f>
        <v>0</v>
      </c>
      <c r="E3204" s="100"/>
      <c r="F3204" s="538">
        <f t="shared" si="188"/>
        <v>0</v>
      </c>
      <c r="G3204" s="539"/>
      <c r="H3204" s="121"/>
      <c r="I3204">
        <f>E3204*G3183</f>
        <v>0</v>
      </c>
      <c r="J3204" s="68"/>
      <c r="K3204" s="56"/>
      <c r="L3204" s="56"/>
      <c r="M3204" s="56"/>
      <c r="N3204" s="56"/>
      <c r="O3204" s="56"/>
    </row>
    <row r="3205" spans="1:15">
      <c r="A3205" s="536" t="s">
        <v>8</v>
      </c>
      <c r="B3205" s="537" t="str">
        <f>VLOOKUP(A3205,'Materiales '!$C$2:$F$1302,3,0)</f>
        <v>-</v>
      </c>
      <c r="C3205" s="98" t="str">
        <f>VLOOKUP(A3205,'Materiales '!$C$2:$F$1302,3,0)</f>
        <v>-</v>
      </c>
      <c r="D3205" s="99">
        <f>VLOOKUP(A3205,'Materiales '!$C$2:$F$1302,4,0)</f>
        <v>0</v>
      </c>
      <c r="E3205" s="100"/>
      <c r="F3205" s="538">
        <f>E3205*D3205</f>
        <v>0</v>
      </c>
      <c r="G3205" s="539"/>
      <c r="H3205" s="120"/>
      <c r="I3205">
        <f>E3205*G3183</f>
        <v>0</v>
      </c>
      <c r="J3205" s="68"/>
      <c r="K3205" s="56"/>
      <c r="L3205" s="56"/>
      <c r="M3205" s="56"/>
      <c r="N3205" s="56"/>
      <c r="O3205" s="56"/>
    </row>
    <row r="3206" spans="1:15" ht="16.5">
      <c r="A3206" s="540" t="s">
        <v>4099</v>
      </c>
      <c r="B3206" s="541"/>
      <c r="C3206" s="541"/>
      <c r="D3206" s="541"/>
      <c r="E3206" s="541"/>
      <c r="F3206" s="541"/>
      <c r="G3206" s="542"/>
      <c r="H3206" s="116">
        <f>SUM(F3192:F3205)</f>
        <v>1126410.446</v>
      </c>
      <c r="J3206" s="68"/>
      <c r="K3206" s="56"/>
      <c r="L3206" s="56"/>
      <c r="M3206" s="56"/>
      <c r="N3206" s="56"/>
      <c r="O3206" s="56"/>
    </row>
    <row r="3207" spans="1:15" ht="16.5">
      <c r="A3207" s="543" t="s">
        <v>4231</v>
      </c>
      <c r="B3207" s="544"/>
      <c r="C3207" s="544"/>
      <c r="D3207" s="544"/>
      <c r="E3207" s="545"/>
      <c r="F3207" s="544"/>
      <c r="G3207" s="544"/>
      <c r="H3207" s="546"/>
      <c r="J3207" s="68"/>
      <c r="K3207" s="56"/>
      <c r="L3207" s="56"/>
      <c r="M3207" s="56"/>
      <c r="N3207" s="56"/>
      <c r="O3207" s="56"/>
    </row>
    <row r="3208" spans="1:15">
      <c r="A3208" s="547" t="s">
        <v>7</v>
      </c>
      <c r="B3208" s="548"/>
      <c r="C3208" s="108" t="s">
        <v>4232</v>
      </c>
      <c r="D3208" s="107" t="s">
        <v>4233</v>
      </c>
      <c r="E3208" s="206" t="s">
        <v>4234</v>
      </c>
      <c r="F3208" s="549" t="s">
        <v>4218</v>
      </c>
      <c r="G3208" s="549"/>
      <c r="H3208" s="119"/>
      <c r="K3208" s="56"/>
      <c r="L3208" s="56"/>
      <c r="M3208" s="56"/>
      <c r="N3208" s="56"/>
      <c r="O3208" s="56"/>
    </row>
    <row r="3209" spans="1:15">
      <c r="A3209" s="550" t="s">
        <v>3928</v>
      </c>
      <c r="B3209" s="551"/>
      <c r="C3209" s="232">
        <v>1</v>
      </c>
      <c r="D3209" s="102">
        <v>0.03</v>
      </c>
      <c r="E3209" s="103">
        <f>VLOOKUP(A3209,'Equip, Herr y Transp'!$B$2:$D$218,3,0)</f>
        <v>160000</v>
      </c>
      <c r="F3209" s="552">
        <f>E3209*D3209*C3209</f>
        <v>4800</v>
      </c>
      <c r="G3209" s="553"/>
      <c r="H3209" s="117"/>
      <c r="M3209" s="56"/>
    </row>
    <row r="3210" spans="1:15" ht="16.5">
      <c r="A3210" s="554" t="s">
        <v>4216</v>
      </c>
      <c r="B3210" s="555"/>
      <c r="C3210" s="555"/>
      <c r="D3210" s="555"/>
      <c r="E3210" s="555"/>
      <c r="F3210" s="555"/>
      <c r="G3210" s="555"/>
      <c r="H3210" s="105">
        <f>F3209</f>
        <v>4800</v>
      </c>
    </row>
    <row r="3211" spans="1:15" ht="16.5">
      <c r="A3211" s="543" t="s">
        <v>4235</v>
      </c>
      <c r="B3211" s="544"/>
      <c r="C3211" s="544"/>
      <c r="D3211" s="544"/>
      <c r="E3211" s="544"/>
      <c r="F3211" s="544"/>
      <c r="G3211" s="544"/>
      <c r="H3211" s="546"/>
    </row>
    <row r="3212" spans="1:15">
      <c r="A3212" s="547" t="s">
        <v>7</v>
      </c>
      <c r="B3212" s="548"/>
      <c r="C3212" s="106" t="s">
        <v>1</v>
      </c>
      <c r="D3212" s="107" t="s">
        <v>4236</v>
      </c>
      <c r="E3212" s="108" t="s">
        <v>4215</v>
      </c>
      <c r="F3212" s="547" t="s">
        <v>5</v>
      </c>
      <c r="G3212" s="556"/>
      <c r="H3212" s="119"/>
    </row>
    <row r="3213" spans="1:15">
      <c r="A3213" s="550" t="s">
        <v>4196</v>
      </c>
      <c r="B3213" s="551"/>
      <c r="C3213" s="101">
        <v>1</v>
      </c>
      <c r="D3213" s="104">
        <f>VLOOKUP(A3213,'Mano Obra'!$B$2:$T$117,19,0)</f>
        <v>166624</v>
      </c>
      <c r="E3213" s="246">
        <f>H3176</f>
        <v>6.25E-2</v>
      </c>
      <c r="F3213" s="538">
        <f>E3213*D3213*C3213</f>
        <v>10414</v>
      </c>
      <c r="G3213" s="557"/>
      <c r="H3213" s="121"/>
      <c r="I3213" s="69"/>
      <c r="J3213" s="136">
        <f>((('Mano Obra'!$M$4/30)*F3213)/D3213)*G3183</f>
        <v>676.29972569444442</v>
      </c>
    </row>
    <row r="3214" spans="1:15">
      <c r="A3214" s="558" t="s">
        <v>4197</v>
      </c>
      <c r="B3214" s="559">
        <f>VLOOKUP(A3214,'Mano Obra'!$B$3:$D$290,2,0)</f>
        <v>2090000.0000000002</v>
      </c>
      <c r="C3214" s="101">
        <v>1</v>
      </c>
      <c r="D3214" s="104">
        <f>VLOOKUP(A3214,'Mano Obra'!$B$2:$T$117,19,0)</f>
        <v>120456</v>
      </c>
      <c r="E3214" s="246">
        <f>H3176</f>
        <v>6.25E-2</v>
      </c>
      <c r="F3214" s="538">
        <f t="shared" ref="F3214:F3215" si="189">E3214*D3214*C3214</f>
        <v>7528.5</v>
      </c>
      <c r="G3214" s="557"/>
      <c r="H3214" s="121"/>
      <c r="J3214" s="136">
        <f>((('Mano Obra'!$M$5/30)*F3214)/D3214)*G3183</f>
        <v>676.29972569444442</v>
      </c>
    </row>
    <row r="3215" spans="1:15">
      <c r="A3215" s="558" t="s">
        <v>4186</v>
      </c>
      <c r="B3215" s="559">
        <f>VLOOKUP(A3215,'Mano Obra'!$B$3:$D$290,2,0)</f>
        <v>1100000</v>
      </c>
      <c r="C3215" s="101">
        <v>1</v>
      </c>
      <c r="D3215" s="104">
        <f>VLOOKUP(A3215,'Mano Obra'!$B$2:$T$117,19,0)</f>
        <v>72664</v>
      </c>
      <c r="E3215" s="246">
        <f>H3176</f>
        <v>6.25E-2</v>
      </c>
      <c r="F3215" s="538">
        <f t="shared" si="189"/>
        <v>4541.5</v>
      </c>
      <c r="G3215" s="557"/>
      <c r="H3215" s="120"/>
      <c r="J3215" s="136">
        <f>((('Mano Obra'!$M$6/30)*F3215)/D3215)*G3183</f>
        <v>676.29972569444442</v>
      </c>
    </row>
    <row r="3216" spans="1:15" ht="16.5">
      <c r="A3216" s="560" t="s">
        <v>4101</v>
      </c>
      <c r="B3216" s="560"/>
      <c r="C3216" s="560"/>
      <c r="D3216" s="560"/>
      <c r="E3216" s="560"/>
      <c r="F3216" s="560"/>
      <c r="G3216" s="560"/>
      <c r="H3216" s="105">
        <f>SUM(F3213:F3215)</f>
        <v>22484</v>
      </c>
      <c r="J3216" s="136"/>
    </row>
    <row r="3217" spans="1:14">
      <c r="A3217" s="227" t="s">
        <v>4237</v>
      </c>
      <c r="B3217" s="205"/>
      <c r="C3217" s="205"/>
      <c r="D3217" s="202"/>
      <c r="E3217" s="203"/>
      <c r="F3217" s="204"/>
      <c r="G3217" s="203"/>
      <c r="H3217" s="212"/>
    </row>
    <row r="3218" spans="1:14">
      <c r="A3218" s="561" t="s">
        <v>4224</v>
      </c>
      <c r="B3218" s="562"/>
      <c r="C3218" s="562"/>
      <c r="D3218" s="562"/>
      <c r="E3218" s="200"/>
      <c r="F3218" s="201" t="s">
        <v>4238</v>
      </c>
      <c r="G3218" s="200" t="s">
        <v>4239</v>
      </c>
      <c r="H3218" s="213"/>
    </row>
    <row r="3219" spans="1:14">
      <c r="A3219" s="223" t="s">
        <v>4097</v>
      </c>
      <c r="B3219" s="72"/>
      <c r="C3219" s="72"/>
      <c r="D3219" s="73"/>
      <c r="E3219" s="78"/>
      <c r="F3219" s="79">
        <v>0</v>
      </c>
      <c r="G3219" s="80">
        <f>F3219*H3184</f>
        <v>0</v>
      </c>
      <c r="H3219" s="212"/>
    </row>
    <row r="3220" spans="1:14">
      <c r="A3220" s="224" t="s">
        <v>4240</v>
      </c>
      <c r="B3220" s="81"/>
      <c r="C3220" s="81"/>
      <c r="D3220" s="82"/>
      <c r="E3220" s="78"/>
      <c r="F3220" s="79">
        <v>0</v>
      </c>
      <c r="G3220" s="80">
        <f>F3220*H3184</f>
        <v>0</v>
      </c>
      <c r="H3220" s="212"/>
    </row>
    <row r="3221" spans="1:14">
      <c r="A3221" s="224" t="s">
        <v>4</v>
      </c>
      <c r="B3221" s="81"/>
      <c r="C3221" s="81"/>
      <c r="D3221" s="82"/>
      <c r="E3221" s="78"/>
      <c r="F3221" s="79">
        <v>0</v>
      </c>
      <c r="G3221" s="80">
        <f>F3221*H3184</f>
        <v>0</v>
      </c>
      <c r="H3221" s="212"/>
    </row>
    <row r="3222" spans="1:14">
      <c r="A3222" s="225"/>
      <c r="B3222" s="83"/>
      <c r="C3222" s="75"/>
      <c r="D3222" s="84"/>
      <c r="E3222" s="85"/>
      <c r="F3222" s="86"/>
      <c r="G3222" s="87"/>
      <c r="H3222" s="214"/>
    </row>
    <row r="3223" spans="1:14">
      <c r="A3223" s="226"/>
      <c r="B3223" s="83"/>
      <c r="C3223" s="83"/>
      <c r="D3223" s="84"/>
      <c r="E3223" s="88"/>
      <c r="F3223" s="563" t="s">
        <v>4241</v>
      </c>
      <c r="G3223" s="564"/>
      <c r="H3223" s="233">
        <f>H3184+G3219+G3220+G3221</f>
        <v>1157728.97725</v>
      </c>
    </row>
    <row r="3224" spans="1:14">
      <c r="A3224" s="83"/>
      <c r="B3224" s="83"/>
      <c r="C3224" s="83"/>
      <c r="D3224" s="84"/>
      <c r="E3224" s="388"/>
      <c r="F3224" s="389"/>
      <c r="G3224" s="389"/>
      <c r="H3224" s="390"/>
    </row>
    <row r="3225" spans="1:14" ht="16.5">
      <c r="A3225" s="90"/>
      <c r="B3225" s="90"/>
      <c r="C3225" s="90"/>
      <c r="D3225" s="90"/>
      <c r="E3225" s="90"/>
      <c r="F3225" s="90"/>
      <c r="G3225" s="90"/>
      <c r="H3225" s="381"/>
    </row>
    <row r="3226" spans="1:14">
      <c r="A3226" s="579" t="s">
        <v>4225</v>
      </c>
      <c r="B3226" s="580"/>
      <c r="C3226" s="580"/>
      <c r="D3226" s="580"/>
      <c r="E3226" s="580"/>
      <c r="F3226" s="580"/>
      <c r="G3226" s="580"/>
      <c r="H3226" s="581"/>
    </row>
    <row r="3227" spans="1:14" ht="16.5">
      <c r="A3227" s="91"/>
      <c r="B3227" s="92"/>
      <c r="C3227" s="92"/>
      <c r="D3227" s="92"/>
      <c r="E3227" s="92"/>
      <c r="F3227" s="93"/>
      <c r="G3227" s="94"/>
      <c r="H3227" s="380">
        <f>ROUND((30/60)/8,4)</f>
        <v>6.25E-2</v>
      </c>
      <c r="I3227" s="115"/>
    </row>
    <row r="3228" spans="1:14">
      <c r="A3228" s="582" t="s">
        <v>4220</v>
      </c>
      <c r="B3228" s="584" t="str">
        <f>COSTOS!$C$14</f>
        <v>MODERNIZACION A TECNOLOGIA LED</v>
      </c>
      <c r="C3228" s="584"/>
      <c r="D3228" s="584"/>
      <c r="E3228" s="584"/>
      <c r="F3228" s="584"/>
      <c r="G3228" s="584"/>
      <c r="H3228" s="585" t="s">
        <v>4221</v>
      </c>
    </row>
    <row r="3229" spans="1:14">
      <c r="A3229" s="583"/>
      <c r="B3229" s="584"/>
      <c r="C3229" s="584"/>
      <c r="D3229" s="584"/>
      <c r="E3229" s="584"/>
      <c r="F3229" s="584"/>
      <c r="G3229" s="584"/>
      <c r="H3229" s="585"/>
    </row>
    <row r="3230" spans="1:14">
      <c r="A3230" s="583"/>
      <c r="B3230" s="584"/>
      <c r="C3230" s="584"/>
      <c r="D3230" s="584"/>
      <c r="E3230" s="584"/>
      <c r="F3230" s="584"/>
      <c r="G3230" s="584"/>
      <c r="H3230" s="585"/>
    </row>
    <row r="3231" spans="1:14" ht="15" customHeight="1">
      <c r="A3231" s="583"/>
      <c r="B3231" s="584"/>
      <c r="C3231" s="584"/>
      <c r="D3231" s="584"/>
      <c r="E3231" s="584"/>
      <c r="F3231" s="584"/>
      <c r="G3231" s="584"/>
      <c r="H3231" s="216">
        <f ca="1">TODAY()</f>
        <v>44889</v>
      </c>
      <c r="K3231" t="s">
        <v>4391</v>
      </c>
      <c r="L3231" t="s">
        <v>4392</v>
      </c>
      <c r="M3231" t="s">
        <v>4393</v>
      </c>
      <c r="N3231" t="s">
        <v>4394</v>
      </c>
    </row>
    <row r="3232" spans="1:14" ht="60.75" customHeight="1">
      <c r="A3232" s="228" t="s">
        <v>4222</v>
      </c>
      <c r="B3232" s="565" t="str">
        <f>COSTOS!$D$16</f>
        <v>Luminarias</v>
      </c>
      <c r="C3232" s="565"/>
      <c r="D3232" s="565"/>
      <c r="E3232" s="565"/>
      <c r="F3232" s="565"/>
      <c r="G3232" s="70" t="s">
        <v>4223</v>
      </c>
      <c r="H3232" s="391">
        <v>1.64</v>
      </c>
      <c r="K3232" s="62">
        <f>H3257</f>
        <v>1326389.2557999997</v>
      </c>
      <c r="L3232" s="62">
        <f>H3267</f>
        <v>22484</v>
      </c>
      <c r="M3232" s="62">
        <f>H3240</f>
        <v>4034.53125</v>
      </c>
      <c r="N3232" s="62">
        <f>H3261</f>
        <v>4800</v>
      </c>
    </row>
    <row r="3233" spans="1:15" ht="43.15" customHeight="1">
      <c r="A3233" s="229" t="s">
        <v>4224</v>
      </c>
      <c r="B3233" s="566" t="str">
        <f>VLOOKUP(H3232,COSTOS!C:M,2,0)</f>
        <v>Luminaria Led 92.6w agm</v>
      </c>
      <c r="C3233" s="567"/>
      <c r="D3233" s="567"/>
      <c r="E3233" s="568"/>
      <c r="F3233" s="71" t="s">
        <v>0</v>
      </c>
      <c r="G3233" s="356" t="str">
        <f>VLOOKUP(H3232,COSTOS!C:M,8,0)</f>
        <v>Und</v>
      </c>
      <c r="H3233" s="276"/>
      <c r="I3233" s="306"/>
      <c r="J3233" s="308"/>
      <c r="K3233" s="308"/>
      <c r="L3233" s="308"/>
    </row>
    <row r="3234" spans="1:15">
      <c r="A3234" s="230"/>
      <c r="B3234" s="112"/>
      <c r="C3234" s="112"/>
      <c r="D3234" s="112"/>
      <c r="E3234" s="113"/>
      <c r="F3234" s="114" t="s">
        <v>1</v>
      </c>
      <c r="G3234" s="356">
        <f>VLOOKUP(H3232,COSTOS!C:M,9,0)</f>
        <v>1</v>
      </c>
      <c r="H3234" s="357"/>
      <c r="I3234" s="307"/>
    </row>
    <row r="3235" spans="1:15" ht="16.5">
      <c r="A3235" s="231" t="s">
        <v>4226</v>
      </c>
      <c r="B3235" s="75"/>
      <c r="C3235" s="75"/>
      <c r="D3235" s="76"/>
      <c r="E3235" s="209"/>
      <c r="F3235" s="210"/>
      <c r="G3235" s="211" t="s">
        <v>4227</v>
      </c>
      <c r="H3235" s="217">
        <f>H3240+H3257+H3261+H3267</f>
        <v>1357707.7870499997</v>
      </c>
    </row>
    <row r="3236" spans="1:15" ht="39">
      <c r="A3236" s="569" t="s">
        <v>4224</v>
      </c>
      <c r="B3236" s="569"/>
      <c r="C3236" s="569"/>
      <c r="D3236" s="77" t="s">
        <v>0</v>
      </c>
      <c r="E3236" s="207" t="s">
        <v>4228</v>
      </c>
      <c r="F3236" s="208" t="s">
        <v>4215</v>
      </c>
      <c r="G3236" s="74" t="s">
        <v>2</v>
      </c>
      <c r="H3236" s="218" t="s">
        <v>4229</v>
      </c>
      <c r="K3236" s="309"/>
    </row>
    <row r="3237" spans="1:15">
      <c r="A3237" s="536" t="s">
        <v>3946</v>
      </c>
      <c r="B3237" s="570" t="str">
        <f>VLOOKUP(A3237,'Equip, Herr y Transp'!$B$2:$D$739,2,0)</f>
        <v>EQU</v>
      </c>
      <c r="C3237" s="570"/>
      <c r="D3237" s="95" t="str">
        <f>VLOOKUP(A3237,'Equip, Herr y Transp'!$B$2:$D$218,2,0)</f>
        <v>EQU</v>
      </c>
      <c r="E3237" s="95">
        <f>VLOOKUP(A3237,'Equip, Herr y Transp'!$B$2:$D$218,3,0)</f>
        <v>14130</v>
      </c>
      <c r="F3237" s="96">
        <f>H3227</f>
        <v>6.25E-2</v>
      </c>
      <c r="G3237" s="122">
        <f>F3237*E3237</f>
        <v>883.125</v>
      </c>
      <c r="H3237" s="118"/>
    </row>
    <row r="3238" spans="1:15">
      <c r="A3238" s="536" t="s">
        <v>3904</v>
      </c>
      <c r="B3238" s="570" t="str">
        <f>VLOOKUP(A3238,'Equip, Herr y Transp'!$B$2:$D$739,2,0)</f>
        <v>EQU</v>
      </c>
      <c r="C3238" s="570"/>
      <c r="D3238" s="95" t="str">
        <f>VLOOKUP(A3238,'Equip, Herr y Transp'!$B$2:$D$218,2,0)</f>
        <v>EQU</v>
      </c>
      <c r="E3238" s="95">
        <f>VLOOKUP(A3238,'Equip, Herr y Transp'!$B$2:$D$218,3,0)</f>
        <v>26672.5</v>
      </c>
      <c r="F3238" s="96">
        <f>H3227</f>
        <v>6.25E-2</v>
      </c>
      <c r="G3238" s="122">
        <f>F3238*E3238</f>
        <v>1667.03125</v>
      </c>
      <c r="H3238" s="117"/>
    </row>
    <row r="3239" spans="1:15">
      <c r="A3239" s="536" t="s">
        <v>3937</v>
      </c>
      <c r="B3239" s="570" t="str">
        <f>VLOOKUP(A3239,'Equip, Herr y Transp'!$B$2:$D$739,2,0)</f>
        <v>EQU</v>
      </c>
      <c r="C3239" s="570"/>
      <c r="D3239" s="95" t="str">
        <f>VLOOKUP(A3239,'Equip, Herr y Transp'!$B$2:$D$218,2,0)</f>
        <v>EQU</v>
      </c>
      <c r="E3239" s="95">
        <f>VLOOKUP(A3239,'Equip, Herr y Transp'!$B$2:$D$218,3,0)</f>
        <v>23750</v>
      </c>
      <c r="F3239" s="96">
        <f>H3227</f>
        <v>6.25E-2</v>
      </c>
      <c r="G3239" s="122">
        <f>F3239*E3239</f>
        <v>1484.375</v>
      </c>
      <c r="H3239" s="117"/>
    </row>
    <row r="3240" spans="1:15" ht="16.5">
      <c r="A3240" s="540" t="s">
        <v>4100</v>
      </c>
      <c r="B3240" s="541"/>
      <c r="C3240" s="541"/>
      <c r="D3240" s="541"/>
      <c r="E3240" s="541"/>
      <c r="F3240" s="541"/>
      <c r="G3240" s="541"/>
      <c r="H3240" s="97">
        <f>SUM(G3237:G3239)</f>
        <v>4034.53125</v>
      </c>
    </row>
    <row r="3241" spans="1:15" ht="16.5">
      <c r="A3241" s="571" t="s">
        <v>4230</v>
      </c>
      <c r="B3241" s="572"/>
      <c r="C3241" s="572"/>
      <c r="D3241" s="572"/>
      <c r="E3241" s="572"/>
      <c r="F3241" s="572"/>
      <c r="G3241" s="572"/>
      <c r="H3241" s="573"/>
      <c r="K3241" s="56"/>
      <c r="L3241" s="56"/>
      <c r="M3241" s="56"/>
      <c r="N3241" s="56"/>
      <c r="O3241" s="56"/>
    </row>
    <row r="3242" spans="1:15" ht="30" customHeight="1">
      <c r="A3242" s="574" t="s">
        <v>7</v>
      </c>
      <c r="B3242" s="575"/>
      <c r="C3242" s="109" t="s">
        <v>0</v>
      </c>
      <c r="D3242" s="110" t="s">
        <v>4098</v>
      </c>
      <c r="E3242" s="111" t="s">
        <v>1</v>
      </c>
      <c r="F3242" s="576" t="s">
        <v>4218</v>
      </c>
      <c r="G3242" s="576"/>
      <c r="H3242" s="215"/>
      <c r="K3242" s="56"/>
      <c r="L3242" s="56"/>
      <c r="M3242" s="56"/>
      <c r="N3242" s="56"/>
      <c r="O3242" s="56"/>
    </row>
    <row r="3243" spans="1:15">
      <c r="A3243" s="577" t="s">
        <v>4774</v>
      </c>
      <c r="B3243" s="578"/>
      <c r="C3243" s="98" t="str">
        <f>VLOOKUP(A3243,'Materiales '!$C$2:$F$1302,3,0)</f>
        <v>Und</v>
      </c>
      <c r="D3243" s="99">
        <f>VLOOKUP(A3243,'Materiales '!$C$2:$F$1302,4,0)</f>
        <v>1187750.2097999998</v>
      </c>
      <c r="E3243" s="100">
        <v>1</v>
      </c>
      <c r="F3243" s="538">
        <f>E3243*D3243</f>
        <v>1187750.2097999998</v>
      </c>
      <c r="G3243" s="539"/>
      <c r="H3243" s="121"/>
      <c r="I3243">
        <f>E3243*G3234</f>
        <v>1</v>
      </c>
      <c r="J3243" s="67"/>
      <c r="K3243" s="56"/>
      <c r="L3243" s="56"/>
      <c r="M3243" s="56"/>
      <c r="N3243" s="56"/>
      <c r="O3243" s="56"/>
    </row>
    <row r="3244" spans="1:15">
      <c r="A3244" s="577" t="s">
        <v>4214</v>
      </c>
      <c r="B3244" s="578"/>
      <c r="C3244" s="98" t="str">
        <f>VLOOKUP(A3244,'Materiales '!$C$2:$F$1302,3,0)</f>
        <v>Und</v>
      </c>
      <c r="D3244" s="99">
        <f>VLOOKUP(A3244,'Materiales '!$C$2:$F$1302,4,0)</f>
        <v>22848</v>
      </c>
      <c r="E3244" s="100">
        <v>1</v>
      </c>
      <c r="F3244" s="538">
        <f t="shared" ref="F3244:F3250" si="190">E3244*D3244</f>
        <v>22848</v>
      </c>
      <c r="G3244" s="539"/>
      <c r="H3244" s="121"/>
      <c r="I3244">
        <f>E3244*G3234</f>
        <v>1</v>
      </c>
      <c r="J3244" s="67"/>
      <c r="K3244" s="56"/>
      <c r="L3244" s="56"/>
      <c r="M3244" s="56"/>
      <c r="N3244" s="56"/>
      <c r="O3244" s="56"/>
    </row>
    <row r="3245" spans="1:15">
      <c r="A3245" s="536" t="s">
        <v>4484</v>
      </c>
      <c r="B3245" s="537" t="str">
        <f>VLOOKUP(A3245,'Materiales '!$C$2:$F$1302,3,0)</f>
        <v>Und</v>
      </c>
      <c r="C3245" s="98" t="str">
        <f>VLOOKUP(A3245,'Materiales '!$C$2:$F$1302,3,0)</f>
        <v>Und</v>
      </c>
      <c r="D3245" s="99">
        <f>VLOOKUP(A3245,'Materiales '!$C$2:$F$1302,4,0)</f>
        <v>21705.599999999999</v>
      </c>
      <c r="E3245" s="100">
        <v>2</v>
      </c>
      <c r="F3245" s="538">
        <f t="shared" si="190"/>
        <v>43411.199999999997</v>
      </c>
      <c r="G3245" s="539"/>
      <c r="H3245" s="121"/>
      <c r="I3245">
        <f>E3245*G3234</f>
        <v>2</v>
      </c>
      <c r="J3245" s="68"/>
      <c r="K3245" s="56"/>
      <c r="L3245" s="56"/>
      <c r="M3245" s="56"/>
      <c r="N3245" s="56"/>
      <c r="O3245" s="56"/>
    </row>
    <row r="3246" spans="1:15">
      <c r="A3246" s="536" t="s">
        <v>4489</v>
      </c>
      <c r="B3246" s="537" t="str">
        <f>VLOOKUP(A3246,'Materiales '!$C$2:$F$1302,3,0)</f>
        <v>Und</v>
      </c>
      <c r="C3246" s="98" t="str">
        <f>VLOOKUP(A3246,'Materiales '!$C$2:$F$1302,3,0)</f>
        <v>Und</v>
      </c>
      <c r="D3246" s="99">
        <f>VLOOKUP(A3246,'Materiales '!$C$2:$F$1302,4,0)</f>
        <v>8039.6399999999994</v>
      </c>
      <c r="E3246" s="100">
        <v>3</v>
      </c>
      <c r="F3246" s="538">
        <f t="shared" si="190"/>
        <v>24118.92</v>
      </c>
      <c r="G3246" s="539"/>
      <c r="H3246" s="121"/>
      <c r="I3246">
        <f>E3246*G3234</f>
        <v>3</v>
      </c>
      <c r="J3246" s="68"/>
      <c r="K3246" s="56"/>
      <c r="L3246" s="56"/>
      <c r="M3246" s="56"/>
      <c r="N3246" s="56"/>
      <c r="O3246" s="56"/>
    </row>
    <row r="3247" spans="1:15">
      <c r="A3247" s="536" t="s">
        <v>4554</v>
      </c>
      <c r="B3247" s="537" t="str">
        <f>VLOOKUP(A3247,'Materiales '!$C$2:$F$1302,3,0)</f>
        <v>Und</v>
      </c>
      <c r="C3247" s="98" t="str">
        <f>VLOOKUP(A3247,'Materiales '!$C$2:$F$1302,3,0)</f>
        <v>Und</v>
      </c>
      <c r="D3247" s="99">
        <f>VLOOKUP(A3247,'Materiales '!$C$2:$F$1302,4,0)</f>
        <v>2535.5329999999999</v>
      </c>
      <c r="E3247" s="100">
        <v>2</v>
      </c>
      <c r="F3247" s="538">
        <f t="shared" si="190"/>
        <v>5071.0659999999998</v>
      </c>
      <c r="G3247" s="539"/>
      <c r="H3247" s="121"/>
      <c r="I3247">
        <f>E3247*G3234</f>
        <v>2</v>
      </c>
      <c r="J3247" s="68"/>
      <c r="K3247" s="56"/>
      <c r="L3247" s="56"/>
      <c r="M3247" s="56"/>
      <c r="N3247" s="56"/>
      <c r="O3247" s="56"/>
    </row>
    <row r="3248" spans="1:15">
      <c r="A3248" s="536" t="s">
        <v>4450</v>
      </c>
      <c r="B3248" s="537" t="str">
        <f>VLOOKUP(A3248,'Materiales '!$C$2:$F$1302,3,0)</f>
        <v>Ml</v>
      </c>
      <c r="C3248" s="98" t="str">
        <f>VLOOKUP(A3248,'Materiales '!$C$2:$F$1302,3,0)</f>
        <v>Ml</v>
      </c>
      <c r="D3248" s="99">
        <f>VLOOKUP(A3248,'Materiales '!$C$2:$F$1302,4,0)</f>
        <v>6791.5679999999993</v>
      </c>
      <c r="E3248" s="100">
        <v>1</v>
      </c>
      <c r="F3248" s="538">
        <f t="shared" si="190"/>
        <v>6791.5679999999993</v>
      </c>
      <c r="G3248" s="539"/>
      <c r="H3248" s="121"/>
      <c r="I3248">
        <f>E3248*G3234</f>
        <v>1</v>
      </c>
      <c r="J3248" s="68"/>
      <c r="K3248" s="56"/>
      <c r="L3248" s="56"/>
      <c r="M3248" s="56"/>
      <c r="N3248" s="56"/>
      <c r="O3248" s="56"/>
    </row>
    <row r="3249" spans="1:15">
      <c r="A3249" s="536" t="s">
        <v>4493</v>
      </c>
      <c r="B3249" s="537" t="str">
        <f>VLOOKUP(A3249,'Materiales '!$C$2:$F$1302,3,0)</f>
        <v>Und</v>
      </c>
      <c r="C3249" s="98" t="str">
        <f>VLOOKUP(A3249,'Materiales '!$C$2:$F$1302,3,0)</f>
        <v>Und</v>
      </c>
      <c r="D3249" s="99">
        <f>VLOOKUP(A3249,'Materiales '!$C$2:$F$1302,4,0)</f>
        <v>232.76399999999998</v>
      </c>
      <c r="E3249" s="100">
        <v>3</v>
      </c>
      <c r="F3249" s="538">
        <f t="shared" si="190"/>
        <v>698.29199999999992</v>
      </c>
      <c r="G3249" s="539"/>
      <c r="H3249" s="121"/>
      <c r="I3249">
        <f>E3249*G3234</f>
        <v>3</v>
      </c>
      <c r="J3249" s="68"/>
      <c r="K3249" s="56"/>
      <c r="L3249" s="56"/>
      <c r="M3249" s="56"/>
      <c r="N3249" s="56"/>
      <c r="O3249" s="56"/>
    </row>
    <row r="3250" spans="1:15" ht="21.75" customHeight="1">
      <c r="A3250" s="536" t="s">
        <v>4639</v>
      </c>
      <c r="B3250" s="537" t="str">
        <f>VLOOKUP(A3250,'Materiales '!$C$2:$F$1302,3,0)</f>
        <v>Und</v>
      </c>
      <c r="C3250" s="98" t="str">
        <f>VLOOKUP(A3250,'Materiales '!$C$2:$F$1302,3,0)</f>
        <v>Und</v>
      </c>
      <c r="D3250" s="99">
        <f>VLOOKUP(A3250,'Materiales '!$C$2:$F$1302,4,0)</f>
        <v>35700</v>
      </c>
      <c r="E3250" s="100">
        <v>1</v>
      </c>
      <c r="F3250" s="538">
        <f t="shared" si="190"/>
        <v>35700</v>
      </c>
      <c r="G3250" s="539"/>
      <c r="H3250" s="121"/>
      <c r="I3250">
        <f>E3250*G3234</f>
        <v>1</v>
      </c>
      <c r="J3250" s="68"/>
      <c r="K3250" s="56"/>
      <c r="L3250" s="56"/>
      <c r="M3250" s="56"/>
      <c r="N3250" s="56"/>
      <c r="O3250" s="56"/>
    </row>
    <row r="3251" spans="1:15">
      <c r="A3251" s="536" t="s">
        <v>8</v>
      </c>
      <c r="B3251" s="537" t="str">
        <f>VLOOKUP(A3251,'Materiales '!$C$2:$F$1302,3,0)</f>
        <v>-</v>
      </c>
      <c r="C3251" s="98" t="str">
        <f>VLOOKUP(A3251,'Materiales '!$C$2:$F$1302,3,0)</f>
        <v>-</v>
      </c>
      <c r="D3251" s="99">
        <f>VLOOKUP(A3251,'Materiales '!$C$2:$F$1302,4,0)</f>
        <v>0</v>
      </c>
      <c r="E3251" s="100"/>
      <c r="F3251" s="538">
        <f>E3251*D3251</f>
        <v>0</v>
      </c>
      <c r="G3251" s="539"/>
      <c r="H3251" s="120"/>
      <c r="I3251">
        <f>E3251*G3234</f>
        <v>0</v>
      </c>
      <c r="J3251" s="68"/>
      <c r="K3251" s="56"/>
      <c r="L3251" s="56"/>
      <c r="M3251" s="56"/>
      <c r="N3251" s="56"/>
      <c r="O3251" s="56"/>
    </row>
    <row r="3252" spans="1:15">
      <c r="A3252" s="536" t="s">
        <v>8</v>
      </c>
      <c r="B3252" s="537" t="str">
        <f>VLOOKUP(A3252,'Materiales '!$C$2:$F$1302,3,0)</f>
        <v>-</v>
      </c>
      <c r="C3252" s="98" t="str">
        <f>VLOOKUP(A3252,'Materiales '!$C$2:$F$1302,3,0)</f>
        <v>-</v>
      </c>
      <c r="D3252" s="99">
        <f>VLOOKUP(A3252,'Materiales '!$C$2:$F$1302,4,0)</f>
        <v>0</v>
      </c>
      <c r="E3252" s="100"/>
      <c r="F3252" s="538">
        <f t="shared" ref="F3252:F3255" si="191">E3252*D3252</f>
        <v>0</v>
      </c>
      <c r="G3252" s="539"/>
      <c r="H3252" s="121"/>
      <c r="I3252">
        <f>E3252*G3234</f>
        <v>0</v>
      </c>
      <c r="J3252" s="68"/>
      <c r="K3252" s="56"/>
      <c r="L3252" s="56"/>
      <c r="M3252" s="56"/>
      <c r="N3252" s="56"/>
      <c r="O3252" s="56"/>
    </row>
    <row r="3253" spans="1:15">
      <c r="A3253" s="536" t="s">
        <v>8</v>
      </c>
      <c r="B3253" s="537" t="str">
        <f>VLOOKUP(A3253,'Materiales '!$C$2:$F$1302,3,0)</f>
        <v>-</v>
      </c>
      <c r="C3253" s="98" t="str">
        <f>VLOOKUP(A3253,'Materiales '!$C$2:$F$1302,3,0)</f>
        <v>-</v>
      </c>
      <c r="D3253" s="99">
        <f>VLOOKUP(A3253,'Materiales '!$C$2:$F$1302,4,0)</f>
        <v>0</v>
      </c>
      <c r="E3253" s="100"/>
      <c r="F3253" s="538">
        <f t="shared" si="191"/>
        <v>0</v>
      </c>
      <c r="G3253" s="539"/>
      <c r="H3253" s="121"/>
      <c r="I3253">
        <f>E3253*G3234</f>
        <v>0</v>
      </c>
      <c r="J3253" s="68"/>
      <c r="K3253" s="56"/>
      <c r="L3253" s="56"/>
      <c r="M3253" s="56"/>
      <c r="N3253" s="56"/>
      <c r="O3253" s="56"/>
    </row>
    <row r="3254" spans="1:15">
      <c r="A3254" s="536" t="s">
        <v>8</v>
      </c>
      <c r="B3254" s="537" t="str">
        <f>VLOOKUP(A3254,'Materiales '!$C$2:$F$1302,3,0)</f>
        <v>-</v>
      </c>
      <c r="C3254" s="98" t="str">
        <f>VLOOKUP(A3254,'Materiales '!$C$2:$F$1302,3,0)</f>
        <v>-</v>
      </c>
      <c r="D3254" s="99">
        <f>VLOOKUP(A3254,'Materiales '!$C$2:$F$1302,4,0)</f>
        <v>0</v>
      </c>
      <c r="E3254" s="100"/>
      <c r="F3254" s="538">
        <f t="shared" si="191"/>
        <v>0</v>
      </c>
      <c r="G3254" s="539"/>
      <c r="H3254" s="121"/>
      <c r="I3254">
        <f>E3254*G3234</f>
        <v>0</v>
      </c>
      <c r="J3254" s="68"/>
      <c r="K3254" s="56"/>
      <c r="L3254" s="56"/>
      <c r="M3254" s="56"/>
      <c r="N3254" s="56"/>
      <c r="O3254" s="56"/>
    </row>
    <row r="3255" spans="1:15">
      <c r="A3255" s="536" t="s">
        <v>8</v>
      </c>
      <c r="B3255" s="537" t="str">
        <f>VLOOKUP(A3255,'Materiales '!$C$2:$F$1302,3,0)</f>
        <v>-</v>
      </c>
      <c r="C3255" s="98" t="str">
        <f>VLOOKUP(A3255,'Materiales '!$C$2:$F$1302,3,0)</f>
        <v>-</v>
      </c>
      <c r="D3255" s="99">
        <f>VLOOKUP(A3255,'Materiales '!$C$2:$F$1302,4,0)</f>
        <v>0</v>
      </c>
      <c r="E3255" s="100"/>
      <c r="F3255" s="538">
        <f t="shared" si="191"/>
        <v>0</v>
      </c>
      <c r="G3255" s="539"/>
      <c r="H3255" s="121"/>
      <c r="I3255">
        <f>E3255*G3234</f>
        <v>0</v>
      </c>
      <c r="J3255" s="68"/>
      <c r="K3255" s="56"/>
      <c r="L3255" s="56"/>
      <c r="M3255" s="56"/>
      <c r="N3255" s="56"/>
      <c r="O3255" s="56"/>
    </row>
    <row r="3256" spans="1:15">
      <c r="A3256" s="536" t="s">
        <v>8</v>
      </c>
      <c r="B3256" s="537" t="str">
        <f>VLOOKUP(A3256,'Materiales '!$C$2:$F$1302,3,0)</f>
        <v>-</v>
      </c>
      <c r="C3256" s="98" t="str">
        <f>VLOOKUP(A3256,'Materiales '!$C$2:$F$1302,3,0)</f>
        <v>-</v>
      </c>
      <c r="D3256" s="99">
        <f>VLOOKUP(A3256,'Materiales '!$C$2:$F$1302,4,0)</f>
        <v>0</v>
      </c>
      <c r="E3256" s="100"/>
      <c r="F3256" s="538">
        <f>E3256*D3256</f>
        <v>0</v>
      </c>
      <c r="G3256" s="539"/>
      <c r="H3256" s="120"/>
      <c r="I3256">
        <f>E3256*G3234</f>
        <v>0</v>
      </c>
      <c r="J3256" s="68"/>
      <c r="K3256" s="56"/>
      <c r="L3256" s="56"/>
      <c r="M3256" s="56"/>
      <c r="N3256" s="56"/>
      <c r="O3256" s="56"/>
    </row>
    <row r="3257" spans="1:15" ht="16.5">
      <c r="A3257" s="540" t="s">
        <v>4099</v>
      </c>
      <c r="B3257" s="541"/>
      <c r="C3257" s="541"/>
      <c r="D3257" s="541"/>
      <c r="E3257" s="541"/>
      <c r="F3257" s="541"/>
      <c r="G3257" s="542"/>
      <c r="H3257" s="116">
        <f>SUM(F3243:F3256)</f>
        <v>1326389.2557999997</v>
      </c>
      <c r="J3257" s="68"/>
      <c r="K3257" s="56"/>
      <c r="L3257" s="56"/>
      <c r="M3257" s="56"/>
      <c r="N3257" s="56"/>
      <c r="O3257" s="56"/>
    </row>
    <row r="3258" spans="1:15" ht="16.5">
      <c r="A3258" s="543" t="s">
        <v>4231</v>
      </c>
      <c r="B3258" s="544"/>
      <c r="C3258" s="544"/>
      <c r="D3258" s="544"/>
      <c r="E3258" s="545"/>
      <c r="F3258" s="544"/>
      <c r="G3258" s="544"/>
      <c r="H3258" s="546"/>
      <c r="J3258" s="68"/>
      <c r="K3258" s="56"/>
      <c r="L3258" s="56"/>
      <c r="M3258" s="56"/>
      <c r="N3258" s="56"/>
      <c r="O3258" s="56"/>
    </row>
    <row r="3259" spans="1:15">
      <c r="A3259" s="547" t="s">
        <v>7</v>
      </c>
      <c r="B3259" s="548"/>
      <c r="C3259" s="108" t="s">
        <v>4232</v>
      </c>
      <c r="D3259" s="107" t="s">
        <v>4233</v>
      </c>
      <c r="E3259" s="206" t="s">
        <v>4234</v>
      </c>
      <c r="F3259" s="549" t="s">
        <v>4218</v>
      </c>
      <c r="G3259" s="549"/>
      <c r="H3259" s="119"/>
      <c r="K3259" s="56"/>
      <c r="L3259" s="56"/>
      <c r="M3259" s="56"/>
      <c r="N3259" s="56"/>
      <c r="O3259" s="56"/>
    </row>
    <row r="3260" spans="1:15">
      <c r="A3260" s="550" t="s">
        <v>3928</v>
      </c>
      <c r="B3260" s="551"/>
      <c r="C3260" s="232">
        <v>1</v>
      </c>
      <c r="D3260" s="102">
        <v>0.03</v>
      </c>
      <c r="E3260" s="103">
        <f>VLOOKUP(A3260,'Equip, Herr y Transp'!$B$2:$D$218,3,0)</f>
        <v>160000</v>
      </c>
      <c r="F3260" s="552">
        <f>E3260*D3260*C3260</f>
        <v>4800</v>
      </c>
      <c r="G3260" s="553"/>
      <c r="H3260" s="117"/>
      <c r="M3260" s="56"/>
    </row>
    <row r="3261" spans="1:15" ht="16.5">
      <c r="A3261" s="554" t="s">
        <v>4216</v>
      </c>
      <c r="B3261" s="555"/>
      <c r="C3261" s="555"/>
      <c r="D3261" s="555"/>
      <c r="E3261" s="555"/>
      <c r="F3261" s="555"/>
      <c r="G3261" s="555"/>
      <c r="H3261" s="105">
        <f>F3260</f>
        <v>4800</v>
      </c>
    </row>
    <row r="3262" spans="1:15" ht="16.5">
      <c r="A3262" s="543" t="s">
        <v>4235</v>
      </c>
      <c r="B3262" s="544"/>
      <c r="C3262" s="544"/>
      <c r="D3262" s="544"/>
      <c r="E3262" s="544"/>
      <c r="F3262" s="544"/>
      <c r="G3262" s="544"/>
      <c r="H3262" s="546"/>
    </row>
    <row r="3263" spans="1:15">
      <c r="A3263" s="547" t="s">
        <v>7</v>
      </c>
      <c r="B3263" s="548"/>
      <c r="C3263" s="106" t="s">
        <v>1</v>
      </c>
      <c r="D3263" s="107" t="s">
        <v>4236</v>
      </c>
      <c r="E3263" s="108" t="s">
        <v>4215</v>
      </c>
      <c r="F3263" s="547" t="s">
        <v>5</v>
      </c>
      <c r="G3263" s="556"/>
      <c r="H3263" s="119"/>
    </row>
    <row r="3264" spans="1:15">
      <c r="A3264" s="550" t="s">
        <v>4196</v>
      </c>
      <c r="B3264" s="551"/>
      <c r="C3264" s="101">
        <v>1</v>
      </c>
      <c r="D3264" s="104">
        <f>VLOOKUP(A3264,'Mano Obra'!$B$2:$T$117,19,0)</f>
        <v>166624</v>
      </c>
      <c r="E3264" s="246">
        <f>H3227</f>
        <v>6.25E-2</v>
      </c>
      <c r="F3264" s="538">
        <f>E3264*D3264*C3264</f>
        <v>10414</v>
      </c>
      <c r="G3264" s="557"/>
      <c r="H3264" s="121"/>
      <c r="I3264" s="69"/>
      <c r="J3264" s="136">
        <f>((('Mano Obra'!$M$4/30)*F3264)/D3264)*G3234</f>
        <v>676.29972569444442</v>
      </c>
    </row>
    <row r="3265" spans="1:10">
      <c r="A3265" s="558" t="s">
        <v>4197</v>
      </c>
      <c r="B3265" s="559">
        <f>VLOOKUP(A3265,'Mano Obra'!$B$3:$D$290,2,0)</f>
        <v>2090000.0000000002</v>
      </c>
      <c r="C3265" s="101">
        <v>1</v>
      </c>
      <c r="D3265" s="104">
        <f>VLOOKUP(A3265,'Mano Obra'!$B$2:$T$117,19,0)</f>
        <v>120456</v>
      </c>
      <c r="E3265" s="246">
        <f>H3227</f>
        <v>6.25E-2</v>
      </c>
      <c r="F3265" s="538">
        <f t="shared" ref="F3265:F3266" si="192">E3265*D3265*C3265</f>
        <v>7528.5</v>
      </c>
      <c r="G3265" s="557"/>
      <c r="H3265" s="121"/>
      <c r="J3265" s="136">
        <f>((('Mano Obra'!$M$5/30)*F3265)/D3265)*G3234</f>
        <v>676.29972569444442</v>
      </c>
    </row>
    <row r="3266" spans="1:10">
      <c r="A3266" s="558" t="s">
        <v>4186</v>
      </c>
      <c r="B3266" s="559">
        <f>VLOOKUP(A3266,'Mano Obra'!$B$3:$D$290,2,0)</f>
        <v>1100000</v>
      </c>
      <c r="C3266" s="101">
        <v>1</v>
      </c>
      <c r="D3266" s="104">
        <f>VLOOKUP(A3266,'Mano Obra'!$B$2:$T$117,19,0)</f>
        <v>72664</v>
      </c>
      <c r="E3266" s="246">
        <f>H3227</f>
        <v>6.25E-2</v>
      </c>
      <c r="F3266" s="538">
        <f t="shared" si="192"/>
        <v>4541.5</v>
      </c>
      <c r="G3266" s="557"/>
      <c r="H3266" s="120"/>
      <c r="J3266" s="136">
        <f>((('Mano Obra'!$M$6/30)*F3266)/D3266)*G3234</f>
        <v>676.29972569444442</v>
      </c>
    </row>
    <row r="3267" spans="1:10" ht="16.5">
      <c r="A3267" s="560" t="s">
        <v>4101</v>
      </c>
      <c r="B3267" s="560"/>
      <c r="C3267" s="560"/>
      <c r="D3267" s="560"/>
      <c r="E3267" s="560"/>
      <c r="F3267" s="560"/>
      <c r="G3267" s="560"/>
      <c r="H3267" s="105">
        <f>SUM(F3264:F3266)</f>
        <v>22484</v>
      </c>
      <c r="J3267" s="136"/>
    </row>
    <row r="3268" spans="1:10">
      <c r="A3268" s="227" t="s">
        <v>4237</v>
      </c>
      <c r="B3268" s="205"/>
      <c r="C3268" s="205"/>
      <c r="D3268" s="202"/>
      <c r="E3268" s="203"/>
      <c r="F3268" s="204"/>
      <c r="G3268" s="203"/>
      <c r="H3268" s="212"/>
    </row>
    <row r="3269" spans="1:10">
      <c r="A3269" s="561" t="s">
        <v>4224</v>
      </c>
      <c r="B3269" s="562"/>
      <c r="C3269" s="562"/>
      <c r="D3269" s="562"/>
      <c r="E3269" s="200"/>
      <c r="F3269" s="201" t="s">
        <v>4238</v>
      </c>
      <c r="G3269" s="200" t="s">
        <v>4239</v>
      </c>
      <c r="H3269" s="213"/>
    </row>
    <row r="3270" spans="1:10">
      <c r="A3270" s="223" t="s">
        <v>4097</v>
      </c>
      <c r="B3270" s="72"/>
      <c r="C3270" s="72"/>
      <c r="D3270" s="73"/>
      <c r="E3270" s="78"/>
      <c r="F3270" s="79">
        <v>0</v>
      </c>
      <c r="G3270" s="80">
        <f>F3270*H3235</f>
        <v>0</v>
      </c>
      <c r="H3270" s="212"/>
    </row>
    <row r="3271" spans="1:10">
      <c r="A3271" s="224" t="s">
        <v>4240</v>
      </c>
      <c r="B3271" s="81"/>
      <c r="C3271" s="81"/>
      <c r="D3271" s="82"/>
      <c r="E3271" s="78"/>
      <c r="F3271" s="79">
        <v>0</v>
      </c>
      <c r="G3271" s="80">
        <f>F3271*H3235</f>
        <v>0</v>
      </c>
      <c r="H3271" s="212"/>
    </row>
    <row r="3272" spans="1:10">
      <c r="A3272" s="224" t="s">
        <v>4</v>
      </c>
      <c r="B3272" s="81"/>
      <c r="C3272" s="81"/>
      <c r="D3272" s="82"/>
      <c r="E3272" s="78"/>
      <c r="F3272" s="79">
        <v>0</v>
      </c>
      <c r="G3272" s="80">
        <f>F3272*H3235</f>
        <v>0</v>
      </c>
      <c r="H3272" s="212"/>
    </row>
    <row r="3273" spans="1:10">
      <c r="A3273" s="225"/>
      <c r="B3273" s="83"/>
      <c r="C3273" s="75"/>
      <c r="D3273" s="84"/>
      <c r="E3273" s="85"/>
      <c r="F3273" s="86"/>
      <c r="G3273" s="87"/>
      <c r="H3273" s="214"/>
    </row>
    <row r="3274" spans="1:10">
      <c r="A3274" s="226"/>
      <c r="B3274" s="83"/>
      <c r="C3274" s="83"/>
      <c r="D3274" s="84"/>
      <c r="E3274" s="88"/>
      <c r="F3274" s="563" t="s">
        <v>4241</v>
      </c>
      <c r="G3274" s="564"/>
      <c r="H3274" s="233">
        <f>H3235+G3270+G3271+G3272</f>
        <v>1357707.7870499997</v>
      </c>
    </row>
    <row r="3275" spans="1:10">
      <c r="A3275" s="83"/>
      <c r="B3275" s="83"/>
      <c r="C3275" s="83"/>
      <c r="D3275" s="84"/>
      <c r="E3275" s="388"/>
      <c r="F3275" s="389"/>
      <c r="G3275" s="389"/>
      <c r="H3275" s="390"/>
    </row>
    <row r="3276" spans="1:10" ht="16.5">
      <c r="A3276" s="90"/>
      <c r="B3276" s="90"/>
      <c r="C3276" s="90"/>
      <c r="D3276" s="90"/>
      <c r="E3276" s="90"/>
      <c r="F3276" s="90"/>
      <c r="G3276" s="90"/>
      <c r="H3276" s="381"/>
    </row>
    <row r="3277" spans="1:10">
      <c r="A3277" s="579" t="s">
        <v>4225</v>
      </c>
      <c r="B3277" s="580"/>
      <c r="C3277" s="580"/>
      <c r="D3277" s="580"/>
      <c r="E3277" s="580"/>
      <c r="F3277" s="580"/>
      <c r="G3277" s="580"/>
      <c r="H3277" s="581"/>
    </row>
    <row r="3278" spans="1:10" ht="16.5">
      <c r="A3278" s="91"/>
      <c r="B3278" s="92"/>
      <c r="C3278" s="92"/>
      <c r="D3278" s="92"/>
      <c r="E3278" s="92"/>
      <c r="F3278" s="93"/>
      <c r="G3278" s="94"/>
      <c r="H3278" s="380">
        <f>ROUND((30/60)/8,4)</f>
        <v>6.25E-2</v>
      </c>
      <c r="I3278" s="115"/>
    </row>
    <row r="3279" spans="1:10">
      <c r="A3279" s="582" t="s">
        <v>4220</v>
      </c>
      <c r="B3279" s="584" t="str">
        <f>COSTOS!$C$14</f>
        <v>MODERNIZACION A TECNOLOGIA LED</v>
      </c>
      <c r="C3279" s="584"/>
      <c r="D3279" s="584"/>
      <c r="E3279" s="584"/>
      <c r="F3279" s="584"/>
      <c r="G3279" s="584"/>
      <c r="H3279" s="585" t="s">
        <v>4221</v>
      </c>
    </row>
    <row r="3280" spans="1:10">
      <c r="A3280" s="583"/>
      <c r="B3280" s="584"/>
      <c r="C3280" s="584"/>
      <c r="D3280" s="584"/>
      <c r="E3280" s="584"/>
      <c r="F3280" s="584"/>
      <c r="G3280" s="584"/>
      <c r="H3280" s="585"/>
    </row>
    <row r="3281" spans="1:15">
      <c r="A3281" s="583"/>
      <c r="B3281" s="584"/>
      <c r="C3281" s="584"/>
      <c r="D3281" s="584"/>
      <c r="E3281" s="584"/>
      <c r="F3281" s="584"/>
      <c r="G3281" s="584"/>
      <c r="H3281" s="585"/>
    </row>
    <row r="3282" spans="1:15" ht="15" customHeight="1">
      <c r="A3282" s="583"/>
      <c r="B3282" s="584"/>
      <c r="C3282" s="584"/>
      <c r="D3282" s="584"/>
      <c r="E3282" s="584"/>
      <c r="F3282" s="584"/>
      <c r="G3282" s="584"/>
      <c r="H3282" s="216">
        <f ca="1">TODAY()</f>
        <v>44889</v>
      </c>
      <c r="K3282" t="s">
        <v>4391</v>
      </c>
      <c r="L3282" t="s">
        <v>4392</v>
      </c>
      <c r="M3282" t="s">
        <v>4393</v>
      </c>
      <c r="N3282" t="s">
        <v>4394</v>
      </c>
    </row>
    <row r="3283" spans="1:15" ht="60.75" customHeight="1">
      <c r="A3283" s="228" t="s">
        <v>4222</v>
      </c>
      <c r="B3283" s="565" t="str">
        <f>COSTOS!$D$16</f>
        <v>Luminarias</v>
      </c>
      <c r="C3283" s="565"/>
      <c r="D3283" s="565"/>
      <c r="E3283" s="565"/>
      <c r="F3283" s="565"/>
      <c r="G3283" s="70" t="s">
        <v>4223</v>
      </c>
      <c r="H3283" s="391">
        <v>1.65</v>
      </c>
      <c r="K3283" s="62">
        <f>H3308</f>
        <v>3666394.0460000006</v>
      </c>
      <c r="L3283" s="62">
        <f>H3318</f>
        <v>22484</v>
      </c>
      <c r="M3283" s="62">
        <f>H3291</f>
        <v>4034.53125</v>
      </c>
      <c r="N3283" s="62">
        <f>H3312</f>
        <v>4800</v>
      </c>
    </row>
    <row r="3284" spans="1:15" ht="43.15" customHeight="1">
      <c r="A3284" s="229" t="s">
        <v>4224</v>
      </c>
      <c r="B3284" s="566" t="str">
        <f>VLOOKUP(H3283,COSTOS!C:M,2,0)</f>
        <v>Farol Led 80w Monoff</v>
      </c>
      <c r="C3284" s="567"/>
      <c r="D3284" s="567"/>
      <c r="E3284" s="568"/>
      <c r="F3284" s="71" t="s">
        <v>0</v>
      </c>
      <c r="G3284" s="356" t="str">
        <f>VLOOKUP(H3283,COSTOS!C:M,8,0)</f>
        <v>Und</v>
      </c>
      <c r="H3284" s="276"/>
      <c r="I3284" s="306"/>
      <c r="J3284" s="308"/>
      <c r="K3284" s="308"/>
      <c r="L3284" s="308"/>
    </row>
    <row r="3285" spans="1:15">
      <c r="A3285" s="230"/>
      <c r="B3285" s="112"/>
      <c r="C3285" s="112"/>
      <c r="D3285" s="112"/>
      <c r="E3285" s="113"/>
      <c r="F3285" s="114" t="s">
        <v>1</v>
      </c>
      <c r="G3285" s="356">
        <f>VLOOKUP(H3283,COSTOS!C:M,9,0)</f>
        <v>0</v>
      </c>
      <c r="H3285" s="357"/>
      <c r="I3285" s="307"/>
    </row>
    <row r="3286" spans="1:15" ht="16.5">
      <c r="A3286" s="231" t="s">
        <v>4226</v>
      </c>
      <c r="B3286" s="75"/>
      <c r="C3286" s="75"/>
      <c r="D3286" s="76"/>
      <c r="E3286" s="209"/>
      <c r="F3286" s="210"/>
      <c r="G3286" s="211" t="s">
        <v>4227</v>
      </c>
      <c r="H3286" s="217">
        <f>H3291+H3308+H3312+H3318</f>
        <v>3697712.5772500006</v>
      </c>
    </row>
    <row r="3287" spans="1:15" ht="39">
      <c r="A3287" s="569" t="s">
        <v>4224</v>
      </c>
      <c r="B3287" s="569"/>
      <c r="C3287" s="569"/>
      <c r="D3287" s="77" t="s">
        <v>0</v>
      </c>
      <c r="E3287" s="207" t="s">
        <v>4228</v>
      </c>
      <c r="F3287" s="208" t="s">
        <v>4215</v>
      </c>
      <c r="G3287" s="74" t="s">
        <v>2</v>
      </c>
      <c r="H3287" s="218" t="s">
        <v>4229</v>
      </c>
      <c r="K3287" s="309"/>
    </row>
    <row r="3288" spans="1:15">
      <c r="A3288" s="536" t="s">
        <v>3946</v>
      </c>
      <c r="B3288" s="570" t="str">
        <f>VLOOKUP(A3288,'Equip, Herr y Transp'!$B$2:$D$739,2,0)</f>
        <v>EQU</v>
      </c>
      <c r="C3288" s="570"/>
      <c r="D3288" s="95" t="str">
        <f>VLOOKUP(A3288,'Equip, Herr y Transp'!$B$2:$D$218,2,0)</f>
        <v>EQU</v>
      </c>
      <c r="E3288" s="95">
        <f>VLOOKUP(A3288,'Equip, Herr y Transp'!$B$2:$D$218,3,0)</f>
        <v>14130</v>
      </c>
      <c r="F3288" s="96">
        <f>H3278</f>
        <v>6.25E-2</v>
      </c>
      <c r="G3288" s="122">
        <f>F3288*E3288</f>
        <v>883.125</v>
      </c>
      <c r="H3288" s="118"/>
    </row>
    <row r="3289" spans="1:15">
      <c r="A3289" s="536" t="s">
        <v>3904</v>
      </c>
      <c r="B3289" s="570" t="str">
        <f>VLOOKUP(A3289,'Equip, Herr y Transp'!$B$2:$D$739,2,0)</f>
        <v>EQU</v>
      </c>
      <c r="C3289" s="570"/>
      <c r="D3289" s="95" t="str">
        <f>VLOOKUP(A3289,'Equip, Herr y Transp'!$B$2:$D$218,2,0)</f>
        <v>EQU</v>
      </c>
      <c r="E3289" s="95">
        <f>VLOOKUP(A3289,'Equip, Herr y Transp'!$B$2:$D$218,3,0)</f>
        <v>26672.5</v>
      </c>
      <c r="F3289" s="96">
        <f>H3278</f>
        <v>6.25E-2</v>
      </c>
      <c r="G3289" s="122">
        <f>F3289*E3289</f>
        <v>1667.03125</v>
      </c>
      <c r="H3289" s="117"/>
    </row>
    <row r="3290" spans="1:15">
      <c r="A3290" s="536" t="s">
        <v>3937</v>
      </c>
      <c r="B3290" s="570" t="str">
        <f>VLOOKUP(A3290,'Equip, Herr y Transp'!$B$2:$D$739,2,0)</f>
        <v>EQU</v>
      </c>
      <c r="C3290" s="570"/>
      <c r="D3290" s="95" t="str">
        <f>VLOOKUP(A3290,'Equip, Herr y Transp'!$B$2:$D$218,2,0)</f>
        <v>EQU</v>
      </c>
      <c r="E3290" s="95">
        <f>VLOOKUP(A3290,'Equip, Herr y Transp'!$B$2:$D$218,3,0)</f>
        <v>23750</v>
      </c>
      <c r="F3290" s="96">
        <f>H3278</f>
        <v>6.25E-2</v>
      </c>
      <c r="G3290" s="122">
        <f>F3290*E3290</f>
        <v>1484.375</v>
      </c>
      <c r="H3290" s="117"/>
    </row>
    <row r="3291" spans="1:15" ht="16.5">
      <c r="A3291" s="540" t="s">
        <v>4100</v>
      </c>
      <c r="B3291" s="541"/>
      <c r="C3291" s="541"/>
      <c r="D3291" s="541"/>
      <c r="E3291" s="541"/>
      <c r="F3291" s="541"/>
      <c r="G3291" s="541"/>
      <c r="H3291" s="97">
        <f>SUM(G3288:G3290)</f>
        <v>4034.53125</v>
      </c>
    </row>
    <row r="3292" spans="1:15" ht="16.5">
      <c r="A3292" s="571" t="s">
        <v>4230</v>
      </c>
      <c r="B3292" s="572"/>
      <c r="C3292" s="572"/>
      <c r="D3292" s="572"/>
      <c r="E3292" s="572"/>
      <c r="F3292" s="572"/>
      <c r="G3292" s="572"/>
      <c r="H3292" s="573"/>
      <c r="K3292" s="56"/>
      <c r="L3292" s="56"/>
      <c r="M3292" s="56"/>
      <c r="N3292" s="56"/>
      <c r="O3292" s="56"/>
    </row>
    <row r="3293" spans="1:15" ht="30" customHeight="1">
      <c r="A3293" s="574" t="s">
        <v>7</v>
      </c>
      <c r="B3293" s="575"/>
      <c r="C3293" s="109" t="s">
        <v>0</v>
      </c>
      <c r="D3293" s="110" t="s">
        <v>4098</v>
      </c>
      <c r="E3293" s="111" t="s">
        <v>1</v>
      </c>
      <c r="F3293" s="576" t="s">
        <v>4218</v>
      </c>
      <c r="G3293" s="576"/>
      <c r="H3293" s="215"/>
      <c r="K3293" s="56"/>
      <c r="L3293" s="56"/>
      <c r="M3293" s="56"/>
      <c r="N3293" s="56"/>
      <c r="O3293" s="56"/>
    </row>
    <row r="3294" spans="1:15">
      <c r="A3294" s="577" t="s">
        <v>4778</v>
      </c>
      <c r="B3294" s="578"/>
      <c r="C3294" s="98" t="str">
        <f>VLOOKUP(A3294,'Materiales '!$C$2:$F$1302,3,0)</f>
        <v>Und</v>
      </c>
      <c r="D3294" s="99">
        <f>VLOOKUP(A3294,'Materiales '!$C$2:$F$1302,4,0)</f>
        <v>3527755.0000000005</v>
      </c>
      <c r="E3294" s="100">
        <v>1</v>
      </c>
      <c r="F3294" s="538">
        <f>E3294*D3294</f>
        <v>3527755.0000000005</v>
      </c>
      <c r="G3294" s="539"/>
      <c r="H3294" s="121"/>
      <c r="I3294">
        <f>E3294*G3285</f>
        <v>0</v>
      </c>
      <c r="J3294" s="67"/>
      <c r="K3294" s="56"/>
      <c r="L3294" s="56"/>
      <c r="M3294" s="56"/>
      <c r="N3294" s="56"/>
      <c r="O3294" s="56"/>
    </row>
    <row r="3295" spans="1:15">
      <c r="A3295" s="577" t="s">
        <v>4214</v>
      </c>
      <c r="B3295" s="578"/>
      <c r="C3295" s="98" t="str">
        <f>VLOOKUP(A3295,'Materiales '!$C$2:$F$1302,3,0)</f>
        <v>Und</v>
      </c>
      <c r="D3295" s="99">
        <f>VLOOKUP(A3295,'Materiales '!$C$2:$F$1302,4,0)</f>
        <v>22848</v>
      </c>
      <c r="E3295" s="100">
        <v>1</v>
      </c>
      <c r="F3295" s="538">
        <f t="shared" ref="F3295:F3301" si="193">E3295*D3295</f>
        <v>22848</v>
      </c>
      <c r="G3295" s="539"/>
      <c r="H3295" s="121"/>
      <c r="I3295">
        <f>E3295*G3285</f>
        <v>0</v>
      </c>
      <c r="J3295" s="67"/>
      <c r="K3295" s="56"/>
      <c r="L3295" s="56"/>
      <c r="M3295" s="56"/>
      <c r="N3295" s="56"/>
      <c r="O3295" s="56"/>
    </row>
    <row r="3296" spans="1:15">
      <c r="A3296" s="536" t="s">
        <v>4484</v>
      </c>
      <c r="B3296" s="537" t="str">
        <f>VLOOKUP(A3296,'Materiales '!$C$2:$F$1302,3,0)</f>
        <v>Und</v>
      </c>
      <c r="C3296" s="98" t="str">
        <f>VLOOKUP(A3296,'Materiales '!$C$2:$F$1302,3,0)</f>
        <v>Und</v>
      </c>
      <c r="D3296" s="99">
        <f>VLOOKUP(A3296,'Materiales '!$C$2:$F$1302,4,0)</f>
        <v>21705.599999999999</v>
      </c>
      <c r="E3296" s="100">
        <v>2</v>
      </c>
      <c r="F3296" s="538">
        <f t="shared" si="193"/>
        <v>43411.199999999997</v>
      </c>
      <c r="G3296" s="539"/>
      <c r="H3296" s="121"/>
      <c r="I3296">
        <f>E3296*G3285</f>
        <v>0</v>
      </c>
      <c r="J3296" s="68"/>
      <c r="K3296" s="56"/>
      <c r="L3296" s="56"/>
      <c r="M3296" s="56"/>
      <c r="N3296" s="56"/>
      <c r="O3296" s="56"/>
    </row>
    <row r="3297" spans="1:15">
      <c r="A3297" s="536" t="s">
        <v>4489</v>
      </c>
      <c r="B3297" s="537" t="str">
        <f>VLOOKUP(A3297,'Materiales '!$C$2:$F$1302,3,0)</f>
        <v>Und</v>
      </c>
      <c r="C3297" s="98" t="str">
        <f>VLOOKUP(A3297,'Materiales '!$C$2:$F$1302,3,0)</f>
        <v>Und</v>
      </c>
      <c r="D3297" s="99">
        <f>VLOOKUP(A3297,'Materiales '!$C$2:$F$1302,4,0)</f>
        <v>8039.6399999999994</v>
      </c>
      <c r="E3297" s="100">
        <v>3</v>
      </c>
      <c r="F3297" s="538">
        <f t="shared" si="193"/>
        <v>24118.92</v>
      </c>
      <c r="G3297" s="539"/>
      <c r="H3297" s="121"/>
      <c r="I3297">
        <f>E3297*G3285</f>
        <v>0</v>
      </c>
      <c r="J3297" s="68"/>
      <c r="K3297" s="56"/>
      <c r="L3297" s="56"/>
      <c r="M3297" s="56"/>
      <c r="N3297" s="56"/>
      <c r="O3297" s="56"/>
    </row>
    <row r="3298" spans="1:15">
      <c r="A3298" s="536" t="s">
        <v>4554</v>
      </c>
      <c r="B3298" s="537" t="str">
        <f>VLOOKUP(A3298,'Materiales '!$C$2:$F$1302,3,0)</f>
        <v>Und</v>
      </c>
      <c r="C3298" s="98" t="str">
        <f>VLOOKUP(A3298,'Materiales '!$C$2:$F$1302,3,0)</f>
        <v>Und</v>
      </c>
      <c r="D3298" s="99">
        <f>VLOOKUP(A3298,'Materiales '!$C$2:$F$1302,4,0)</f>
        <v>2535.5329999999999</v>
      </c>
      <c r="E3298" s="100">
        <v>2</v>
      </c>
      <c r="F3298" s="538">
        <f t="shared" si="193"/>
        <v>5071.0659999999998</v>
      </c>
      <c r="G3298" s="539"/>
      <c r="H3298" s="121"/>
      <c r="I3298">
        <f>E3298*G3285</f>
        <v>0</v>
      </c>
      <c r="J3298" s="68"/>
      <c r="K3298" s="56"/>
      <c r="L3298" s="56"/>
      <c r="M3298" s="56"/>
      <c r="N3298" s="56"/>
      <c r="O3298" s="56"/>
    </row>
    <row r="3299" spans="1:15">
      <c r="A3299" s="536" t="s">
        <v>4450</v>
      </c>
      <c r="B3299" s="537" t="str">
        <f>VLOOKUP(A3299,'Materiales '!$C$2:$F$1302,3,0)</f>
        <v>Ml</v>
      </c>
      <c r="C3299" s="98" t="str">
        <f>VLOOKUP(A3299,'Materiales '!$C$2:$F$1302,3,0)</f>
        <v>Ml</v>
      </c>
      <c r="D3299" s="99">
        <f>VLOOKUP(A3299,'Materiales '!$C$2:$F$1302,4,0)</f>
        <v>6791.5679999999993</v>
      </c>
      <c r="E3299" s="100">
        <v>1</v>
      </c>
      <c r="F3299" s="538">
        <f t="shared" si="193"/>
        <v>6791.5679999999993</v>
      </c>
      <c r="G3299" s="539"/>
      <c r="H3299" s="121"/>
      <c r="I3299">
        <f>E3299*G3285</f>
        <v>0</v>
      </c>
      <c r="J3299" s="68"/>
      <c r="K3299" s="56"/>
      <c r="L3299" s="56"/>
      <c r="M3299" s="56"/>
      <c r="N3299" s="56"/>
      <c r="O3299" s="56"/>
    </row>
    <row r="3300" spans="1:15">
      <c r="A3300" s="536" t="s">
        <v>4493</v>
      </c>
      <c r="B3300" s="537" t="str">
        <f>VLOOKUP(A3300,'Materiales '!$C$2:$F$1302,3,0)</f>
        <v>Und</v>
      </c>
      <c r="C3300" s="98" t="str">
        <f>VLOOKUP(A3300,'Materiales '!$C$2:$F$1302,3,0)</f>
        <v>Und</v>
      </c>
      <c r="D3300" s="99">
        <f>VLOOKUP(A3300,'Materiales '!$C$2:$F$1302,4,0)</f>
        <v>232.76399999999998</v>
      </c>
      <c r="E3300" s="100">
        <v>3</v>
      </c>
      <c r="F3300" s="538">
        <f t="shared" si="193"/>
        <v>698.29199999999992</v>
      </c>
      <c r="G3300" s="539"/>
      <c r="H3300" s="121"/>
      <c r="I3300">
        <f>E3300*G3285</f>
        <v>0</v>
      </c>
      <c r="J3300" s="68"/>
      <c r="K3300" s="56"/>
      <c r="L3300" s="56"/>
      <c r="M3300" s="56"/>
      <c r="N3300" s="56"/>
      <c r="O3300" s="56"/>
    </row>
    <row r="3301" spans="1:15" ht="21.75" customHeight="1">
      <c r="A3301" s="536" t="s">
        <v>4639</v>
      </c>
      <c r="B3301" s="537" t="str">
        <f>VLOOKUP(A3301,'Materiales '!$C$2:$F$1302,3,0)</f>
        <v>Und</v>
      </c>
      <c r="C3301" s="98" t="str">
        <f>VLOOKUP(A3301,'Materiales '!$C$2:$F$1302,3,0)</f>
        <v>Und</v>
      </c>
      <c r="D3301" s="99">
        <f>VLOOKUP(A3301,'Materiales '!$C$2:$F$1302,4,0)</f>
        <v>35700</v>
      </c>
      <c r="E3301" s="100">
        <v>1</v>
      </c>
      <c r="F3301" s="538">
        <f t="shared" si="193"/>
        <v>35700</v>
      </c>
      <c r="G3301" s="539"/>
      <c r="H3301" s="121"/>
      <c r="I3301">
        <f>E3301*G3285</f>
        <v>0</v>
      </c>
      <c r="J3301" s="68"/>
      <c r="K3301" s="56"/>
      <c r="L3301" s="56"/>
      <c r="M3301" s="56"/>
      <c r="N3301" s="56"/>
      <c r="O3301" s="56"/>
    </row>
    <row r="3302" spans="1:15">
      <c r="A3302" s="536" t="s">
        <v>8</v>
      </c>
      <c r="B3302" s="537" t="str">
        <f>VLOOKUP(A3302,'Materiales '!$C$2:$F$1302,3,0)</f>
        <v>-</v>
      </c>
      <c r="C3302" s="98" t="str">
        <f>VLOOKUP(A3302,'Materiales '!$C$2:$F$1302,3,0)</f>
        <v>-</v>
      </c>
      <c r="D3302" s="99">
        <f>VLOOKUP(A3302,'Materiales '!$C$2:$F$1302,4,0)</f>
        <v>0</v>
      </c>
      <c r="E3302" s="100"/>
      <c r="F3302" s="538">
        <f>E3302*D3302</f>
        <v>0</v>
      </c>
      <c r="G3302" s="539"/>
      <c r="H3302" s="120"/>
      <c r="I3302">
        <f>E3302*G3285</f>
        <v>0</v>
      </c>
      <c r="J3302" s="68"/>
      <c r="K3302" s="56"/>
      <c r="L3302" s="56"/>
      <c r="M3302" s="56"/>
      <c r="N3302" s="56"/>
      <c r="O3302" s="56"/>
    </row>
    <row r="3303" spans="1:15">
      <c r="A3303" s="536" t="s">
        <v>8</v>
      </c>
      <c r="B3303" s="537" t="str">
        <f>VLOOKUP(A3303,'Materiales '!$C$2:$F$1302,3,0)</f>
        <v>-</v>
      </c>
      <c r="C3303" s="98" t="str">
        <f>VLOOKUP(A3303,'Materiales '!$C$2:$F$1302,3,0)</f>
        <v>-</v>
      </c>
      <c r="D3303" s="99">
        <f>VLOOKUP(A3303,'Materiales '!$C$2:$F$1302,4,0)</f>
        <v>0</v>
      </c>
      <c r="E3303" s="100"/>
      <c r="F3303" s="538">
        <f t="shared" ref="F3303:F3306" si="194">E3303*D3303</f>
        <v>0</v>
      </c>
      <c r="G3303" s="539"/>
      <c r="H3303" s="121"/>
      <c r="I3303">
        <f>E3303*G3285</f>
        <v>0</v>
      </c>
      <c r="J3303" s="68"/>
      <c r="K3303" s="56"/>
      <c r="L3303" s="56"/>
      <c r="M3303" s="56"/>
      <c r="N3303" s="56"/>
      <c r="O3303" s="56"/>
    </row>
    <row r="3304" spans="1:15">
      <c r="A3304" s="536" t="s">
        <v>8</v>
      </c>
      <c r="B3304" s="537" t="str">
        <f>VLOOKUP(A3304,'Materiales '!$C$2:$F$1302,3,0)</f>
        <v>-</v>
      </c>
      <c r="C3304" s="98" t="str">
        <f>VLOOKUP(A3304,'Materiales '!$C$2:$F$1302,3,0)</f>
        <v>-</v>
      </c>
      <c r="D3304" s="99">
        <f>VLOOKUP(A3304,'Materiales '!$C$2:$F$1302,4,0)</f>
        <v>0</v>
      </c>
      <c r="E3304" s="100"/>
      <c r="F3304" s="538">
        <f t="shared" si="194"/>
        <v>0</v>
      </c>
      <c r="G3304" s="539"/>
      <c r="H3304" s="121"/>
      <c r="I3304">
        <f>E3304*G3285</f>
        <v>0</v>
      </c>
      <c r="J3304" s="68"/>
      <c r="K3304" s="56"/>
      <c r="L3304" s="56"/>
      <c r="M3304" s="56"/>
      <c r="N3304" s="56"/>
      <c r="O3304" s="56"/>
    </row>
    <row r="3305" spans="1:15">
      <c r="A3305" s="536" t="s">
        <v>8</v>
      </c>
      <c r="B3305" s="537" t="str">
        <f>VLOOKUP(A3305,'Materiales '!$C$2:$F$1302,3,0)</f>
        <v>-</v>
      </c>
      <c r="C3305" s="98" t="str">
        <f>VLOOKUP(A3305,'Materiales '!$C$2:$F$1302,3,0)</f>
        <v>-</v>
      </c>
      <c r="D3305" s="99">
        <f>VLOOKUP(A3305,'Materiales '!$C$2:$F$1302,4,0)</f>
        <v>0</v>
      </c>
      <c r="E3305" s="100"/>
      <c r="F3305" s="538">
        <f t="shared" si="194"/>
        <v>0</v>
      </c>
      <c r="G3305" s="539"/>
      <c r="H3305" s="121"/>
      <c r="I3305">
        <f>E3305*G3285</f>
        <v>0</v>
      </c>
      <c r="J3305" s="68"/>
      <c r="K3305" s="56"/>
      <c r="L3305" s="56"/>
      <c r="M3305" s="56"/>
      <c r="N3305" s="56"/>
      <c r="O3305" s="56"/>
    </row>
    <row r="3306" spans="1:15">
      <c r="A3306" s="536" t="s">
        <v>8</v>
      </c>
      <c r="B3306" s="537" t="str">
        <f>VLOOKUP(A3306,'Materiales '!$C$2:$F$1302,3,0)</f>
        <v>-</v>
      </c>
      <c r="C3306" s="98" t="str">
        <f>VLOOKUP(A3306,'Materiales '!$C$2:$F$1302,3,0)</f>
        <v>-</v>
      </c>
      <c r="D3306" s="99">
        <f>VLOOKUP(A3306,'Materiales '!$C$2:$F$1302,4,0)</f>
        <v>0</v>
      </c>
      <c r="E3306" s="100"/>
      <c r="F3306" s="538">
        <f t="shared" si="194"/>
        <v>0</v>
      </c>
      <c r="G3306" s="539"/>
      <c r="H3306" s="121"/>
      <c r="I3306">
        <f>E3306*G3285</f>
        <v>0</v>
      </c>
      <c r="J3306" s="68"/>
      <c r="K3306" s="56"/>
      <c r="L3306" s="56"/>
      <c r="M3306" s="56"/>
      <c r="N3306" s="56"/>
      <c r="O3306" s="56"/>
    </row>
    <row r="3307" spans="1:15">
      <c r="A3307" s="536" t="s">
        <v>8</v>
      </c>
      <c r="B3307" s="537" t="str">
        <f>VLOOKUP(A3307,'Materiales '!$C$2:$F$1302,3,0)</f>
        <v>-</v>
      </c>
      <c r="C3307" s="98" t="str">
        <f>VLOOKUP(A3307,'Materiales '!$C$2:$F$1302,3,0)</f>
        <v>-</v>
      </c>
      <c r="D3307" s="99">
        <f>VLOOKUP(A3307,'Materiales '!$C$2:$F$1302,4,0)</f>
        <v>0</v>
      </c>
      <c r="E3307" s="100"/>
      <c r="F3307" s="538">
        <f>E3307*D3307</f>
        <v>0</v>
      </c>
      <c r="G3307" s="539"/>
      <c r="H3307" s="120"/>
      <c r="I3307">
        <f>E3307*G3285</f>
        <v>0</v>
      </c>
      <c r="J3307" s="68"/>
      <c r="K3307" s="56"/>
      <c r="L3307" s="56"/>
      <c r="M3307" s="56"/>
      <c r="N3307" s="56"/>
      <c r="O3307" s="56"/>
    </row>
    <row r="3308" spans="1:15" ht="16.5">
      <c r="A3308" s="540" t="s">
        <v>4099</v>
      </c>
      <c r="B3308" s="541"/>
      <c r="C3308" s="541"/>
      <c r="D3308" s="541"/>
      <c r="E3308" s="541"/>
      <c r="F3308" s="541"/>
      <c r="G3308" s="542"/>
      <c r="H3308" s="116">
        <f>SUM(F3294:F3307)</f>
        <v>3666394.0460000006</v>
      </c>
      <c r="J3308" s="68"/>
      <c r="K3308" s="56"/>
      <c r="L3308" s="56"/>
      <c r="M3308" s="56"/>
      <c r="N3308" s="56"/>
      <c r="O3308" s="56"/>
    </row>
    <row r="3309" spans="1:15" ht="16.5">
      <c r="A3309" s="543" t="s">
        <v>4231</v>
      </c>
      <c r="B3309" s="544"/>
      <c r="C3309" s="544"/>
      <c r="D3309" s="544"/>
      <c r="E3309" s="545"/>
      <c r="F3309" s="544"/>
      <c r="G3309" s="544"/>
      <c r="H3309" s="546"/>
      <c r="J3309" s="68"/>
      <c r="K3309" s="56"/>
      <c r="L3309" s="56"/>
      <c r="M3309" s="56"/>
      <c r="N3309" s="56"/>
      <c r="O3309" s="56"/>
    </row>
    <row r="3310" spans="1:15">
      <c r="A3310" s="547" t="s">
        <v>7</v>
      </c>
      <c r="B3310" s="548"/>
      <c r="C3310" s="108" t="s">
        <v>4232</v>
      </c>
      <c r="D3310" s="107" t="s">
        <v>4233</v>
      </c>
      <c r="E3310" s="206" t="s">
        <v>4234</v>
      </c>
      <c r="F3310" s="549" t="s">
        <v>4218</v>
      </c>
      <c r="G3310" s="549"/>
      <c r="H3310" s="119"/>
      <c r="K3310" s="56"/>
      <c r="L3310" s="56"/>
      <c r="M3310" s="56"/>
      <c r="N3310" s="56"/>
      <c r="O3310" s="56"/>
    </row>
    <row r="3311" spans="1:15">
      <c r="A3311" s="550" t="s">
        <v>3928</v>
      </c>
      <c r="B3311" s="551"/>
      <c r="C3311" s="232">
        <v>1</v>
      </c>
      <c r="D3311" s="102">
        <v>0.03</v>
      </c>
      <c r="E3311" s="103">
        <f>VLOOKUP(A3311,'Equip, Herr y Transp'!$B$2:$D$218,3,0)</f>
        <v>160000</v>
      </c>
      <c r="F3311" s="552">
        <f>E3311*D3311*C3311</f>
        <v>4800</v>
      </c>
      <c r="G3311" s="553"/>
      <c r="H3311" s="117"/>
      <c r="M3311" s="56"/>
    </row>
    <row r="3312" spans="1:15" ht="16.5">
      <c r="A3312" s="554" t="s">
        <v>4216</v>
      </c>
      <c r="B3312" s="555"/>
      <c r="C3312" s="555"/>
      <c r="D3312" s="555"/>
      <c r="E3312" s="555"/>
      <c r="F3312" s="555"/>
      <c r="G3312" s="555"/>
      <c r="H3312" s="105">
        <f>F3311</f>
        <v>4800</v>
      </c>
    </row>
    <row r="3313" spans="1:10" ht="16.5">
      <c r="A3313" s="543" t="s">
        <v>4235</v>
      </c>
      <c r="B3313" s="544"/>
      <c r="C3313" s="544"/>
      <c r="D3313" s="544"/>
      <c r="E3313" s="544"/>
      <c r="F3313" s="544"/>
      <c r="G3313" s="544"/>
      <c r="H3313" s="546"/>
    </row>
    <row r="3314" spans="1:10">
      <c r="A3314" s="547" t="s">
        <v>7</v>
      </c>
      <c r="B3314" s="548"/>
      <c r="C3314" s="106" t="s">
        <v>1</v>
      </c>
      <c r="D3314" s="107" t="s">
        <v>4236</v>
      </c>
      <c r="E3314" s="108" t="s">
        <v>4215</v>
      </c>
      <c r="F3314" s="547" t="s">
        <v>5</v>
      </c>
      <c r="G3314" s="556"/>
      <c r="H3314" s="119"/>
    </row>
    <row r="3315" spans="1:10">
      <c r="A3315" s="550" t="s">
        <v>4196</v>
      </c>
      <c r="B3315" s="551"/>
      <c r="C3315" s="101">
        <v>1</v>
      </c>
      <c r="D3315" s="104">
        <f>VLOOKUP(A3315,'Mano Obra'!$B$2:$T$117,19,0)</f>
        <v>166624</v>
      </c>
      <c r="E3315" s="246">
        <f>H3278</f>
        <v>6.25E-2</v>
      </c>
      <c r="F3315" s="538">
        <f>E3315*D3315*C3315</f>
        <v>10414</v>
      </c>
      <c r="G3315" s="557"/>
      <c r="H3315" s="121"/>
      <c r="I3315" s="69"/>
      <c r="J3315" s="136">
        <f>((('Mano Obra'!$M$4/30)*F3315)/D3315)*G3285</f>
        <v>0</v>
      </c>
    </row>
    <row r="3316" spans="1:10">
      <c r="A3316" s="558" t="s">
        <v>4197</v>
      </c>
      <c r="B3316" s="559">
        <f>VLOOKUP(A3316,'Mano Obra'!$B$3:$D$290,2,0)</f>
        <v>2090000.0000000002</v>
      </c>
      <c r="C3316" s="101">
        <v>1</v>
      </c>
      <c r="D3316" s="104">
        <f>VLOOKUP(A3316,'Mano Obra'!$B$2:$T$117,19,0)</f>
        <v>120456</v>
      </c>
      <c r="E3316" s="246">
        <f>H3278</f>
        <v>6.25E-2</v>
      </c>
      <c r="F3316" s="538">
        <f t="shared" ref="F3316:F3317" si="195">E3316*D3316*C3316</f>
        <v>7528.5</v>
      </c>
      <c r="G3316" s="557"/>
      <c r="H3316" s="121"/>
      <c r="J3316" s="136">
        <f>((('Mano Obra'!$M$5/30)*F3316)/D3316)*G3285</f>
        <v>0</v>
      </c>
    </row>
    <row r="3317" spans="1:10">
      <c r="A3317" s="558" t="s">
        <v>4186</v>
      </c>
      <c r="B3317" s="559">
        <f>VLOOKUP(A3317,'Mano Obra'!$B$3:$D$290,2,0)</f>
        <v>1100000</v>
      </c>
      <c r="C3317" s="101">
        <v>1</v>
      </c>
      <c r="D3317" s="104">
        <f>VLOOKUP(A3317,'Mano Obra'!$B$2:$T$117,19,0)</f>
        <v>72664</v>
      </c>
      <c r="E3317" s="246">
        <f>H3278</f>
        <v>6.25E-2</v>
      </c>
      <c r="F3317" s="538">
        <f t="shared" si="195"/>
        <v>4541.5</v>
      </c>
      <c r="G3317" s="557"/>
      <c r="H3317" s="120"/>
      <c r="J3317" s="136">
        <f>((('Mano Obra'!$M$6/30)*F3317)/D3317)*G3285</f>
        <v>0</v>
      </c>
    </row>
    <row r="3318" spans="1:10" ht="16.5">
      <c r="A3318" s="560" t="s">
        <v>4101</v>
      </c>
      <c r="B3318" s="560"/>
      <c r="C3318" s="560"/>
      <c r="D3318" s="560"/>
      <c r="E3318" s="560"/>
      <c r="F3318" s="560"/>
      <c r="G3318" s="560"/>
      <c r="H3318" s="105">
        <f>SUM(F3315:F3317)</f>
        <v>22484</v>
      </c>
      <c r="J3318" s="136"/>
    </row>
    <row r="3319" spans="1:10">
      <c r="A3319" s="227" t="s">
        <v>4237</v>
      </c>
      <c r="B3319" s="205"/>
      <c r="C3319" s="205"/>
      <c r="D3319" s="202"/>
      <c r="E3319" s="203"/>
      <c r="F3319" s="204"/>
      <c r="G3319" s="203"/>
      <c r="H3319" s="212"/>
    </row>
    <row r="3320" spans="1:10">
      <c r="A3320" s="561" t="s">
        <v>4224</v>
      </c>
      <c r="B3320" s="562"/>
      <c r="C3320" s="562"/>
      <c r="D3320" s="562"/>
      <c r="E3320" s="200"/>
      <c r="F3320" s="201" t="s">
        <v>4238</v>
      </c>
      <c r="G3320" s="200" t="s">
        <v>4239</v>
      </c>
      <c r="H3320" s="213"/>
    </row>
    <row r="3321" spans="1:10">
      <c r="A3321" s="223" t="s">
        <v>4097</v>
      </c>
      <c r="B3321" s="72"/>
      <c r="C3321" s="72"/>
      <c r="D3321" s="73"/>
      <c r="E3321" s="78"/>
      <c r="F3321" s="79">
        <v>0</v>
      </c>
      <c r="G3321" s="80">
        <f>F3321*H3286</f>
        <v>0</v>
      </c>
      <c r="H3321" s="212"/>
    </row>
    <row r="3322" spans="1:10">
      <c r="A3322" s="224" t="s">
        <v>4240</v>
      </c>
      <c r="B3322" s="81"/>
      <c r="C3322" s="81"/>
      <c r="D3322" s="82"/>
      <c r="E3322" s="78"/>
      <c r="F3322" s="79">
        <v>0</v>
      </c>
      <c r="G3322" s="80">
        <f>F3322*H3286</f>
        <v>0</v>
      </c>
      <c r="H3322" s="212"/>
    </row>
    <row r="3323" spans="1:10">
      <c r="A3323" s="224" t="s">
        <v>4</v>
      </c>
      <c r="B3323" s="81"/>
      <c r="C3323" s="81"/>
      <c r="D3323" s="82"/>
      <c r="E3323" s="78"/>
      <c r="F3323" s="79">
        <v>0</v>
      </c>
      <c r="G3323" s="80">
        <f>F3323*H3286</f>
        <v>0</v>
      </c>
      <c r="H3323" s="212"/>
    </row>
    <row r="3324" spans="1:10">
      <c r="A3324" s="225"/>
      <c r="B3324" s="83"/>
      <c r="C3324" s="75"/>
      <c r="D3324" s="84"/>
      <c r="E3324" s="85"/>
      <c r="F3324" s="86"/>
      <c r="G3324" s="87"/>
      <c r="H3324" s="214"/>
    </row>
    <row r="3325" spans="1:10">
      <c r="A3325" s="226"/>
      <c r="B3325" s="83"/>
      <c r="C3325" s="83"/>
      <c r="D3325" s="84"/>
      <c r="E3325" s="88"/>
      <c r="F3325" s="563" t="s">
        <v>4241</v>
      </c>
      <c r="G3325" s="564"/>
      <c r="H3325" s="233">
        <f>H3286+G3321+G3322+G3323</f>
        <v>3697712.5772500006</v>
      </c>
    </row>
    <row r="3326" spans="1:10">
      <c r="A3326" s="83"/>
      <c r="B3326" s="83"/>
      <c r="C3326" s="83"/>
      <c r="D3326" s="84"/>
      <c r="E3326" s="388"/>
      <c r="F3326" s="389"/>
      <c r="G3326" s="389"/>
      <c r="H3326" s="390"/>
    </row>
    <row r="3327" spans="1:10" ht="16.5">
      <c r="A3327" s="90"/>
      <c r="B3327" s="90"/>
      <c r="C3327" s="90"/>
      <c r="D3327" s="90"/>
      <c r="E3327" s="90"/>
      <c r="F3327" s="90"/>
      <c r="G3327" s="90"/>
      <c r="H3327" s="381"/>
    </row>
    <row r="3328" spans="1:10">
      <c r="A3328" s="579" t="s">
        <v>4225</v>
      </c>
      <c r="B3328" s="580"/>
      <c r="C3328" s="580"/>
      <c r="D3328" s="580"/>
      <c r="E3328" s="580"/>
      <c r="F3328" s="580"/>
      <c r="G3328" s="580"/>
      <c r="H3328" s="581"/>
    </row>
    <row r="3329" spans="1:15" ht="16.5">
      <c r="A3329" s="91"/>
      <c r="B3329" s="92"/>
      <c r="C3329" s="92"/>
      <c r="D3329" s="92"/>
      <c r="E3329" s="92"/>
      <c r="F3329" s="93"/>
      <c r="G3329" s="94"/>
      <c r="H3329" s="380">
        <f>ROUND((30/60)/8,4)</f>
        <v>6.25E-2</v>
      </c>
      <c r="I3329" s="115"/>
    </row>
    <row r="3330" spans="1:15">
      <c r="A3330" s="582" t="s">
        <v>4220</v>
      </c>
      <c r="B3330" s="584" t="str">
        <f>COSTOS!$C$14</f>
        <v>MODERNIZACION A TECNOLOGIA LED</v>
      </c>
      <c r="C3330" s="584"/>
      <c r="D3330" s="584"/>
      <c r="E3330" s="584"/>
      <c r="F3330" s="584"/>
      <c r="G3330" s="584"/>
      <c r="H3330" s="585" t="s">
        <v>4221</v>
      </c>
    </row>
    <row r="3331" spans="1:15">
      <c r="A3331" s="583"/>
      <c r="B3331" s="584"/>
      <c r="C3331" s="584"/>
      <c r="D3331" s="584"/>
      <c r="E3331" s="584"/>
      <c r="F3331" s="584"/>
      <c r="G3331" s="584"/>
      <c r="H3331" s="585"/>
    </row>
    <row r="3332" spans="1:15">
      <c r="A3332" s="583"/>
      <c r="B3332" s="584"/>
      <c r="C3332" s="584"/>
      <c r="D3332" s="584"/>
      <c r="E3332" s="584"/>
      <c r="F3332" s="584"/>
      <c r="G3332" s="584"/>
      <c r="H3332" s="585"/>
    </row>
    <row r="3333" spans="1:15" ht="15" customHeight="1">
      <c r="A3333" s="583"/>
      <c r="B3333" s="584"/>
      <c r="C3333" s="584"/>
      <c r="D3333" s="584"/>
      <c r="E3333" s="584"/>
      <c r="F3333" s="584"/>
      <c r="G3333" s="584"/>
      <c r="H3333" s="216">
        <f ca="1">TODAY()</f>
        <v>44889</v>
      </c>
      <c r="K3333" t="s">
        <v>4391</v>
      </c>
      <c r="L3333" t="s">
        <v>4392</v>
      </c>
      <c r="M3333" t="s">
        <v>4393</v>
      </c>
      <c r="N3333" t="s">
        <v>4394</v>
      </c>
    </row>
    <row r="3334" spans="1:15" ht="60.75" customHeight="1">
      <c r="A3334" s="228" t="s">
        <v>4222</v>
      </c>
      <c r="B3334" s="565" t="str">
        <f>COSTOS!$D$16</f>
        <v>Luminarias</v>
      </c>
      <c r="C3334" s="565"/>
      <c r="D3334" s="565"/>
      <c r="E3334" s="565"/>
      <c r="F3334" s="565"/>
      <c r="G3334" s="70" t="s">
        <v>4223</v>
      </c>
      <c r="H3334" s="391">
        <v>1.66</v>
      </c>
      <c r="K3334" s="62">
        <f>H3359</f>
        <v>323710.821</v>
      </c>
      <c r="L3334" s="62">
        <f>H3369</f>
        <v>22484</v>
      </c>
      <c r="M3334" s="62">
        <f>H3342</f>
        <v>4034.53125</v>
      </c>
      <c r="N3334" s="62">
        <f>H3363</f>
        <v>4800</v>
      </c>
    </row>
    <row r="3335" spans="1:15" ht="43.15" customHeight="1">
      <c r="A3335" s="229" t="s">
        <v>4224</v>
      </c>
      <c r="B3335" s="566" t="str">
        <f>VLOOKUP(H3334,COSTOS!C:M,2,0)</f>
        <v>Luminaria Fluorescente de 100w</v>
      </c>
      <c r="C3335" s="567"/>
      <c r="D3335" s="567"/>
      <c r="E3335" s="568"/>
      <c r="F3335" s="71" t="s">
        <v>0</v>
      </c>
      <c r="G3335" s="356" t="str">
        <f>VLOOKUP(H3334,COSTOS!C:M,8,0)</f>
        <v>Und</v>
      </c>
      <c r="H3335" s="276"/>
      <c r="I3335" s="306"/>
      <c r="J3335" s="308"/>
      <c r="K3335" s="308"/>
      <c r="L3335" s="308"/>
    </row>
    <row r="3336" spans="1:15">
      <c r="A3336" s="230"/>
      <c r="B3336" s="112"/>
      <c r="C3336" s="112"/>
      <c r="D3336" s="112"/>
      <c r="E3336" s="113"/>
      <c r="F3336" s="114" t="s">
        <v>1</v>
      </c>
      <c r="G3336" s="356">
        <f>VLOOKUP(H3334,COSTOS!C:M,9,0)</f>
        <v>0</v>
      </c>
      <c r="H3336" s="357"/>
      <c r="I3336" s="307"/>
    </row>
    <row r="3337" spans="1:15" ht="16.5">
      <c r="A3337" s="231" t="s">
        <v>4226</v>
      </c>
      <c r="B3337" s="75"/>
      <c r="C3337" s="75"/>
      <c r="D3337" s="76"/>
      <c r="E3337" s="209"/>
      <c r="F3337" s="210"/>
      <c r="G3337" s="211" t="s">
        <v>4227</v>
      </c>
      <c r="H3337" s="217">
        <f>H3342+H3359+H3363+H3369</f>
        <v>355029.35225</v>
      </c>
    </row>
    <row r="3338" spans="1:15" ht="39">
      <c r="A3338" s="569" t="s">
        <v>4224</v>
      </c>
      <c r="B3338" s="569"/>
      <c r="C3338" s="569"/>
      <c r="D3338" s="77" t="s">
        <v>0</v>
      </c>
      <c r="E3338" s="207" t="s">
        <v>4228</v>
      </c>
      <c r="F3338" s="208" t="s">
        <v>4215</v>
      </c>
      <c r="G3338" s="74" t="s">
        <v>2</v>
      </c>
      <c r="H3338" s="218" t="s">
        <v>4229</v>
      </c>
      <c r="K3338" s="309"/>
    </row>
    <row r="3339" spans="1:15">
      <c r="A3339" s="536" t="s">
        <v>3946</v>
      </c>
      <c r="B3339" s="570" t="str">
        <f>VLOOKUP(A3339,'Equip, Herr y Transp'!$B$2:$D$739,2,0)</f>
        <v>EQU</v>
      </c>
      <c r="C3339" s="570"/>
      <c r="D3339" s="95" t="str">
        <f>VLOOKUP(A3339,'Equip, Herr y Transp'!$B$2:$D$218,2,0)</f>
        <v>EQU</v>
      </c>
      <c r="E3339" s="95">
        <f>VLOOKUP(A3339,'Equip, Herr y Transp'!$B$2:$D$218,3,0)</f>
        <v>14130</v>
      </c>
      <c r="F3339" s="96">
        <f>H3329</f>
        <v>6.25E-2</v>
      </c>
      <c r="G3339" s="122">
        <f>F3339*E3339</f>
        <v>883.125</v>
      </c>
      <c r="H3339" s="118"/>
    </row>
    <row r="3340" spans="1:15">
      <c r="A3340" s="536" t="s">
        <v>3904</v>
      </c>
      <c r="B3340" s="570" t="str">
        <f>VLOOKUP(A3340,'Equip, Herr y Transp'!$B$2:$D$739,2,0)</f>
        <v>EQU</v>
      </c>
      <c r="C3340" s="570"/>
      <c r="D3340" s="95" t="str">
        <f>VLOOKUP(A3340,'Equip, Herr y Transp'!$B$2:$D$218,2,0)</f>
        <v>EQU</v>
      </c>
      <c r="E3340" s="95">
        <f>VLOOKUP(A3340,'Equip, Herr y Transp'!$B$2:$D$218,3,0)</f>
        <v>26672.5</v>
      </c>
      <c r="F3340" s="96">
        <f>H3329</f>
        <v>6.25E-2</v>
      </c>
      <c r="G3340" s="122">
        <f>F3340*E3340</f>
        <v>1667.03125</v>
      </c>
      <c r="H3340" s="117"/>
    </row>
    <row r="3341" spans="1:15">
      <c r="A3341" s="536" t="s">
        <v>3937</v>
      </c>
      <c r="B3341" s="570" t="str">
        <f>VLOOKUP(A3341,'Equip, Herr y Transp'!$B$2:$D$739,2,0)</f>
        <v>EQU</v>
      </c>
      <c r="C3341" s="570"/>
      <c r="D3341" s="95" t="str">
        <f>VLOOKUP(A3341,'Equip, Herr y Transp'!$B$2:$D$218,2,0)</f>
        <v>EQU</v>
      </c>
      <c r="E3341" s="95">
        <f>VLOOKUP(A3341,'Equip, Herr y Transp'!$B$2:$D$218,3,0)</f>
        <v>23750</v>
      </c>
      <c r="F3341" s="96">
        <f>H3329</f>
        <v>6.25E-2</v>
      </c>
      <c r="G3341" s="122">
        <f>F3341*E3341</f>
        <v>1484.375</v>
      </c>
      <c r="H3341" s="117"/>
    </row>
    <row r="3342" spans="1:15" ht="16.5">
      <c r="A3342" s="540" t="s">
        <v>4100</v>
      </c>
      <c r="B3342" s="541"/>
      <c r="C3342" s="541"/>
      <c r="D3342" s="541"/>
      <c r="E3342" s="541"/>
      <c r="F3342" s="541"/>
      <c r="G3342" s="541"/>
      <c r="H3342" s="97">
        <f>SUM(G3339:G3341)</f>
        <v>4034.53125</v>
      </c>
    </row>
    <row r="3343" spans="1:15" ht="16.5">
      <c r="A3343" s="571" t="s">
        <v>4230</v>
      </c>
      <c r="B3343" s="572"/>
      <c r="C3343" s="572"/>
      <c r="D3343" s="572"/>
      <c r="E3343" s="572"/>
      <c r="F3343" s="572"/>
      <c r="G3343" s="572"/>
      <c r="H3343" s="573"/>
      <c r="K3343" s="56"/>
      <c r="L3343" s="56"/>
      <c r="M3343" s="56"/>
      <c r="N3343" s="56"/>
      <c r="O3343" s="56"/>
    </row>
    <row r="3344" spans="1:15" ht="30" customHeight="1">
      <c r="A3344" s="574" t="s">
        <v>7</v>
      </c>
      <c r="B3344" s="575"/>
      <c r="C3344" s="109" t="s">
        <v>0</v>
      </c>
      <c r="D3344" s="110" t="s">
        <v>4098</v>
      </c>
      <c r="E3344" s="111" t="s">
        <v>1</v>
      </c>
      <c r="F3344" s="576" t="s">
        <v>4218</v>
      </c>
      <c r="G3344" s="576"/>
      <c r="H3344" s="215"/>
      <c r="K3344" s="56"/>
      <c r="L3344" s="56"/>
      <c r="M3344" s="56"/>
      <c r="N3344" s="56"/>
      <c r="O3344" s="56"/>
    </row>
    <row r="3345" spans="1:15">
      <c r="A3345" s="577" t="s">
        <v>4785</v>
      </c>
      <c r="B3345" s="578"/>
      <c r="C3345" s="98" t="str">
        <f>VLOOKUP(A3345,'Materiales '!$C$2:$F$1302,3,0)</f>
        <v>Und</v>
      </c>
      <c r="D3345" s="99">
        <f>VLOOKUP(A3345,'Materiales '!$C$2:$F$1302,4,0)</f>
        <v>111265.00000000001</v>
      </c>
      <c r="E3345" s="100">
        <v>1</v>
      </c>
      <c r="F3345" s="538">
        <f>E3345*D3345</f>
        <v>111265.00000000001</v>
      </c>
      <c r="G3345" s="539"/>
      <c r="H3345" s="121"/>
      <c r="I3345">
        <f>E3345*G3336</f>
        <v>0</v>
      </c>
      <c r="J3345" s="67"/>
      <c r="K3345" s="56"/>
      <c r="L3345" s="56"/>
      <c r="M3345" s="56"/>
      <c r="N3345" s="56"/>
      <c r="O3345" s="56"/>
    </row>
    <row r="3346" spans="1:15">
      <c r="A3346" s="577" t="s">
        <v>4214</v>
      </c>
      <c r="B3346" s="578"/>
      <c r="C3346" s="98" t="str">
        <f>VLOOKUP(A3346,'Materiales '!$C$2:$F$1302,3,0)</f>
        <v>Und</v>
      </c>
      <c r="D3346" s="99">
        <f>VLOOKUP(A3346,'Materiales '!$C$2:$F$1302,4,0)</f>
        <v>22848</v>
      </c>
      <c r="E3346" s="100">
        <v>1</v>
      </c>
      <c r="F3346" s="538">
        <f t="shared" ref="F3346:F3352" si="196">E3346*D3346</f>
        <v>22848</v>
      </c>
      <c r="G3346" s="539"/>
      <c r="H3346" s="121"/>
      <c r="I3346">
        <f>E3346*G3336</f>
        <v>0</v>
      </c>
      <c r="J3346" s="67"/>
      <c r="K3346" s="56"/>
      <c r="L3346" s="56"/>
      <c r="M3346" s="56"/>
      <c r="N3346" s="56"/>
      <c r="O3346" s="56"/>
    </row>
    <row r="3347" spans="1:15">
      <c r="A3347" s="536" t="s">
        <v>4479</v>
      </c>
      <c r="B3347" s="537" t="str">
        <f>VLOOKUP(A3347,'Materiales '!$C$2:$F$1302,3,0)</f>
        <v>Und</v>
      </c>
      <c r="C3347" s="98" t="str">
        <f>VLOOKUP(A3347,'Materiales '!$C$2:$F$1302,3,0)</f>
        <v>Und</v>
      </c>
      <c r="D3347" s="99">
        <f>VLOOKUP(A3347,'Materiales '!$C$2:$F$1302,4,0)</f>
        <v>18421.2</v>
      </c>
      <c r="E3347" s="100">
        <v>1.5</v>
      </c>
      <c r="F3347" s="538">
        <f t="shared" si="196"/>
        <v>27631.800000000003</v>
      </c>
      <c r="G3347" s="539"/>
      <c r="H3347" s="121"/>
      <c r="I3347">
        <f>E3347*G3336</f>
        <v>0</v>
      </c>
      <c r="J3347" s="68"/>
      <c r="K3347" s="56"/>
      <c r="L3347" s="56"/>
      <c r="M3347" s="56"/>
      <c r="N3347" s="56"/>
      <c r="O3347" s="56"/>
    </row>
    <row r="3348" spans="1:15">
      <c r="A3348" s="536" t="s">
        <v>4489</v>
      </c>
      <c r="B3348" s="537" t="str">
        <f>VLOOKUP(A3348,'Materiales '!$C$2:$F$1302,3,0)</f>
        <v>Und</v>
      </c>
      <c r="C3348" s="98" t="str">
        <f>VLOOKUP(A3348,'Materiales '!$C$2:$F$1302,3,0)</f>
        <v>Und</v>
      </c>
      <c r="D3348" s="99">
        <f>VLOOKUP(A3348,'Materiales '!$C$2:$F$1302,4,0)</f>
        <v>8039.6399999999994</v>
      </c>
      <c r="E3348" s="100">
        <v>3</v>
      </c>
      <c r="F3348" s="538">
        <f t="shared" si="196"/>
        <v>24118.92</v>
      </c>
      <c r="G3348" s="539"/>
      <c r="H3348" s="121"/>
      <c r="I3348">
        <f>E3348*G3336</f>
        <v>0</v>
      </c>
      <c r="J3348" s="68"/>
      <c r="K3348" s="56"/>
      <c r="L3348" s="56"/>
      <c r="M3348" s="56"/>
      <c r="N3348" s="56"/>
      <c r="O3348" s="56"/>
    </row>
    <row r="3349" spans="1:15">
      <c r="A3349" s="536" t="s">
        <v>4554</v>
      </c>
      <c r="B3349" s="537" t="str">
        <f>VLOOKUP(A3349,'Materiales '!$C$2:$F$1302,3,0)</f>
        <v>Und</v>
      </c>
      <c r="C3349" s="98" t="str">
        <f>VLOOKUP(A3349,'Materiales '!$C$2:$F$1302,3,0)</f>
        <v>Und</v>
      </c>
      <c r="D3349" s="99">
        <f>VLOOKUP(A3349,'Materiales '!$C$2:$F$1302,4,0)</f>
        <v>2535.5329999999999</v>
      </c>
      <c r="E3349" s="100">
        <v>1</v>
      </c>
      <c r="F3349" s="538">
        <f t="shared" si="196"/>
        <v>2535.5329999999999</v>
      </c>
      <c r="G3349" s="539"/>
      <c r="H3349" s="121"/>
      <c r="I3349">
        <f>E3349*G3336</f>
        <v>0</v>
      </c>
      <c r="J3349" s="68"/>
      <c r="K3349" s="56"/>
      <c r="L3349" s="56"/>
      <c r="M3349" s="56"/>
      <c r="N3349" s="56"/>
      <c r="O3349" s="56"/>
    </row>
    <row r="3350" spans="1:15">
      <c r="A3350" s="536" t="s">
        <v>4450</v>
      </c>
      <c r="B3350" s="537" t="str">
        <f>VLOOKUP(A3350,'Materiales '!$C$2:$F$1302,3,0)</f>
        <v>Ml</v>
      </c>
      <c r="C3350" s="98" t="str">
        <f>VLOOKUP(A3350,'Materiales '!$C$2:$F$1302,3,0)</f>
        <v>Ml</v>
      </c>
      <c r="D3350" s="99">
        <f>VLOOKUP(A3350,'Materiales '!$C$2:$F$1302,4,0)</f>
        <v>6791.5679999999993</v>
      </c>
      <c r="E3350" s="100">
        <v>1</v>
      </c>
      <c r="F3350" s="538">
        <f t="shared" si="196"/>
        <v>6791.5679999999993</v>
      </c>
      <c r="G3350" s="539"/>
      <c r="H3350" s="121"/>
      <c r="I3350">
        <f>E3350*G3336</f>
        <v>0</v>
      </c>
      <c r="J3350" s="68"/>
      <c r="K3350" s="56"/>
      <c r="L3350" s="56"/>
      <c r="M3350" s="56"/>
      <c r="N3350" s="56"/>
      <c r="O3350" s="56"/>
    </row>
    <row r="3351" spans="1:15">
      <c r="A3351" s="536" t="s">
        <v>4436</v>
      </c>
      <c r="B3351" s="537" t="str">
        <f>VLOOKUP(A3351,'Materiales '!$C$2:$F$1302,3,0)</f>
        <v>Und</v>
      </c>
      <c r="C3351" s="98" t="str">
        <f>VLOOKUP(A3351,'Materiales '!$C$2:$F$1302,3,0)</f>
        <v>Und</v>
      </c>
      <c r="D3351" s="99">
        <f>VLOOKUP(A3351,'Materiales '!$C$2:$F$1302,4,0)</f>
        <v>92820</v>
      </c>
      <c r="E3351" s="100">
        <v>1</v>
      </c>
      <c r="F3351" s="538">
        <f t="shared" si="196"/>
        <v>92820</v>
      </c>
      <c r="G3351" s="539"/>
      <c r="H3351" s="121"/>
      <c r="I3351">
        <f>E3351*G3336</f>
        <v>0</v>
      </c>
      <c r="J3351" s="68"/>
      <c r="K3351" s="56"/>
      <c r="L3351" s="56"/>
      <c r="M3351" s="56"/>
      <c r="N3351" s="56"/>
      <c r="O3351" s="56"/>
    </row>
    <row r="3352" spans="1:15" ht="21.75" customHeight="1">
      <c r="A3352" s="536" t="s">
        <v>4639</v>
      </c>
      <c r="B3352" s="537" t="str">
        <f>VLOOKUP(A3352,'Materiales '!$C$2:$F$1302,3,0)</f>
        <v>Und</v>
      </c>
      <c r="C3352" s="98" t="str">
        <f>VLOOKUP(A3352,'Materiales '!$C$2:$F$1302,3,0)</f>
        <v>Und</v>
      </c>
      <c r="D3352" s="99">
        <f>VLOOKUP(A3352,'Materiales '!$C$2:$F$1302,4,0)</f>
        <v>35700</v>
      </c>
      <c r="E3352" s="100">
        <v>1</v>
      </c>
      <c r="F3352" s="538">
        <f t="shared" si="196"/>
        <v>35700</v>
      </c>
      <c r="G3352" s="539"/>
      <c r="H3352" s="121"/>
      <c r="I3352">
        <f>E3352*G3336</f>
        <v>0</v>
      </c>
      <c r="J3352" s="68"/>
      <c r="K3352" s="56"/>
      <c r="L3352" s="56"/>
      <c r="M3352" s="56"/>
      <c r="N3352" s="56"/>
      <c r="O3352" s="56"/>
    </row>
    <row r="3353" spans="1:15">
      <c r="A3353" s="536" t="s">
        <v>8</v>
      </c>
      <c r="B3353" s="537" t="str">
        <f>VLOOKUP(A3353,'Materiales '!$C$2:$F$1302,3,0)</f>
        <v>-</v>
      </c>
      <c r="C3353" s="98" t="str">
        <f>VLOOKUP(A3353,'Materiales '!$C$2:$F$1302,3,0)</f>
        <v>-</v>
      </c>
      <c r="D3353" s="99">
        <f>VLOOKUP(A3353,'Materiales '!$C$2:$F$1302,4,0)</f>
        <v>0</v>
      </c>
      <c r="E3353" s="100"/>
      <c r="F3353" s="538">
        <f>E3353*D3353</f>
        <v>0</v>
      </c>
      <c r="G3353" s="539"/>
      <c r="H3353" s="120"/>
      <c r="I3353">
        <f>E3353*G3336</f>
        <v>0</v>
      </c>
      <c r="J3353" s="68"/>
      <c r="K3353" s="56"/>
      <c r="L3353" s="56"/>
      <c r="M3353" s="56"/>
      <c r="N3353" s="56"/>
      <c r="O3353" s="56"/>
    </row>
    <row r="3354" spans="1:15">
      <c r="A3354" s="536" t="s">
        <v>8</v>
      </c>
      <c r="B3354" s="537" t="str">
        <f>VLOOKUP(A3354,'Materiales '!$C$2:$F$1302,3,0)</f>
        <v>-</v>
      </c>
      <c r="C3354" s="98" t="str">
        <f>VLOOKUP(A3354,'Materiales '!$C$2:$F$1302,3,0)</f>
        <v>-</v>
      </c>
      <c r="D3354" s="99">
        <f>VLOOKUP(A3354,'Materiales '!$C$2:$F$1302,4,0)</f>
        <v>0</v>
      </c>
      <c r="E3354" s="100"/>
      <c r="F3354" s="538">
        <f t="shared" ref="F3354:F3357" si="197">E3354*D3354</f>
        <v>0</v>
      </c>
      <c r="G3354" s="539"/>
      <c r="H3354" s="121"/>
      <c r="I3354">
        <f>E3354*G3336</f>
        <v>0</v>
      </c>
      <c r="J3354" s="68"/>
      <c r="K3354" s="56"/>
      <c r="L3354" s="56"/>
      <c r="M3354" s="56"/>
      <c r="N3354" s="56"/>
      <c r="O3354" s="56"/>
    </row>
    <row r="3355" spans="1:15">
      <c r="A3355" s="536" t="s">
        <v>8</v>
      </c>
      <c r="B3355" s="537" t="str">
        <f>VLOOKUP(A3355,'Materiales '!$C$2:$F$1302,3,0)</f>
        <v>-</v>
      </c>
      <c r="C3355" s="98" t="str">
        <f>VLOOKUP(A3355,'Materiales '!$C$2:$F$1302,3,0)</f>
        <v>-</v>
      </c>
      <c r="D3355" s="99">
        <f>VLOOKUP(A3355,'Materiales '!$C$2:$F$1302,4,0)</f>
        <v>0</v>
      </c>
      <c r="E3355" s="100"/>
      <c r="F3355" s="538">
        <f t="shared" si="197"/>
        <v>0</v>
      </c>
      <c r="G3355" s="539"/>
      <c r="H3355" s="121"/>
      <c r="I3355">
        <f>E3355*G3336</f>
        <v>0</v>
      </c>
      <c r="J3355" s="68"/>
      <c r="K3355" s="56"/>
      <c r="L3355" s="56"/>
      <c r="M3355" s="56"/>
      <c r="N3355" s="56"/>
      <c r="O3355" s="56"/>
    </row>
    <row r="3356" spans="1:15">
      <c r="A3356" s="536" t="s">
        <v>8</v>
      </c>
      <c r="B3356" s="537" t="str">
        <f>VLOOKUP(A3356,'Materiales '!$C$2:$F$1302,3,0)</f>
        <v>-</v>
      </c>
      <c r="C3356" s="98" t="str">
        <f>VLOOKUP(A3356,'Materiales '!$C$2:$F$1302,3,0)</f>
        <v>-</v>
      </c>
      <c r="D3356" s="99">
        <f>VLOOKUP(A3356,'Materiales '!$C$2:$F$1302,4,0)</f>
        <v>0</v>
      </c>
      <c r="E3356" s="100"/>
      <c r="F3356" s="538">
        <f t="shared" si="197"/>
        <v>0</v>
      </c>
      <c r="G3356" s="539"/>
      <c r="H3356" s="121"/>
      <c r="I3356">
        <f>E3356*G3336</f>
        <v>0</v>
      </c>
      <c r="J3356" s="68"/>
      <c r="K3356" s="56"/>
      <c r="L3356" s="56"/>
      <c r="M3356" s="56"/>
      <c r="N3356" s="56"/>
      <c r="O3356" s="56"/>
    </row>
    <row r="3357" spans="1:15">
      <c r="A3357" s="536" t="s">
        <v>8</v>
      </c>
      <c r="B3357" s="537" t="str">
        <f>VLOOKUP(A3357,'Materiales '!$C$2:$F$1302,3,0)</f>
        <v>-</v>
      </c>
      <c r="C3357" s="98" t="str">
        <f>VLOOKUP(A3357,'Materiales '!$C$2:$F$1302,3,0)</f>
        <v>-</v>
      </c>
      <c r="D3357" s="99">
        <f>VLOOKUP(A3357,'Materiales '!$C$2:$F$1302,4,0)</f>
        <v>0</v>
      </c>
      <c r="E3357" s="100"/>
      <c r="F3357" s="538">
        <f t="shared" si="197"/>
        <v>0</v>
      </c>
      <c r="G3357" s="539"/>
      <c r="H3357" s="121"/>
      <c r="I3357">
        <f>E3357*G3336</f>
        <v>0</v>
      </c>
      <c r="J3357" s="68"/>
      <c r="K3357" s="56"/>
      <c r="L3357" s="56"/>
      <c r="M3357" s="56"/>
      <c r="N3357" s="56"/>
      <c r="O3357" s="56"/>
    </row>
    <row r="3358" spans="1:15">
      <c r="A3358" s="536" t="s">
        <v>8</v>
      </c>
      <c r="B3358" s="537" t="str">
        <f>VLOOKUP(A3358,'Materiales '!$C$2:$F$1302,3,0)</f>
        <v>-</v>
      </c>
      <c r="C3358" s="98" t="str">
        <f>VLOOKUP(A3358,'Materiales '!$C$2:$F$1302,3,0)</f>
        <v>-</v>
      </c>
      <c r="D3358" s="99">
        <f>VLOOKUP(A3358,'Materiales '!$C$2:$F$1302,4,0)</f>
        <v>0</v>
      </c>
      <c r="E3358" s="100"/>
      <c r="F3358" s="538">
        <f>E3358*D3358</f>
        <v>0</v>
      </c>
      <c r="G3358" s="539"/>
      <c r="H3358" s="120"/>
      <c r="I3358">
        <f>E3358*G3336</f>
        <v>0</v>
      </c>
      <c r="J3358" s="68"/>
      <c r="K3358" s="56"/>
      <c r="L3358" s="56"/>
      <c r="M3358" s="56"/>
      <c r="N3358" s="56"/>
      <c r="O3358" s="56"/>
    </row>
    <row r="3359" spans="1:15" ht="16.5">
      <c r="A3359" s="540" t="s">
        <v>4099</v>
      </c>
      <c r="B3359" s="541"/>
      <c r="C3359" s="541"/>
      <c r="D3359" s="541"/>
      <c r="E3359" s="541"/>
      <c r="F3359" s="541"/>
      <c r="G3359" s="542"/>
      <c r="H3359" s="116">
        <f>SUM(F3345:F3358)</f>
        <v>323710.821</v>
      </c>
      <c r="J3359" s="68"/>
      <c r="K3359" s="56"/>
      <c r="L3359" s="56"/>
      <c r="M3359" s="56"/>
      <c r="N3359" s="56"/>
      <c r="O3359" s="56"/>
    </row>
    <row r="3360" spans="1:15" ht="16.5">
      <c r="A3360" s="543" t="s">
        <v>4231</v>
      </c>
      <c r="B3360" s="544"/>
      <c r="C3360" s="544"/>
      <c r="D3360" s="544"/>
      <c r="E3360" s="545"/>
      <c r="F3360" s="544"/>
      <c r="G3360" s="544"/>
      <c r="H3360" s="546"/>
      <c r="J3360" s="68"/>
      <c r="K3360" s="56"/>
      <c r="L3360" s="56"/>
      <c r="M3360" s="56"/>
      <c r="N3360" s="56"/>
      <c r="O3360" s="56"/>
    </row>
    <row r="3361" spans="1:15">
      <c r="A3361" s="547" t="s">
        <v>7</v>
      </c>
      <c r="B3361" s="548"/>
      <c r="C3361" s="108" t="s">
        <v>4232</v>
      </c>
      <c r="D3361" s="107" t="s">
        <v>4233</v>
      </c>
      <c r="E3361" s="206" t="s">
        <v>4234</v>
      </c>
      <c r="F3361" s="549" t="s">
        <v>4218</v>
      </c>
      <c r="G3361" s="549"/>
      <c r="H3361" s="119"/>
      <c r="K3361" s="56"/>
      <c r="L3361" s="56"/>
      <c r="M3361" s="56"/>
      <c r="N3361" s="56"/>
      <c r="O3361" s="56"/>
    </row>
    <row r="3362" spans="1:15">
      <c r="A3362" s="550" t="s">
        <v>3928</v>
      </c>
      <c r="B3362" s="551"/>
      <c r="C3362" s="232">
        <v>1</v>
      </c>
      <c r="D3362" s="102">
        <v>0.03</v>
      </c>
      <c r="E3362" s="103">
        <f>VLOOKUP(A3362,'Equip, Herr y Transp'!$B$2:$D$218,3,0)</f>
        <v>160000</v>
      </c>
      <c r="F3362" s="552">
        <f>E3362*D3362*C3362</f>
        <v>4800</v>
      </c>
      <c r="G3362" s="553"/>
      <c r="H3362" s="117"/>
      <c r="M3362" s="56"/>
    </row>
    <row r="3363" spans="1:15" ht="16.5">
      <c r="A3363" s="554" t="s">
        <v>4216</v>
      </c>
      <c r="B3363" s="555"/>
      <c r="C3363" s="555"/>
      <c r="D3363" s="555"/>
      <c r="E3363" s="555"/>
      <c r="F3363" s="555"/>
      <c r="G3363" s="555"/>
      <c r="H3363" s="105">
        <f>F3362</f>
        <v>4800</v>
      </c>
    </row>
    <row r="3364" spans="1:15" ht="16.5">
      <c r="A3364" s="543" t="s">
        <v>4235</v>
      </c>
      <c r="B3364" s="544"/>
      <c r="C3364" s="544"/>
      <c r="D3364" s="544"/>
      <c r="E3364" s="544"/>
      <c r="F3364" s="544"/>
      <c r="G3364" s="544"/>
      <c r="H3364" s="546"/>
    </row>
    <row r="3365" spans="1:15">
      <c r="A3365" s="547" t="s">
        <v>7</v>
      </c>
      <c r="B3365" s="548"/>
      <c r="C3365" s="106" t="s">
        <v>1</v>
      </c>
      <c r="D3365" s="107" t="s">
        <v>4236</v>
      </c>
      <c r="E3365" s="108" t="s">
        <v>4215</v>
      </c>
      <c r="F3365" s="547" t="s">
        <v>5</v>
      </c>
      <c r="G3365" s="556"/>
      <c r="H3365" s="119"/>
    </row>
    <row r="3366" spans="1:15">
      <c r="A3366" s="550" t="s">
        <v>4196</v>
      </c>
      <c r="B3366" s="551"/>
      <c r="C3366" s="101">
        <v>1</v>
      </c>
      <c r="D3366" s="104">
        <f>VLOOKUP(A3366,'Mano Obra'!$B$2:$T$117,19,0)</f>
        <v>166624</v>
      </c>
      <c r="E3366" s="246">
        <f>H3329</f>
        <v>6.25E-2</v>
      </c>
      <c r="F3366" s="538">
        <f>E3366*D3366*C3366</f>
        <v>10414</v>
      </c>
      <c r="G3366" s="557"/>
      <c r="H3366" s="121"/>
      <c r="I3366" s="69"/>
      <c r="J3366" s="136">
        <f>((('Mano Obra'!$M$4/30)*F3366)/D3366)*G3336</f>
        <v>0</v>
      </c>
    </row>
    <row r="3367" spans="1:15">
      <c r="A3367" s="558" t="s">
        <v>4197</v>
      </c>
      <c r="B3367" s="559">
        <f>VLOOKUP(A3367,'Mano Obra'!$B$3:$D$290,2,0)</f>
        <v>2090000.0000000002</v>
      </c>
      <c r="C3367" s="101">
        <v>1</v>
      </c>
      <c r="D3367" s="104">
        <f>VLOOKUP(A3367,'Mano Obra'!$B$2:$T$117,19,0)</f>
        <v>120456</v>
      </c>
      <c r="E3367" s="246">
        <f>H3329</f>
        <v>6.25E-2</v>
      </c>
      <c r="F3367" s="538">
        <f t="shared" ref="F3367:F3368" si="198">E3367*D3367*C3367</f>
        <v>7528.5</v>
      </c>
      <c r="G3367" s="557"/>
      <c r="H3367" s="121"/>
      <c r="J3367" s="136">
        <f>((('Mano Obra'!$M$5/30)*F3367)/D3367)*G3336</f>
        <v>0</v>
      </c>
    </row>
    <row r="3368" spans="1:15">
      <c r="A3368" s="558" t="s">
        <v>4186</v>
      </c>
      <c r="B3368" s="559">
        <f>VLOOKUP(A3368,'Mano Obra'!$B$3:$D$290,2,0)</f>
        <v>1100000</v>
      </c>
      <c r="C3368" s="101">
        <v>1</v>
      </c>
      <c r="D3368" s="104">
        <f>VLOOKUP(A3368,'Mano Obra'!$B$2:$T$117,19,0)</f>
        <v>72664</v>
      </c>
      <c r="E3368" s="246">
        <f>H3329</f>
        <v>6.25E-2</v>
      </c>
      <c r="F3368" s="538">
        <f t="shared" si="198"/>
        <v>4541.5</v>
      </c>
      <c r="G3368" s="557"/>
      <c r="H3368" s="120"/>
      <c r="J3368" s="136">
        <f>((('Mano Obra'!$M$6/30)*F3368)/D3368)*G3336</f>
        <v>0</v>
      </c>
    </row>
    <row r="3369" spans="1:15" ht="16.5">
      <c r="A3369" s="560" t="s">
        <v>4101</v>
      </c>
      <c r="B3369" s="560"/>
      <c r="C3369" s="560"/>
      <c r="D3369" s="560"/>
      <c r="E3369" s="560"/>
      <c r="F3369" s="560"/>
      <c r="G3369" s="560"/>
      <c r="H3369" s="105">
        <f>SUM(F3366:F3368)</f>
        <v>22484</v>
      </c>
      <c r="J3369" s="136"/>
    </row>
    <row r="3370" spans="1:15">
      <c r="A3370" s="227" t="s">
        <v>4237</v>
      </c>
      <c r="B3370" s="205"/>
      <c r="C3370" s="205"/>
      <c r="D3370" s="202"/>
      <c r="E3370" s="203"/>
      <c r="F3370" s="204"/>
      <c r="G3370" s="203"/>
      <c r="H3370" s="212"/>
    </row>
    <row r="3371" spans="1:15">
      <c r="A3371" s="561" t="s">
        <v>4224</v>
      </c>
      <c r="B3371" s="562"/>
      <c r="C3371" s="562"/>
      <c r="D3371" s="562"/>
      <c r="E3371" s="200"/>
      <c r="F3371" s="201" t="s">
        <v>4238</v>
      </c>
      <c r="G3371" s="200" t="s">
        <v>4239</v>
      </c>
      <c r="H3371" s="213"/>
    </row>
    <row r="3372" spans="1:15">
      <c r="A3372" s="223" t="s">
        <v>4097</v>
      </c>
      <c r="B3372" s="72"/>
      <c r="C3372" s="72"/>
      <c r="D3372" s="73"/>
      <c r="E3372" s="78"/>
      <c r="F3372" s="79">
        <v>0</v>
      </c>
      <c r="G3372" s="80">
        <f>F3372*H3337</f>
        <v>0</v>
      </c>
      <c r="H3372" s="212"/>
    </row>
    <row r="3373" spans="1:15">
      <c r="A3373" s="224" t="s">
        <v>4240</v>
      </c>
      <c r="B3373" s="81"/>
      <c r="C3373" s="81"/>
      <c r="D3373" s="82"/>
      <c r="E3373" s="78"/>
      <c r="F3373" s="79">
        <v>0</v>
      </c>
      <c r="G3373" s="80">
        <f>F3373*H3337</f>
        <v>0</v>
      </c>
      <c r="H3373" s="212"/>
    </row>
    <row r="3374" spans="1:15">
      <c r="A3374" s="224" t="s">
        <v>4</v>
      </c>
      <c r="B3374" s="81"/>
      <c r="C3374" s="81"/>
      <c r="D3374" s="82"/>
      <c r="E3374" s="78"/>
      <c r="F3374" s="79">
        <v>0</v>
      </c>
      <c r="G3374" s="80">
        <f>F3374*H3337</f>
        <v>0</v>
      </c>
      <c r="H3374" s="212"/>
    </row>
    <row r="3375" spans="1:15">
      <c r="A3375" s="225"/>
      <c r="B3375" s="83"/>
      <c r="C3375" s="75"/>
      <c r="D3375" s="84"/>
      <c r="E3375" s="85"/>
      <c r="F3375" s="86"/>
      <c r="G3375" s="87"/>
      <c r="H3375" s="214"/>
    </row>
    <row r="3376" spans="1:15">
      <c r="A3376" s="226"/>
      <c r="B3376" s="83"/>
      <c r="C3376" s="83"/>
      <c r="D3376" s="84"/>
      <c r="E3376" s="88"/>
      <c r="F3376" s="563" t="s">
        <v>4241</v>
      </c>
      <c r="G3376" s="564"/>
      <c r="H3376" s="233">
        <f>H3337+G3372+G3373+G3374</f>
        <v>355029.35225</v>
      </c>
    </row>
    <row r="3377" spans="1:14">
      <c r="A3377" s="83"/>
      <c r="B3377" s="83"/>
      <c r="C3377" s="83"/>
      <c r="D3377" s="84"/>
      <c r="E3377" s="388"/>
      <c r="F3377" s="389"/>
      <c r="G3377" s="389"/>
      <c r="H3377" s="390"/>
    </row>
    <row r="3378" spans="1:14" ht="16.5">
      <c r="A3378" s="90"/>
      <c r="B3378" s="90"/>
      <c r="C3378" s="90"/>
      <c r="D3378" s="90"/>
      <c r="E3378" s="90"/>
      <c r="F3378" s="90"/>
      <c r="G3378" s="90"/>
      <c r="H3378" s="381"/>
    </row>
    <row r="3379" spans="1:14">
      <c r="A3379" s="579" t="s">
        <v>4225</v>
      </c>
      <c r="B3379" s="580"/>
      <c r="C3379" s="580"/>
      <c r="D3379" s="580"/>
      <c r="E3379" s="580"/>
      <c r="F3379" s="580"/>
      <c r="G3379" s="580"/>
      <c r="H3379" s="581"/>
    </row>
    <row r="3380" spans="1:14" ht="16.5">
      <c r="A3380" s="91"/>
      <c r="B3380" s="92"/>
      <c r="C3380" s="92"/>
      <c r="D3380" s="92"/>
      <c r="E3380" s="92"/>
      <c r="F3380" s="93"/>
      <c r="G3380" s="94"/>
      <c r="H3380" s="380">
        <f>ROUND((30/60)/8,4)</f>
        <v>6.25E-2</v>
      </c>
      <c r="I3380" s="115"/>
    </row>
    <row r="3381" spans="1:14">
      <c r="A3381" s="582" t="s">
        <v>4220</v>
      </c>
      <c r="B3381" s="584" t="str">
        <f>COSTOS!$C$14</f>
        <v>MODERNIZACION A TECNOLOGIA LED</v>
      </c>
      <c r="C3381" s="584"/>
      <c r="D3381" s="584"/>
      <c r="E3381" s="584"/>
      <c r="F3381" s="584"/>
      <c r="G3381" s="584"/>
      <c r="H3381" s="585" t="s">
        <v>4221</v>
      </c>
    </row>
    <row r="3382" spans="1:14">
      <c r="A3382" s="583"/>
      <c r="B3382" s="584"/>
      <c r="C3382" s="584"/>
      <c r="D3382" s="584"/>
      <c r="E3382" s="584"/>
      <c r="F3382" s="584"/>
      <c r="G3382" s="584"/>
      <c r="H3382" s="585"/>
    </row>
    <row r="3383" spans="1:14">
      <c r="A3383" s="583"/>
      <c r="B3383" s="584"/>
      <c r="C3383" s="584"/>
      <c r="D3383" s="584"/>
      <c r="E3383" s="584"/>
      <c r="F3383" s="584"/>
      <c r="G3383" s="584"/>
      <c r="H3383" s="585"/>
    </row>
    <row r="3384" spans="1:14" ht="15" customHeight="1">
      <c r="A3384" s="583"/>
      <c r="B3384" s="584"/>
      <c r="C3384" s="584"/>
      <c r="D3384" s="584"/>
      <c r="E3384" s="584"/>
      <c r="F3384" s="584"/>
      <c r="G3384" s="584"/>
      <c r="H3384" s="216">
        <f ca="1">TODAY()</f>
        <v>44889</v>
      </c>
      <c r="K3384" t="s">
        <v>4391</v>
      </c>
      <c r="L3384" t="s">
        <v>4392</v>
      </c>
      <c r="M3384" t="s">
        <v>4393</v>
      </c>
      <c r="N3384" t="s">
        <v>4394</v>
      </c>
    </row>
    <row r="3385" spans="1:14" ht="60.75" customHeight="1">
      <c r="A3385" s="228" t="s">
        <v>4222</v>
      </c>
      <c r="B3385" s="565" t="str">
        <f>COSTOS!$D$16</f>
        <v>Luminarias</v>
      </c>
      <c r="C3385" s="565"/>
      <c r="D3385" s="565"/>
      <c r="E3385" s="565"/>
      <c r="F3385" s="565"/>
      <c r="G3385" s="70" t="s">
        <v>4223</v>
      </c>
      <c r="H3385" s="391">
        <v>1.67</v>
      </c>
      <c r="K3385" s="62">
        <f>H3410</f>
        <v>877144.53933618963</v>
      </c>
      <c r="L3385" s="62">
        <f>H3420</f>
        <v>22484</v>
      </c>
      <c r="M3385" s="62">
        <f>H3393</f>
        <v>4034.53125</v>
      </c>
      <c r="N3385" s="62">
        <f>H3414</f>
        <v>4800</v>
      </c>
    </row>
    <row r="3386" spans="1:14" ht="43.15" customHeight="1">
      <c r="A3386" s="229" t="s">
        <v>4224</v>
      </c>
      <c r="B3386" s="566" t="str">
        <f>VLOOKUP(H3385,COSTOS!C:M,2,0)</f>
        <v>Reflector de sodio de 200w</v>
      </c>
      <c r="C3386" s="567"/>
      <c r="D3386" s="567"/>
      <c r="E3386" s="568"/>
      <c r="F3386" s="71" t="s">
        <v>0</v>
      </c>
      <c r="G3386" s="356" t="str">
        <f>VLOOKUP(H3385,COSTOS!C:M,8,0)</f>
        <v>Und</v>
      </c>
      <c r="H3386" s="276"/>
      <c r="I3386" s="306"/>
      <c r="J3386" s="308"/>
      <c r="K3386" s="308"/>
      <c r="L3386" s="308"/>
    </row>
    <row r="3387" spans="1:14">
      <c r="A3387" s="230"/>
      <c r="B3387" s="112"/>
      <c r="C3387" s="112"/>
      <c r="D3387" s="112"/>
      <c r="E3387" s="113"/>
      <c r="F3387" s="114" t="s">
        <v>1</v>
      </c>
      <c r="G3387" s="356">
        <f>VLOOKUP(H3385,COSTOS!C:M,9,0)</f>
        <v>0</v>
      </c>
      <c r="H3387" s="357"/>
      <c r="I3387" s="307"/>
    </row>
    <row r="3388" spans="1:14" ht="16.5">
      <c r="A3388" s="231" t="s">
        <v>4226</v>
      </c>
      <c r="B3388" s="75"/>
      <c r="C3388" s="75"/>
      <c r="D3388" s="76"/>
      <c r="E3388" s="209"/>
      <c r="F3388" s="210"/>
      <c r="G3388" s="211" t="s">
        <v>4227</v>
      </c>
      <c r="H3388" s="217">
        <f>H3393+H3410+H3414+H3420</f>
        <v>908463.07058618963</v>
      </c>
    </row>
    <row r="3389" spans="1:14" ht="39">
      <c r="A3389" s="569" t="s">
        <v>4224</v>
      </c>
      <c r="B3389" s="569"/>
      <c r="C3389" s="569"/>
      <c r="D3389" s="77" t="s">
        <v>0</v>
      </c>
      <c r="E3389" s="207" t="s">
        <v>4228</v>
      </c>
      <c r="F3389" s="208" t="s">
        <v>4215</v>
      </c>
      <c r="G3389" s="74" t="s">
        <v>2</v>
      </c>
      <c r="H3389" s="218" t="s">
        <v>4229</v>
      </c>
      <c r="K3389" s="309"/>
    </row>
    <row r="3390" spans="1:14">
      <c r="A3390" s="536" t="s">
        <v>3946</v>
      </c>
      <c r="B3390" s="570" t="str">
        <f>VLOOKUP(A3390,'Equip, Herr y Transp'!$B$2:$D$739,2,0)</f>
        <v>EQU</v>
      </c>
      <c r="C3390" s="570"/>
      <c r="D3390" s="95" t="str">
        <f>VLOOKUP(A3390,'Equip, Herr y Transp'!$B$2:$D$218,2,0)</f>
        <v>EQU</v>
      </c>
      <c r="E3390" s="95">
        <f>VLOOKUP(A3390,'Equip, Herr y Transp'!$B$2:$D$218,3,0)</f>
        <v>14130</v>
      </c>
      <c r="F3390" s="96">
        <f>H3380</f>
        <v>6.25E-2</v>
      </c>
      <c r="G3390" s="122">
        <f>F3390*E3390</f>
        <v>883.125</v>
      </c>
      <c r="H3390" s="118"/>
    </row>
    <row r="3391" spans="1:14">
      <c r="A3391" s="536" t="s">
        <v>3904</v>
      </c>
      <c r="B3391" s="570" t="str">
        <f>VLOOKUP(A3391,'Equip, Herr y Transp'!$B$2:$D$739,2,0)</f>
        <v>EQU</v>
      </c>
      <c r="C3391" s="570"/>
      <c r="D3391" s="95" t="str">
        <f>VLOOKUP(A3391,'Equip, Herr y Transp'!$B$2:$D$218,2,0)</f>
        <v>EQU</v>
      </c>
      <c r="E3391" s="95">
        <f>VLOOKUP(A3391,'Equip, Herr y Transp'!$B$2:$D$218,3,0)</f>
        <v>26672.5</v>
      </c>
      <c r="F3391" s="96">
        <f>H3380</f>
        <v>6.25E-2</v>
      </c>
      <c r="G3391" s="122">
        <f>F3391*E3391</f>
        <v>1667.03125</v>
      </c>
      <c r="H3391" s="117"/>
    </row>
    <row r="3392" spans="1:14">
      <c r="A3392" s="536" t="s">
        <v>3937</v>
      </c>
      <c r="B3392" s="570" t="str">
        <f>VLOOKUP(A3392,'Equip, Herr y Transp'!$B$2:$D$739,2,0)</f>
        <v>EQU</v>
      </c>
      <c r="C3392" s="570"/>
      <c r="D3392" s="95" t="str">
        <f>VLOOKUP(A3392,'Equip, Herr y Transp'!$B$2:$D$218,2,0)</f>
        <v>EQU</v>
      </c>
      <c r="E3392" s="95">
        <f>VLOOKUP(A3392,'Equip, Herr y Transp'!$B$2:$D$218,3,0)</f>
        <v>23750</v>
      </c>
      <c r="F3392" s="96">
        <f>H3380</f>
        <v>6.25E-2</v>
      </c>
      <c r="G3392" s="122">
        <f>F3392*E3392</f>
        <v>1484.375</v>
      </c>
      <c r="H3392" s="117"/>
    </row>
    <row r="3393" spans="1:15" ht="16.5">
      <c r="A3393" s="540" t="s">
        <v>4100</v>
      </c>
      <c r="B3393" s="541"/>
      <c r="C3393" s="541"/>
      <c r="D3393" s="541"/>
      <c r="E3393" s="541"/>
      <c r="F3393" s="541"/>
      <c r="G3393" s="541"/>
      <c r="H3393" s="97">
        <f>SUM(G3390:G3392)</f>
        <v>4034.53125</v>
      </c>
    </row>
    <row r="3394" spans="1:15" ht="16.5">
      <c r="A3394" s="571" t="s">
        <v>4230</v>
      </c>
      <c r="B3394" s="572"/>
      <c r="C3394" s="572"/>
      <c r="D3394" s="572"/>
      <c r="E3394" s="572"/>
      <c r="F3394" s="572"/>
      <c r="G3394" s="572"/>
      <c r="H3394" s="573"/>
      <c r="K3394" s="56"/>
      <c r="L3394" s="56"/>
      <c r="M3394" s="56"/>
      <c r="N3394" s="56"/>
      <c r="O3394" s="56"/>
    </row>
    <row r="3395" spans="1:15" ht="30" customHeight="1">
      <c r="A3395" s="574" t="s">
        <v>7</v>
      </c>
      <c r="B3395" s="575"/>
      <c r="C3395" s="109" t="s">
        <v>0</v>
      </c>
      <c r="D3395" s="110" t="s">
        <v>4098</v>
      </c>
      <c r="E3395" s="111" t="s">
        <v>1</v>
      </c>
      <c r="F3395" s="576" t="s">
        <v>4218</v>
      </c>
      <c r="G3395" s="576"/>
      <c r="H3395" s="215"/>
      <c r="K3395" s="56"/>
      <c r="L3395" s="56"/>
      <c r="M3395" s="56"/>
      <c r="N3395" s="56"/>
      <c r="O3395" s="56"/>
    </row>
    <row r="3396" spans="1:15">
      <c r="A3396" s="577" t="s">
        <v>4787</v>
      </c>
      <c r="B3396" s="578"/>
      <c r="C3396" s="98" t="str">
        <f>VLOOKUP(A3396,'Materiales '!$C$2:$F$1302,3,0)</f>
        <v>Und</v>
      </c>
      <c r="D3396" s="99">
        <f>VLOOKUP(A3396,'Materiales '!$C$2:$F$1302,4,0)</f>
        <v>714050.99333618965</v>
      </c>
      <c r="E3396" s="100">
        <v>1</v>
      </c>
      <c r="F3396" s="538">
        <f>E3396*D3396</f>
        <v>714050.99333618965</v>
      </c>
      <c r="G3396" s="539"/>
      <c r="H3396" s="121"/>
      <c r="I3396">
        <f>E3396*G3387</f>
        <v>0</v>
      </c>
      <c r="J3396" s="67"/>
      <c r="K3396" s="56"/>
      <c r="L3396" s="56"/>
      <c r="M3396" s="56"/>
      <c r="N3396" s="56"/>
      <c r="O3396" s="56"/>
    </row>
    <row r="3397" spans="1:15">
      <c r="A3397" s="577" t="s">
        <v>4214</v>
      </c>
      <c r="B3397" s="578"/>
      <c r="C3397" s="98" t="str">
        <f>VLOOKUP(A3397,'Materiales '!$C$2:$F$1302,3,0)</f>
        <v>Und</v>
      </c>
      <c r="D3397" s="99">
        <f>VLOOKUP(A3397,'Materiales '!$C$2:$F$1302,4,0)</f>
        <v>22848</v>
      </c>
      <c r="E3397" s="100">
        <v>1</v>
      </c>
      <c r="F3397" s="538">
        <f t="shared" ref="F3397:F3403" si="199">E3397*D3397</f>
        <v>22848</v>
      </c>
      <c r="G3397" s="539"/>
      <c r="H3397" s="121"/>
      <c r="I3397">
        <f>E3397*G3387</f>
        <v>0</v>
      </c>
      <c r="J3397" s="67"/>
      <c r="K3397" s="56"/>
      <c r="L3397" s="56"/>
      <c r="M3397" s="56"/>
      <c r="N3397" s="56"/>
      <c r="O3397" s="56"/>
    </row>
    <row r="3398" spans="1:15">
      <c r="A3398" s="536" t="s">
        <v>4484</v>
      </c>
      <c r="B3398" s="537" t="str">
        <f>VLOOKUP(A3398,'Materiales '!$C$2:$F$1302,3,0)</f>
        <v>Und</v>
      </c>
      <c r="C3398" s="98" t="str">
        <f>VLOOKUP(A3398,'Materiales '!$C$2:$F$1302,3,0)</f>
        <v>Und</v>
      </c>
      <c r="D3398" s="99">
        <f>VLOOKUP(A3398,'Materiales '!$C$2:$F$1302,4,0)</f>
        <v>21705.599999999999</v>
      </c>
      <c r="E3398" s="100">
        <v>2</v>
      </c>
      <c r="F3398" s="538">
        <f t="shared" si="199"/>
        <v>43411.199999999997</v>
      </c>
      <c r="G3398" s="539"/>
      <c r="H3398" s="121"/>
      <c r="I3398">
        <f>E3398*G3387</f>
        <v>0</v>
      </c>
      <c r="J3398" s="68"/>
      <c r="K3398" s="56"/>
      <c r="L3398" s="56"/>
      <c r="M3398" s="56"/>
      <c r="N3398" s="56"/>
      <c r="O3398" s="56"/>
    </row>
    <row r="3399" spans="1:15">
      <c r="A3399" s="536" t="s">
        <v>4489</v>
      </c>
      <c r="B3399" s="537" t="str">
        <f>VLOOKUP(A3399,'Materiales '!$C$2:$F$1302,3,0)</f>
        <v>Und</v>
      </c>
      <c r="C3399" s="98" t="str">
        <f>VLOOKUP(A3399,'Materiales '!$C$2:$F$1302,3,0)</f>
        <v>Und</v>
      </c>
      <c r="D3399" s="99">
        <f>VLOOKUP(A3399,'Materiales '!$C$2:$F$1302,4,0)</f>
        <v>8039.6399999999994</v>
      </c>
      <c r="E3399" s="100">
        <v>3</v>
      </c>
      <c r="F3399" s="538">
        <f t="shared" si="199"/>
        <v>24118.92</v>
      </c>
      <c r="G3399" s="539"/>
      <c r="H3399" s="121"/>
      <c r="I3399">
        <f>E3399*G3387</f>
        <v>0</v>
      </c>
      <c r="J3399" s="68"/>
      <c r="K3399" s="56"/>
      <c r="L3399" s="56"/>
      <c r="M3399" s="56"/>
      <c r="N3399" s="56"/>
      <c r="O3399" s="56"/>
    </row>
    <row r="3400" spans="1:15">
      <c r="A3400" s="536" t="s">
        <v>4554</v>
      </c>
      <c r="B3400" s="537" t="str">
        <f>VLOOKUP(A3400,'Materiales '!$C$2:$F$1302,3,0)</f>
        <v>Und</v>
      </c>
      <c r="C3400" s="98" t="str">
        <f>VLOOKUP(A3400,'Materiales '!$C$2:$F$1302,3,0)</f>
        <v>Und</v>
      </c>
      <c r="D3400" s="99">
        <f>VLOOKUP(A3400,'Materiales '!$C$2:$F$1302,4,0)</f>
        <v>2535.5329999999999</v>
      </c>
      <c r="E3400" s="100">
        <v>2</v>
      </c>
      <c r="F3400" s="538">
        <f t="shared" si="199"/>
        <v>5071.0659999999998</v>
      </c>
      <c r="G3400" s="539"/>
      <c r="H3400" s="121"/>
      <c r="I3400">
        <f>E3400*G3387</f>
        <v>0</v>
      </c>
      <c r="J3400" s="68"/>
      <c r="K3400" s="56"/>
      <c r="L3400" s="56"/>
      <c r="M3400" s="56"/>
      <c r="N3400" s="56"/>
      <c r="O3400" s="56"/>
    </row>
    <row r="3401" spans="1:15">
      <c r="A3401" s="536" t="s">
        <v>4450</v>
      </c>
      <c r="B3401" s="537" t="str">
        <f>VLOOKUP(A3401,'Materiales '!$C$2:$F$1302,3,0)</f>
        <v>Ml</v>
      </c>
      <c r="C3401" s="98" t="str">
        <f>VLOOKUP(A3401,'Materiales '!$C$2:$F$1302,3,0)</f>
        <v>Ml</v>
      </c>
      <c r="D3401" s="99">
        <f>VLOOKUP(A3401,'Materiales '!$C$2:$F$1302,4,0)</f>
        <v>6791.5679999999993</v>
      </c>
      <c r="E3401" s="100">
        <v>1</v>
      </c>
      <c r="F3401" s="538">
        <f t="shared" si="199"/>
        <v>6791.5679999999993</v>
      </c>
      <c r="G3401" s="539"/>
      <c r="H3401" s="121"/>
      <c r="I3401">
        <f>E3401*G3387</f>
        <v>0</v>
      </c>
      <c r="J3401" s="68"/>
      <c r="K3401" s="56"/>
      <c r="L3401" s="56"/>
      <c r="M3401" s="56"/>
      <c r="N3401" s="56"/>
      <c r="O3401" s="56"/>
    </row>
    <row r="3402" spans="1:15">
      <c r="A3402" s="536" t="s">
        <v>4493</v>
      </c>
      <c r="B3402" s="537" t="str">
        <f>VLOOKUP(A3402,'Materiales '!$C$2:$F$1302,3,0)</f>
        <v>Und</v>
      </c>
      <c r="C3402" s="98" t="str">
        <f>VLOOKUP(A3402,'Materiales '!$C$2:$F$1302,3,0)</f>
        <v>Und</v>
      </c>
      <c r="D3402" s="99">
        <f>VLOOKUP(A3402,'Materiales '!$C$2:$F$1302,4,0)</f>
        <v>232.76399999999998</v>
      </c>
      <c r="E3402" s="100">
        <v>3</v>
      </c>
      <c r="F3402" s="538">
        <f t="shared" si="199"/>
        <v>698.29199999999992</v>
      </c>
      <c r="G3402" s="539"/>
      <c r="H3402" s="121"/>
      <c r="I3402">
        <f>E3402*G3387</f>
        <v>0</v>
      </c>
      <c r="J3402" s="68"/>
      <c r="K3402" s="56"/>
      <c r="L3402" s="56"/>
      <c r="M3402" s="56"/>
      <c r="N3402" s="56"/>
      <c r="O3402" s="56"/>
    </row>
    <row r="3403" spans="1:15" ht="21.75" customHeight="1">
      <c r="A3403" s="536" t="s">
        <v>4498</v>
      </c>
      <c r="B3403" s="537" t="str">
        <f>VLOOKUP(A3403,'Materiales '!$C$2:$F$1302,3,0)</f>
        <v>Und</v>
      </c>
      <c r="C3403" s="98" t="str">
        <f>VLOOKUP(A3403,'Materiales '!$C$2:$F$1302,3,0)</f>
        <v>Und</v>
      </c>
      <c r="D3403" s="99">
        <f>VLOOKUP(A3403,'Materiales '!$C$2:$F$1302,4,0)</f>
        <v>120309</v>
      </c>
      <c r="E3403" s="100">
        <v>0.5</v>
      </c>
      <c r="F3403" s="538">
        <f t="shared" si="199"/>
        <v>60154.5</v>
      </c>
      <c r="G3403" s="539"/>
      <c r="H3403" s="121"/>
      <c r="I3403">
        <f>E3403*G3387</f>
        <v>0</v>
      </c>
      <c r="J3403" s="68"/>
      <c r="K3403" s="56"/>
      <c r="L3403" s="56"/>
      <c r="M3403" s="56"/>
      <c r="N3403" s="56"/>
      <c r="O3403" s="56"/>
    </row>
    <row r="3404" spans="1:15">
      <c r="A3404" s="536" t="s">
        <v>8</v>
      </c>
      <c r="B3404" s="537" t="str">
        <f>VLOOKUP(A3404,'Materiales '!$C$2:$F$1302,3,0)</f>
        <v>-</v>
      </c>
      <c r="C3404" s="98" t="str">
        <f>VLOOKUP(A3404,'Materiales '!$C$2:$F$1302,3,0)</f>
        <v>-</v>
      </c>
      <c r="D3404" s="99">
        <f>VLOOKUP(A3404,'Materiales '!$C$2:$F$1302,4,0)</f>
        <v>0</v>
      </c>
      <c r="E3404" s="100"/>
      <c r="F3404" s="538">
        <f>E3404*D3404</f>
        <v>0</v>
      </c>
      <c r="G3404" s="539"/>
      <c r="H3404" s="120"/>
      <c r="I3404">
        <f>E3404*G3387</f>
        <v>0</v>
      </c>
      <c r="J3404" s="68"/>
      <c r="K3404" s="56"/>
      <c r="L3404" s="56"/>
      <c r="M3404" s="56"/>
      <c r="N3404" s="56"/>
      <c r="O3404" s="56"/>
    </row>
    <row r="3405" spans="1:15">
      <c r="A3405" s="536" t="s">
        <v>8</v>
      </c>
      <c r="B3405" s="537" t="str">
        <f>VLOOKUP(A3405,'Materiales '!$C$2:$F$1302,3,0)</f>
        <v>-</v>
      </c>
      <c r="C3405" s="98" t="str">
        <f>VLOOKUP(A3405,'Materiales '!$C$2:$F$1302,3,0)</f>
        <v>-</v>
      </c>
      <c r="D3405" s="99">
        <f>VLOOKUP(A3405,'Materiales '!$C$2:$F$1302,4,0)</f>
        <v>0</v>
      </c>
      <c r="E3405" s="100"/>
      <c r="F3405" s="538">
        <f t="shared" ref="F3405:F3408" si="200">E3405*D3405</f>
        <v>0</v>
      </c>
      <c r="G3405" s="539"/>
      <c r="H3405" s="121"/>
      <c r="I3405">
        <f>E3405*G3387</f>
        <v>0</v>
      </c>
      <c r="J3405" s="68"/>
      <c r="K3405" s="56"/>
      <c r="L3405" s="56"/>
      <c r="M3405" s="56"/>
      <c r="N3405" s="56"/>
      <c r="O3405" s="56"/>
    </row>
    <row r="3406" spans="1:15">
      <c r="A3406" s="536" t="s">
        <v>8</v>
      </c>
      <c r="B3406" s="537" t="str">
        <f>VLOOKUP(A3406,'Materiales '!$C$2:$F$1302,3,0)</f>
        <v>-</v>
      </c>
      <c r="C3406" s="98" t="str">
        <f>VLOOKUP(A3406,'Materiales '!$C$2:$F$1302,3,0)</f>
        <v>-</v>
      </c>
      <c r="D3406" s="99">
        <f>VLOOKUP(A3406,'Materiales '!$C$2:$F$1302,4,0)</f>
        <v>0</v>
      </c>
      <c r="E3406" s="100"/>
      <c r="F3406" s="538">
        <f t="shared" si="200"/>
        <v>0</v>
      </c>
      <c r="G3406" s="539"/>
      <c r="H3406" s="121"/>
      <c r="I3406">
        <f>E3406*G3387</f>
        <v>0</v>
      </c>
      <c r="J3406" s="68"/>
      <c r="K3406" s="56"/>
      <c r="L3406" s="56"/>
      <c r="M3406" s="56"/>
      <c r="N3406" s="56"/>
      <c r="O3406" s="56"/>
    </row>
    <row r="3407" spans="1:15">
      <c r="A3407" s="536" t="s">
        <v>8</v>
      </c>
      <c r="B3407" s="537" t="str">
        <f>VLOOKUP(A3407,'Materiales '!$C$2:$F$1302,3,0)</f>
        <v>-</v>
      </c>
      <c r="C3407" s="98" t="str">
        <f>VLOOKUP(A3407,'Materiales '!$C$2:$F$1302,3,0)</f>
        <v>-</v>
      </c>
      <c r="D3407" s="99">
        <f>VLOOKUP(A3407,'Materiales '!$C$2:$F$1302,4,0)</f>
        <v>0</v>
      </c>
      <c r="E3407" s="100"/>
      <c r="F3407" s="538">
        <f t="shared" si="200"/>
        <v>0</v>
      </c>
      <c r="G3407" s="539"/>
      <c r="H3407" s="121"/>
      <c r="I3407">
        <f>E3407*G3387</f>
        <v>0</v>
      </c>
      <c r="J3407" s="68"/>
      <c r="K3407" s="56"/>
      <c r="L3407" s="56"/>
      <c r="M3407" s="56"/>
      <c r="N3407" s="56"/>
      <c r="O3407" s="56"/>
    </row>
    <row r="3408" spans="1:15">
      <c r="A3408" s="536" t="s">
        <v>8</v>
      </c>
      <c r="B3408" s="537" t="str">
        <f>VLOOKUP(A3408,'Materiales '!$C$2:$F$1302,3,0)</f>
        <v>-</v>
      </c>
      <c r="C3408" s="98" t="str">
        <f>VLOOKUP(A3408,'Materiales '!$C$2:$F$1302,3,0)</f>
        <v>-</v>
      </c>
      <c r="D3408" s="99">
        <f>VLOOKUP(A3408,'Materiales '!$C$2:$F$1302,4,0)</f>
        <v>0</v>
      </c>
      <c r="E3408" s="100"/>
      <c r="F3408" s="538">
        <f t="shared" si="200"/>
        <v>0</v>
      </c>
      <c r="G3408" s="539"/>
      <c r="H3408" s="121"/>
      <c r="I3408">
        <f>E3408*G3387</f>
        <v>0</v>
      </c>
      <c r="J3408" s="68"/>
      <c r="K3408" s="56"/>
      <c r="L3408" s="56"/>
      <c r="M3408" s="56"/>
      <c r="N3408" s="56"/>
      <c r="O3408" s="56"/>
    </row>
    <row r="3409" spans="1:15">
      <c r="A3409" s="536" t="s">
        <v>8</v>
      </c>
      <c r="B3409" s="537" t="str">
        <f>VLOOKUP(A3409,'Materiales '!$C$2:$F$1302,3,0)</f>
        <v>-</v>
      </c>
      <c r="C3409" s="98" t="str">
        <f>VLOOKUP(A3409,'Materiales '!$C$2:$F$1302,3,0)</f>
        <v>-</v>
      </c>
      <c r="D3409" s="99">
        <f>VLOOKUP(A3409,'Materiales '!$C$2:$F$1302,4,0)</f>
        <v>0</v>
      </c>
      <c r="E3409" s="100"/>
      <c r="F3409" s="538">
        <f>E3409*D3409</f>
        <v>0</v>
      </c>
      <c r="G3409" s="539"/>
      <c r="H3409" s="120"/>
      <c r="I3409">
        <f>E3409*G3387</f>
        <v>0</v>
      </c>
      <c r="J3409" s="68"/>
      <c r="K3409" s="56"/>
      <c r="L3409" s="56"/>
      <c r="M3409" s="56"/>
      <c r="N3409" s="56"/>
      <c r="O3409" s="56"/>
    </row>
    <row r="3410" spans="1:15" ht="16.5">
      <c r="A3410" s="540" t="s">
        <v>4099</v>
      </c>
      <c r="B3410" s="541"/>
      <c r="C3410" s="541"/>
      <c r="D3410" s="541"/>
      <c r="E3410" s="541"/>
      <c r="F3410" s="541"/>
      <c r="G3410" s="542"/>
      <c r="H3410" s="116">
        <f>SUM(F3396:F3409)</f>
        <v>877144.53933618963</v>
      </c>
      <c r="J3410" s="68"/>
      <c r="K3410" s="56"/>
      <c r="L3410" s="56"/>
      <c r="M3410" s="56"/>
      <c r="N3410" s="56"/>
      <c r="O3410" s="56"/>
    </row>
    <row r="3411" spans="1:15" ht="16.5">
      <c r="A3411" s="543" t="s">
        <v>4231</v>
      </c>
      <c r="B3411" s="544"/>
      <c r="C3411" s="544"/>
      <c r="D3411" s="544"/>
      <c r="E3411" s="545"/>
      <c r="F3411" s="544"/>
      <c r="G3411" s="544"/>
      <c r="H3411" s="546"/>
      <c r="J3411" s="68"/>
      <c r="K3411" s="56"/>
      <c r="L3411" s="56"/>
      <c r="M3411" s="56"/>
      <c r="N3411" s="56"/>
      <c r="O3411" s="56"/>
    </row>
    <row r="3412" spans="1:15">
      <c r="A3412" s="547" t="s">
        <v>7</v>
      </c>
      <c r="B3412" s="548"/>
      <c r="C3412" s="108" t="s">
        <v>4232</v>
      </c>
      <c r="D3412" s="107" t="s">
        <v>4233</v>
      </c>
      <c r="E3412" s="206" t="s">
        <v>4234</v>
      </c>
      <c r="F3412" s="549" t="s">
        <v>4218</v>
      </c>
      <c r="G3412" s="549"/>
      <c r="H3412" s="119"/>
      <c r="K3412" s="56"/>
      <c r="L3412" s="56"/>
      <c r="M3412" s="56"/>
      <c r="N3412" s="56"/>
      <c r="O3412" s="56"/>
    </row>
    <row r="3413" spans="1:15">
      <c r="A3413" s="550" t="s">
        <v>3928</v>
      </c>
      <c r="B3413" s="551"/>
      <c r="C3413" s="232">
        <v>1</v>
      </c>
      <c r="D3413" s="102">
        <v>0.03</v>
      </c>
      <c r="E3413" s="103">
        <f>VLOOKUP(A3413,'Equip, Herr y Transp'!$B$2:$D$218,3,0)</f>
        <v>160000</v>
      </c>
      <c r="F3413" s="552">
        <f>E3413*D3413*C3413</f>
        <v>4800</v>
      </c>
      <c r="G3413" s="553"/>
      <c r="H3413" s="117"/>
      <c r="M3413" s="56"/>
    </row>
    <row r="3414" spans="1:15" ht="16.5">
      <c r="A3414" s="554" t="s">
        <v>4216</v>
      </c>
      <c r="B3414" s="555"/>
      <c r="C3414" s="555"/>
      <c r="D3414" s="555"/>
      <c r="E3414" s="555"/>
      <c r="F3414" s="555"/>
      <c r="G3414" s="555"/>
      <c r="H3414" s="105">
        <f>F3413</f>
        <v>4800</v>
      </c>
    </row>
    <row r="3415" spans="1:15" ht="16.5">
      <c r="A3415" s="543" t="s">
        <v>4235</v>
      </c>
      <c r="B3415" s="544"/>
      <c r="C3415" s="544"/>
      <c r="D3415" s="544"/>
      <c r="E3415" s="544"/>
      <c r="F3415" s="544"/>
      <c r="G3415" s="544"/>
      <c r="H3415" s="546"/>
    </row>
    <row r="3416" spans="1:15">
      <c r="A3416" s="547" t="s">
        <v>7</v>
      </c>
      <c r="B3416" s="548"/>
      <c r="C3416" s="106" t="s">
        <v>1</v>
      </c>
      <c r="D3416" s="107" t="s">
        <v>4236</v>
      </c>
      <c r="E3416" s="108" t="s">
        <v>4215</v>
      </c>
      <c r="F3416" s="547" t="s">
        <v>5</v>
      </c>
      <c r="G3416" s="556"/>
      <c r="H3416" s="119"/>
    </row>
    <row r="3417" spans="1:15">
      <c r="A3417" s="550" t="s">
        <v>4196</v>
      </c>
      <c r="B3417" s="551"/>
      <c r="C3417" s="101">
        <v>1</v>
      </c>
      <c r="D3417" s="104">
        <f>VLOOKUP(A3417,'Mano Obra'!$B$2:$T$117,19,0)</f>
        <v>166624</v>
      </c>
      <c r="E3417" s="246">
        <f>H3380</f>
        <v>6.25E-2</v>
      </c>
      <c r="F3417" s="538">
        <f>E3417*D3417*C3417</f>
        <v>10414</v>
      </c>
      <c r="G3417" s="557"/>
      <c r="H3417" s="121"/>
      <c r="I3417" s="69"/>
      <c r="J3417" s="136">
        <f>((('Mano Obra'!$M$4/30)*F3417)/D3417)*G3387</f>
        <v>0</v>
      </c>
    </row>
    <row r="3418" spans="1:15">
      <c r="A3418" s="558" t="s">
        <v>4197</v>
      </c>
      <c r="B3418" s="559">
        <f>VLOOKUP(A3418,'Mano Obra'!$B$3:$D$290,2,0)</f>
        <v>2090000.0000000002</v>
      </c>
      <c r="C3418" s="101">
        <v>1</v>
      </c>
      <c r="D3418" s="104">
        <f>VLOOKUP(A3418,'Mano Obra'!$B$2:$T$117,19,0)</f>
        <v>120456</v>
      </c>
      <c r="E3418" s="246">
        <f>H3380</f>
        <v>6.25E-2</v>
      </c>
      <c r="F3418" s="538">
        <f t="shared" ref="F3418:F3419" si="201">E3418*D3418*C3418</f>
        <v>7528.5</v>
      </c>
      <c r="G3418" s="557"/>
      <c r="H3418" s="121"/>
      <c r="J3418" s="136">
        <f>((('Mano Obra'!$M$5/30)*F3418)/D3418)*G3387</f>
        <v>0</v>
      </c>
    </row>
    <row r="3419" spans="1:15">
      <c r="A3419" s="558" t="s">
        <v>4186</v>
      </c>
      <c r="B3419" s="559">
        <f>VLOOKUP(A3419,'Mano Obra'!$B$3:$D$290,2,0)</f>
        <v>1100000</v>
      </c>
      <c r="C3419" s="101">
        <v>1</v>
      </c>
      <c r="D3419" s="104">
        <f>VLOOKUP(A3419,'Mano Obra'!$B$2:$T$117,19,0)</f>
        <v>72664</v>
      </c>
      <c r="E3419" s="246">
        <f>H3380</f>
        <v>6.25E-2</v>
      </c>
      <c r="F3419" s="538">
        <f t="shared" si="201"/>
        <v>4541.5</v>
      </c>
      <c r="G3419" s="557"/>
      <c r="H3419" s="120"/>
      <c r="J3419" s="136">
        <f>((('Mano Obra'!$M$6/30)*F3419)/D3419)*G3387</f>
        <v>0</v>
      </c>
    </row>
    <row r="3420" spans="1:15" ht="16.5">
      <c r="A3420" s="560" t="s">
        <v>4101</v>
      </c>
      <c r="B3420" s="560"/>
      <c r="C3420" s="560"/>
      <c r="D3420" s="560"/>
      <c r="E3420" s="560"/>
      <c r="F3420" s="560"/>
      <c r="G3420" s="560"/>
      <c r="H3420" s="105">
        <f>SUM(F3417:F3419)</f>
        <v>22484</v>
      </c>
      <c r="J3420" s="136"/>
    </row>
    <row r="3421" spans="1:15">
      <c r="A3421" s="227" t="s">
        <v>4237</v>
      </c>
      <c r="B3421" s="205"/>
      <c r="C3421" s="205"/>
      <c r="D3421" s="202"/>
      <c r="E3421" s="203"/>
      <c r="F3421" s="204"/>
      <c r="G3421" s="203"/>
      <c r="H3421" s="212"/>
    </row>
    <row r="3422" spans="1:15">
      <c r="A3422" s="561" t="s">
        <v>4224</v>
      </c>
      <c r="B3422" s="562"/>
      <c r="C3422" s="562"/>
      <c r="D3422" s="562"/>
      <c r="E3422" s="200"/>
      <c r="F3422" s="201" t="s">
        <v>4238</v>
      </c>
      <c r="G3422" s="200" t="s">
        <v>4239</v>
      </c>
      <c r="H3422" s="213"/>
    </row>
    <row r="3423" spans="1:15">
      <c r="A3423" s="223" t="s">
        <v>4097</v>
      </c>
      <c r="B3423" s="72"/>
      <c r="C3423" s="72"/>
      <c r="D3423" s="73"/>
      <c r="E3423" s="78"/>
      <c r="F3423" s="79">
        <v>0</v>
      </c>
      <c r="G3423" s="80">
        <f>F3423*H3388</f>
        <v>0</v>
      </c>
      <c r="H3423" s="212"/>
    </row>
    <row r="3424" spans="1:15">
      <c r="A3424" s="224" t="s">
        <v>4240</v>
      </c>
      <c r="B3424" s="81"/>
      <c r="C3424" s="81"/>
      <c r="D3424" s="82"/>
      <c r="E3424" s="78"/>
      <c r="F3424" s="79">
        <v>0</v>
      </c>
      <c r="G3424" s="80">
        <f>F3424*H3388</f>
        <v>0</v>
      </c>
      <c r="H3424" s="212"/>
    </row>
    <row r="3425" spans="1:14">
      <c r="A3425" s="224" t="s">
        <v>4</v>
      </c>
      <c r="B3425" s="81"/>
      <c r="C3425" s="81"/>
      <c r="D3425" s="82"/>
      <c r="E3425" s="78"/>
      <c r="F3425" s="79">
        <v>0</v>
      </c>
      <c r="G3425" s="80">
        <f>F3425*H3388</f>
        <v>0</v>
      </c>
      <c r="H3425" s="212"/>
    </row>
    <row r="3426" spans="1:14">
      <c r="A3426" s="225"/>
      <c r="B3426" s="83"/>
      <c r="C3426" s="75"/>
      <c r="D3426" s="84"/>
      <c r="E3426" s="85"/>
      <c r="F3426" s="86"/>
      <c r="G3426" s="87"/>
      <c r="H3426" s="214"/>
    </row>
    <row r="3427" spans="1:14">
      <c r="A3427" s="226"/>
      <c r="B3427" s="83"/>
      <c r="C3427" s="83"/>
      <c r="D3427" s="84"/>
      <c r="E3427" s="88"/>
      <c r="F3427" s="563" t="s">
        <v>4241</v>
      </c>
      <c r="G3427" s="564"/>
      <c r="H3427" s="233">
        <f>H3388+G3423+G3424+G3425</f>
        <v>908463.07058618963</v>
      </c>
    </row>
    <row r="3428" spans="1:14">
      <c r="A3428" s="83"/>
      <c r="B3428" s="83"/>
      <c r="C3428" s="83"/>
      <c r="D3428" s="84"/>
      <c r="E3428" s="388"/>
      <c r="F3428" s="389"/>
      <c r="G3428" s="389"/>
      <c r="H3428" s="390"/>
    </row>
    <row r="3429" spans="1:14" ht="16.5">
      <c r="A3429" s="90"/>
      <c r="B3429" s="90"/>
      <c r="C3429" s="90"/>
      <c r="D3429" s="90"/>
      <c r="E3429" s="90"/>
      <c r="F3429" s="90"/>
      <c r="G3429" s="90"/>
      <c r="H3429" s="381"/>
    </row>
    <row r="3430" spans="1:14">
      <c r="A3430" s="579" t="s">
        <v>4225</v>
      </c>
      <c r="B3430" s="580"/>
      <c r="C3430" s="580"/>
      <c r="D3430" s="580"/>
      <c r="E3430" s="580"/>
      <c r="F3430" s="580"/>
      <c r="G3430" s="580"/>
      <c r="H3430" s="581"/>
    </row>
    <row r="3431" spans="1:14" ht="16.5">
      <c r="A3431" s="91"/>
      <c r="B3431" s="92"/>
      <c r="C3431" s="92"/>
      <c r="D3431" s="92"/>
      <c r="E3431" s="92"/>
      <c r="F3431" s="93"/>
      <c r="G3431" s="94"/>
      <c r="H3431" s="380">
        <f>ROUND((30/60)/8,4)</f>
        <v>6.25E-2</v>
      </c>
      <c r="I3431" s="115"/>
    </row>
    <row r="3432" spans="1:14">
      <c r="A3432" s="582" t="s">
        <v>4220</v>
      </c>
      <c r="B3432" s="584" t="str">
        <f>COSTOS!$C$14</f>
        <v>MODERNIZACION A TECNOLOGIA LED</v>
      </c>
      <c r="C3432" s="584"/>
      <c r="D3432" s="584"/>
      <c r="E3432" s="584"/>
      <c r="F3432" s="584"/>
      <c r="G3432" s="584"/>
      <c r="H3432" s="585" t="s">
        <v>4221</v>
      </c>
    </row>
    <row r="3433" spans="1:14">
      <c r="A3433" s="583"/>
      <c r="B3433" s="584"/>
      <c r="C3433" s="584"/>
      <c r="D3433" s="584"/>
      <c r="E3433" s="584"/>
      <c r="F3433" s="584"/>
      <c r="G3433" s="584"/>
      <c r="H3433" s="585"/>
    </row>
    <row r="3434" spans="1:14">
      <c r="A3434" s="583"/>
      <c r="B3434" s="584"/>
      <c r="C3434" s="584"/>
      <c r="D3434" s="584"/>
      <c r="E3434" s="584"/>
      <c r="F3434" s="584"/>
      <c r="G3434" s="584"/>
      <c r="H3434" s="585"/>
    </row>
    <row r="3435" spans="1:14" ht="15" customHeight="1">
      <c r="A3435" s="583"/>
      <c r="B3435" s="584"/>
      <c r="C3435" s="584"/>
      <c r="D3435" s="584"/>
      <c r="E3435" s="584"/>
      <c r="F3435" s="584"/>
      <c r="G3435" s="584"/>
      <c r="H3435" s="216">
        <f ca="1">TODAY()</f>
        <v>44889</v>
      </c>
      <c r="K3435" t="s">
        <v>4391</v>
      </c>
      <c r="L3435" t="s">
        <v>4392</v>
      </c>
      <c r="M3435" t="s">
        <v>4393</v>
      </c>
      <c r="N3435" t="s">
        <v>4394</v>
      </c>
    </row>
    <row r="3436" spans="1:14" ht="60.75" customHeight="1">
      <c r="A3436" s="228" t="s">
        <v>4222</v>
      </c>
      <c r="B3436" s="565" t="str">
        <f>COSTOS!$D$16</f>
        <v>Luminarias</v>
      </c>
      <c r="C3436" s="565"/>
      <c r="D3436" s="565"/>
      <c r="E3436" s="565"/>
      <c r="F3436" s="565"/>
      <c r="G3436" s="70" t="s">
        <v>4223</v>
      </c>
      <c r="H3436" s="391">
        <v>1.68</v>
      </c>
      <c r="K3436" s="62">
        <f>H3461</f>
        <v>2205133.5460000001</v>
      </c>
      <c r="L3436" s="62">
        <f>H3471</f>
        <v>22484</v>
      </c>
      <c r="M3436" s="62">
        <f>H3444</f>
        <v>4034.53125</v>
      </c>
      <c r="N3436" s="62">
        <f>H3465</f>
        <v>4800</v>
      </c>
    </row>
    <row r="3437" spans="1:14" ht="43.15" customHeight="1">
      <c r="A3437" s="229" t="s">
        <v>4224</v>
      </c>
      <c r="B3437" s="566" t="str">
        <f>VLOOKUP(H3436,COSTOS!C:M,2,0)</f>
        <v>Reflector de baja eficia led de 400w</v>
      </c>
      <c r="C3437" s="567"/>
      <c r="D3437" s="567"/>
      <c r="E3437" s="568"/>
      <c r="F3437" s="71" t="s">
        <v>0</v>
      </c>
      <c r="G3437" s="356" t="str">
        <f>VLOOKUP(H3436,COSTOS!C:M,8,0)</f>
        <v>Und</v>
      </c>
      <c r="H3437" s="276"/>
      <c r="I3437" s="306"/>
      <c r="J3437" s="308"/>
      <c r="K3437" s="308"/>
      <c r="L3437" s="308"/>
    </row>
    <row r="3438" spans="1:14">
      <c r="A3438" s="230"/>
      <c r="B3438" s="112"/>
      <c r="C3438" s="112"/>
      <c r="D3438" s="112"/>
      <c r="E3438" s="113"/>
      <c r="F3438" s="114" t="s">
        <v>1</v>
      </c>
      <c r="G3438" s="356">
        <f>VLOOKUP(H3436,COSTOS!C:M,9,0)</f>
        <v>0</v>
      </c>
      <c r="H3438" s="357"/>
      <c r="I3438" s="307"/>
    </row>
    <row r="3439" spans="1:14" ht="16.5">
      <c r="A3439" s="231" t="s">
        <v>4226</v>
      </c>
      <c r="B3439" s="75"/>
      <c r="C3439" s="75"/>
      <c r="D3439" s="76"/>
      <c r="E3439" s="209"/>
      <c r="F3439" s="210"/>
      <c r="G3439" s="211" t="s">
        <v>4227</v>
      </c>
      <c r="H3439" s="217">
        <f>H3444+H3461+H3465+H3471</f>
        <v>2236452.0772500001</v>
      </c>
    </row>
    <row r="3440" spans="1:14" ht="39">
      <c r="A3440" s="569" t="s">
        <v>4224</v>
      </c>
      <c r="B3440" s="569"/>
      <c r="C3440" s="569"/>
      <c r="D3440" s="77" t="s">
        <v>0</v>
      </c>
      <c r="E3440" s="207" t="s">
        <v>4228</v>
      </c>
      <c r="F3440" s="208" t="s">
        <v>4215</v>
      </c>
      <c r="G3440" s="74" t="s">
        <v>2</v>
      </c>
      <c r="H3440" s="218" t="s">
        <v>4229</v>
      </c>
      <c r="K3440" s="309"/>
    </row>
    <row r="3441" spans="1:15">
      <c r="A3441" s="536" t="s">
        <v>3946</v>
      </c>
      <c r="B3441" s="570" t="str">
        <f>VLOOKUP(A3441,'Equip, Herr y Transp'!$B$2:$D$739,2,0)</f>
        <v>EQU</v>
      </c>
      <c r="C3441" s="570"/>
      <c r="D3441" s="95" t="str">
        <f>VLOOKUP(A3441,'Equip, Herr y Transp'!$B$2:$D$218,2,0)</f>
        <v>EQU</v>
      </c>
      <c r="E3441" s="95">
        <f>VLOOKUP(A3441,'Equip, Herr y Transp'!$B$2:$D$218,3,0)</f>
        <v>14130</v>
      </c>
      <c r="F3441" s="96">
        <f>H3431</f>
        <v>6.25E-2</v>
      </c>
      <c r="G3441" s="122">
        <f>F3441*E3441</f>
        <v>883.125</v>
      </c>
      <c r="H3441" s="118"/>
    </row>
    <row r="3442" spans="1:15">
      <c r="A3442" s="536" t="s">
        <v>3904</v>
      </c>
      <c r="B3442" s="570" t="str">
        <f>VLOOKUP(A3442,'Equip, Herr y Transp'!$B$2:$D$739,2,0)</f>
        <v>EQU</v>
      </c>
      <c r="C3442" s="570"/>
      <c r="D3442" s="95" t="str">
        <f>VLOOKUP(A3442,'Equip, Herr y Transp'!$B$2:$D$218,2,0)</f>
        <v>EQU</v>
      </c>
      <c r="E3442" s="95">
        <f>VLOOKUP(A3442,'Equip, Herr y Transp'!$B$2:$D$218,3,0)</f>
        <v>26672.5</v>
      </c>
      <c r="F3442" s="96">
        <f>H3431</f>
        <v>6.25E-2</v>
      </c>
      <c r="G3442" s="122">
        <f>F3442*E3442</f>
        <v>1667.03125</v>
      </c>
      <c r="H3442" s="117"/>
    </row>
    <row r="3443" spans="1:15">
      <c r="A3443" s="536" t="s">
        <v>3937</v>
      </c>
      <c r="B3443" s="570" t="str">
        <f>VLOOKUP(A3443,'Equip, Herr y Transp'!$B$2:$D$739,2,0)</f>
        <v>EQU</v>
      </c>
      <c r="C3443" s="570"/>
      <c r="D3443" s="95" t="str">
        <f>VLOOKUP(A3443,'Equip, Herr y Transp'!$B$2:$D$218,2,0)</f>
        <v>EQU</v>
      </c>
      <c r="E3443" s="95">
        <f>VLOOKUP(A3443,'Equip, Herr y Transp'!$B$2:$D$218,3,0)</f>
        <v>23750</v>
      </c>
      <c r="F3443" s="96">
        <f>H3431</f>
        <v>6.25E-2</v>
      </c>
      <c r="G3443" s="122">
        <f>F3443*E3443</f>
        <v>1484.375</v>
      </c>
      <c r="H3443" s="117"/>
    </row>
    <row r="3444" spans="1:15" ht="16.5">
      <c r="A3444" s="540" t="s">
        <v>4100</v>
      </c>
      <c r="B3444" s="541"/>
      <c r="C3444" s="541"/>
      <c r="D3444" s="541"/>
      <c r="E3444" s="541"/>
      <c r="F3444" s="541"/>
      <c r="G3444" s="541"/>
      <c r="H3444" s="97">
        <f>SUM(G3441:G3443)</f>
        <v>4034.53125</v>
      </c>
    </row>
    <row r="3445" spans="1:15" ht="16.5">
      <c r="A3445" s="571" t="s">
        <v>4230</v>
      </c>
      <c r="B3445" s="572"/>
      <c r="C3445" s="572"/>
      <c r="D3445" s="572"/>
      <c r="E3445" s="572"/>
      <c r="F3445" s="572"/>
      <c r="G3445" s="572"/>
      <c r="H3445" s="573"/>
      <c r="K3445" s="56"/>
      <c r="L3445" s="56"/>
      <c r="M3445" s="56"/>
      <c r="N3445" s="56"/>
      <c r="O3445" s="56"/>
    </row>
    <row r="3446" spans="1:15" ht="30" customHeight="1">
      <c r="A3446" s="574" t="s">
        <v>7</v>
      </c>
      <c r="B3446" s="575"/>
      <c r="C3446" s="109" t="s">
        <v>0</v>
      </c>
      <c r="D3446" s="110" t="s">
        <v>4098</v>
      </c>
      <c r="E3446" s="111" t="s">
        <v>1</v>
      </c>
      <c r="F3446" s="576" t="s">
        <v>4218</v>
      </c>
      <c r="G3446" s="576"/>
      <c r="H3446" s="215"/>
      <c r="K3446" s="56"/>
      <c r="L3446" s="56"/>
      <c r="M3446" s="56"/>
      <c r="N3446" s="56"/>
      <c r="O3446" s="56"/>
    </row>
    <row r="3447" spans="1:15">
      <c r="A3447" s="577" t="s">
        <v>4789</v>
      </c>
      <c r="B3447" s="578"/>
      <c r="C3447" s="98" t="str">
        <f>VLOOKUP(A3447,'Materiales '!$C$2:$F$1302,3,0)</f>
        <v>Und</v>
      </c>
      <c r="D3447" s="99">
        <f>VLOOKUP(A3447,'Materiales '!$C$2:$F$1302,4,0)</f>
        <v>2042040.0000000002</v>
      </c>
      <c r="E3447" s="100">
        <v>1</v>
      </c>
      <c r="F3447" s="538">
        <f>E3447*D3447</f>
        <v>2042040.0000000002</v>
      </c>
      <c r="G3447" s="539"/>
      <c r="H3447" s="121"/>
      <c r="I3447">
        <f>E3447*G3438</f>
        <v>0</v>
      </c>
      <c r="J3447" s="67"/>
      <c r="K3447" s="56"/>
      <c r="L3447" s="56"/>
      <c r="M3447" s="56"/>
      <c r="N3447" s="56"/>
      <c r="O3447" s="56"/>
    </row>
    <row r="3448" spans="1:15">
      <c r="A3448" s="577" t="s">
        <v>4214</v>
      </c>
      <c r="B3448" s="578"/>
      <c r="C3448" s="98" t="str">
        <f>VLOOKUP(A3448,'Materiales '!$C$2:$F$1302,3,0)</f>
        <v>Und</v>
      </c>
      <c r="D3448" s="99">
        <f>VLOOKUP(A3448,'Materiales '!$C$2:$F$1302,4,0)</f>
        <v>22848</v>
      </c>
      <c r="E3448" s="100">
        <v>1</v>
      </c>
      <c r="F3448" s="538">
        <f t="shared" ref="F3448:F3454" si="202">E3448*D3448</f>
        <v>22848</v>
      </c>
      <c r="G3448" s="539"/>
      <c r="H3448" s="121"/>
      <c r="I3448">
        <f>E3448*G3438</f>
        <v>0</v>
      </c>
      <c r="J3448" s="67"/>
      <c r="K3448" s="56"/>
      <c r="L3448" s="56"/>
      <c r="M3448" s="56"/>
      <c r="N3448" s="56"/>
      <c r="O3448" s="56"/>
    </row>
    <row r="3449" spans="1:15">
      <c r="A3449" s="536" t="s">
        <v>4484</v>
      </c>
      <c r="B3449" s="537" t="str">
        <f>VLOOKUP(A3449,'Materiales '!$C$2:$F$1302,3,0)</f>
        <v>Und</v>
      </c>
      <c r="C3449" s="98" t="str">
        <f>VLOOKUP(A3449,'Materiales '!$C$2:$F$1302,3,0)</f>
        <v>Und</v>
      </c>
      <c r="D3449" s="99">
        <f>VLOOKUP(A3449,'Materiales '!$C$2:$F$1302,4,0)</f>
        <v>21705.599999999999</v>
      </c>
      <c r="E3449" s="100">
        <v>2</v>
      </c>
      <c r="F3449" s="538">
        <f t="shared" si="202"/>
        <v>43411.199999999997</v>
      </c>
      <c r="G3449" s="539"/>
      <c r="H3449" s="121"/>
      <c r="I3449">
        <f>E3449*G3438</f>
        <v>0</v>
      </c>
      <c r="J3449" s="68"/>
      <c r="K3449" s="56"/>
      <c r="L3449" s="56"/>
      <c r="M3449" s="56"/>
      <c r="N3449" s="56"/>
      <c r="O3449" s="56"/>
    </row>
    <row r="3450" spans="1:15">
      <c r="A3450" s="536" t="s">
        <v>4489</v>
      </c>
      <c r="B3450" s="537" t="str">
        <f>VLOOKUP(A3450,'Materiales '!$C$2:$F$1302,3,0)</f>
        <v>Und</v>
      </c>
      <c r="C3450" s="98" t="str">
        <f>VLOOKUP(A3450,'Materiales '!$C$2:$F$1302,3,0)</f>
        <v>Und</v>
      </c>
      <c r="D3450" s="99">
        <f>VLOOKUP(A3450,'Materiales '!$C$2:$F$1302,4,0)</f>
        <v>8039.6399999999994</v>
      </c>
      <c r="E3450" s="100">
        <v>3</v>
      </c>
      <c r="F3450" s="538">
        <f t="shared" si="202"/>
        <v>24118.92</v>
      </c>
      <c r="G3450" s="539"/>
      <c r="H3450" s="121"/>
      <c r="I3450">
        <f>E3450*G3438</f>
        <v>0</v>
      </c>
      <c r="J3450" s="68"/>
      <c r="K3450" s="56"/>
      <c r="L3450" s="56"/>
      <c r="M3450" s="56"/>
      <c r="N3450" s="56"/>
      <c r="O3450" s="56"/>
    </row>
    <row r="3451" spans="1:15">
      <c r="A3451" s="536" t="s">
        <v>4554</v>
      </c>
      <c r="B3451" s="537" t="str">
        <f>VLOOKUP(A3451,'Materiales '!$C$2:$F$1302,3,0)</f>
        <v>Und</v>
      </c>
      <c r="C3451" s="98" t="str">
        <f>VLOOKUP(A3451,'Materiales '!$C$2:$F$1302,3,0)</f>
        <v>Und</v>
      </c>
      <c r="D3451" s="99">
        <f>VLOOKUP(A3451,'Materiales '!$C$2:$F$1302,4,0)</f>
        <v>2535.5329999999999</v>
      </c>
      <c r="E3451" s="100">
        <v>2</v>
      </c>
      <c r="F3451" s="538">
        <f t="shared" si="202"/>
        <v>5071.0659999999998</v>
      </c>
      <c r="G3451" s="539"/>
      <c r="H3451" s="121"/>
      <c r="I3451">
        <f>E3451*G3438</f>
        <v>0</v>
      </c>
      <c r="J3451" s="68"/>
      <c r="K3451" s="56"/>
      <c r="L3451" s="56"/>
      <c r="M3451" s="56"/>
      <c r="N3451" s="56"/>
      <c r="O3451" s="56"/>
    </row>
    <row r="3452" spans="1:15">
      <c r="A3452" s="536" t="s">
        <v>4450</v>
      </c>
      <c r="B3452" s="537" t="str">
        <f>VLOOKUP(A3452,'Materiales '!$C$2:$F$1302,3,0)</f>
        <v>Ml</v>
      </c>
      <c r="C3452" s="98" t="str">
        <f>VLOOKUP(A3452,'Materiales '!$C$2:$F$1302,3,0)</f>
        <v>Ml</v>
      </c>
      <c r="D3452" s="99">
        <f>VLOOKUP(A3452,'Materiales '!$C$2:$F$1302,4,0)</f>
        <v>6791.5679999999993</v>
      </c>
      <c r="E3452" s="100">
        <v>1</v>
      </c>
      <c r="F3452" s="538">
        <f t="shared" si="202"/>
        <v>6791.5679999999993</v>
      </c>
      <c r="G3452" s="539"/>
      <c r="H3452" s="121"/>
      <c r="I3452">
        <f>E3452*G3438</f>
        <v>0</v>
      </c>
      <c r="J3452" s="68"/>
      <c r="K3452" s="56"/>
      <c r="L3452" s="56"/>
      <c r="M3452" s="56"/>
      <c r="N3452" s="56"/>
      <c r="O3452" s="56"/>
    </row>
    <row r="3453" spans="1:15">
      <c r="A3453" s="536" t="s">
        <v>4493</v>
      </c>
      <c r="B3453" s="537" t="str">
        <f>VLOOKUP(A3453,'Materiales '!$C$2:$F$1302,3,0)</f>
        <v>Und</v>
      </c>
      <c r="C3453" s="98" t="str">
        <f>VLOOKUP(A3453,'Materiales '!$C$2:$F$1302,3,0)</f>
        <v>Und</v>
      </c>
      <c r="D3453" s="99">
        <f>VLOOKUP(A3453,'Materiales '!$C$2:$F$1302,4,0)</f>
        <v>232.76399999999998</v>
      </c>
      <c r="E3453" s="100">
        <v>3</v>
      </c>
      <c r="F3453" s="538">
        <f t="shared" si="202"/>
        <v>698.29199999999992</v>
      </c>
      <c r="G3453" s="539"/>
      <c r="H3453" s="121"/>
      <c r="I3453">
        <f>E3453*G3438</f>
        <v>0</v>
      </c>
      <c r="J3453" s="68"/>
      <c r="K3453" s="56"/>
      <c r="L3453" s="56"/>
      <c r="M3453" s="56"/>
      <c r="N3453" s="56"/>
      <c r="O3453" s="56"/>
    </row>
    <row r="3454" spans="1:15" ht="21.75" customHeight="1">
      <c r="A3454" s="536" t="s">
        <v>4498</v>
      </c>
      <c r="B3454" s="537" t="str">
        <f>VLOOKUP(A3454,'Materiales '!$C$2:$F$1302,3,0)</f>
        <v>Und</v>
      </c>
      <c r="C3454" s="98" t="str">
        <f>VLOOKUP(A3454,'Materiales '!$C$2:$F$1302,3,0)</f>
        <v>Und</v>
      </c>
      <c r="D3454" s="99">
        <f>VLOOKUP(A3454,'Materiales '!$C$2:$F$1302,4,0)</f>
        <v>120309</v>
      </c>
      <c r="E3454" s="100">
        <v>0.5</v>
      </c>
      <c r="F3454" s="538">
        <f t="shared" si="202"/>
        <v>60154.5</v>
      </c>
      <c r="G3454" s="539"/>
      <c r="H3454" s="121"/>
      <c r="I3454">
        <f>E3454*G3438</f>
        <v>0</v>
      </c>
      <c r="J3454" s="68"/>
      <c r="K3454" s="56"/>
      <c r="L3454" s="56"/>
      <c r="M3454" s="56"/>
      <c r="N3454" s="56"/>
      <c r="O3454" s="56"/>
    </row>
    <row r="3455" spans="1:15">
      <c r="A3455" s="536" t="s">
        <v>8</v>
      </c>
      <c r="B3455" s="537" t="str">
        <f>VLOOKUP(A3455,'Materiales '!$C$2:$F$1302,3,0)</f>
        <v>-</v>
      </c>
      <c r="C3455" s="98" t="str">
        <f>VLOOKUP(A3455,'Materiales '!$C$2:$F$1302,3,0)</f>
        <v>-</v>
      </c>
      <c r="D3455" s="99">
        <f>VLOOKUP(A3455,'Materiales '!$C$2:$F$1302,4,0)</f>
        <v>0</v>
      </c>
      <c r="E3455" s="100"/>
      <c r="F3455" s="538">
        <f>E3455*D3455</f>
        <v>0</v>
      </c>
      <c r="G3455" s="539"/>
      <c r="H3455" s="120"/>
      <c r="I3455">
        <f>E3455*G3438</f>
        <v>0</v>
      </c>
      <c r="J3455" s="68"/>
      <c r="K3455" s="56"/>
      <c r="L3455" s="56"/>
      <c r="M3455" s="56"/>
      <c r="N3455" s="56"/>
      <c r="O3455" s="56"/>
    </row>
    <row r="3456" spans="1:15">
      <c r="A3456" s="536" t="s">
        <v>8</v>
      </c>
      <c r="B3456" s="537" t="str">
        <f>VLOOKUP(A3456,'Materiales '!$C$2:$F$1302,3,0)</f>
        <v>-</v>
      </c>
      <c r="C3456" s="98" t="str">
        <f>VLOOKUP(A3456,'Materiales '!$C$2:$F$1302,3,0)</f>
        <v>-</v>
      </c>
      <c r="D3456" s="99">
        <f>VLOOKUP(A3456,'Materiales '!$C$2:$F$1302,4,0)</f>
        <v>0</v>
      </c>
      <c r="E3456" s="100"/>
      <c r="F3456" s="538">
        <f t="shared" ref="F3456:F3459" si="203">E3456*D3456</f>
        <v>0</v>
      </c>
      <c r="G3456" s="539"/>
      <c r="H3456" s="121"/>
      <c r="I3456">
        <f>E3456*G3438</f>
        <v>0</v>
      </c>
      <c r="J3456" s="68"/>
      <c r="K3456" s="56"/>
      <c r="L3456" s="56"/>
      <c r="M3456" s="56"/>
      <c r="N3456" s="56"/>
      <c r="O3456" s="56"/>
    </row>
    <row r="3457" spans="1:15">
      <c r="A3457" s="536" t="s">
        <v>8</v>
      </c>
      <c r="B3457" s="537" t="str">
        <f>VLOOKUP(A3457,'Materiales '!$C$2:$F$1302,3,0)</f>
        <v>-</v>
      </c>
      <c r="C3457" s="98" t="str">
        <f>VLOOKUP(A3457,'Materiales '!$C$2:$F$1302,3,0)</f>
        <v>-</v>
      </c>
      <c r="D3457" s="99">
        <f>VLOOKUP(A3457,'Materiales '!$C$2:$F$1302,4,0)</f>
        <v>0</v>
      </c>
      <c r="E3457" s="100"/>
      <c r="F3457" s="538">
        <f t="shared" si="203"/>
        <v>0</v>
      </c>
      <c r="G3457" s="539"/>
      <c r="H3457" s="121"/>
      <c r="I3457">
        <f>E3457*G3438</f>
        <v>0</v>
      </c>
      <c r="J3457" s="68"/>
      <c r="K3457" s="56"/>
      <c r="L3457" s="56"/>
      <c r="M3457" s="56"/>
      <c r="N3457" s="56"/>
      <c r="O3457" s="56"/>
    </row>
    <row r="3458" spans="1:15">
      <c r="A3458" s="536" t="s">
        <v>8</v>
      </c>
      <c r="B3458" s="537" t="str">
        <f>VLOOKUP(A3458,'Materiales '!$C$2:$F$1302,3,0)</f>
        <v>-</v>
      </c>
      <c r="C3458" s="98" t="str">
        <f>VLOOKUP(A3458,'Materiales '!$C$2:$F$1302,3,0)</f>
        <v>-</v>
      </c>
      <c r="D3458" s="99">
        <f>VLOOKUP(A3458,'Materiales '!$C$2:$F$1302,4,0)</f>
        <v>0</v>
      </c>
      <c r="E3458" s="100"/>
      <c r="F3458" s="538">
        <f t="shared" si="203"/>
        <v>0</v>
      </c>
      <c r="G3458" s="539"/>
      <c r="H3458" s="121"/>
      <c r="I3458">
        <f>E3458*G3438</f>
        <v>0</v>
      </c>
      <c r="J3458" s="68"/>
      <c r="K3458" s="56"/>
      <c r="L3458" s="56"/>
      <c r="M3458" s="56"/>
      <c r="N3458" s="56"/>
      <c r="O3458" s="56"/>
    </row>
    <row r="3459" spans="1:15">
      <c r="A3459" s="536" t="s">
        <v>8</v>
      </c>
      <c r="B3459" s="537" t="str">
        <f>VLOOKUP(A3459,'Materiales '!$C$2:$F$1302,3,0)</f>
        <v>-</v>
      </c>
      <c r="C3459" s="98" t="str">
        <f>VLOOKUP(A3459,'Materiales '!$C$2:$F$1302,3,0)</f>
        <v>-</v>
      </c>
      <c r="D3459" s="99">
        <f>VLOOKUP(A3459,'Materiales '!$C$2:$F$1302,4,0)</f>
        <v>0</v>
      </c>
      <c r="E3459" s="100"/>
      <c r="F3459" s="538">
        <f t="shared" si="203"/>
        <v>0</v>
      </c>
      <c r="G3459" s="539"/>
      <c r="H3459" s="121"/>
      <c r="I3459">
        <f>E3459*G3438</f>
        <v>0</v>
      </c>
      <c r="J3459" s="68"/>
      <c r="K3459" s="56"/>
      <c r="L3459" s="56"/>
      <c r="M3459" s="56"/>
      <c r="N3459" s="56"/>
      <c r="O3459" s="56"/>
    </row>
    <row r="3460" spans="1:15">
      <c r="A3460" s="536" t="s">
        <v>8</v>
      </c>
      <c r="B3460" s="537" t="str">
        <f>VLOOKUP(A3460,'Materiales '!$C$2:$F$1302,3,0)</f>
        <v>-</v>
      </c>
      <c r="C3460" s="98" t="str">
        <f>VLOOKUP(A3460,'Materiales '!$C$2:$F$1302,3,0)</f>
        <v>-</v>
      </c>
      <c r="D3460" s="99">
        <f>VLOOKUP(A3460,'Materiales '!$C$2:$F$1302,4,0)</f>
        <v>0</v>
      </c>
      <c r="E3460" s="100"/>
      <c r="F3460" s="538">
        <f>E3460*D3460</f>
        <v>0</v>
      </c>
      <c r="G3460" s="539"/>
      <c r="H3460" s="120"/>
      <c r="I3460">
        <f>E3460*G3438</f>
        <v>0</v>
      </c>
      <c r="J3460" s="68"/>
      <c r="K3460" s="56"/>
      <c r="L3460" s="56"/>
      <c r="M3460" s="56"/>
      <c r="N3460" s="56"/>
      <c r="O3460" s="56"/>
    </row>
    <row r="3461" spans="1:15" ht="16.5">
      <c r="A3461" s="540" t="s">
        <v>4099</v>
      </c>
      <c r="B3461" s="541"/>
      <c r="C3461" s="541"/>
      <c r="D3461" s="541"/>
      <c r="E3461" s="541"/>
      <c r="F3461" s="541"/>
      <c r="G3461" s="542"/>
      <c r="H3461" s="116">
        <f>SUM(F3447:F3460)</f>
        <v>2205133.5460000001</v>
      </c>
      <c r="J3461" s="68"/>
      <c r="K3461" s="56"/>
      <c r="L3461" s="56"/>
      <c r="M3461" s="56"/>
      <c r="N3461" s="56"/>
      <c r="O3461" s="56"/>
    </row>
    <row r="3462" spans="1:15" ht="16.5">
      <c r="A3462" s="543" t="s">
        <v>4231</v>
      </c>
      <c r="B3462" s="544"/>
      <c r="C3462" s="544"/>
      <c r="D3462" s="544"/>
      <c r="E3462" s="545"/>
      <c r="F3462" s="544"/>
      <c r="G3462" s="544"/>
      <c r="H3462" s="546"/>
      <c r="J3462" s="68"/>
      <c r="K3462" s="56"/>
      <c r="L3462" s="56"/>
      <c r="M3462" s="56"/>
      <c r="N3462" s="56"/>
      <c r="O3462" s="56"/>
    </row>
    <row r="3463" spans="1:15">
      <c r="A3463" s="547" t="s">
        <v>7</v>
      </c>
      <c r="B3463" s="548"/>
      <c r="C3463" s="108" t="s">
        <v>4232</v>
      </c>
      <c r="D3463" s="107" t="s">
        <v>4233</v>
      </c>
      <c r="E3463" s="206" t="s">
        <v>4234</v>
      </c>
      <c r="F3463" s="549" t="s">
        <v>4218</v>
      </c>
      <c r="G3463" s="549"/>
      <c r="H3463" s="119"/>
      <c r="K3463" s="56"/>
      <c r="L3463" s="56"/>
      <c r="M3463" s="56"/>
      <c r="N3463" s="56"/>
      <c r="O3463" s="56"/>
    </row>
    <row r="3464" spans="1:15">
      <c r="A3464" s="550" t="s">
        <v>3928</v>
      </c>
      <c r="B3464" s="551"/>
      <c r="C3464" s="232">
        <v>1</v>
      </c>
      <c r="D3464" s="102">
        <v>0.03</v>
      </c>
      <c r="E3464" s="103">
        <f>VLOOKUP(A3464,'Equip, Herr y Transp'!$B$2:$D$218,3,0)</f>
        <v>160000</v>
      </c>
      <c r="F3464" s="552">
        <f>E3464*D3464*C3464</f>
        <v>4800</v>
      </c>
      <c r="G3464" s="553"/>
      <c r="H3464" s="117"/>
      <c r="M3464" s="56"/>
    </row>
    <row r="3465" spans="1:15" ht="16.5">
      <c r="A3465" s="554" t="s">
        <v>4216</v>
      </c>
      <c r="B3465" s="555"/>
      <c r="C3465" s="555"/>
      <c r="D3465" s="555"/>
      <c r="E3465" s="555"/>
      <c r="F3465" s="555"/>
      <c r="G3465" s="555"/>
      <c r="H3465" s="105">
        <f>F3464</f>
        <v>4800</v>
      </c>
    </row>
    <row r="3466" spans="1:15" ht="16.5">
      <c r="A3466" s="543" t="s">
        <v>4235</v>
      </c>
      <c r="B3466" s="544"/>
      <c r="C3466" s="544"/>
      <c r="D3466" s="544"/>
      <c r="E3466" s="544"/>
      <c r="F3466" s="544"/>
      <c r="G3466" s="544"/>
      <c r="H3466" s="546"/>
    </row>
    <row r="3467" spans="1:15">
      <c r="A3467" s="547" t="s">
        <v>7</v>
      </c>
      <c r="B3467" s="548"/>
      <c r="C3467" s="106" t="s">
        <v>1</v>
      </c>
      <c r="D3467" s="107" t="s">
        <v>4236</v>
      </c>
      <c r="E3467" s="108" t="s">
        <v>4215</v>
      </c>
      <c r="F3467" s="547" t="s">
        <v>5</v>
      </c>
      <c r="G3467" s="556"/>
      <c r="H3467" s="119"/>
    </row>
    <row r="3468" spans="1:15">
      <c r="A3468" s="550" t="s">
        <v>4196</v>
      </c>
      <c r="B3468" s="551"/>
      <c r="C3468" s="101">
        <v>1</v>
      </c>
      <c r="D3468" s="104">
        <f>VLOOKUP(A3468,'Mano Obra'!$B$2:$T$117,19,0)</f>
        <v>166624</v>
      </c>
      <c r="E3468" s="246">
        <f>H3431</f>
        <v>6.25E-2</v>
      </c>
      <c r="F3468" s="538">
        <f>E3468*D3468*C3468</f>
        <v>10414</v>
      </c>
      <c r="G3468" s="557"/>
      <c r="H3468" s="121"/>
      <c r="I3468" s="69"/>
      <c r="J3468" s="136">
        <f>((('Mano Obra'!$M$4/30)*F3468)/D3468)*G3438</f>
        <v>0</v>
      </c>
    </row>
    <row r="3469" spans="1:15">
      <c r="A3469" s="558" t="s">
        <v>4197</v>
      </c>
      <c r="B3469" s="559">
        <f>VLOOKUP(A3469,'Mano Obra'!$B$3:$D$290,2,0)</f>
        <v>2090000.0000000002</v>
      </c>
      <c r="C3469" s="101">
        <v>1</v>
      </c>
      <c r="D3469" s="104">
        <f>VLOOKUP(A3469,'Mano Obra'!$B$2:$T$117,19,0)</f>
        <v>120456</v>
      </c>
      <c r="E3469" s="246">
        <f>H3431</f>
        <v>6.25E-2</v>
      </c>
      <c r="F3469" s="538">
        <f t="shared" ref="F3469:F3470" si="204">E3469*D3469*C3469</f>
        <v>7528.5</v>
      </c>
      <c r="G3469" s="557"/>
      <c r="H3469" s="121"/>
      <c r="J3469" s="136">
        <f>((('Mano Obra'!$M$5/30)*F3469)/D3469)*G3438</f>
        <v>0</v>
      </c>
    </row>
    <row r="3470" spans="1:15">
      <c r="A3470" s="558" t="s">
        <v>4186</v>
      </c>
      <c r="B3470" s="559">
        <f>VLOOKUP(A3470,'Mano Obra'!$B$3:$D$290,2,0)</f>
        <v>1100000</v>
      </c>
      <c r="C3470" s="101">
        <v>1</v>
      </c>
      <c r="D3470" s="104">
        <f>VLOOKUP(A3470,'Mano Obra'!$B$2:$T$117,19,0)</f>
        <v>72664</v>
      </c>
      <c r="E3470" s="246">
        <f>H3431</f>
        <v>6.25E-2</v>
      </c>
      <c r="F3470" s="538">
        <f t="shared" si="204"/>
        <v>4541.5</v>
      </c>
      <c r="G3470" s="557"/>
      <c r="H3470" s="120"/>
      <c r="J3470" s="136">
        <f>((('Mano Obra'!$M$6/30)*F3470)/D3470)*G3438</f>
        <v>0</v>
      </c>
    </row>
    <row r="3471" spans="1:15" ht="16.5">
      <c r="A3471" s="560" t="s">
        <v>4101</v>
      </c>
      <c r="B3471" s="560"/>
      <c r="C3471" s="560"/>
      <c r="D3471" s="560"/>
      <c r="E3471" s="560"/>
      <c r="F3471" s="560"/>
      <c r="G3471" s="560"/>
      <c r="H3471" s="105">
        <f>SUM(F3468:F3470)</f>
        <v>22484</v>
      </c>
      <c r="J3471" s="136"/>
    </row>
    <row r="3472" spans="1:15">
      <c r="A3472" s="227" t="s">
        <v>4237</v>
      </c>
      <c r="B3472" s="205"/>
      <c r="C3472" s="205"/>
      <c r="D3472" s="202"/>
      <c r="E3472" s="203"/>
      <c r="F3472" s="204"/>
      <c r="G3472" s="203"/>
      <c r="H3472" s="212"/>
    </row>
    <row r="3473" spans="1:14">
      <c r="A3473" s="561" t="s">
        <v>4224</v>
      </c>
      <c r="B3473" s="562"/>
      <c r="C3473" s="562"/>
      <c r="D3473" s="562"/>
      <c r="E3473" s="200"/>
      <c r="F3473" s="201" t="s">
        <v>4238</v>
      </c>
      <c r="G3473" s="200" t="s">
        <v>4239</v>
      </c>
      <c r="H3473" s="213"/>
    </row>
    <row r="3474" spans="1:14">
      <c r="A3474" s="223" t="s">
        <v>4097</v>
      </c>
      <c r="B3474" s="72"/>
      <c r="C3474" s="72"/>
      <c r="D3474" s="73"/>
      <c r="E3474" s="78"/>
      <c r="F3474" s="79">
        <v>0</v>
      </c>
      <c r="G3474" s="80">
        <f>F3474*H3439</f>
        <v>0</v>
      </c>
      <c r="H3474" s="212"/>
    </row>
    <row r="3475" spans="1:14">
      <c r="A3475" s="224" t="s">
        <v>4240</v>
      </c>
      <c r="B3475" s="81"/>
      <c r="C3475" s="81"/>
      <c r="D3475" s="82"/>
      <c r="E3475" s="78"/>
      <c r="F3475" s="79">
        <v>0</v>
      </c>
      <c r="G3475" s="80">
        <f>F3475*H3439</f>
        <v>0</v>
      </c>
      <c r="H3475" s="212"/>
    </row>
    <row r="3476" spans="1:14">
      <c r="A3476" s="224" t="s">
        <v>4</v>
      </c>
      <c r="B3476" s="81"/>
      <c r="C3476" s="81"/>
      <c r="D3476" s="82"/>
      <c r="E3476" s="78"/>
      <c r="F3476" s="79">
        <v>0</v>
      </c>
      <c r="G3476" s="80">
        <f>F3476*H3439</f>
        <v>0</v>
      </c>
      <c r="H3476" s="212"/>
    </row>
    <row r="3477" spans="1:14">
      <c r="A3477" s="225"/>
      <c r="B3477" s="83"/>
      <c r="C3477" s="75"/>
      <c r="D3477" s="84"/>
      <c r="E3477" s="85"/>
      <c r="F3477" s="86"/>
      <c r="G3477" s="87"/>
      <c r="H3477" s="214"/>
    </row>
    <row r="3478" spans="1:14">
      <c r="A3478" s="226"/>
      <c r="B3478" s="83"/>
      <c r="C3478" s="83"/>
      <c r="D3478" s="84"/>
      <c r="E3478" s="88"/>
      <c r="F3478" s="563" t="s">
        <v>4241</v>
      </c>
      <c r="G3478" s="564"/>
      <c r="H3478" s="233">
        <f>H3439+G3474+G3475+G3476</f>
        <v>2236452.0772500001</v>
      </c>
    </row>
    <row r="3479" spans="1:14">
      <c r="A3479" s="83"/>
      <c r="B3479" s="83"/>
      <c r="C3479" s="83"/>
      <c r="D3479" s="84"/>
      <c r="E3479" s="388"/>
      <c r="F3479" s="389"/>
      <c r="G3479" s="389"/>
      <c r="H3479" s="390"/>
    </row>
    <row r="3480" spans="1:14" ht="16.5">
      <c r="A3480" s="90"/>
      <c r="B3480" s="90"/>
      <c r="C3480" s="90"/>
      <c r="D3480" s="90"/>
      <c r="E3480" s="90"/>
      <c r="F3480" s="90"/>
      <c r="G3480" s="90"/>
      <c r="H3480" s="381"/>
    </row>
    <row r="3481" spans="1:14">
      <c r="A3481" s="579" t="s">
        <v>4225</v>
      </c>
      <c r="B3481" s="580"/>
      <c r="C3481" s="580"/>
      <c r="D3481" s="580"/>
      <c r="E3481" s="580"/>
      <c r="F3481" s="580"/>
      <c r="G3481" s="580"/>
      <c r="H3481" s="581"/>
    </row>
    <row r="3482" spans="1:14" ht="16.5">
      <c r="A3482" s="91"/>
      <c r="B3482" s="92"/>
      <c r="C3482" s="92"/>
      <c r="D3482" s="92"/>
      <c r="E3482" s="92"/>
      <c r="F3482" s="93"/>
      <c r="G3482" s="94"/>
      <c r="H3482" s="380">
        <f>ROUND((30/60)/8,4)</f>
        <v>6.25E-2</v>
      </c>
      <c r="I3482" s="115"/>
    </row>
    <row r="3483" spans="1:14">
      <c r="A3483" s="582" t="s">
        <v>4220</v>
      </c>
      <c r="B3483" s="584" t="str">
        <f>COSTOS!$C$14</f>
        <v>MODERNIZACION A TECNOLOGIA LED</v>
      </c>
      <c r="C3483" s="584"/>
      <c r="D3483" s="584"/>
      <c r="E3483" s="584"/>
      <c r="F3483" s="584"/>
      <c r="G3483" s="584"/>
      <c r="H3483" s="585" t="s">
        <v>4221</v>
      </c>
    </row>
    <row r="3484" spans="1:14">
      <c r="A3484" s="583"/>
      <c r="B3484" s="584"/>
      <c r="C3484" s="584"/>
      <c r="D3484" s="584"/>
      <c r="E3484" s="584"/>
      <c r="F3484" s="584"/>
      <c r="G3484" s="584"/>
      <c r="H3484" s="585"/>
    </row>
    <row r="3485" spans="1:14">
      <c r="A3485" s="583"/>
      <c r="B3485" s="584"/>
      <c r="C3485" s="584"/>
      <c r="D3485" s="584"/>
      <c r="E3485" s="584"/>
      <c r="F3485" s="584"/>
      <c r="G3485" s="584"/>
      <c r="H3485" s="585"/>
    </row>
    <row r="3486" spans="1:14" ht="15" customHeight="1">
      <c r="A3486" s="583"/>
      <c r="B3486" s="584"/>
      <c r="C3486" s="584"/>
      <c r="D3486" s="584"/>
      <c r="E3486" s="584"/>
      <c r="F3486" s="584"/>
      <c r="G3486" s="584"/>
      <c r="H3486" s="216">
        <f ca="1">TODAY()</f>
        <v>44889</v>
      </c>
      <c r="K3486" t="s">
        <v>4391</v>
      </c>
      <c r="L3486" t="s">
        <v>4392</v>
      </c>
      <c r="M3486" t="s">
        <v>4393</v>
      </c>
      <c r="N3486" t="s">
        <v>4394</v>
      </c>
    </row>
    <row r="3487" spans="1:14" ht="60.75" customHeight="1">
      <c r="A3487" s="228" t="s">
        <v>4222</v>
      </c>
      <c r="B3487" s="565" t="str">
        <f>COSTOS!$D$16</f>
        <v>Luminarias</v>
      </c>
      <c r="C3487" s="565"/>
      <c r="D3487" s="565"/>
      <c r="E3487" s="565"/>
      <c r="F3487" s="565"/>
      <c r="G3487" s="70" t="s">
        <v>4223</v>
      </c>
      <c r="H3487" s="391">
        <v>1.69</v>
      </c>
      <c r="K3487" s="62">
        <f>H3512</f>
        <v>593031.37582385726</v>
      </c>
      <c r="L3487" s="62">
        <f>H3522</f>
        <v>22484</v>
      </c>
      <c r="M3487" s="62">
        <f>H3495</f>
        <v>4034.53125</v>
      </c>
      <c r="N3487" s="62">
        <f>H3516</f>
        <v>4800</v>
      </c>
    </row>
    <row r="3488" spans="1:14" ht="43.15" customHeight="1">
      <c r="A3488" s="229" t="s">
        <v>4224</v>
      </c>
      <c r="B3488" s="566" t="str">
        <f>VLOOKUP(H3487,COSTOS!C:M,2,0)</f>
        <v>Luminaria Metal Halide 250w</v>
      </c>
      <c r="C3488" s="567"/>
      <c r="D3488" s="567"/>
      <c r="E3488" s="568"/>
      <c r="F3488" s="71" t="s">
        <v>0</v>
      </c>
      <c r="G3488" s="356" t="str">
        <f>VLOOKUP(H3487,COSTOS!C:M,8,0)</f>
        <v>Und</v>
      </c>
      <c r="H3488" s="276"/>
      <c r="I3488" s="306"/>
      <c r="J3488" s="308"/>
      <c r="K3488" s="308"/>
      <c r="L3488" s="308"/>
    </row>
    <row r="3489" spans="1:15">
      <c r="A3489" s="230"/>
      <c r="B3489" s="112"/>
      <c r="C3489" s="112"/>
      <c r="D3489" s="112"/>
      <c r="E3489" s="113"/>
      <c r="F3489" s="114" t="s">
        <v>1</v>
      </c>
      <c r="G3489" s="356">
        <f>VLOOKUP(H3487,COSTOS!C:M,9,0)</f>
        <v>0</v>
      </c>
      <c r="H3489" s="357"/>
      <c r="I3489" s="307"/>
    </row>
    <row r="3490" spans="1:15" ht="16.5">
      <c r="A3490" s="231" t="s">
        <v>4226</v>
      </c>
      <c r="B3490" s="75"/>
      <c r="C3490" s="75"/>
      <c r="D3490" s="76"/>
      <c r="E3490" s="209"/>
      <c r="F3490" s="210"/>
      <c r="G3490" s="211" t="s">
        <v>4227</v>
      </c>
      <c r="H3490" s="217">
        <f>H3495+H3512+H3516+H3522</f>
        <v>624349.90707385726</v>
      </c>
    </row>
    <row r="3491" spans="1:15" ht="39">
      <c r="A3491" s="569" t="s">
        <v>4224</v>
      </c>
      <c r="B3491" s="569"/>
      <c r="C3491" s="569"/>
      <c r="D3491" s="77" t="s">
        <v>0</v>
      </c>
      <c r="E3491" s="207" t="s">
        <v>4228</v>
      </c>
      <c r="F3491" s="208" t="s">
        <v>4215</v>
      </c>
      <c r="G3491" s="74" t="s">
        <v>2</v>
      </c>
      <c r="H3491" s="218" t="s">
        <v>4229</v>
      </c>
      <c r="K3491" s="309"/>
    </row>
    <row r="3492" spans="1:15">
      <c r="A3492" s="536" t="s">
        <v>3946</v>
      </c>
      <c r="B3492" s="570" t="str">
        <f>VLOOKUP(A3492,'Equip, Herr y Transp'!$B$2:$D$739,2,0)</f>
        <v>EQU</v>
      </c>
      <c r="C3492" s="570"/>
      <c r="D3492" s="95" t="str">
        <f>VLOOKUP(A3492,'Equip, Herr y Transp'!$B$2:$D$218,2,0)</f>
        <v>EQU</v>
      </c>
      <c r="E3492" s="95">
        <f>VLOOKUP(A3492,'Equip, Herr y Transp'!$B$2:$D$218,3,0)</f>
        <v>14130</v>
      </c>
      <c r="F3492" s="96">
        <f>H3482</f>
        <v>6.25E-2</v>
      </c>
      <c r="G3492" s="122">
        <f>F3492*E3492</f>
        <v>883.125</v>
      </c>
      <c r="H3492" s="118"/>
    </row>
    <row r="3493" spans="1:15">
      <c r="A3493" s="536" t="s">
        <v>3904</v>
      </c>
      <c r="B3493" s="570" t="str">
        <f>VLOOKUP(A3493,'Equip, Herr y Transp'!$B$2:$D$739,2,0)</f>
        <v>EQU</v>
      </c>
      <c r="C3493" s="570"/>
      <c r="D3493" s="95" t="str">
        <f>VLOOKUP(A3493,'Equip, Herr y Transp'!$B$2:$D$218,2,0)</f>
        <v>EQU</v>
      </c>
      <c r="E3493" s="95">
        <f>VLOOKUP(A3493,'Equip, Herr y Transp'!$B$2:$D$218,3,0)</f>
        <v>26672.5</v>
      </c>
      <c r="F3493" s="96">
        <f>H3482</f>
        <v>6.25E-2</v>
      </c>
      <c r="G3493" s="122">
        <f>F3493*E3493</f>
        <v>1667.03125</v>
      </c>
      <c r="H3493" s="117"/>
    </row>
    <row r="3494" spans="1:15">
      <c r="A3494" s="536" t="s">
        <v>3937</v>
      </c>
      <c r="B3494" s="570" t="str">
        <f>VLOOKUP(A3494,'Equip, Herr y Transp'!$B$2:$D$739,2,0)</f>
        <v>EQU</v>
      </c>
      <c r="C3494" s="570"/>
      <c r="D3494" s="95" t="str">
        <f>VLOOKUP(A3494,'Equip, Herr y Transp'!$B$2:$D$218,2,0)</f>
        <v>EQU</v>
      </c>
      <c r="E3494" s="95">
        <f>VLOOKUP(A3494,'Equip, Herr y Transp'!$B$2:$D$218,3,0)</f>
        <v>23750</v>
      </c>
      <c r="F3494" s="96">
        <f>H3482</f>
        <v>6.25E-2</v>
      </c>
      <c r="G3494" s="122">
        <f>F3494*E3494</f>
        <v>1484.375</v>
      </c>
      <c r="H3494" s="117"/>
    </row>
    <row r="3495" spans="1:15" ht="16.5">
      <c r="A3495" s="540" t="s">
        <v>4100</v>
      </c>
      <c r="B3495" s="541"/>
      <c r="C3495" s="541"/>
      <c r="D3495" s="541"/>
      <c r="E3495" s="541"/>
      <c r="F3495" s="541"/>
      <c r="G3495" s="541"/>
      <c r="H3495" s="97">
        <f>SUM(G3492:G3494)</f>
        <v>4034.53125</v>
      </c>
    </row>
    <row r="3496" spans="1:15" ht="16.5">
      <c r="A3496" s="571" t="s">
        <v>4230</v>
      </c>
      <c r="B3496" s="572"/>
      <c r="C3496" s="572"/>
      <c r="D3496" s="572"/>
      <c r="E3496" s="572"/>
      <c r="F3496" s="572"/>
      <c r="G3496" s="572"/>
      <c r="H3496" s="573"/>
      <c r="K3496" s="56"/>
      <c r="L3496" s="56"/>
      <c r="M3496" s="56"/>
      <c r="N3496" s="56"/>
      <c r="O3496" s="56"/>
    </row>
    <row r="3497" spans="1:15" ht="30" customHeight="1">
      <c r="A3497" s="574" t="s">
        <v>7</v>
      </c>
      <c r="B3497" s="575"/>
      <c r="C3497" s="109" t="s">
        <v>0</v>
      </c>
      <c r="D3497" s="110" t="s">
        <v>4098</v>
      </c>
      <c r="E3497" s="111" t="s">
        <v>1</v>
      </c>
      <c r="F3497" s="576" t="s">
        <v>4218</v>
      </c>
      <c r="G3497" s="576"/>
      <c r="H3497" s="215"/>
      <c r="K3497" s="56"/>
      <c r="L3497" s="56"/>
      <c r="M3497" s="56"/>
      <c r="N3497" s="56"/>
      <c r="O3497" s="56"/>
    </row>
    <row r="3498" spans="1:15">
      <c r="A3498" s="577" t="s">
        <v>4796</v>
      </c>
      <c r="B3498" s="578"/>
      <c r="C3498" s="98" t="str">
        <f>VLOOKUP(A3498,'Materiales '!$C$2:$F$1302,3,0)</f>
        <v>Und</v>
      </c>
      <c r="D3498" s="99">
        <f>VLOOKUP(A3498,'Materiales '!$C$2:$F$1302,4,0)</f>
        <v>380585.55482385732</v>
      </c>
      <c r="E3498" s="100">
        <v>1</v>
      </c>
      <c r="F3498" s="538">
        <f>E3498*D3498</f>
        <v>380585.55482385732</v>
      </c>
      <c r="G3498" s="539"/>
      <c r="H3498" s="121"/>
      <c r="I3498">
        <f>E3498*G3489</f>
        <v>0</v>
      </c>
      <c r="J3498" s="67"/>
      <c r="K3498" s="56"/>
      <c r="L3498" s="56"/>
      <c r="M3498" s="56"/>
      <c r="N3498" s="56"/>
      <c r="O3498" s="56"/>
    </row>
    <row r="3499" spans="1:15">
      <c r="A3499" s="577" t="s">
        <v>4214</v>
      </c>
      <c r="B3499" s="578"/>
      <c r="C3499" s="98" t="str">
        <f>VLOOKUP(A3499,'Materiales '!$C$2:$F$1302,3,0)</f>
        <v>Und</v>
      </c>
      <c r="D3499" s="99">
        <f>VLOOKUP(A3499,'Materiales '!$C$2:$F$1302,4,0)</f>
        <v>22848</v>
      </c>
      <c r="E3499" s="100">
        <v>1</v>
      </c>
      <c r="F3499" s="538">
        <f t="shared" ref="F3499:F3505" si="205">E3499*D3499</f>
        <v>22848</v>
      </c>
      <c r="G3499" s="539"/>
      <c r="H3499" s="121"/>
      <c r="I3499">
        <f>E3499*G3489</f>
        <v>0</v>
      </c>
      <c r="J3499" s="67"/>
      <c r="K3499" s="56"/>
      <c r="L3499" s="56"/>
      <c r="M3499" s="56"/>
      <c r="N3499" s="56"/>
      <c r="O3499" s="56"/>
    </row>
    <row r="3500" spans="1:15">
      <c r="A3500" s="536" t="s">
        <v>4479</v>
      </c>
      <c r="B3500" s="537" t="str">
        <f>VLOOKUP(A3500,'Materiales '!$C$2:$F$1302,3,0)</f>
        <v>Und</v>
      </c>
      <c r="C3500" s="98" t="str">
        <f>VLOOKUP(A3500,'Materiales '!$C$2:$F$1302,3,0)</f>
        <v>Und</v>
      </c>
      <c r="D3500" s="99">
        <f>VLOOKUP(A3500,'Materiales '!$C$2:$F$1302,4,0)</f>
        <v>18421.2</v>
      </c>
      <c r="E3500" s="100">
        <v>1.5</v>
      </c>
      <c r="F3500" s="538">
        <f t="shared" si="205"/>
        <v>27631.800000000003</v>
      </c>
      <c r="G3500" s="539"/>
      <c r="H3500" s="121"/>
      <c r="I3500">
        <f>E3500*G3489</f>
        <v>0</v>
      </c>
      <c r="J3500" s="68"/>
      <c r="K3500" s="56"/>
      <c r="L3500" s="56"/>
      <c r="M3500" s="56"/>
      <c r="N3500" s="56"/>
      <c r="O3500" s="56"/>
    </row>
    <row r="3501" spans="1:15">
      <c r="A3501" s="536" t="s">
        <v>4489</v>
      </c>
      <c r="B3501" s="537" t="str">
        <f>VLOOKUP(A3501,'Materiales '!$C$2:$F$1302,3,0)</f>
        <v>Und</v>
      </c>
      <c r="C3501" s="98" t="str">
        <f>VLOOKUP(A3501,'Materiales '!$C$2:$F$1302,3,0)</f>
        <v>Und</v>
      </c>
      <c r="D3501" s="99">
        <f>VLOOKUP(A3501,'Materiales '!$C$2:$F$1302,4,0)</f>
        <v>8039.6399999999994</v>
      </c>
      <c r="E3501" s="100">
        <v>3</v>
      </c>
      <c r="F3501" s="538">
        <f t="shared" si="205"/>
        <v>24118.92</v>
      </c>
      <c r="G3501" s="539"/>
      <c r="H3501" s="121"/>
      <c r="I3501">
        <f>E3501*G3489</f>
        <v>0</v>
      </c>
      <c r="J3501" s="68"/>
      <c r="K3501" s="56"/>
      <c r="L3501" s="56"/>
      <c r="M3501" s="56"/>
      <c r="N3501" s="56"/>
      <c r="O3501" s="56"/>
    </row>
    <row r="3502" spans="1:15">
      <c r="A3502" s="536" t="s">
        <v>4554</v>
      </c>
      <c r="B3502" s="537" t="str">
        <f>VLOOKUP(A3502,'Materiales '!$C$2:$F$1302,3,0)</f>
        <v>Und</v>
      </c>
      <c r="C3502" s="98" t="str">
        <f>VLOOKUP(A3502,'Materiales '!$C$2:$F$1302,3,0)</f>
        <v>Und</v>
      </c>
      <c r="D3502" s="99">
        <f>VLOOKUP(A3502,'Materiales '!$C$2:$F$1302,4,0)</f>
        <v>2535.5329999999999</v>
      </c>
      <c r="E3502" s="100">
        <v>1</v>
      </c>
      <c r="F3502" s="538">
        <f t="shared" si="205"/>
        <v>2535.5329999999999</v>
      </c>
      <c r="G3502" s="539"/>
      <c r="H3502" s="121"/>
      <c r="I3502">
        <f>E3502*G3489</f>
        <v>0</v>
      </c>
      <c r="J3502" s="68"/>
      <c r="K3502" s="56"/>
      <c r="L3502" s="56"/>
      <c r="M3502" s="56"/>
      <c r="N3502" s="56"/>
      <c r="O3502" s="56"/>
    </row>
    <row r="3503" spans="1:15">
      <c r="A3503" s="536" t="s">
        <v>4450</v>
      </c>
      <c r="B3503" s="537" t="str">
        <f>VLOOKUP(A3503,'Materiales '!$C$2:$F$1302,3,0)</f>
        <v>Ml</v>
      </c>
      <c r="C3503" s="98" t="str">
        <f>VLOOKUP(A3503,'Materiales '!$C$2:$F$1302,3,0)</f>
        <v>Ml</v>
      </c>
      <c r="D3503" s="99">
        <f>VLOOKUP(A3503,'Materiales '!$C$2:$F$1302,4,0)</f>
        <v>6791.5679999999993</v>
      </c>
      <c r="E3503" s="100">
        <v>1</v>
      </c>
      <c r="F3503" s="538">
        <f t="shared" si="205"/>
        <v>6791.5679999999993</v>
      </c>
      <c r="G3503" s="539"/>
      <c r="H3503" s="121"/>
      <c r="I3503">
        <f>E3503*G3489</f>
        <v>0</v>
      </c>
      <c r="J3503" s="68"/>
      <c r="K3503" s="56"/>
      <c r="L3503" s="56"/>
      <c r="M3503" s="56"/>
      <c r="N3503" s="56"/>
      <c r="O3503" s="56"/>
    </row>
    <row r="3504" spans="1:15">
      <c r="A3504" s="536" t="s">
        <v>4436</v>
      </c>
      <c r="B3504" s="537" t="str">
        <f>VLOOKUP(A3504,'Materiales '!$C$2:$F$1302,3,0)</f>
        <v>Und</v>
      </c>
      <c r="C3504" s="98" t="str">
        <f>VLOOKUP(A3504,'Materiales '!$C$2:$F$1302,3,0)</f>
        <v>Und</v>
      </c>
      <c r="D3504" s="99">
        <f>VLOOKUP(A3504,'Materiales '!$C$2:$F$1302,4,0)</f>
        <v>92820</v>
      </c>
      <c r="E3504" s="100">
        <v>1</v>
      </c>
      <c r="F3504" s="538">
        <f t="shared" si="205"/>
        <v>92820</v>
      </c>
      <c r="G3504" s="539"/>
      <c r="H3504" s="121"/>
      <c r="I3504">
        <f>E3504*G3489</f>
        <v>0</v>
      </c>
      <c r="J3504" s="68"/>
      <c r="K3504" s="56"/>
      <c r="L3504" s="56"/>
      <c r="M3504" s="56"/>
      <c r="N3504" s="56"/>
      <c r="O3504" s="56"/>
    </row>
    <row r="3505" spans="1:15" ht="21.75" customHeight="1">
      <c r="A3505" s="536" t="s">
        <v>4639</v>
      </c>
      <c r="B3505" s="537" t="str">
        <f>VLOOKUP(A3505,'Materiales '!$C$2:$F$1302,3,0)</f>
        <v>Und</v>
      </c>
      <c r="C3505" s="98" t="str">
        <f>VLOOKUP(A3505,'Materiales '!$C$2:$F$1302,3,0)</f>
        <v>Und</v>
      </c>
      <c r="D3505" s="99">
        <f>VLOOKUP(A3505,'Materiales '!$C$2:$F$1302,4,0)</f>
        <v>35700</v>
      </c>
      <c r="E3505" s="100">
        <v>1</v>
      </c>
      <c r="F3505" s="538">
        <f t="shared" si="205"/>
        <v>35700</v>
      </c>
      <c r="G3505" s="539"/>
      <c r="H3505" s="121"/>
      <c r="I3505">
        <f>E3505*G3489</f>
        <v>0</v>
      </c>
      <c r="J3505" s="68"/>
      <c r="K3505" s="56"/>
      <c r="L3505" s="56"/>
      <c r="M3505" s="56"/>
      <c r="N3505" s="56"/>
      <c r="O3505" s="56"/>
    </row>
    <row r="3506" spans="1:15">
      <c r="A3506" s="536" t="s">
        <v>8</v>
      </c>
      <c r="B3506" s="537" t="str">
        <f>VLOOKUP(A3506,'Materiales '!$C$2:$F$1302,3,0)</f>
        <v>-</v>
      </c>
      <c r="C3506" s="98" t="str">
        <f>VLOOKUP(A3506,'Materiales '!$C$2:$F$1302,3,0)</f>
        <v>-</v>
      </c>
      <c r="D3506" s="99">
        <f>VLOOKUP(A3506,'Materiales '!$C$2:$F$1302,4,0)</f>
        <v>0</v>
      </c>
      <c r="E3506" s="100"/>
      <c r="F3506" s="538">
        <f>E3506*D3506</f>
        <v>0</v>
      </c>
      <c r="G3506" s="539"/>
      <c r="H3506" s="120"/>
      <c r="I3506">
        <f>E3506*G3489</f>
        <v>0</v>
      </c>
      <c r="J3506" s="68"/>
      <c r="K3506" s="56"/>
      <c r="L3506" s="56"/>
      <c r="M3506" s="56"/>
      <c r="N3506" s="56"/>
      <c r="O3506" s="56"/>
    </row>
    <row r="3507" spans="1:15">
      <c r="A3507" s="536" t="s">
        <v>8</v>
      </c>
      <c r="B3507" s="537" t="str">
        <f>VLOOKUP(A3507,'Materiales '!$C$2:$F$1302,3,0)</f>
        <v>-</v>
      </c>
      <c r="C3507" s="98" t="str">
        <f>VLOOKUP(A3507,'Materiales '!$C$2:$F$1302,3,0)</f>
        <v>-</v>
      </c>
      <c r="D3507" s="99">
        <f>VLOOKUP(A3507,'Materiales '!$C$2:$F$1302,4,0)</f>
        <v>0</v>
      </c>
      <c r="E3507" s="100"/>
      <c r="F3507" s="538">
        <f t="shared" ref="F3507:F3510" si="206">E3507*D3507</f>
        <v>0</v>
      </c>
      <c r="G3507" s="539"/>
      <c r="H3507" s="121"/>
      <c r="I3507">
        <f>E3507*G3489</f>
        <v>0</v>
      </c>
      <c r="J3507" s="68"/>
      <c r="K3507" s="56"/>
      <c r="L3507" s="56"/>
      <c r="M3507" s="56"/>
      <c r="N3507" s="56"/>
      <c r="O3507" s="56"/>
    </row>
    <row r="3508" spans="1:15">
      <c r="A3508" s="536" t="s">
        <v>8</v>
      </c>
      <c r="B3508" s="537" t="str">
        <f>VLOOKUP(A3508,'Materiales '!$C$2:$F$1302,3,0)</f>
        <v>-</v>
      </c>
      <c r="C3508" s="98" t="str">
        <f>VLOOKUP(A3508,'Materiales '!$C$2:$F$1302,3,0)</f>
        <v>-</v>
      </c>
      <c r="D3508" s="99">
        <f>VLOOKUP(A3508,'Materiales '!$C$2:$F$1302,4,0)</f>
        <v>0</v>
      </c>
      <c r="E3508" s="100"/>
      <c r="F3508" s="538">
        <f t="shared" si="206"/>
        <v>0</v>
      </c>
      <c r="G3508" s="539"/>
      <c r="H3508" s="121"/>
      <c r="I3508">
        <f>E3508*G3489</f>
        <v>0</v>
      </c>
      <c r="J3508" s="68"/>
      <c r="K3508" s="56"/>
      <c r="L3508" s="56"/>
      <c r="M3508" s="56"/>
      <c r="N3508" s="56"/>
      <c r="O3508" s="56"/>
    </row>
    <row r="3509" spans="1:15">
      <c r="A3509" s="536" t="s">
        <v>8</v>
      </c>
      <c r="B3509" s="537" t="str">
        <f>VLOOKUP(A3509,'Materiales '!$C$2:$F$1302,3,0)</f>
        <v>-</v>
      </c>
      <c r="C3509" s="98" t="str">
        <f>VLOOKUP(A3509,'Materiales '!$C$2:$F$1302,3,0)</f>
        <v>-</v>
      </c>
      <c r="D3509" s="99">
        <f>VLOOKUP(A3509,'Materiales '!$C$2:$F$1302,4,0)</f>
        <v>0</v>
      </c>
      <c r="E3509" s="100"/>
      <c r="F3509" s="538">
        <f t="shared" si="206"/>
        <v>0</v>
      </c>
      <c r="G3509" s="539"/>
      <c r="H3509" s="121"/>
      <c r="I3509">
        <f>E3509*G3489</f>
        <v>0</v>
      </c>
      <c r="J3509" s="68"/>
      <c r="K3509" s="56"/>
      <c r="L3509" s="56"/>
      <c r="M3509" s="56"/>
      <c r="N3509" s="56"/>
      <c r="O3509" s="56"/>
    </row>
    <row r="3510" spans="1:15">
      <c r="A3510" s="536" t="s">
        <v>8</v>
      </c>
      <c r="B3510" s="537" t="str">
        <f>VLOOKUP(A3510,'Materiales '!$C$2:$F$1302,3,0)</f>
        <v>-</v>
      </c>
      <c r="C3510" s="98" t="str">
        <f>VLOOKUP(A3510,'Materiales '!$C$2:$F$1302,3,0)</f>
        <v>-</v>
      </c>
      <c r="D3510" s="99">
        <f>VLOOKUP(A3510,'Materiales '!$C$2:$F$1302,4,0)</f>
        <v>0</v>
      </c>
      <c r="E3510" s="100"/>
      <c r="F3510" s="538">
        <f t="shared" si="206"/>
        <v>0</v>
      </c>
      <c r="G3510" s="539"/>
      <c r="H3510" s="121"/>
      <c r="I3510">
        <f>E3510*G3489</f>
        <v>0</v>
      </c>
      <c r="J3510" s="68"/>
      <c r="K3510" s="56"/>
      <c r="L3510" s="56"/>
      <c r="M3510" s="56"/>
      <c r="N3510" s="56"/>
      <c r="O3510" s="56"/>
    </row>
    <row r="3511" spans="1:15">
      <c r="A3511" s="536" t="s">
        <v>8</v>
      </c>
      <c r="B3511" s="537" t="str">
        <f>VLOOKUP(A3511,'Materiales '!$C$2:$F$1302,3,0)</f>
        <v>-</v>
      </c>
      <c r="C3511" s="98" t="str">
        <f>VLOOKUP(A3511,'Materiales '!$C$2:$F$1302,3,0)</f>
        <v>-</v>
      </c>
      <c r="D3511" s="99">
        <f>VLOOKUP(A3511,'Materiales '!$C$2:$F$1302,4,0)</f>
        <v>0</v>
      </c>
      <c r="E3511" s="100"/>
      <c r="F3511" s="538">
        <f>E3511*D3511</f>
        <v>0</v>
      </c>
      <c r="G3511" s="539"/>
      <c r="H3511" s="120"/>
      <c r="I3511">
        <f>E3511*G3489</f>
        <v>0</v>
      </c>
      <c r="J3511" s="68"/>
      <c r="K3511" s="56"/>
      <c r="L3511" s="56"/>
      <c r="M3511" s="56"/>
      <c r="N3511" s="56"/>
      <c r="O3511" s="56"/>
    </row>
    <row r="3512" spans="1:15" ht="16.5">
      <c r="A3512" s="540" t="s">
        <v>4099</v>
      </c>
      <c r="B3512" s="541"/>
      <c r="C3512" s="541"/>
      <c r="D3512" s="541"/>
      <c r="E3512" s="541"/>
      <c r="F3512" s="541"/>
      <c r="G3512" s="542"/>
      <c r="H3512" s="116">
        <f>SUM(F3498:F3511)</f>
        <v>593031.37582385726</v>
      </c>
      <c r="J3512" s="68"/>
      <c r="K3512" s="56"/>
      <c r="L3512" s="56"/>
      <c r="M3512" s="56"/>
      <c r="N3512" s="56"/>
      <c r="O3512" s="56"/>
    </row>
    <row r="3513" spans="1:15" ht="16.5">
      <c r="A3513" s="543" t="s">
        <v>4231</v>
      </c>
      <c r="B3513" s="544"/>
      <c r="C3513" s="544"/>
      <c r="D3513" s="544"/>
      <c r="E3513" s="545"/>
      <c r="F3513" s="544"/>
      <c r="G3513" s="544"/>
      <c r="H3513" s="546"/>
      <c r="J3513" s="68"/>
      <c r="K3513" s="56"/>
      <c r="L3513" s="56"/>
      <c r="M3513" s="56"/>
      <c r="N3513" s="56"/>
      <c r="O3513" s="56"/>
    </row>
    <row r="3514" spans="1:15">
      <c r="A3514" s="547" t="s">
        <v>7</v>
      </c>
      <c r="B3514" s="548"/>
      <c r="C3514" s="108" t="s">
        <v>4232</v>
      </c>
      <c r="D3514" s="107" t="s">
        <v>4233</v>
      </c>
      <c r="E3514" s="206" t="s">
        <v>4234</v>
      </c>
      <c r="F3514" s="549" t="s">
        <v>4218</v>
      </c>
      <c r="G3514" s="549"/>
      <c r="H3514" s="119"/>
      <c r="K3514" s="56"/>
      <c r="L3514" s="56"/>
      <c r="M3514" s="56"/>
      <c r="N3514" s="56"/>
      <c r="O3514" s="56"/>
    </row>
    <row r="3515" spans="1:15">
      <c r="A3515" s="550" t="s">
        <v>3928</v>
      </c>
      <c r="B3515" s="551"/>
      <c r="C3515" s="232">
        <v>1</v>
      </c>
      <c r="D3515" s="102">
        <v>0.03</v>
      </c>
      <c r="E3515" s="103">
        <f>VLOOKUP(A3515,'Equip, Herr y Transp'!$B$2:$D$218,3,0)</f>
        <v>160000</v>
      </c>
      <c r="F3515" s="552">
        <f>E3515*D3515*C3515</f>
        <v>4800</v>
      </c>
      <c r="G3515" s="553"/>
      <c r="H3515" s="117"/>
      <c r="M3515" s="56"/>
    </row>
    <row r="3516" spans="1:15" ht="16.5">
      <c r="A3516" s="554" t="s">
        <v>4216</v>
      </c>
      <c r="B3516" s="555"/>
      <c r="C3516" s="555"/>
      <c r="D3516" s="555"/>
      <c r="E3516" s="555"/>
      <c r="F3516" s="555"/>
      <c r="G3516" s="555"/>
      <c r="H3516" s="105">
        <f>F3515</f>
        <v>4800</v>
      </c>
    </row>
    <row r="3517" spans="1:15" ht="16.5">
      <c r="A3517" s="543" t="s">
        <v>4235</v>
      </c>
      <c r="B3517" s="544"/>
      <c r="C3517" s="544"/>
      <c r="D3517" s="544"/>
      <c r="E3517" s="544"/>
      <c r="F3517" s="544"/>
      <c r="G3517" s="544"/>
      <c r="H3517" s="546"/>
    </row>
    <row r="3518" spans="1:15">
      <c r="A3518" s="547" t="s">
        <v>7</v>
      </c>
      <c r="B3518" s="548"/>
      <c r="C3518" s="106" t="s">
        <v>1</v>
      </c>
      <c r="D3518" s="107" t="s">
        <v>4236</v>
      </c>
      <c r="E3518" s="108" t="s">
        <v>4215</v>
      </c>
      <c r="F3518" s="547" t="s">
        <v>5</v>
      </c>
      <c r="G3518" s="556"/>
      <c r="H3518" s="119"/>
    </row>
    <row r="3519" spans="1:15">
      <c r="A3519" s="550" t="s">
        <v>4196</v>
      </c>
      <c r="B3519" s="551"/>
      <c r="C3519" s="101">
        <v>1</v>
      </c>
      <c r="D3519" s="104">
        <f>VLOOKUP(A3519,'Mano Obra'!$B$2:$T$117,19,0)</f>
        <v>166624</v>
      </c>
      <c r="E3519" s="246">
        <f>H3482</f>
        <v>6.25E-2</v>
      </c>
      <c r="F3519" s="538">
        <f>E3519*D3519*C3519</f>
        <v>10414</v>
      </c>
      <c r="G3519" s="557"/>
      <c r="H3519" s="121"/>
      <c r="I3519" s="69"/>
      <c r="J3519" s="136">
        <f>((('Mano Obra'!$M$4/30)*F3519)/D3519)*G3489</f>
        <v>0</v>
      </c>
    </row>
    <row r="3520" spans="1:15">
      <c r="A3520" s="558" t="s">
        <v>4197</v>
      </c>
      <c r="B3520" s="559">
        <f>VLOOKUP(A3520,'Mano Obra'!$B$3:$D$290,2,0)</f>
        <v>2090000.0000000002</v>
      </c>
      <c r="C3520" s="101">
        <v>1</v>
      </c>
      <c r="D3520" s="104">
        <f>VLOOKUP(A3520,'Mano Obra'!$B$2:$T$117,19,0)</f>
        <v>120456</v>
      </c>
      <c r="E3520" s="246">
        <f>H3482</f>
        <v>6.25E-2</v>
      </c>
      <c r="F3520" s="538">
        <f t="shared" ref="F3520:F3521" si="207">E3520*D3520*C3520</f>
        <v>7528.5</v>
      </c>
      <c r="G3520" s="557"/>
      <c r="H3520" s="121"/>
      <c r="J3520" s="136">
        <f>((('Mano Obra'!$M$5/30)*F3520)/D3520)*G3489</f>
        <v>0</v>
      </c>
    </row>
    <row r="3521" spans="1:10">
      <c r="A3521" s="558" t="s">
        <v>4186</v>
      </c>
      <c r="B3521" s="559">
        <f>VLOOKUP(A3521,'Mano Obra'!$B$3:$D$290,2,0)</f>
        <v>1100000</v>
      </c>
      <c r="C3521" s="101">
        <v>1</v>
      </c>
      <c r="D3521" s="104">
        <f>VLOOKUP(A3521,'Mano Obra'!$B$2:$T$117,19,0)</f>
        <v>72664</v>
      </c>
      <c r="E3521" s="246">
        <f>H3482</f>
        <v>6.25E-2</v>
      </c>
      <c r="F3521" s="538">
        <f t="shared" si="207"/>
        <v>4541.5</v>
      </c>
      <c r="G3521" s="557"/>
      <c r="H3521" s="120"/>
      <c r="J3521" s="136">
        <f>((('Mano Obra'!$M$6/30)*F3521)/D3521)*G3489</f>
        <v>0</v>
      </c>
    </row>
    <row r="3522" spans="1:10" ht="16.5">
      <c r="A3522" s="560" t="s">
        <v>4101</v>
      </c>
      <c r="B3522" s="560"/>
      <c r="C3522" s="560"/>
      <c r="D3522" s="560"/>
      <c r="E3522" s="560"/>
      <c r="F3522" s="560"/>
      <c r="G3522" s="560"/>
      <c r="H3522" s="105">
        <f>SUM(F3519:F3521)</f>
        <v>22484</v>
      </c>
      <c r="J3522" s="136"/>
    </row>
    <row r="3523" spans="1:10">
      <c r="A3523" s="227" t="s">
        <v>4237</v>
      </c>
      <c r="B3523" s="205"/>
      <c r="C3523" s="205"/>
      <c r="D3523" s="202"/>
      <c r="E3523" s="203"/>
      <c r="F3523" s="204"/>
      <c r="G3523" s="203"/>
      <c r="H3523" s="212"/>
    </row>
    <row r="3524" spans="1:10">
      <c r="A3524" s="561" t="s">
        <v>4224</v>
      </c>
      <c r="B3524" s="562"/>
      <c r="C3524" s="562"/>
      <c r="D3524" s="562"/>
      <c r="E3524" s="200"/>
      <c r="F3524" s="201" t="s">
        <v>4238</v>
      </c>
      <c r="G3524" s="200" t="s">
        <v>4239</v>
      </c>
      <c r="H3524" s="213"/>
    </row>
    <row r="3525" spans="1:10">
      <c r="A3525" s="223" t="s">
        <v>4097</v>
      </c>
      <c r="B3525" s="72"/>
      <c r="C3525" s="72"/>
      <c r="D3525" s="73"/>
      <c r="E3525" s="78"/>
      <c r="F3525" s="79">
        <v>0</v>
      </c>
      <c r="G3525" s="80">
        <f>F3525*H3490</f>
        <v>0</v>
      </c>
      <c r="H3525" s="212"/>
    </row>
    <row r="3526" spans="1:10">
      <c r="A3526" s="224" t="s">
        <v>4240</v>
      </c>
      <c r="B3526" s="81"/>
      <c r="C3526" s="81"/>
      <c r="D3526" s="82"/>
      <c r="E3526" s="78"/>
      <c r="F3526" s="79">
        <v>0</v>
      </c>
      <c r="G3526" s="80">
        <f>F3526*H3490</f>
        <v>0</v>
      </c>
      <c r="H3526" s="212"/>
    </row>
    <row r="3527" spans="1:10">
      <c r="A3527" s="224" t="s">
        <v>4</v>
      </c>
      <c r="B3527" s="81"/>
      <c r="C3527" s="81"/>
      <c r="D3527" s="82"/>
      <c r="E3527" s="78"/>
      <c r="F3527" s="79">
        <v>0</v>
      </c>
      <c r="G3527" s="80">
        <f>F3527*H3490</f>
        <v>0</v>
      </c>
      <c r="H3527" s="212"/>
    </row>
    <row r="3528" spans="1:10">
      <c r="A3528" s="225"/>
      <c r="B3528" s="83"/>
      <c r="C3528" s="75"/>
      <c r="D3528" s="84"/>
      <c r="E3528" s="85"/>
      <c r="F3528" s="86"/>
      <c r="G3528" s="87"/>
      <c r="H3528" s="214"/>
    </row>
    <row r="3529" spans="1:10">
      <c r="A3529" s="226"/>
      <c r="B3529" s="83"/>
      <c r="C3529" s="83"/>
      <c r="D3529" s="84"/>
      <c r="E3529" s="88"/>
      <c r="F3529" s="563" t="s">
        <v>4241</v>
      </c>
      <c r="G3529" s="564"/>
      <c r="H3529" s="233">
        <f>H3490+G3525+G3526+G3527</f>
        <v>624349.90707385726</v>
      </c>
    </row>
    <row r="3530" spans="1:10">
      <c r="A3530" s="83"/>
      <c r="B3530" s="83"/>
      <c r="C3530" s="83"/>
      <c r="D3530" s="84"/>
      <c r="E3530" s="388"/>
      <c r="F3530" s="389"/>
      <c r="G3530" s="389"/>
      <c r="H3530" s="390"/>
    </row>
    <row r="3531" spans="1:10" ht="16.5">
      <c r="A3531" s="90"/>
      <c r="B3531" s="90"/>
      <c r="C3531" s="90"/>
      <c r="D3531" s="90"/>
      <c r="E3531" s="90"/>
      <c r="F3531" s="90"/>
      <c r="G3531" s="90"/>
      <c r="H3531" s="381"/>
    </row>
    <row r="3532" spans="1:10">
      <c r="A3532" s="579" t="s">
        <v>4225</v>
      </c>
      <c r="B3532" s="580"/>
      <c r="C3532" s="580"/>
      <c r="D3532" s="580"/>
      <c r="E3532" s="580"/>
      <c r="F3532" s="580"/>
      <c r="G3532" s="580"/>
      <c r="H3532" s="581"/>
    </row>
    <row r="3533" spans="1:10" ht="16.5">
      <c r="A3533" s="91"/>
      <c r="B3533" s="92"/>
      <c r="C3533" s="92"/>
      <c r="D3533" s="92"/>
      <c r="E3533" s="92"/>
      <c r="F3533" s="93"/>
      <c r="G3533" s="94"/>
      <c r="H3533" s="380">
        <f>ROUND((30/60)/8,4)</f>
        <v>6.25E-2</v>
      </c>
      <c r="I3533" s="115"/>
    </row>
    <row r="3534" spans="1:10">
      <c r="A3534" s="582" t="s">
        <v>4220</v>
      </c>
      <c r="B3534" s="584" t="str">
        <f>COSTOS!$C$14</f>
        <v>MODERNIZACION A TECNOLOGIA LED</v>
      </c>
      <c r="C3534" s="584"/>
      <c r="D3534" s="584"/>
      <c r="E3534" s="584"/>
      <c r="F3534" s="584"/>
      <c r="G3534" s="584"/>
      <c r="H3534" s="585" t="s">
        <v>4221</v>
      </c>
    </row>
    <row r="3535" spans="1:10">
      <c r="A3535" s="583"/>
      <c r="B3535" s="584"/>
      <c r="C3535" s="584"/>
      <c r="D3535" s="584"/>
      <c r="E3535" s="584"/>
      <c r="F3535" s="584"/>
      <c r="G3535" s="584"/>
      <c r="H3535" s="585"/>
    </row>
    <row r="3536" spans="1:10">
      <c r="A3536" s="583"/>
      <c r="B3536" s="584"/>
      <c r="C3536" s="584"/>
      <c r="D3536" s="584"/>
      <c r="E3536" s="584"/>
      <c r="F3536" s="584"/>
      <c r="G3536" s="584"/>
      <c r="H3536" s="585"/>
    </row>
    <row r="3537" spans="1:15" ht="15" customHeight="1">
      <c r="A3537" s="583"/>
      <c r="B3537" s="584"/>
      <c r="C3537" s="584"/>
      <c r="D3537" s="584"/>
      <c r="E3537" s="584"/>
      <c r="F3537" s="584"/>
      <c r="G3537" s="584"/>
      <c r="H3537" s="216">
        <f ca="1">TODAY()</f>
        <v>44889</v>
      </c>
      <c r="K3537" t="s">
        <v>4391</v>
      </c>
      <c r="L3537" t="s">
        <v>4392</v>
      </c>
      <c r="M3537" t="s">
        <v>4393</v>
      </c>
      <c r="N3537" t="s">
        <v>4394</v>
      </c>
    </row>
    <row r="3538" spans="1:15" ht="60.75" customHeight="1">
      <c r="A3538" s="228" t="s">
        <v>4222</v>
      </c>
      <c r="B3538" s="565" t="str">
        <f>COSTOS!$D$16</f>
        <v>Luminarias</v>
      </c>
      <c r="C3538" s="565"/>
      <c r="D3538" s="565"/>
      <c r="E3538" s="565"/>
      <c r="F3538" s="565"/>
      <c r="G3538" s="70" t="s">
        <v>4223</v>
      </c>
      <c r="H3538" s="391" t="s">
        <v>4795</v>
      </c>
      <c r="K3538" s="62">
        <f>H3563</f>
        <v>593031.37582385726</v>
      </c>
      <c r="L3538" s="62">
        <f>H3573</f>
        <v>22484</v>
      </c>
      <c r="M3538" s="62">
        <f>H3546</f>
        <v>4034.53125</v>
      </c>
      <c r="N3538" s="62">
        <f>H3567</f>
        <v>4800</v>
      </c>
    </row>
    <row r="3539" spans="1:15" ht="43.15" customHeight="1">
      <c r="A3539" s="229" t="s">
        <v>4224</v>
      </c>
      <c r="B3539" s="566" t="str">
        <f>VLOOKUP(H3538,COSTOS!C:M,2,0)</f>
        <v>Luminaria Sodio 50w</v>
      </c>
      <c r="C3539" s="567"/>
      <c r="D3539" s="567"/>
      <c r="E3539" s="568"/>
      <c r="F3539" s="71" t="s">
        <v>0</v>
      </c>
      <c r="G3539" s="356" t="str">
        <f>VLOOKUP(H3538,COSTOS!C:M,8,0)</f>
        <v>Und</v>
      </c>
      <c r="H3539" s="276"/>
      <c r="I3539" s="306"/>
      <c r="J3539" s="308"/>
      <c r="K3539" s="308"/>
      <c r="L3539" s="308"/>
    </row>
    <row r="3540" spans="1:15">
      <c r="A3540" s="230"/>
      <c r="B3540" s="112"/>
      <c r="C3540" s="112"/>
      <c r="D3540" s="112"/>
      <c r="E3540" s="113"/>
      <c r="F3540" s="114" t="s">
        <v>1</v>
      </c>
      <c r="G3540" s="356">
        <f>VLOOKUP(H3538,COSTOS!C:M,9,0)</f>
        <v>0</v>
      </c>
      <c r="H3540" s="357"/>
      <c r="I3540" s="307"/>
    </row>
    <row r="3541" spans="1:15" ht="16.5">
      <c r="A3541" s="231" t="s">
        <v>4226</v>
      </c>
      <c r="B3541" s="75"/>
      <c r="C3541" s="75"/>
      <c r="D3541" s="76"/>
      <c r="E3541" s="209"/>
      <c r="F3541" s="210"/>
      <c r="G3541" s="211" t="s">
        <v>4227</v>
      </c>
      <c r="H3541" s="217">
        <f>H3546+H3563+H3567+H3573</f>
        <v>624349.90707385726</v>
      </c>
    </row>
    <row r="3542" spans="1:15" ht="39">
      <c r="A3542" s="569" t="s">
        <v>4224</v>
      </c>
      <c r="B3542" s="569"/>
      <c r="C3542" s="569"/>
      <c r="D3542" s="77" t="s">
        <v>0</v>
      </c>
      <c r="E3542" s="207" t="s">
        <v>4228</v>
      </c>
      <c r="F3542" s="208" t="s">
        <v>4215</v>
      </c>
      <c r="G3542" s="74" t="s">
        <v>2</v>
      </c>
      <c r="H3542" s="218" t="s">
        <v>4229</v>
      </c>
      <c r="K3542" s="309"/>
    </row>
    <row r="3543" spans="1:15">
      <c r="A3543" s="536" t="s">
        <v>3946</v>
      </c>
      <c r="B3543" s="570" t="str">
        <f>VLOOKUP(A3543,'Equip, Herr y Transp'!$B$2:$D$739,2,0)</f>
        <v>EQU</v>
      </c>
      <c r="C3543" s="570"/>
      <c r="D3543" s="95" t="str">
        <f>VLOOKUP(A3543,'Equip, Herr y Transp'!$B$2:$D$218,2,0)</f>
        <v>EQU</v>
      </c>
      <c r="E3543" s="95">
        <f>VLOOKUP(A3543,'Equip, Herr y Transp'!$B$2:$D$218,3,0)</f>
        <v>14130</v>
      </c>
      <c r="F3543" s="96">
        <f>H3533</f>
        <v>6.25E-2</v>
      </c>
      <c r="G3543" s="122">
        <f>F3543*E3543</f>
        <v>883.125</v>
      </c>
      <c r="H3543" s="118"/>
    </row>
    <row r="3544" spans="1:15">
      <c r="A3544" s="536" t="s">
        <v>3904</v>
      </c>
      <c r="B3544" s="570" t="str">
        <f>VLOOKUP(A3544,'Equip, Herr y Transp'!$B$2:$D$739,2,0)</f>
        <v>EQU</v>
      </c>
      <c r="C3544" s="570"/>
      <c r="D3544" s="95" t="str">
        <f>VLOOKUP(A3544,'Equip, Herr y Transp'!$B$2:$D$218,2,0)</f>
        <v>EQU</v>
      </c>
      <c r="E3544" s="95">
        <f>VLOOKUP(A3544,'Equip, Herr y Transp'!$B$2:$D$218,3,0)</f>
        <v>26672.5</v>
      </c>
      <c r="F3544" s="96">
        <f>H3533</f>
        <v>6.25E-2</v>
      </c>
      <c r="G3544" s="122">
        <f>F3544*E3544</f>
        <v>1667.03125</v>
      </c>
      <c r="H3544" s="117"/>
    </row>
    <row r="3545" spans="1:15">
      <c r="A3545" s="536" t="s">
        <v>3937</v>
      </c>
      <c r="B3545" s="570" t="str">
        <f>VLOOKUP(A3545,'Equip, Herr y Transp'!$B$2:$D$739,2,0)</f>
        <v>EQU</v>
      </c>
      <c r="C3545" s="570"/>
      <c r="D3545" s="95" t="str">
        <f>VLOOKUP(A3545,'Equip, Herr y Transp'!$B$2:$D$218,2,0)</f>
        <v>EQU</v>
      </c>
      <c r="E3545" s="95">
        <f>VLOOKUP(A3545,'Equip, Herr y Transp'!$B$2:$D$218,3,0)</f>
        <v>23750</v>
      </c>
      <c r="F3545" s="96">
        <f>H3533</f>
        <v>6.25E-2</v>
      </c>
      <c r="G3545" s="122">
        <f>F3545*E3545</f>
        <v>1484.375</v>
      </c>
      <c r="H3545" s="117"/>
    </row>
    <row r="3546" spans="1:15" ht="16.5">
      <c r="A3546" s="540" t="s">
        <v>4100</v>
      </c>
      <c r="B3546" s="541"/>
      <c r="C3546" s="541"/>
      <c r="D3546" s="541"/>
      <c r="E3546" s="541"/>
      <c r="F3546" s="541"/>
      <c r="G3546" s="541"/>
      <c r="H3546" s="97">
        <f>SUM(G3543:G3545)</f>
        <v>4034.53125</v>
      </c>
    </row>
    <row r="3547" spans="1:15" ht="16.5">
      <c r="A3547" s="571" t="s">
        <v>4230</v>
      </c>
      <c r="B3547" s="572"/>
      <c r="C3547" s="572"/>
      <c r="D3547" s="572"/>
      <c r="E3547" s="572"/>
      <c r="F3547" s="572"/>
      <c r="G3547" s="572"/>
      <c r="H3547" s="573"/>
      <c r="K3547" s="56"/>
      <c r="L3547" s="56"/>
      <c r="M3547" s="56"/>
      <c r="N3547" s="56"/>
      <c r="O3547" s="56"/>
    </row>
    <row r="3548" spans="1:15" ht="30" customHeight="1">
      <c r="A3548" s="574" t="s">
        <v>7</v>
      </c>
      <c r="B3548" s="575"/>
      <c r="C3548" s="109" t="s">
        <v>0</v>
      </c>
      <c r="D3548" s="110" t="s">
        <v>4098</v>
      </c>
      <c r="E3548" s="111" t="s">
        <v>1</v>
      </c>
      <c r="F3548" s="576" t="s">
        <v>4218</v>
      </c>
      <c r="G3548" s="576"/>
      <c r="H3548" s="215"/>
      <c r="K3548" s="56"/>
      <c r="L3548" s="56"/>
      <c r="M3548" s="56"/>
      <c r="N3548" s="56"/>
      <c r="O3548" s="56"/>
    </row>
    <row r="3549" spans="1:15">
      <c r="A3549" s="577" t="s">
        <v>4794</v>
      </c>
      <c r="B3549" s="578"/>
      <c r="C3549" s="98" t="str">
        <f>VLOOKUP(A3549,'Materiales '!$C$2:$F$1302,3,0)</f>
        <v>Und</v>
      </c>
      <c r="D3549" s="99">
        <f>VLOOKUP(A3549,'Materiales '!$C$2:$F$1302,4,0)</f>
        <v>380585.55482385732</v>
      </c>
      <c r="E3549" s="100">
        <v>1</v>
      </c>
      <c r="F3549" s="538">
        <f>E3549*D3549</f>
        <v>380585.55482385732</v>
      </c>
      <c r="G3549" s="539"/>
      <c r="H3549" s="121"/>
      <c r="I3549">
        <f>E3549*G3540</f>
        <v>0</v>
      </c>
      <c r="J3549" s="67"/>
      <c r="K3549" s="56"/>
      <c r="L3549" s="56"/>
      <c r="M3549" s="56"/>
      <c r="N3549" s="56"/>
      <c r="O3549" s="56"/>
    </row>
    <row r="3550" spans="1:15">
      <c r="A3550" s="577" t="s">
        <v>4214</v>
      </c>
      <c r="B3550" s="578"/>
      <c r="C3550" s="98" t="str">
        <f>VLOOKUP(A3550,'Materiales '!$C$2:$F$1302,3,0)</f>
        <v>Und</v>
      </c>
      <c r="D3550" s="99">
        <f>VLOOKUP(A3550,'Materiales '!$C$2:$F$1302,4,0)</f>
        <v>22848</v>
      </c>
      <c r="E3550" s="100">
        <v>1</v>
      </c>
      <c r="F3550" s="538">
        <f t="shared" ref="F3550:F3556" si="208">E3550*D3550</f>
        <v>22848</v>
      </c>
      <c r="G3550" s="539"/>
      <c r="H3550" s="121"/>
      <c r="I3550">
        <f>E3550*G3540</f>
        <v>0</v>
      </c>
      <c r="J3550" s="67"/>
      <c r="K3550" s="56"/>
      <c r="L3550" s="56"/>
      <c r="M3550" s="56"/>
      <c r="N3550" s="56"/>
      <c r="O3550" s="56"/>
    </row>
    <row r="3551" spans="1:15">
      <c r="A3551" s="536" t="s">
        <v>4479</v>
      </c>
      <c r="B3551" s="537" t="str">
        <f>VLOOKUP(A3551,'Materiales '!$C$2:$F$1302,3,0)</f>
        <v>Und</v>
      </c>
      <c r="C3551" s="98" t="str">
        <f>VLOOKUP(A3551,'Materiales '!$C$2:$F$1302,3,0)</f>
        <v>Und</v>
      </c>
      <c r="D3551" s="99">
        <f>VLOOKUP(A3551,'Materiales '!$C$2:$F$1302,4,0)</f>
        <v>18421.2</v>
      </c>
      <c r="E3551" s="100">
        <v>1.5</v>
      </c>
      <c r="F3551" s="538">
        <f t="shared" si="208"/>
        <v>27631.800000000003</v>
      </c>
      <c r="G3551" s="539"/>
      <c r="H3551" s="121"/>
      <c r="I3551">
        <f>E3551*G3540</f>
        <v>0</v>
      </c>
      <c r="J3551" s="68"/>
      <c r="K3551" s="56"/>
      <c r="L3551" s="56"/>
      <c r="M3551" s="56"/>
      <c r="N3551" s="56"/>
      <c r="O3551" s="56"/>
    </row>
    <row r="3552" spans="1:15">
      <c r="A3552" s="536" t="s">
        <v>4489</v>
      </c>
      <c r="B3552" s="537" t="str">
        <f>VLOOKUP(A3552,'Materiales '!$C$2:$F$1302,3,0)</f>
        <v>Und</v>
      </c>
      <c r="C3552" s="98" t="str">
        <f>VLOOKUP(A3552,'Materiales '!$C$2:$F$1302,3,0)</f>
        <v>Und</v>
      </c>
      <c r="D3552" s="99">
        <f>VLOOKUP(A3552,'Materiales '!$C$2:$F$1302,4,0)</f>
        <v>8039.6399999999994</v>
      </c>
      <c r="E3552" s="100">
        <v>3</v>
      </c>
      <c r="F3552" s="538">
        <f t="shared" si="208"/>
        <v>24118.92</v>
      </c>
      <c r="G3552" s="539"/>
      <c r="H3552" s="121"/>
      <c r="I3552">
        <f>E3552*G3540</f>
        <v>0</v>
      </c>
      <c r="J3552" s="68"/>
      <c r="K3552" s="56"/>
      <c r="L3552" s="56"/>
      <c r="M3552" s="56"/>
      <c r="N3552" s="56"/>
      <c r="O3552" s="56"/>
    </row>
    <row r="3553" spans="1:15">
      <c r="A3553" s="536" t="s">
        <v>4554</v>
      </c>
      <c r="B3553" s="537" t="str">
        <f>VLOOKUP(A3553,'Materiales '!$C$2:$F$1302,3,0)</f>
        <v>Und</v>
      </c>
      <c r="C3553" s="98" t="str">
        <f>VLOOKUP(A3553,'Materiales '!$C$2:$F$1302,3,0)</f>
        <v>Und</v>
      </c>
      <c r="D3553" s="99">
        <f>VLOOKUP(A3553,'Materiales '!$C$2:$F$1302,4,0)</f>
        <v>2535.5329999999999</v>
      </c>
      <c r="E3553" s="100">
        <v>1</v>
      </c>
      <c r="F3553" s="538">
        <f t="shared" si="208"/>
        <v>2535.5329999999999</v>
      </c>
      <c r="G3553" s="539"/>
      <c r="H3553" s="121"/>
      <c r="I3553">
        <f>E3553*G3540</f>
        <v>0</v>
      </c>
      <c r="J3553" s="68"/>
      <c r="K3553" s="56"/>
      <c r="L3553" s="56"/>
      <c r="M3553" s="56"/>
      <c r="N3553" s="56"/>
      <c r="O3553" s="56"/>
    </row>
    <row r="3554" spans="1:15">
      <c r="A3554" s="536" t="s">
        <v>4450</v>
      </c>
      <c r="B3554" s="537" t="str">
        <f>VLOOKUP(A3554,'Materiales '!$C$2:$F$1302,3,0)</f>
        <v>Ml</v>
      </c>
      <c r="C3554" s="98" t="str">
        <f>VLOOKUP(A3554,'Materiales '!$C$2:$F$1302,3,0)</f>
        <v>Ml</v>
      </c>
      <c r="D3554" s="99">
        <f>VLOOKUP(A3554,'Materiales '!$C$2:$F$1302,4,0)</f>
        <v>6791.5679999999993</v>
      </c>
      <c r="E3554" s="100">
        <v>1</v>
      </c>
      <c r="F3554" s="538">
        <f t="shared" si="208"/>
        <v>6791.5679999999993</v>
      </c>
      <c r="G3554" s="539"/>
      <c r="H3554" s="121"/>
      <c r="I3554">
        <f>E3554*G3540</f>
        <v>0</v>
      </c>
      <c r="J3554" s="68"/>
      <c r="K3554" s="56"/>
      <c r="L3554" s="56"/>
      <c r="M3554" s="56"/>
      <c r="N3554" s="56"/>
      <c r="O3554" s="56"/>
    </row>
    <row r="3555" spans="1:15">
      <c r="A3555" s="536" t="s">
        <v>4436</v>
      </c>
      <c r="B3555" s="537" t="str">
        <f>VLOOKUP(A3555,'Materiales '!$C$2:$F$1302,3,0)</f>
        <v>Und</v>
      </c>
      <c r="C3555" s="98" t="str">
        <f>VLOOKUP(A3555,'Materiales '!$C$2:$F$1302,3,0)</f>
        <v>Und</v>
      </c>
      <c r="D3555" s="99">
        <f>VLOOKUP(A3555,'Materiales '!$C$2:$F$1302,4,0)</f>
        <v>92820</v>
      </c>
      <c r="E3555" s="100">
        <v>1</v>
      </c>
      <c r="F3555" s="538">
        <f t="shared" si="208"/>
        <v>92820</v>
      </c>
      <c r="G3555" s="539"/>
      <c r="H3555" s="121"/>
      <c r="I3555">
        <f>E3555*G3540</f>
        <v>0</v>
      </c>
      <c r="J3555" s="68"/>
      <c r="K3555" s="56"/>
      <c r="L3555" s="56"/>
      <c r="M3555" s="56"/>
      <c r="N3555" s="56"/>
      <c r="O3555" s="56"/>
    </row>
    <row r="3556" spans="1:15" ht="21.75" customHeight="1">
      <c r="A3556" s="536" t="s">
        <v>4639</v>
      </c>
      <c r="B3556" s="537" t="str">
        <f>VLOOKUP(A3556,'Materiales '!$C$2:$F$1302,3,0)</f>
        <v>Und</v>
      </c>
      <c r="C3556" s="98" t="str">
        <f>VLOOKUP(A3556,'Materiales '!$C$2:$F$1302,3,0)</f>
        <v>Und</v>
      </c>
      <c r="D3556" s="99">
        <f>VLOOKUP(A3556,'Materiales '!$C$2:$F$1302,4,0)</f>
        <v>35700</v>
      </c>
      <c r="E3556" s="100">
        <v>1</v>
      </c>
      <c r="F3556" s="538">
        <f t="shared" si="208"/>
        <v>35700</v>
      </c>
      <c r="G3556" s="539"/>
      <c r="H3556" s="121"/>
      <c r="I3556">
        <f>E3556*G3540</f>
        <v>0</v>
      </c>
      <c r="J3556" s="68"/>
      <c r="K3556" s="56"/>
      <c r="L3556" s="56"/>
      <c r="M3556" s="56"/>
      <c r="N3556" s="56"/>
      <c r="O3556" s="56"/>
    </row>
    <row r="3557" spans="1:15">
      <c r="A3557" s="536" t="s">
        <v>8</v>
      </c>
      <c r="B3557" s="537" t="str">
        <f>VLOOKUP(A3557,'Materiales '!$C$2:$F$1302,3,0)</f>
        <v>-</v>
      </c>
      <c r="C3557" s="98" t="str">
        <f>VLOOKUP(A3557,'Materiales '!$C$2:$F$1302,3,0)</f>
        <v>-</v>
      </c>
      <c r="D3557" s="99">
        <f>VLOOKUP(A3557,'Materiales '!$C$2:$F$1302,4,0)</f>
        <v>0</v>
      </c>
      <c r="E3557" s="100"/>
      <c r="F3557" s="538">
        <f>E3557*D3557</f>
        <v>0</v>
      </c>
      <c r="G3557" s="539"/>
      <c r="H3557" s="120"/>
      <c r="I3557">
        <f>E3557*G3540</f>
        <v>0</v>
      </c>
      <c r="J3557" s="68"/>
      <c r="K3557" s="56"/>
      <c r="L3557" s="56"/>
      <c r="M3557" s="56"/>
      <c r="N3557" s="56"/>
      <c r="O3557" s="56"/>
    </row>
    <row r="3558" spans="1:15">
      <c r="A3558" s="536" t="s">
        <v>8</v>
      </c>
      <c r="B3558" s="537" t="str">
        <f>VLOOKUP(A3558,'Materiales '!$C$2:$F$1302,3,0)</f>
        <v>-</v>
      </c>
      <c r="C3558" s="98" t="str">
        <f>VLOOKUP(A3558,'Materiales '!$C$2:$F$1302,3,0)</f>
        <v>-</v>
      </c>
      <c r="D3558" s="99">
        <f>VLOOKUP(A3558,'Materiales '!$C$2:$F$1302,4,0)</f>
        <v>0</v>
      </c>
      <c r="E3558" s="100"/>
      <c r="F3558" s="538">
        <f t="shared" ref="F3558:F3561" si="209">E3558*D3558</f>
        <v>0</v>
      </c>
      <c r="G3558" s="539"/>
      <c r="H3558" s="121"/>
      <c r="I3558">
        <f>E3558*G3540</f>
        <v>0</v>
      </c>
      <c r="J3558" s="68"/>
      <c r="K3558" s="56"/>
      <c r="L3558" s="56"/>
      <c r="M3558" s="56"/>
      <c r="N3558" s="56"/>
      <c r="O3558" s="56"/>
    </row>
    <row r="3559" spans="1:15">
      <c r="A3559" s="536" t="s">
        <v>8</v>
      </c>
      <c r="B3559" s="537" t="str">
        <f>VLOOKUP(A3559,'Materiales '!$C$2:$F$1302,3,0)</f>
        <v>-</v>
      </c>
      <c r="C3559" s="98" t="str">
        <f>VLOOKUP(A3559,'Materiales '!$C$2:$F$1302,3,0)</f>
        <v>-</v>
      </c>
      <c r="D3559" s="99">
        <f>VLOOKUP(A3559,'Materiales '!$C$2:$F$1302,4,0)</f>
        <v>0</v>
      </c>
      <c r="E3559" s="100"/>
      <c r="F3559" s="538">
        <f t="shared" si="209"/>
        <v>0</v>
      </c>
      <c r="G3559" s="539"/>
      <c r="H3559" s="121"/>
      <c r="I3559">
        <f>E3559*G3540</f>
        <v>0</v>
      </c>
      <c r="J3559" s="68"/>
      <c r="K3559" s="56"/>
      <c r="L3559" s="56"/>
      <c r="M3559" s="56"/>
      <c r="N3559" s="56"/>
      <c r="O3559" s="56"/>
    </row>
    <row r="3560" spans="1:15">
      <c r="A3560" s="536" t="s">
        <v>8</v>
      </c>
      <c r="B3560" s="537" t="str">
        <f>VLOOKUP(A3560,'Materiales '!$C$2:$F$1302,3,0)</f>
        <v>-</v>
      </c>
      <c r="C3560" s="98" t="str">
        <f>VLOOKUP(A3560,'Materiales '!$C$2:$F$1302,3,0)</f>
        <v>-</v>
      </c>
      <c r="D3560" s="99">
        <f>VLOOKUP(A3560,'Materiales '!$C$2:$F$1302,4,0)</f>
        <v>0</v>
      </c>
      <c r="E3560" s="100"/>
      <c r="F3560" s="538">
        <f t="shared" si="209"/>
        <v>0</v>
      </c>
      <c r="G3560" s="539"/>
      <c r="H3560" s="121"/>
      <c r="I3560">
        <f>E3560*G3540</f>
        <v>0</v>
      </c>
      <c r="J3560" s="68"/>
      <c r="K3560" s="56"/>
      <c r="L3560" s="56"/>
      <c r="M3560" s="56"/>
      <c r="N3560" s="56"/>
      <c r="O3560" s="56"/>
    </row>
    <row r="3561" spans="1:15">
      <c r="A3561" s="536" t="s">
        <v>8</v>
      </c>
      <c r="B3561" s="537" t="str">
        <f>VLOOKUP(A3561,'Materiales '!$C$2:$F$1302,3,0)</f>
        <v>-</v>
      </c>
      <c r="C3561" s="98" t="str">
        <f>VLOOKUP(A3561,'Materiales '!$C$2:$F$1302,3,0)</f>
        <v>-</v>
      </c>
      <c r="D3561" s="99">
        <f>VLOOKUP(A3561,'Materiales '!$C$2:$F$1302,4,0)</f>
        <v>0</v>
      </c>
      <c r="E3561" s="100"/>
      <c r="F3561" s="538">
        <f t="shared" si="209"/>
        <v>0</v>
      </c>
      <c r="G3561" s="539"/>
      <c r="H3561" s="121"/>
      <c r="I3561">
        <f>E3561*G3540</f>
        <v>0</v>
      </c>
      <c r="J3561" s="68"/>
      <c r="K3561" s="56"/>
      <c r="L3561" s="56"/>
      <c r="M3561" s="56"/>
      <c r="N3561" s="56"/>
      <c r="O3561" s="56"/>
    </row>
    <row r="3562" spans="1:15">
      <c r="A3562" s="536" t="s">
        <v>8</v>
      </c>
      <c r="B3562" s="537" t="str">
        <f>VLOOKUP(A3562,'Materiales '!$C$2:$F$1302,3,0)</f>
        <v>-</v>
      </c>
      <c r="C3562" s="98" t="str">
        <f>VLOOKUP(A3562,'Materiales '!$C$2:$F$1302,3,0)</f>
        <v>-</v>
      </c>
      <c r="D3562" s="99">
        <f>VLOOKUP(A3562,'Materiales '!$C$2:$F$1302,4,0)</f>
        <v>0</v>
      </c>
      <c r="E3562" s="100"/>
      <c r="F3562" s="538">
        <f>E3562*D3562</f>
        <v>0</v>
      </c>
      <c r="G3562" s="539"/>
      <c r="H3562" s="120"/>
      <c r="I3562">
        <f>E3562*G3540</f>
        <v>0</v>
      </c>
      <c r="J3562" s="68"/>
      <c r="K3562" s="56"/>
      <c r="L3562" s="56"/>
      <c r="M3562" s="56"/>
      <c r="N3562" s="56"/>
      <c r="O3562" s="56"/>
    </row>
    <row r="3563" spans="1:15" ht="16.5">
      <c r="A3563" s="540" t="s">
        <v>4099</v>
      </c>
      <c r="B3563" s="541"/>
      <c r="C3563" s="541"/>
      <c r="D3563" s="541"/>
      <c r="E3563" s="541"/>
      <c r="F3563" s="541"/>
      <c r="G3563" s="542"/>
      <c r="H3563" s="116">
        <f>SUM(F3549:F3562)</f>
        <v>593031.37582385726</v>
      </c>
      <c r="J3563" s="68"/>
      <c r="K3563" s="56"/>
      <c r="L3563" s="56"/>
      <c r="M3563" s="56"/>
      <c r="N3563" s="56"/>
      <c r="O3563" s="56"/>
    </row>
    <row r="3564" spans="1:15" ht="16.5">
      <c r="A3564" s="543" t="s">
        <v>4231</v>
      </c>
      <c r="B3564" s="544"/>
      <c r="C3564" s="544"/>
      <c r="D3564" s="544"/>
      <c r="E3564" s="545"/>
      <c r="F3564" s="544"/>
      <c r="G3564" s="544"/>
      <c r="H3564" s="546"/>
      <c r="J3564" s="68"/>
      <c r="K3564" s="56"/>
      <c r="L3564" s="56"/>
      <c r="M3564" s="56"/>
      <c r="N3564" s="56"/>
      <c r="O3564" s="56"/>
    </row>
    <row r="3565" spans="1:15">
      <c r="A3565" s="547" t="s">
        <v>7</v>
      </c>
      <c r="B3565" s="548"/>
      <c r="C3565" s="108" t="s">
        <v>4232</v>
      </c>
      <c r="D3565" s="107" t="s">
        <v>4233</v>
      </c>
      <c r="E3565" s="206" t="s">
        <v>4234</v>
      </c>
      <c r="F3565" s="549" t="s">
        <v>4218</v>
      </c>
      <c r="G3565" s="549"/>
      <c r="H3565" s="119"/>
      <c r="K3565" s="56"/>
      <c r="L3565" s="56"/>
      <c r="M3565" s="56"/>
      <c r="N3565" s="56"/>
      <c r="O3565" s="56"/>
    </row>
    <row r="3566" spans="1:15">
      <c r="A3566" s="550" t="s">
        <v>3928</v>
      </c>
      <c r="B3566" s="551"/>
      <c r="C3566" s="232">
        <v>1</v>
      </c>
      <c r="D3566" s="102">
        <v>0.03</v>
      </c>
      <c r="E3566" s="103">
        <f>VLOOKUP(A3566,'Equip, Herr y Transp'!$B$2:$D$218,3,0)</f>
        <v>160000</v>
      </c>
      <c r="F3566" s="552">
        <f>E3566*D3566*C3566</f>
        <v>4800</v>
      </c>
      <c r="G3566" s="553"/>
      <c r="H3566" s="117"/>
      <c r="M3566" s="56"/>
    </row>
    <row r="3567" spans="1:15" ht="16.5">
      <c r="A3567" s="554" t="s">
        <v>4216</v>
      </c>
      <c r="B3567" s="555"/>
      <c r="C3567" s="555"/>
      <c r="D3567" s="555"/>
      <c r="E3567" s="555"/>
      <c r="F3567" s="555"/>
      <c r="G3567" s="555"/>
      <c r="H3567" s="105">
        <f>F3566</f>
        <v>4800</v>
      </c>
    </row>
    <row r="3568" spans="1:15" ht="16.5">
      <c r="A3568" s="543" t="s">
        <v>4235</v>
      </c>
      <c r="B3568" s="544"/>
      <c r="C3568" s="544"/>
      <c r="D3568" s="544"/>
      <c r="E3568" s="544"/>
      <c r="F3568" s="544"/>
      <c r="G3568" s="544"/>
      <c r="H3568" s="546"/>
    </row>
    <row r="3569" spans="1:10">
      <c r="A3569" s="547" t="s">
        <v>7</v>
      </c>
      <c r="B3569" s="548"/>
      <c r="C3569" s="106" t="s">
        <v>1</v>
      </c>
      <c r="D3569" s="107" t="s">
        <v>4236</v>
      </c>
      <c r="E3569" s="108" t="s">
        <v>4215</v>
      </c>
      <c r="F3569" s="547" t="s">
        <v>5</v>
      </c>
      <c r="G3569" s="556"/>
      <c r="H3569" s="119"/>
    </row>
    <row r="3570" spans="1:10">
      <c r="A3570" s="550" t="s">
        <v>4196</v>
      </c>
      <c r="B3570" s="551"/>
      <c r="C3570" s="101">
        <v>1</v>
      </c>
      <c r="D3570" s="104">
        <f>VLOOKUP(A3570,'Mano Obra'!$B$2:$T$117,19,0)</f>
        <v>166624</v>
      </c>
      <c r="E3570" s="246">
        <f>H3533</f>
        <v>6.25E-2</v>
      </c>
      <c r="F3570" s="538">
        <f>E3570*D3570*C3570</f>
        <v>10414</v>
      </c>
      <c r="G3570" s="557"/>
      <c r="H3570" s="121"/>
      <c r="I3570" s="69"/>
      <c r="J3570" s="136">
        <f>((('Mano Obra'!$M$4/30)*F3570)/D3570)*G3540</f>
        <v>0</v>
      </c>
    </row>
    <row r="3571" spans="1:10">
      <c r="A3571" s="558" t="s">
        <v>4197</v>
      </c>
      <c r="B3571" s="559">
        <f>VLOOKUP(A3571,'Mano Obra'!$B$3:$D$290,2,0)</f>
        <v>2090000.0000000002</v>
      </c>
      <c r="C3571" s="101">
        <v>1</v>
      </c>
      <c r="D3571" s="104">
        <f>VLOOKUP(A3571,'Mano Obra'!$B$2:$T$117,19,0)</f>
        <v>120456</v>
      </c>
      <c r="E3571" s="246">
        <f>H3533</f>
        <v>6.25E-2</v>
      </c>
      <c r="F3571" s="538">
        <f t="shared" ref="F3571:F3572" si="210">E3571*D3571*C3571</f>
        <v>7528.5</v>
      </c>
      <c r="G3571" s="557"/>
      <c r="H3571" s="121"/>
      <c r="J3571" s="136">
        <f>((('Mano Obra'!$M$5/30)*F3571)/D3571)*G3540</f>
        <v>0</v>
      </c>
    </row>
    <row r="3572" spans="1:10">
      <c r="A3572" s="558" t="s">
        <v>4186</v>
      </c>
      <c r="B3572" s="559">
        <f>VLOOKUP(A3572,'Mano Obra'!$B$3:$D$290,2,0)</f>
        <v>1100000</v>
      </c>
      <c r="C3572" s="101">
        <v>1</v>
      </c>
      <c r="D3572" s="104">
        <f>VLOOKUP(A3572,'Mano Obra'!$B$2:$T$117,19,0)</f>
        <v>72664</v>
      </c>
      <c r="E3572" s="246">
        <f>H3533</f>
        <v>6.25E-2</v>
      </c>
      <c r="F3572" s="538">
        <f t="shared" si="210"/>
        <v>4541.5</v>
      </c>
      <c r="G3572" s="557"/>
      <c r="H3572" s="120"/>
      <c r="J3572" s="136">
        <f>((('Mano Obra'!$M$6/30)*F3572)/D3572)*G3540</f>
        <v>0</v>
      </c>
    </row>
    <row r="3573" spans="1:10" ht="16.5">
      <c r="A3573" s="560" t="s">
        <v>4101</v>
      </c>
      <c r="B3573" s="560"/>
      <c r="C3573" s="560"/>
      <c r="D3573" s="560"/>
      <c r="E3573" s="560"/>
      <c r="F3573" s="560"/>
      <c r="G3573" s="560"/>
      <c r="H3573" s="105">
        <f>SUM(F3570:F3572)</f>
        <v>22484</v>
      </c>
      <c r="J3573" s="136"/>
    </row>
    <row r="3574" spans="1:10">
      <c r="A3574" s="227" t="s">
        <v>4237</v>
      </c>
      <c r="B3574" s="205"/>
      <c r="C3574" s="205"/>
      <c r="D3574" s="202"/>
      <c r="E3574" s="203"/>
      <c r="F3574" s="204"/>
      <c r="G3574" s="203"/>
      <c r="H3574" s="212"/>
    </row>
    <row r="3575" spans="1:10">
      <c r="A3575" s="561" t="s">
        <v>4224</v>
      </c>
      <c r="B3575" s="562"/>
      <c r="C3575" s="562"/>
      <c r="D3575" s="562"/>
      <c r="E3575" s="200"/>
      <c r="F3575" s="201" t="s">
        <v>4238</v>
      </c>
      <c r="G3575" s="200" t="s">
        <v>4239</v>
      </c>
      <c r="H3575" s="213"/>
    </row>
    <row r="3576" spans="1:10">
      <c r="A3576" s="223" t="s">
        <v>4097</v>
      </c>
      <c r="B3576" s="72"/>
      <c r="C3576" s="72"/>
      <c r="D3576" s="73"/>
      <c r="E3576" s="78"/>
      <c r="F3576" s="79">
        <v>0</v>
      </c>
      <c r="G3576" s="80">
        <f>F3576*H3541</f>
        <v>0</v>
      </c>
      <c r="H3576" s="212"/>
    </row>
    <row r="3577" spans="1:10">
      <c r="A3577" s="224" t="s">
        <v>4240</v>
      </c>
      <c r="B3577" s="81"/>
      <c r="C3577" s="81"/>
      <c r="D3577" s="82"/>
      <c r="E3577" s="78"/>
      <c r="F3577" s="79">
        <v>0</v>
      </c>
      <c r="G3577" s="80">
        <f>F3577*H3541</f>
        <v>0</v>
      </c>
      <c r="H3577" s="212"/>
    </row>
    <row r="3578" spans="1:10">
      <c r="A3578" s="224" t="s">
        <v>4</v>
      </c>
      <c r="B3578" s="81"/>
      <c r="C3578" s="81"/>
      <c r="D3578" s="82"/>
      <c r="E3578" s="78"/>
      <c r="F3578" s="79">
        <v>0</v>
      </c>
      <c r="G3578" s="80">
        <f>F3578*H3541</f>
        <v>0</v>
      </c>
      <c r="H3578" s="212"/>
    </row>
    <row r="3579" spans="1:10">
      <c r="A3579" s="225"/>
      <c r="B3579" s="83"/>
      <c r="C3579" s="75"/>
      <c r="D3579" s="84"/>
      <c r="E3579" s="85"/>
      <c r="F3579" s="86"/>
      <c r="G3579" s="87"/>
      <c r="H3579" s="214"/>
    </row>
    <row r="3580" spans="1:10">
      <c r="A3580" s="226"/>
      <c r="B3580" s="83"/>
      <c r="C3580" s="83"/>
      <c r="D3580" s="84"/>
      <c r="E3580" s="88"/>
      <c r="F3580" s="563" t="s">
        <v>4241</v>
      </c>
      <c r="G3580" s="564"/>
      <c r="H3580" s="233">
        <f>H3541+G3576+G3577+G3578</f>
        <v>624349.90707385726</v>
      </c>
    </row>
    <row r="3581" spans="1:10">
      <c r="A3581" s="83"/>
      <c r="B3581" s="83"/>
      <c r="C3581" s="83"/>
      <c r="D3581" s="84"/>
      <c r="E3581" s="388"/>
      <c r="F3581" s="389"/>
      <c r="G3581" s="389"/>
      <c r="H3581" s="390"/>
    </row>
    <row r="3582" spans="1:10" ht="16.5">
      <c r="A3582" s="90"/>
      <c r="B3582" s="90"/>
      <c r="C3582" s="90"/>
      <c r="D3582" s="90"/>
      <c r="E3582" s="90"/>
      <c r="F3582" s="90"/>
      <c r="G3582" s="90"/>
      <c r="H3582" s="381"/>
    </row>
    <row r="3583" spans="1:10">
      <c r="A3583" s="579" t="s">
        <v>4225</v>
      </c>
      <c r="B3583" s="580"/>
      <c r="C3583" s="580"/>
      <c r="D3583" s="580"/>
      <c r="E3583" s="580"/>
      <c r="F3583" s="580"/>
      <c r="G3583" s="580"/>
      <c r="H3583" s="581"/>
    </row>
    <row r="3584" spans="1:10" ht="16.5">
      <c r="A3584" s="91"/>
      <c r="B3584" s="92"/>
      <c r="C3584" s="92"/>
      <c r="D3584" s="92"/>
      <c r="E3584" s="92"/>
      <c r="F3584" s="93"/>
      <c r="G3584" s="94"/>
      <c r="H3584" s="380">
        <f>ROUND((30/60)/8,4)</f>
        <v>6.25E-2</v>
      </c>
      <c r="I3584" s="115"/>
    </row>
    <row r="3585" spans="1:15">
      <c r="A3585" s="582" t="s">
        <v>4220</v>
      </c>
      <c r="B3585" s="584" t="str">
        <f>COSTOS!$C$14</f>
        <v>MODERNIZACION A TECNOLOGIA LED</v>
      </c>
      <c r="C3585" s="584"/>
      <c r="D3585" s="584"/>
      <c r="E3585" s="584"/>
      <c r="F3585" s="584"/>
      <c r="G3585" s="584"/>
      <c r="H3585" s="585" t="s">
        <v>4221</v>
      </c>
    </row>
    <row r="3586" spans="1:15">
      <c r="A3586" s="583"/>
      <c r="B3586" s="584"/>
      <c r="C3586" s="584"/>
      <c r="D3586" s="584"/>
      <c r="E3586" s="584"/>
      <c r="F3586" s="584"/>
      <c r="G3586" s="584"/>
      <c r="H3586" s="585"/>
    </row>
    <row r="3587" spans="1:15">
      <c r="A3587" s="583"/>
      <c r="B3587" s="584"/>
      <c r="C3587" s="584"/>
      <c r="D3587" s="584"/>
      <c r="E3587" s="584"/>
      <c r="F3587" s="584"/>
      <c r="G3587" s="584"/>
      <c r="H3587" s="585"/>
    </row>
    <row r="3588" spans="1:15" ht="15" customHeight="1">
      <c r="A3588" s="583"/>
      <c r="B3588" s="584"/>
      <c r="C3588" s="584"/>
      <c r="D3588" s="584"/>
      <c r="E3588" s="584"/>
      <c r="F3588" s="584"/>
      <c r="G3588" s="584"/>
      <c r="H3588" s="216">
        <f ca="1">TODAY()</f>
        <v>44889</v>
      </c>
      <c r="K3588" t="s">
        <v>4391</v>
      </c>
      <c r="L3588" t="s">
        <v>4392</v>
      </c>
      <c r="M3588" t="s">
        <v>4393</v>
      </c>
      <c r="N3588" t="s">
        <v>4394</v>
      </c>
    </row>
    <row r="3589" spans="1:15" ht="60.75" customHeight="1">
      <c r="A3589" s="228" t="s">
        <v>4222</v>
      </c>
      <c r="B3589" s="565" t="str">
        <f>COSTOS!$D$16</f>
        <v>Luminarias</v>
      </c>
      <c r="C3589" s="565"/>
      <c r="D3589" s="565"/>
      <c r="E3589" s="565"/>
      <c r="F3589" s="565"/>
      <c r="G3589" s="70" t="s">
        <v>4223</v>
      </c>
      <c r="H3589" s="391">
        <v>1.71</v>
      </c>
      <c r="K3589" s="62">
        <f>H3614</f>
        <v>889661.13599999994</v>
      </c>
      <c r="L3589" s="62">
        <f>H3624</f>
        <v>22484</v>
      </c>
      <c r="M3589" s="62">
        <f>H3597</f>
        <v>4034.53125</v>
      </c>
      <c r="N3589" s="62">
        <f>H3618</f>
        <v>4800</v>
      </c>
    </row>
    <row r="3590" spans="1:15" ht="43.15" customHeight="1">
      <c r="A3590" s="229" t="s">
        <v>4224</v>
      </c>
      <c r="B3590" s="566" t="str">
        <f>VLOOKUP(H3589,COSTOS!C:M,2,0)</f>
        <v>Wallpack led de 50w</v>
      </c>
      <c r="C3590" s="567"/>
      <c r="D3590" s="567"/>
      <c r="E3590" s="568"/>
      <c r="F3590" s="71" t="s">
        <v>0</v>
      </c>
      <c r="G3590" s="356" t="str">
        <f>VLOOKUP(H3589,COSTOS!C:M,8,0)</f>
        <v>Und</v>
      </c>
      <c r="H3590" s="276"/>
      <c r="I3590" s="306"/>
      <c r="J3590" s="308"/>
      <c r="K3590" s="308"/>
      <c r="L3590" s="308"/>
    </row>
    <row r="3591" spans="1:15">
      <c r="A3591" s="230"/>
      <c r="B3591" s="112"/>
      <c r="C3591" s="112"/>
      <c r="D3591" s="112"/>
      <c r="E3591" s="113"/>
      <c r="F3591" s="114" t="s">
        <v>1</v>
      </c>
      <c r="G3591" s="356">
        <f>VLOOKUP(H3589,COSTOS!C:M,9,0)</f>
        <v>0</v>
      </c>
      <c r="H3591" s="357"/>
      <c r="I3591" s="307"/>
    </row>
    <row r="3592" spans="1:15" ht="16.5">
      <c r="A3592" s="231" t="s">
        <v>4226</v>
      </c>
      <c r="B3592" s="75"/>
      <c r="C3592" s="75"/>
      <c r="D3592" s="76"/>
      <c r="E3592" s="209"/>
      <c r="F3592" s="210"/>
      <c r="G3592" s="211" t="s">
        <v>4227</v>
      </c>
      <c r="H3592" s="217">
        <f>H3597+H3614+H3618+H3624</f>
        <v>920979.66724999994</v>
      </c>
    </row>
    <row r="3593" spans="1:15" ht="39">
      <c r="A3593" s="569" t="s">
        <v>4224</v>
      </c>
      <c r="B3593" s="569"/>
      <c r="C3593" s="569"/>
      <c r="D3593" s="77" t="s">
        <v>0</v>
      </c>
      <c r="E3593" s="207" t="s">
        <v>4228</v>
      </c>
      <c r="F3593" s="208" t="s">
        <v>4215</v>
      </c>
      <c r="G3593" s="74" t="s">
        <v>2</v>
      </c>
      <c r="H3593" s="218" t="s">
        <v>4229</v>
      </c>
      <c r="K3593" s="309"/>
    </row>
    <row r="3594" spans="1:15">
      <c r="A3594" s="536" t="s">
        <v>3946</v>
      </c>
      <c r="B3594" s="570" t="str">
        <f>VLOOKUP(A3594,'Equip, Herr y Transp'!$B$2:$D$739,2,0)</f>
        <v>EQU</v>
      </c>
      <c r="C3594" s="570"/>
      <c r="D3594" s="95" t="str">
        <f>VLOOKUP(A3594,'Equip, Herr y Transp'!$B$2:$D$218,2,0)</f>
        <v>EQU</v>
      </c>
      <c r="E3594" s="95">
        <f>VLOOKUP(A3594,'Equip, Herr y Transp'!$B$2:$D$218,3,0)</f>
        <v>14130</v>
      </c>
      <c r="F3594" s="96">
        <f>H3584</f>
        <v>6.25E-2</v>
      </c>
      <c r="G3594" s="122">
        <f>F3594*E3594</f>
        <v>883.125</v>
      </c>
      <c r="H3594" s="118"/>
    </row>
    <row r="3595" spans="1:15">
      <c r="A3595" s="536" t="s">
        <v>3904</v>
      </c>
      <c r="B3595" s="570" t="str">
        <f>VLOOKUP(A3595,'Equip, Herr y Transp'!$B$2:$D$739,2,0)</f>
        <v>EQU</v>
      </c>
      <c r="C3595" s="570"/>
      <c r="D3595" s="95" t="str">
        <f>VLOOKUP(A3595,'Equip, Herr y Transp'!$B$2:$D$218,2,0)</f>
        <v>EQU</v>
      </c>
      <c r="E3595" s="95">
        <f>VLOOKUP(A3595,'Equip, Herr y Transp'!$B$2:$D$218,3,0)</f>
        <v>26672.5</v>
      </c>
      <c r="F3595" s="96">
        <f>H3584</f>
        <v>6.25E-2</v>
      </c>
      <c r="G3595" s="122">
        <f>F3595*E3595</f>
        <v>1667.03125</v>
      </c>
      <c r="H3595" s="117"/>
    </row>
    <row r="3596" spans="1:15">
      <c r="A3596" s="536" t="s">
        <v>3937</v>
      </c>
      <c r="B3596" s="570" t="str">
        <f>VLOOKUP(A3596,'Equip, Herr y Transp'!$B$2:$D$739,2,0)</f>
        <v>EQU</v>
      </c>
      <c r="C3596" s="570"/>
      <c r="D3596" s="95" t="str">
        <f>VLOOKUP(A3596,'Equip, Herr y Transp'!$B$2:$D$218,2,0)</f>
        <v>EQU</v>
      </c>
      <c r="E3596" s="95">
        <f>VLOOKUP(A3596,'Equip, Herr y Transp'!$B$2:$D$218,3,0)</f>
        <v>23750</v>
      </c>
      <c r="F3596" s="96">
        <f>H3584</f>
        <v>6.25E-2</v>
      </c>
      <c r="G3596" s="122">
        <f>F3596*E3596</f>
        <v>1484.375</v>
      </c>
      <c r="H3596" s="117"/>
    </row>
    <row r="3597" spans="1:15" ht="16.5">
      <c r="A3597" s="540" t="s">
        <v>4100</v>
      </c>
      <c r="B3597" s="541"/>
      <c r="C3597" s="541"/>
      <c r="D3597" s="541"/>
      <c r="E3597" s="541"/>
      <c r="F3597" s="541"/>
      <c r="G3597" s="541"/>
      <c r="H3597" s="97">
        <f>SUM(G3594:G3596)</f>
        <v>4034.53125</v>
      </c>
    </row>
    <row r="3598" spans="1:15" ht="16.5">
      <c r="A3598" s="571" t="s">
        <v>4230</v>
      </c>
      <c r="B3598" s="572"/>
      <c r="C3598" s="572"/>
      <c r="D3598" s="572"/>
      <c r="E3598" s="572"/>
      <c r="F3598" s="572"/>
      <c r="G3598" s="572"/>
      <c r="H3598" s="573"/>
      <c r="K3598" s="56"/>
      <c r="L3598" s="56"/>
      <c r="M3598" s="56"/>
      <c r="N3598" s="56"/>
      <c r="O3598" s="56"/>
    </row>
    <row r="3599" spans="1:15" ht="30" customHeight="1">
      <c r="A3599" s="574" t="s">
        <v>7</v>
      </c>
      <c r="B3599" s="575"/>
      <c r="C3599" s="109" t="s">
        <v>0</v>
      </c>
      <c r="D3599" s="110" t="s">
        <v>4098</v>
      </c>
      <c r="E3599" s="111" t="s">
        <v>1</v>
      </c>
      <c r="F3599" s="576" t="s">
        <v>4218</v>
      </c>
      <c r="G3599" s="576"/>
      <c r="H3599" s="215"/>
      <c r="K3599" s="56"/>
      <c r="L3599" s="56"/>
      <c r="M3599" s="56"/>
      <c r="N3599" s="56"/>
      <c r="O3599" s="56"/>
    </row>
    <row r="3600" spans="1:15">
      <c r="A3600" s="577" t="s">
        <v>4810</v>
      </c>
      <c r="B3600" s="578"/>
      <c r="C3600" s="98" t="str">
        <f>VLOOKUP(A3600,'Materiales '!$C$2:$F$1302,3,0)</f>
        <v>Und</v>
      </c>
      <c r="D3600" s="99">
        <f>VLOOKUP(A3600,'Materiales '!$C$2:$F$1302,4,0)</f>
        <v>835380</v>
      </c>
      <c r="E3600" s="100">
        <v>1</v>
      </c>
      <c r="F3600" s="538">
        <f>E3600*D3600</f>
        <v>835380</v>
      </c>
      <c r="G3600" s="539"/>
      <c r="H3600" s="121"/>
      <c r="I3600">
        <f>E3600*G3591</f>
        <v>0</v>
      </c>
      <c r="J3600" s="67"/>
      <c r="K3600" s="56"/>
      <c r="L3600" s="56"/>
      <c r="M3600" s="56"/>
      <c r="N3600" s="56"/>
      <c r="O3600" s="56"/>
    </row>
    <row r="3601" spans="1:15">
      <c r="A3601" s="577" t="s">
        <v>4214</v>
      </c>
      <c r="B3601" s="578"/>
      <c r="C3601" s="98" t="str">
        <f>VLOOKUP(A3601,'Materiales '!$C$2:$F$1302,3,0)</f>
        <v>Und</v>
      </c>
      <c r="D3601" s="99">
        <f>VLOOKUP(A3601,'Materiales '!$C$2:$F$1302,4,0)</f>
        <v>22848</v>
      </c>
      <c r="E3601" s="100">
        <v>1</v>
      </c>
      <c r="F3601" s="538">
        <f t="shared" ref="F3601:F3607" si="211">E3601*D3601</f>
        <v>22848</v>
      </c>
      <c r="G3601" s="539"/>
      <c r="H3601" s="121"/>
      <c r="I3601">
        <f>E3601*G3591</f>
        <v>0</v>
      </c>
      <c r="J3601" s="67"/>
      <c r="K3601" s="56"/>
      <c r="L3601" s="56"/>
      <c r="M3601" s="56"/>
      <c r="N3601" s="56"/>
      <c r="O3601" s="56"/>
    </row>
    <row r="3602" spans="1:15">
      <c r="A3602" s="536" t="s">
        <v>4639</v>
      </c>
      <c r="B3602" s="537" t="str">
        <f>VLOOKUP(A3602,'Materiales '!$C$2:$F$1302,3,0)</f>
        <v>Und</v>
      </c>
      <c r="C3602" s="98" t="str">
        <f>VLOOKUP(A3602,'Materiales '!$C$2:$F$1302,3,0)</f>
        <v>Und</v>
      </c>
      <c r="D3602" s="99">
        <f>VLOOKUP(A3602,'Materiales '!$C$2:$F$1302,4,0)</f>
        <v>35700</v>
      </c>
      <c r="E3602" s="100">
        <v>0.5</v>
      </c>
      <c r="F3602" s="538">
        <f t="shared" si="211"/>
        <v>17850</v>
      </c>
      <c r="G3602" s="539"/>
      <c r="H3602" s="121"/>
      <c r="I3602">
        <f>E3602*G3591</f>
        <v>0</v>
      </c>
      <c r="J3602" s="68"/>
      <c r="K3602" s="56"/>
      <c r="L3602" s="56"/>
      <c r="M3602" s="56"/>
      <c r="N3602" s="56"/>
      <c r="O3602" s="56"/>
    </row>
    <row r="3603" spans="1:15">
      <c r="A3603" s="536" t="s">
        <v>4450</v>
      </c>
      <c r="B3603" s="537" t="str">
        <f>VLOOKUP(A3603,'Materiales '!$C$2:$F$1302,3,0)</f>
        <v>Ml</v>
      </c>
      <c r="C3603" s="98" t="str">
        <f>VLOOKUP(A3603,'Materiales '!$C$2:$F$1302,3,0)</f>
        <v>Ml</v>
      </c>
      <c r="D3603" s="99">
        <f>VLOOKUP(A3603,'Materiales '!$C$2:$F$1302,4,0)</f>
        <v>6791.5679999999993</v>
      </c>
      <c r="E3603" s="100">
        <v>2</v>
      </c>
      <c r="F3603" s="538">
        <f t="shared" si="211"/>
        <v>13583.135999999999</v>
      </c>
      <c r="G3603" s="539"/>
      <c r="H3603" s="121"/>
      <c r="I3603">
        <f>E3603*G3591</f>
        <v>0</v>
      </c>
      <c r="J3603" s="68"/>
      <c r="K3603" s="56"/>
      <c r="L3603" s="56"/>
      <c r="M3603" s="56"/>
      <c r="N3603" s="56"/>
      <c r="O3603" s="56"/>
    </row>
    <row r="3604" spans="1:15">
      <c r="A3604" s="536" t="s">
        <v>8</v>
      </c>
      <c r="B3604" s="537" t="str">
        <f>VLOOKUP(A3604,'Materiales '!$C$2:$F$1302,3,0)</f>
        <v>-</v>
      </c>
      <c r="C3604" s="98" t="str">
        <f>VLOOKUP(A3604,'Materiales '!$C$2:$F$1302,3,0)</f>
        <v>-</v>
      </c>
      <c r="D3604" s="99">
        <f>VLOOKUP(A3604,'Materiales '!$C$2:$F$1302,4,0)</f>
        <v>0</v>
      </c>
      <c r="E3604" s="100">
        <v>1</v>
      </c>
      <c r="F3604" s="538">
        <f t="shared" si="211"/>
        <v>0</v>
      </c>
      <c r="G3604" s="539"/>
      <c r="H3604" s="121"/>
      <c r="I3604">
        <f>E3604*G3591</f>
        <v>0</v>
      </c>
      <c r="J3604" s="68"/>
      <c r="K3604" s="56"/>
      <c r="L3604" s="56"/>
      <c r="M3604" s="56"/>
      <c r="N3604" s="56"/>
      <c r="O3604" s="56"/>
    </row>
    <row r="3605" spans="1:15">
      <c r="A3605" s="536" t="s">
        <v>8</v>
      </c>
      <c r="B3605" s="537" t="str">
        <f>VLOOKUP(A3605,'Materiales '!$C$2:$F$1302,3,0)</f>
        <v>-</v>
      </c>
      <c r="C3605" s="98" t="str">
        <f>VLOOKUP(A3605,'Materiales '!$C$2:$F$1302,3,0)</f>
        <v>-</v>
      </c>
      <c r="D3605" s="99">
        <f>VLOOKUP(A3605,'Materiales '!$C$2:$F$1302,4,0)</f>
        <v>0</v>
      </c>
      <c r="E3605" s="100">
        <v>1</v>
      </c>
      <c r="F3605" s="538">
        <f t="shared" si="211"/>
        <v>0</v>
      </c>
      <c r="G3605" s="539"/>
      <c r="H3605" s="121"/>
      <c r="I3605">
        <f>E3605*G3591</f>
        <v>0</v>
      </c>
      <c r="J3605" s="68"/>
      <c r="K3605" s="56"/>
      <c r="L3605" s="56"/>
      <c r="M3605" s="56"/>
      <c r="N3605" s="56"/>
      <c r="O3605" s="56"/>
    </row>
    <row r="3606" spans="1:15">
      <c r="A3606" s="536" t="s">
        <v>8</v>
      </c>
      <c r="B3606" s="537" t="str">
        <f>VLOOKUP(A3606,'Materiales '!$C$2:$F$1302,3,0)</f>
        <v>-</v>
      </c>
      <c r="C3606" s="98" t="str">
        <f>VLOOKUP(A3606,'Materiales '!$C$2:$F$1302,3,0)</f>
        <v>-</v>
      </c>
      <c r="D3606" s="99">
        <f>VLOOKUP(A3606,'Materiales '!$C$2:$F$1302,4,0)</f>
        <v>0</v>
      </c>
      <c r="E3606" s="100">
        <v>1</v>
      </c>
      <c r="F3606" s="538">
        <f t="shared" si="211"/>
        <v>0</v>
      </c>
      <c r="G3606" s="539"/>
      <c r="H3606" s="121"/>
      <c r="I3606">
        <f>E3606*G3591</f>
        <v>0</v>
      </c>
      <c r="J3606" s="68"/>
      <c r="K3606" s="56"/>
      <c r="L3606" s="56"/>
      <c r="M3606" s="56"/>
      <c r="N3606" s="56"/>
      <c r="O3606" s="56"/>
    </row>
    <row r="3607" spans="1:15" ht="21.75" customHeight="1">
      <c r="A3607" s="536" t="s">
        <v>8</v>
      </c>
      <c r="B3607" s="537" t="str">
        <f>VLOOKUP(A3607,'Materiales '!$C$2:$F$1302,3,0)</f>
        <v>-</v>
      </c>
      <c r="C3607" s="98" t="str">
        <f>VLOOKUP(A3607,'Materiales '!$C$2:$F$1302,3,0)</f>
        <v>-</v>
      </c>
      <c r="D3607" s="99">
        <f>VLOOKUP(A3607,'Materiales '!$C$2:$F$1302,4,0)</f>
        <v>0</v>
      </c>
      <c r="E3607" s="100">
        <v>1</v>
      </c>
      <c r="F3607" s="538">
        <f t="shared" si="211"/>
        <v>0</v>
      </c>
      <c r="G3607" s="539"/>
      <c r="H3607" s="121"/>
      <c r="I3607">
        <f>E3607*G3591</f>
        <v>0</v>
      </c>
      <c r="J3607" s="68"/>
      <c r="K3607" s="56"/>
      <c r="L3607" s="56"/>
      <c r="M3607" s="56"/>
      <c r="N3607" s="56"/>
      <c r="O3607" s="56"/>
    </row>
    <row r="3608" spans="1:15">
      <c r="A3608" s="536" t="s">
        <v>8</v>
      </c>
      <c r="B3608" s="537" t="str">
        <f>VLOOKUP(A3608,'Materiales '!$C$2:$F$1302,3,0)</f>
        <v>-</v>
      </c>
      <c r="C3608" s="98" t="str">
        <f>VLOOKUP(A3608,'Materiales '!$C$2:$F$1302,3,0)</f>
        <v>-</v>
      </c>
      <c r="D3608" s="99">
        <f>VLOOKUP(A3608,'Materiales '!$C$2:$F$1302,4,0)</f>
        <v>0</v>
      </c>
      <c r="E3608" s="100"/>
      <c r="F3608" s="538">
        <f>E3608*D3608</f>
        <v>0</v>
      </c>
      <c r="G3608" s="539"/>
      <c r="H3608" s="120"/>
      <c r="I3608">
        <f>E3608*G3591</f>
        <v>0</v>
      </c>
      <c r="J3608" s="68"/>
      <c r="K3608" s="56"/>
      <c r="L3608" s="56"/>
      <c r="M3608" s="56"/>
      <c r="N3608" s="56"/>
      <c r="O3608" s="56"/>
    </row>
    <row r="3609" spans="1:15">
      <c r="A3609" s="536" t="s">
        <v>8</v>
      </c>
      <c r="B3609" s="537" t="str">
        <f>VLOOKUP(A3609,'Materiales '!$C$2:$F$1302,3,0)</f>
        <v>-</v>
      </c>
      <c r="C3609" s="98" t="str">
        <f>VLOOKUP(A3609,'Materiales '!$C$2:$F$1302,3,0)</f>
        <v>-</v>
      </c>
      <c r="D3609" s="99">
        <f>VLOOKUP(A3609,'Materiales '!$C$2:$F$1302,4,0)</f>
        <v>0</v>
      </c>
      <c r="E3609" s="100"/>
      <c r="F3609" s="538">
        <f t="shared" ref="F3609:F3612" si="212">E3609*D3609</f>
        <v>0</v>
      </c>
      <c r="G3609" s="539"/>
      <c r="H3609" s="121"/>
      <c r="I3609">
        <f>E3609*G3591</f>
        <v>0</v>
      </c>
      <c r="J3609" s="68"/>
      <c r="K3609" s="56"/>
      <c r="L3609" s="56"/>
      <c r="M3609" s="56"/>
      <c r="N3609" s="56"/>
      <c r="O3609" s="56"/>
    </row>
    <row r="3610" spans="1:15">
      <c r="A3610" s="536" t="s">
        <v>8</v>
      </c>
      <c r="B3610" s="537" t="str">
        <f>VLOOKUP(A3610,'Materiales '!$C$2:$F$1302,3,0)</f>
        <v>-</v>
      </c>
      <c r="C3610" s="98" t="str">
        <f>VLOOKUP(A3610,'Materiales '!$C$2:$F$1302,3,0)</f>
        <v>-</v>
      </c>
      <c r="D3610" s="99">
        <f>VLOOKUP(A3610,'Materiales '!$C$2:$F$1302,4,0)</f>
        <v>0</v>
      </c>
      <c r="E3610" s="100"/>
      <c r="F3610" s="538">
        <f t="shared" si="212"/>
        <v>0</v>
      </c>
      <c r="G3610" s="539"/>
      <c r="H3610" s="121"/>
      <c r="I3610">
        <f>E3610*G3591</f>
        <v>0</v>
      </c>
      <c r="J3610" s="68"/>
      <c r="K3610" s="56"/>
      <c r="L3610" s="56"/>
      <c r="M3610" s="56"/>
      <c r="N3610" s="56"/>
      <c r="O3610" s="56"/>
    </row>
    <row r="3611" spans="1:15">
      <c r="A3611" s="536" t="s">
        <v>8</v>
      </c>
      <c r="B3611" s="537" t="str">
        <f>VLOOKUP(A3611,'Materiales '!$C$2:$F$1302,3,0)</f>
        <v>-</v>
      </c>
      <c r="C3611" s="98" t="str">
        <f>VLOOKUP(A3611,'Materiales '!$C$2:$F$1302,3,0)</f>
        <v>-</v>
      </c>
      <c r="D3611" s="99">
        <f>VLOOKUP(A3611,'Materiales '!$C$2:$F$1302,4,0)</f>
        <v>0</v>
      </c>
      <c r="E3611" s="100"/>
      <c r="F3611" s="538">
        <f t="shared" si="212"/>
        <v>0</v>
      </c>
      <c r="G3611" s="539"/>
      <c r="H3611" s="121"/>
      <c r="I3611">
        <f>E3611*G3591</f>
        <v>0</v>
      </c>
      <c r="J3611" s="68"/>
      <c r="K3611" s="56"/>
      <c r="L3611" s="56"/>
      <c r="M3611" s="56"/>
      <c r="N3611" s="56"/>
      <c r="O3611" s="56"/>
    </row>
    <row r="3612" spans="1:15">
      <c r="A3612" s="536" t="s">
        <v>8</v>
      </c>
      <c r="B3612" s="537" t="str">
        <f>VLOOKUP(A3612,'Materiales '!$C$2:$F$1302,3,0)</f>
        <v>-</v>
      </c>
      <c r="C3612" s="98" t="str">
        <f>VLOOKUP(A3612,'Materiales '!$C$2:$F$1302,3,0)</f>
        <v>-</v>
      </c>
      <c r="D3612" s="99">
        <f>VLOOKUP(A3612,'Materiales '!$C$2:$F$1302,4,0)</f>
        <v>0</v>
      </c>
      <c r="E3612" s="100"/>
      <c r="F3612" s="538">
        <f t="shared" si="212"/>
        <v>0</v>
      </c>
      <c r="G3612" s="539"/>
      <c r="H3612" s="121"/>
      <c r="I3612">
        <f>E3612*G3591</f>
        <v>0</v>
      </c>
      <c r="J3612" s="68"/>
      <c r="K3612" s="56"/>
      <c r="L3612" s="56"/>
      <c r="M3612" s="56"/>
      <c r="N3612" s="56"/>
      <c r="O3612" s="56"/>
    </row>
    <row r="3613" spans="1:15">
      <c r="A3613" s="536" t="s">
        <v>8</v>
      </c>
      <c r="B3613" s="537" t="str">
        <f>VLOOKUP(A3613,'Materiales '!$C$2:$F$1302,3,0)</f>
        <v>-</v>
      </c>
      <c r="C3613" s="98" t="str">
        <f>VLOOKUP(A3613,'Materiales '!$C$2:$F$1302,3,0)</f>
        <v>-</v>
      </c>
      <c r="D3613" s="99">
        <f>VLOOKUP(A3613,'Materiales '!$C$2:$F$1302,4,0)</f>
        <v>0</v>
      </c>
      <c r="E3613" s="100"/>
      <c r="F3613" s="538">
        <f>E3613*D3613</f>
        <v>0</v>
      </c>
      <c r="G3613" s="539"/>
      <c r="H3613" s="120"/>
      <c r="I3613">
        <f>E3613*G3591</f>
        <v>0</v>
      </c>
      <c r="J3613" s="68"/>
      <c r="K3613" s="56"/>
      <c r="L3613" s="56"/>
      <c r="M3613" s="56"/>
      <c r="N3613" s="56"/>
      <c r="O3613" s="56"/>
    </row>
    <row r="3614" spans="1:15" ht="16.5">
      <c r="A3614" s="540" t="s">
        <v>4099</v>
      </c>
      <c r="B3614" s="541"/>
      <c r="C3614" s="541"/>
      <c r="D3614" s="541"/>
      <c r="E3614" s="541"/>
      <c r="F3614" s="541"/>
      <c r="G3614" s="542"/>
      <c r="H3614" s="116">
        <f>SUM(F3600:F3613)</f>
        <v>889661.13599999994</v>
      </c>
      <c r="J3614" s="68"/>
      <c r="K3614" s="56"/>
      <c r="L3614" s="56"/>
      <c r="M3614" s="56"/>
      <c r="N3614" s="56"/>
      <c r="O3614" s="56"/>
    </row>
    <row r="3615" spans="1:15" ht="16.5">
      <c r="A3615" s="543" t="s">
        <v>4231</v>
      </c>
      <c r="B3615" s="544"/>
      <c r="C3615" s="544"/>
      <c r="D3615" s="544"/>
      <c r="E3615" s="545"/>
      <c r="F3615" s="544"/>
      <c r="G3615" s="544"/>
      <c r="H3615" s="546"/>
      <c r="J3615" s="68"/>
      <c r="K3615" s="56"/>
      <c r="L3615" s="56"/>
      <c r="M3615" s="56"/>
      <c r="N3615" s="56"/>
      <c r="O3615" s="56"/>
    </row>
    <row r="3616" spans="1:15">
      <c r="A3616" s="547" t="s">
        <v>7</v>
      </c>
      <c r="B3616" s="548"/>
      <c r="C3616" s="108" t="s">
        <v>4232</v>
      </c>
      <c r="D3616" s="107" t="s">
        <v>4233</v>
      </c>
      <c r="E3616" s="206" t="s">
        <v>4234</v>
      </c>
      <c r="F3616" s="549" t="s">
        <v>4218</v>
      </c>
      <c r="G3616" s="549"/>
      <c r="H3616" s="119"/>
      <c r="K3616" s="56"/>
      <c r="L3616" s="56"/>
      <c r="M3616" s="56"/>
      <c r="N3616" s="56"/>
      <c r="O3616" s="56"/>
    </row>
    <row r="3617" spans="1:13">
      <c r="A3617" s="550" t="s">
        <v>3928</v>
      </c>
      <c r="B3617" s="551"/>
      <c r="C3617" s="232">
        <v>1</v>
      </c>
      <c r="D3617" s="102">
        <v>0.03</v>
      </c>
      <c r="E3617" s="103">
        <f>VLOOKUP(A3617,'Equip, Herr y Transp'!$B$2:$D$218,3,0)</f>
        <v>160000</v>
      </c>
      <c r="F3617" s="552">
        <f>E3617*D3617*C3617</f>
        <v>4800</v>
      </c>
      <c r="G3617" s="553"/>
      <c r="H3617" s="117"/>
      <c r="M3617" s="56"/>
    </row>
    <row r="3618" spans="1:13" ht="16.5">
      <c r="A3618" s="554" t="s">
        <v>4216</v>
      </c>
      <c r="B3618" s="555"/>
      <c r="C3618" s="555"/>
      <c r="D3618" s="555"/>
      <c r="E3618" s="555"/>
      <c r="F3618" s="555"/>
      <c r="G3618" s="555"/>
      <c r="H3618" s="105">
        <f>F3617</f>
        <v>4800</v>
      </c>
    </row>
    <row r="3619" spans="1:13" ht="16.5">
      <c r="A3619" s="543" t="s">
        <v>4235</v>
      </c>
      <c r="B3619" s="544"/>
      <c r="C3619" s="544"/>
      <c r="D3619" s="544"/>
      <c r="E3619" s="544"/>
      <c r="F3619" s="544"/>
      <c r="G3619" s="544"/>
      <c r="H3619" s="546"/>
    </row>
    <row r="3620" spans="1:13">
      <c r="A3620" s="547" t="s">
        <v>7</v>
      </c>
      <c r="B3620" s="548"/>
      <c r="C3620" s="106" t="s">
        <v>1</v>
      </c>
      <c r="D3620" s="107" t="s">
        <v>4236</v>
      </c>
      <c r="E3620" s="108" t="s">
        <v>4215</v>
      </c>
      <c r="F3620" s="547" t="s">
        <v>5</v>
      </c>
      <c r="G3620" s="556"/>
      <c r="H3620" s="119"/>
    </row>
    <row r="3621" spans="1:13">
      <c r="A3621" s="550" t="s">
        <v>4196</v>
      </c>
      <c r="B3621" s="551"/>
      <c r="C3621" s="101">
        <v>1</v>
      </c>
      <c r="D3621" s="104">
        <f>VLOOKUP(A3621,'Mano Obra'!$B$2:$T$117,19,0)</f>
        <v>166624</v>
      </c>
      <c r="E3621" s="246">
        <f>H3584</f>
        <v>6.25E-2</v>
      </c>
      <c r="F3621" s="538">
        <f>E3621*D3621*C3621</f>
        <v>10414</v>
      </c>
      <c r="G3621" s="557"/>
      <c r="H3621" s="121"/>
      <c r="I3621" s="69"/>
      <c r="J3621" s="136">
        <f>((('Mano Obra'!$M$4/30)*F3621)/D3621)*G3591</f>
        <v>0</v>
      </c>
    </row>
    <row r="3622" spans="1:13">
      <c r="A3622" s="558" t="s">
        <v>4197</v>
      </c>
      <c r="B3622" s="559">
        <f>VLOOKUP(A3622,'Mano Obra'!$B$3:$D$290,2,0)</f>
        <v>2090000.0000000002</v>
      </c>
      <c r="C3622" s="101">
        <v>1</v>
      </c>
      <c r="D3622" s="104">
        <f>VLOOKUP(A3622,'Mano Obra'!$B$2:$T$117,19,0)</f>
        <v>120456</v>
      </c>
      <c r="E3622" s="246">
        <f>H3584</f>
        <v>6.25E-2</v>
      </c>
      <c r="F3622" s="538">
        <f t="shared" ref="F3622:F3623" si="213">E3622*D3622*C3622</f>
        <v>7528.5</v>
      </c>
      <c r="G3622" s="557"/>
      <c r="H3622" s="121"/>
      <c r="J3622" s="136">
        <f>((('Mano Obra'!$M$5/30)*F3622)/D3622)*G3591</f>
        <v>0</v>
      </c>
    </row>
    <row r="3623" spans="1:13">
      <c r="A3623" s="558" t="s">
        <v>4186</v>
      </c>
      <c r="B3623" s="559">
        <f>VLOOKUP(A3623,'Mano Obra'!$B$3:$D$290,2,0)</f>
        <v>1100000</v>
      </c>
      <c r="C3623" s="101">
        <v>1</v>
      </c>
      <c r="D3623" s="104">
        <f>VLOOKUP(A3623,'Mano Obra'!$B$2:$T$117,19,0)</f>
        <v>72664</v>
      </c>
      <c r="E3623" s="246">
        <f>H3584</f>
        <v>6.25E-2</v>
      </c>
      <c r="F3623" s="538">
        <f t="shared" si="213"/>
        <v>4541.5</v>
      </c>
      <c r="G3623" s="557"/>
      <c r="H3623" s="120"/>
      <c r="J3623" s="136">
        <f>((('Mano Obra'!$M$6/30)*F3623)/D3623)*G3591</f>
        <v>0</v>
      </c>
    </row>
    <row r="3624" spans="1:13" ht="16.5">
      <c r="A3624" s="560" t="s">
        <v>4101</v>
      </c>
      <c r="B3624" s="560"/>
      <c r="C3624" s="560"/>
      <c r="D3624" s="560"/>
      <c r="E3624" s="560"/>
      <c r="F3624" s="560"/>
      <c r="G3624" s="560"/>
      <c r="H3624" s="105">
        <f>SUM(F3621:F3623)</f>
        <v>22484</v>
      </c>
      <c r="J3624" s="136"/>
    </row>
    <row r="3625" spans="1:13">
      <c r="A3625" s="227" t="s">
        <v>4237</v>
      </c>
      <c r="B3625" s="205"/>
      <c r="C3625" s="205"/>
      <c r="D3625" s="202"/>
      <c r="E3625" s="203"/>
      <c r="F3625" s="204"/>
      <c r="G3625" s="203"/>
      <c r="H3625" s="212"/>
    </row>
    <row r="3626" spans="1:13">
      <c r="A3626" s="561" t="s">
        <v>4224</v>
      </c>
      <c r="B3626" s="562"/>
      <c r="C3626" s="562"/>
      <c r="D3626" s="562"/>
      <c r="E3626" s="200"/>
      <c r="F3626" s="201" t="s">
        <v>4238</v>
      </c>
      <c r="G3626" s="200" t="s">
        <v>4239</v>
      </c>
      <c r="H3626" s="213"/>
    </row>
    <row r="3627" spans="1:13">
      <c r="A3627" s="223" t="s">
        <v>4097</v>
      </c>
      <c r="B3627" s="72"/>
      <c r="C3627" s="72"/>
      <c r="D3627" s="73"/>
      <c r="E3627" s="78"/>
      <c r="F3627" s="79">
        <v>0</v>
      </c>
      <c r="G3627" s="80">
        <f>F3627*H3592</f>
        <v>0</v>
      </c>
      <c r="H3627" s="212"/>
    </row>
    <row r="3628" spans="1:13">
      <c r="A3628" s="224" t="s">
        <v>4240</v>
      </c>
      <c r="B3628" s="81"/>
      <c r="C3628" s="81"/>
      <c r="D3628" s="82"/>
      <c r="E3628" s="78"/>
      <c r="F3628" s="79">
        <v>0</v>
      </c>
      <c r="G3628" s="80">
        <f>F3628*H3592</f>
        <v>0</v>
      </c>
      <c r="H3628" s="212"/>
    </row>
    <row r="3629" spans="1:13">
      <c r="A3629" s="224" t="s">
        <v>4</v>
      </c>
      <c r="B3629" s="81"/>
      <c r="C3629" s="81"/>
      <c r="D3629" s="82"/>
      <c r="E3629" s="78"/>
      <c r="F3629" s="79">
        <v>0</v>
      </c>
      <c r="G3629" s="80">
        <f>F3629*H3592</f>
        <v>0</v>
      </c>
      <c r="H3629" s="212"/>
    </row>
    <row r="3630" spans="1:13">
      <c r="A3630" s="225"/>
      <c r="B3630" s="83"/>
      <c r="C3630" s="75"/>
      <c r="D3630" s="84"/>
      <c r="E3630" s="85"/>
      <c r="F3630" s="86"/>
      <c r="G3630" s="87"/>
      <c r="H3630" s="214"/>
    </row>
    <row r="3631" spans="1:13">
      <c r="A3631" s="226"/>
      <c r="B3631" s="83"/>
      <c r="C3631" s="83"/>
      <c r="D3631" s="84"/>
      <c r="E3631" s="88"/>
      <c r="F3631" s="563" t="s">
        <v>4241</v>
      </c>
      <c r="G3631" s="564"/>
      <c r="H3631" s="233">
        <f>H3592+G3627+G3628+G3629</f>
        <v>920979.66724999994</v>
      </c>
    </row>
    <row r="3632" spans="1:13">
      <c r="A3632" s="83"/>
      <c r="B3632" s="83"/>
      <c r="C3632" s="83"/>
      <c r="D3632" s="84"/>
      <c r="E3632" s="388"/>
      <c r="F3632" s="389"/>
      <c r="G3632" s="389"/>
      <c r="H3632" s="390"/>
    </row>
    <row r="3633" spans="1:14" ht="16.5">
      <c r="A3633" s="90"/>
      <c r="B3633" s="90"/>
      <c r="C3633" s="90"/>
      <c r="D3633" s="90"/>
      <c r="E3633" s="90"/>
      <c r="F3633" s="90"/>
      <c r="G3633" s="90"/>
      <c r="H3633" s="381"/>
    </row>
    <row r="3634" spans="1:14">
      <c r="A3634" s="579" t="s">
        <v>4225</v>
      </c>
      <c r="B3634" s="580"/>
      <c r="C3634" s="580"/>
      <c r="D3634" s="580"/>
      <c r="E3634" s="580"/>
      <c r="F3634" s="580"/>
      <c r="G3634" s="580"/>
      <c r="H3634" s="581"/>
    </row>
    <row r="3635" spans="1:14" ht="16.5">
      <c r="A3635" s="91"/>
      <c r="B3635" s="92"/>
      <c r="C3635" s="92"/>
      <c r="D3635" s="92"/>
      <c r="E3635" s="92"/>
      <c r="F3635" s="93"/>
      <c r="G3635" s="94"/>
      <c r="H3635" s="380">
        <f>ROUND((30/60)/8,4)</f>
        <v>6.25E-2</v>
      </c>
      <c r="I3635" s="115"/>
    </row>
    <row r="3636" spans="1:14">
      <c r="A3636" s="582" t="s">
        <v>4220</v>
      </c>
      <c r="B3636" s="584" t="str">
        <f>COSTOS!$C$14</f>
        <v>MODERNIZACION A TECNOLOGIA LED</v>
      </c>
      <c r="C3636" s="584"/>
      <c r="D3636" s="584"/>
      <c r="E3636" s="584"/>
      <c r="F3636" s="584"/>
      <c r="G3636" s="584"/>
      <c r="H3636" s="585" t="s">
        <v>4221</v>
      </c>
    </row>
    <row r="3637" spans="1:14">
      <c r="A3637" s="583"/>
      <c r="B3637" s="584"/>
      <c r="C3637" s="584"/>
      <c r="D3637" s="584"/>
      <c r="E3637" s="584"/>
      <c r="F3637" s="584"/>
      <c r="G3637" s="584"/>
      <c r="H3637" s="585"/>
    </row>
    <row r="3638" spans="1:14">
      <c r="A3638" s="583"/>
      <c r="B3638" s="584"/>
      <c r="C3638" s="584"/>
      <c r="D3638" s="584"/>
      <c r="E3638" s="584"/>
      <c r="F3638" s="584"/>
      <c r="G3638" s="584"/>
      <c r="H3638" s="585"/>
    </row>
    <row r="3639" spans="1:14" ht="15" customHeight="1">
      <c r="A3639" s="583"/>
      <c r="B3639" s="584"/>
      <c r="C3639" s="584"/>
      <c r="D3639" s="584"/>
      <c r="E3639" s="584"/>
      <c r="F3639" s="584"/>
      <c r="G3639" s="584"/>
      <c r="H3639" s="216">
        <f ca="1">TODAY()</f>
        <v>44889</v>
      </c>
      <c r="K3639" t="s">
        <v>4391</v>
      </c>
      <c r="L3639" t="s">
        <v>4392</v>
      </c>
      <c r="M3639" t="s">
        <v>4393</v>
      </c>
      <c r="N3639" t="s">
        <v>4394</v>
      </c>
    </row>
    <row r="3640" spans="1:14" ht="60.75" customHeight="1">
      <c r="A3640" s="228" t="s">
        <v>4222</v>
      </c>
      <c r="B3640" s="565" t="str">
        <f>COSTOS!$D$16</f>
        <v>Luminarias</v>
      </c>
      <c r="C3640" s="565"/>
      <c r="D3640" s="565"/>
      <c r="E3640" s="565"/>
      <c r="F3640" s="565"/>
      <c r="G3640" s="70" t="s">
        <v>4223</v>
      </c>
      <c r="H3640" s="391">
        <v>1.72</v>
      </c>
      <c r="K3640" s="62">
        <f>H3665</f>
        <v>314605.53600000002</v>
      </c>
      <c r="L3640" s="62">
        <f>H3675</f>
        <v>22484</v>
      </c>
      <c r="M3640" s="62">
        <f>H3648</f>
        <v>4034.53125</v>
      </c>
      <c r="N3640" s="62">
        <f>H3669</f>
        <v>4800</v>
      </c>
    </row>
    <row r="3641" spans="1:14" ht="43.15" customHeight="1">
      <c r="A3641" s="229" t="s">
        <v>4224</v>
      </c>
      <c r="B3641" s="566" t="str">
        <f>VLOOKUP(H3640,COSTOS!C:M,2,0)</f>
        <v>Bala led piso 30w</v>
      </c>
      <c r="C3641" s="567"/>
      <c r="D3641" s="567"/>
      <c r="E3641" s="568"/>
      <c r="F3641" s="71" t="s">
        <v>0</v>
      </c>
      <c r="G3641" s="356" t="str">
        <f>VLOOKUP(H3640,COSTOS!C:M,8,0)</f>
        <v>Und</v>
      </c>
      <c r="H3641" s="276"/>
      <c r="I3641" s="306"/>
      <c r="J3641" s="308"/>
      <c r="K3641" s="308"/>
      <c r="L3641" s="308"/>
    </row>
    <row r="3642" spans="1:14">
      <c r="A3642" s="230"/>
      <c r="B3642" s="112"/>
      <c r="C3642" s="112"/>
      <c r="D3642" s="112"/>
      <c r="E3642" s="113"/>
      <c r="F3642" s="114" t="s">
        <v>1</v>
      </c>
      <c r="G3642" s="356">
        <f>VLOOKUP(H3640,COSTOS!C:M,9,0)</f>
        <v>0</v>
      </c>
      <c r="H3642" s="357"/>
      <c r="I3642" s="307"/>
    </row>
    <row r="3643" spans="1:14" ht="16.5">
      <c r="A3643" s="231" t="s">
        <v>4226</v>
      </c>
      <c r="B3643" s="75"/>
      <c r="C3643" s="75"/>
      <c r="D3643" s="76"/>
      <c r="E3643" s="209"/>
      <c r="F3643" s="210"/>
      <c r="G3643" s="211" t="s">
        <v>4227</v>
      </c>
      <c r="H3643" s="217">
        <f>H3648+H3665+H3669+H3675</f>
        <v>345924.06725000002</v>
      </c>
    </row>
    <row r="3644" spans="1:14" ht="39">
      <c r="A3644" s="569" t="s">
        <v>4224</v>
      </c>
      <c r="B3644" s="569"/>
      <c r="C3644" s="569"/>
      <c r="D3644" s="77" t="s">
        <v>0</v>
      </c>
      <c r="E3644" s="207" t="s">
        <v>4228</v>
      </c>
      <c r="F3644" s="208" t="s">
        <v>4215</v>
      </c>
      <c r="G3644" s="74" t="s">
        <v>2</v>
      </c>
      <c r="H3644" s="218" t="s">
        <v>4229</v>
      </c>
      <c r="K3644" s="309"/>
    </row>
    <row r="3645" spans="1:14">
      <c r="A3645" s="536" t="s">
        <v>3946</v>
      </c>
      <c r="B3645" s="570" t="str">
        <f>VLOOKUP(A3645,'Equip, Herr y Transp'!$B$2:$D$739,2,0)</f>
        <v>EQU</v>
      </c>
      <c r="C3645" s="570"/>
      <c r="D3645" s="95" t="str">
        <f>VLOOKUP(A3645,'Equip, Herr y Transp'!$B$2:$D$218,2,0)</f>
        <v>EQU</v>
      </c>
      <c r="E3645" s="95">
        <f>VLOOKUP(A3645,'Equip, Herr y Transp'!$B$2:$D$218,3,0)</f>
        <v>14130</v>
      </c>
      <c r="F3645" s="96">
        <f>H3635</f>
        <v>6.25E-2</v>
      </c>
      <c r="G3645" s="122">
        <f>F3645*E3645</f>
        <v>883.125</v>
      </c>
      <c r="H3645" s="118"/>
    </row>
    <row r="3646" spans="1:14">
      <c r="A3646" s="536" t="s">
        <v>3904</v>
      </c>
      <c r="B3646" s="570" t="str">
        <f>VLOOKUP(A3646,'Equip, Herr y Transp'!$B$2:$D$739,2,0)</f>
        <v>EQU</v>
      </c>
      <c r="C3646" s="570"/>
      <c r="D3646" s="95" t="str">
        <f>VLOOKUP(A3646,'Equip, Herr y Transp'!$B$2:$D$218,2,0)</f>
        <v>EQU</v>
      </c>
      <c r="E3646" s="95">
        <f>VLOOKUP(A3646,'Equip, Herr y Transp'!$B$2:$D$218,3,0)</f>
        <v>26672.5</v>
      </c>
      <c r="F3646" s="96">
        <f>H3635</f>
        <v>6.25E-2</v>
      </c>
      <c r="G3646" s="122">
        <f>F3646*E3646</f>
        <v>1667.03125</v>
      </c>
      <c r="H3646" s="117"/>
    </row>
    <row r="3647" spans="1:14">
      <c r="A3647" s="536" t="s">
        <v>3937</v>
      </c>
      <c r="B3647" s="570" t="str">
        <f>VLOOKUP(A3647,'Equip, Herr y Transp'!$B$2:$D$739,2,0)</f>
        <v>EQU</v>
      </c>
      <c r="C3647" s="570"/>
      <c r="D3647" s="95" t="str">
        <f>VLOOKUP(A3647,'Equip, Herr y Transp'!$B$2:$D$218,2,0)</f>
        <v>EQU</v>
      </c>
      <c r="E3647" s="95">
        <f>VLOOKUP(A3647,'Equip, Herr y Transp'!$B$2:$D$218,3,0)</f>
        <v>23750</v>
      </c>
      <c r="F3647" s="96">
        <f>H3635</f>
        <v>6.25E-2</v>
      </c>
      <c r="G3647" s="122">
        <f>F3647*E3647</f>
        <v>1484.375</v>
      </c>
      <c r="H3647" s="117"/>
    </row>
    <row r="3648" spans="1:14" ht="16.5">
      <c r="A3648" s="540" t="s">
        <v>4100</v>
      </c>
      <c r="B3648" s="541"/>
      <c r="C3648" s="541"/>
      <c r="D3648" s="541"/>
      <c r="E3648" s="541"/>
      <c r="F3648" s="541"/>
      <c r="G3648" s="541"/>
      <c r="H3648" s="97">
        <f>SUM(G3645:G3647)</f>
        <v>4034.53125</v>
      </c>
    </row>
    <row r="3649" spans="1:15" ht="16.5">
      <c r="A3649" s="571" t="s">
        <v>4230</v>
      </c>
      <c r="B3649" s="572"/>
      <c r="C3649" s="572"/>
      <c r="D3649" s="572"/>
      <c r="E3649" s="572"/>
      <c r="F3649" s="572"/>
      <c r="G3649" s="572"/>
      <c r="H3649" s="573"/>
      <c r="K3649" s="56"/>
      <c r="L3649" s="56"/>
      <c r="M3649" s="56"/>
      <c r="N3649" s="56"/>
      <c r="O3649" s="56"/>
    </row>
    <row r="3650" spans="1:15" ht="30" customHeight="1">
      <c r="A3650" s="574" t="s">
        <v>7</v>
      </c>
      <c r="B3650" s="575"/>
      <c r="C3650" s="109" t="s">
        <v>0</v>
      </c>
      <c r="D3650" s="110" t="s">
        <v>4098</v>
      </c>
      <c r="E3650" s="111" t="s">
        <v>1</v>
      </c>
      <c r="F3650" s="576" t="s">
        <v>4218</v>
      </c>
      <c r="G3650" s="576"/>
      <c r="H3650" s="215"/>
      <c r="K3650" s="56"/>
      <c r="L3650" s="56"/>
      <c r="M3650" s="56"/>
      <c r="N3650" s="56"/>
      <c r="O3650" s="56"/>
    </row>
    <row r="3651" spans="1:15">
      <c r="A3651" s="577" t="s">
        <v>4812</v>
      </c>
      <c r="B3651" s="578"/>
      <c r="C3651" s="98" t="str">
        <f>VLOOKUP(A3651,'Materiales '!$C$2:$F$1302,3,0)</f>
        <v>Und</v>
      </c>
      <c r="D3651" s="99">
        <f>VLOOKUP(A3651,'Materiales '!$C$2:$F$1302,4,0)</f>
        <v>260324.4</v>
      </c>
      <c r="E3651" s="100">
        <v>1</v>
      </c>
      <c r="F3651" s="538">
        <f>E3651*D3651</f>
        <v>260324.4</v>
      </c>
      <c r="G3651" s="539"/>
      <c r="H3651" s="121"/>
      <c r="I3651">
        <f>E3651*G3642</f>
        <v>0</v>
      </c>
      <c r="J3651" s="67"/>
      <c r="K3651" s="56"/>
      <c r="L3651" s="56"/>
      <c r="M3651" s="56"/>
      <c r="N3651" s="56"/>
      <c r="O3651" s="56"/>
    </row>
    <row r="3652" spans="1:15">
      <c r="A3652" s="577" t="s">
        <v>4214</v>
      </c>
      <c r="B3652" s="578"/>
      <c r="C3652" s="98" t="str">
        <f>VLOOKUP(A3652,'Materiales '!$C$2:$F$1302,3,0)</f>
        <v>Und</v>
      </c>
      <c r="D3652" s="99">
        <f>VLOOKUP(A3652,'Materiales '!$C$2:$F$1302,4,0)</f>
        <v>22848</v>
      </c>
      <c r="E3652" s="100">
        <v>1</v>
      </c>
      <c r="F3652" s="538">
        <f t="shared" ref="F3652:F3658" si="214">E3652*D3652</f>
        <v>22848</v>
      </c>
      <c r="G3652" s="539"/>
      <c r="H3652" s="121"/>
      <c r="I3652">
        <f>E3652*G3642</f>
        <v>0</v>
      </c>
      <c r="J3652" s="67"/>
      <c r="K3652" s="56"/>
      <c r="L3652" s="56"/>
      <c r="M3652" s="56"/>
      <c r="N3652" s="56"/>
      <c r="O3652" s="56"/>
    </row>
    <row r="3653" spans="1:15">
      <c r="A3653" s="536" t="s">
        <v>4639</v>
      </c>
      <c r="B3653" s="537" t="str">
        <f>VLOOKUP(A3653,'Materiales '!$C$2:$F$1302,3,0)</f>
        <v>Und</v>
      </c>
      <c r="C3653" s="98" t="str">
        <f>VLOOKUP(A3653,'Materiales '!$C$2:$F$1302,3,0)</f>
        <v>Und</v>
      </c>
      <c r="D3653" s="99">
        <f>VLOOKUP(A3653,'Materiales '!$C$2:$F$1302,4,0)</f>
        <v>35700</v>
      </c>
      <c r="E3653" s="100">
        <v>0.5</v>
      </c>
      <c r="F3653" s="538">
        <f t="shared" si="214"/>
        <v>17850</v>
      </c>
      <c r="G3653" s="539"/>
      <c r="H3653" s="121"/>
      <c r="I3653">
        <f>E3653*G3642</f>
        <v>0</v>
      </c>
      <c r="J3653" s="68"/>
      <c r="K3653" s="56"/>
      <c r="L3653" s="56"/>
      <c r="M3653" s="56"/>
      <c r="N3653" s="56"/>
      <c r="O3653" s="56"/>
    </row>
    <row r="3654" spans="1:15">
      <c r="A3654" s="536" t="s">
        <v>4450</v>
      </c>
      <c r="B3654" s="537" t="str">
        <f>VLOOKUP(A3654,'Materiales '!$C$2:$F$1302,3,0)</f>
        <v>Ml</v>
      </c>
      <c r="C3654" s="98" t="str">
        <f>VLOOKUP(A3654,'Materiales '!$C$2:$F$1302,3,0)</f>
        <v>Ml</v>
      </c>
      <c r="D3654" s="99">
        <f>VLOOKUP(A3654,'Materiales '!$C$2:$F$1302,4,0)</f>
        <v>6791.5679999999993</v>
      </c>
      <c r="E3654" s="100">
        <v>2</v>
      </c>
      <c r="F3654" s="538">
        <f t="shared" si="214"/>
        <v>13583.135999999999</v>
      </c>
      <c r="G3654" s="539"/>
      <c r="H3654" s="121"/>
      <c r="I3654">
        <f>E3654*G3642</f>
        <v>0</v>
      </c>
      <c r="J3654" s="68"/>
      <c r="K3654" s="56"/>
      <c r="L3654" s="56"/>
      <c r="M3654" s="56"/>
      <c r="N3654" s="56"/>
      <c r="O3654" s="56"/>
    </row>
    <row r="3655" spans="1:15">
      <c r="A3655" s="536" t="s">
        <v>8</v>
      </c>
      <c r="B3655" s="537" t="str">
        <f>VLOOKUP(A3655,'Materiales '!$C$2:$F$1302,3,0)</f>
        <v>-</v>
      </c>
      <c r="C3655" s="98" t="str">
        <f>VLOOKUP(A3655,'Materiales '!$C$2:$F$1302,3,0)</f>
        <v>-</v>
      </c>
      <c r="D3655" s="99">
        <f>VLOOKUP(A3655,'Materiales '!$C$2:$F$1302,4,0)</f>
        <v>0</v>
      </c>
      <c r="E3655" s="100">
        <v>1</v>
      </c>
      <c r="F3655" s="538">
        <f t="shared" si="214"/>
        <v>0</v>
      </c>
      <c r="G3655" s="539"/>
      <c r="H3655" s="121"/>
      <c r="I3655">
        <f>E3655*G3642</f>
        <v>0</v>
      </c>
      <c r="J3655" s="68"/>
      <c r="K3655" s="56"/>
      <c r="L3655" s="56"/>
      <c r="M3655" s="56"/>
      <c r="N3655" s="56"/>
      <c r="O3655" s="56"/>
    </row>
    <row r="3656" spans="1:15">
      <c r="A3656" s="536" t="s">
        <v>8</v>
      </c>
      <c r="B3656" s="537" t="str">
        <f>VLOOKUP(A3656,'Materiales '!$C$2:$F$1302,3,0)</f>
        <v>-</v>
      </c>
      <c r="C3656" s="98" t="str">
        <f>VLOOKUP(A3656,'Materiales '!$C$2:$F$1302,3,0)</f>
        <v>-</v>
      </c>
      <c r="D3656" s="99">
        <f>VLOOKUP(A3656,'Materiales '!$C$2:$F$1302,4,0)</f>
        <v>0</v>
      </c>
      <c r="E3656" s="100">
        <v>1</v>
      </c>
      <c r="F3656" s="538">
        <f t="shared" si="214"/>
        <v>0</v>
      </c>
      <c r="G3656" s="539"/>
      <c r="H3656" s="121"/>
      <c r="I3656">
        <f>E3656*G3642</f>
        <v>0</v>
      </c>
      <c r="J3656" s="68"/>
      <c r="K3656" s="56"/>
      <c r="L3656" s="56"/>
      <c r="M3656" s="56"/>
      <c r="N3656" s="56"/>
      <c r="O3656" s="56"/>
    </row>
    <row r="3657" spans="1:15">
      <c r="A3657" s="536" t="s">
        <v>8</v>
      </c>
      <c r="B3657" s="537" t="str">
        <f>VLOOKUP(A3657,'Materiales '!$C$2:$F$1302,3,0)</f>
        <v>-</v>
      </c>
      <c r="C3657" s="98" t="str">
        <f>VLOOKUP(A3657,'Materiales '!$C$2:$F$1302,3,0)</f>
        <v>-</v>
      </c>
      <c r="D3657" s="99">
        <f>VLOOKUP(A3657,'Materiales '!$C$2:$F$1302,4,0)</f>
        <v>0</v>
      </c>
      <c r="E3657" s="100">
        <v>1</v>
      </c>
      <c r="F3657" s="538">
        <f t="shared" si="214"/>
        <v>0</v>
      </c>
      <c r="G3657" s="539"/>
      <c r="H3657" s="121"/>
      <c r="I3657">
        <f>E3657*G3642</f>
        <v>0</v>
      </c>
      <c r="J3657" s="68"/>
      <c r="K3657" s="56"/>
      <c r="L3657" s="56"/>
      <c r="M3657" s="56"/>
      <c r="N3657" s="56"/>
      <c r="O3657" s="56"/>
    </row>
    <row r="3658" spans="1:15" ht="21.75" customHeight="1">
      <c r="A3658" s="536" t="s">
        <v>8</v>
      </c>
      <c r="B3658" s="537" t="str">
        <f>VLOOKUP(A3658,'Materiales '!$C$2:$F$1302,3,0)</f>
        <v>-</v>
      </c>
      <c r="C3658" s="98" t="str">
        <f>VLOOKUP(A3658,'Materiales '!$C$2:$F$1302,3,0)</f>
        <v>-</v>
      </c>
      <c r="D3658" s="99">
        <f>VLOOKUP(A3658,'Materiales '!$C$2:$F$1302,4,0)</f>
        <v>0</v>
      </c>
      <c r="E3658" s="100">
        <v>1</v>
      </c>
      <c r="F3658" s="538">
        <f t="shared" si="214"/>
        <v>0</v>
      </c>
      <c r="G3658" s="539"/>
      <c r="H3658" s="121"/>
      <c r="I3658">
        <f>E3658*G3642</f>
        <v>0</v>
      </c>
      <c r="J3658" s="68"/>
      <c r="K3658" s="56"/>
      <c r="L3658" s="56"/>
      <c r="M3658" s="56"/>
      <c r="N3658" s="56"/>
      <c r="O3658" s="56"/>
    </row>
    <row r="3659" spans="1:15">
      <c r="A3659" s="536" t="s">
        <v>8</v>
      </c>
      <c r="B3659" s="537" t="str">
        <f>VLOOKUP(A3659,'Materiales '!$C$2:$F$1302,3,0)</f>
        <v>-</v>
      </c>
      <c r="C3659" s="98" t="str">
        <f>VLOOKUP(A3659,'Materiales '!$C$2:$F$1302,3,0)</f>
        <v>-</v>
      </c>
      <c r="D3659" s="99">
        <f>VLOOKUP(A3659,'Materiales '!$C$2:$F$1302,4,0)</f>
        <v>0</v>
      </c>
      <c r="E3659" s="100"/>
      <c r="F3659" s="538">
        <f>E3659*D3659</f>
        <v>0</v>
      </c>
      <c r="G3659" s="539"/>
      <c r="H3659" s="120"/>
      <c r="I3659">
        <f>E3659*G3642</f>
        <v>0</v>
      </c>
      <c r="J3659" s="68"/>
      <c r="K3659" s="56"/>
      <c r="L3659" s="56"/>
      <c r="M3659" s="56"/>
      <c r="N3659" s="56"/>
      <c r="O3659" s="56"/>
    </row>
    <row r="3660" spans="1:15">
      <c r="A3660" s="536" t="s">
        <v>8</v>
      </c>
      <c r="B3660" s="537" t="str">
        <f>VLOOKUP(A3660,'Materiales '!$C$2:$F$1302,3,0)</f>
        <v>-</v>
      </c>
      <c r="C3660" s="98" t="str">
        <f>VLOOKUP(A3660,'Materiales '!$C$2:$F$1302,3,0)</f>
        <v>-</v>
      </c>
      <c r="D3660" s="99">
        <f>VLOOKUP(A3660,'Materiales '!$C$2:$F$1302,4,0)</f>
        <v>0</v>
      </c>
      <c r="E3660" s="100"/>
      <c r="F3660" s="538">
        <f t="shared" ref="F3660:F3663" si="215">E3660*D3660</f>
        <v>0</v>
      </c>
      <c r="G3660" s="539"/>
      <c r="H3660" s="121"/>
      <c r="I3660">
        <f>E3660*G3642</f>
        <v>0</v>
      </c>
      <c r="J3660" s="68"/>
      <c r="K3660" s="56"/>
      <c r="L3660" s="56"/>
      <c r="M3660" s="56"/>
      <c r="N3660" s="56"/>
      <c r="O3660" s="56"/>
    </row>
    <row r="3661" spans="1:15">
      <c r="A3661" s="536" t="s">
        <v>8</v>
      </c>
      <c r="B3661" s="537" t="str">
        <f>VLOOKUP(A3661,'Materiales '!$C$2:$F$1302,3,0)</f>
        <v>-</v>
      </c>
      <c r="C3661" s="98" t="str">
        <f>VLOOKUP(A3661,'Materiales '!$C$2:$F$1302,3,0)</f>
        <v>-</v>
      </c>
      <c r="D3661" s="99">
        <f>VLOOKUP(A3661,'Materiales '!$C$2:$F$1302,4,0)</f>
        <v>0</v>
      </c>
      <c r="E3661" s="100"/>
      <c r="F3661" s="538">
        <f t="shared" si="215"/>
        <v>0</v>
      </c>
      <c r="G3661" s="539"/>
      <c r="H3661" s="121"/>
      <c r="I3661">
        <f>E3661*G3642</f>
        <v>0</v>
      </c>
      <c r="J3661" s="68"/>
      <c r="K3661" s="56"/>
      <c r="L3661" s="56"/>
      <c r="M3661" s="56"/>
      <c r="N3661" s="56"/>
      <c r="O3661" s="56"/>
    </row>
    <row r="3662" spans="1:15">
      <c r="A3662" s="536" t="s">
        <v>8</v>
      </c>
      <c r="B3662" s="537" t="str">
        <f>VLOOKUP(A3662,'Materiales '!$C$2:$F$1302,3,0)</f>
        <v>-</v>
      </c>
      <c r="C3662" s="98" t="str">
        <f>VLOOKUP(A3662,'Materiales '!$C$2:$F$1302,3,0)</f>
        <v>-</v>
      </c>
      <c r="D3662" s="99">
        <f>VLOOKUP(A3662,'Materiales '!$C$2:$F$1302,4,0)</f>
        <v>0</v>
      </c>
      <c r="E3662" s="100"/>
      <c r="F3662" s="538">
        <f t="shared" si="215"/>
        <v>0</v>
      </c>
      <c r="G3662" s="539"/>
      <c r="H3662" s="121"/>
      <c r="I3662">
        <f>E3662*G3642</f>
        <v>0</v>
      </c>
      <c r="J3662" s="68"/>
      <c r="K3662" s="56"/>
      <c r="L3662" s="56"/>
      <c r="M3662" s="56"/>
      <c r="N3662" s="56"/>
      <c r="O3662" s="56"/>
    </row>
    <row r="3663" spans="1:15">
      <c r="A3663" s="536" t="s">
        <v>8</v>
      </c>
      <c r="B3663" s="537" t="str">
        <f>VLOOKUP(A3663,'Materiales '!$C$2:$F$1302,3,0)</f>
        <v>-</v>
      </c>
      <c r="C3663" s="98" t="str">
        <f>VLOOKUP(A3663,'Materiales '!$C$2:$F$1302,3,0)</f>
        <v>-</v>
      </c>
      <c r="D3663" s="99">
        <f>VLOOKUP(A3663,'Materiales '!$C$2:$F$1302,4,0)</f>
        <v>0</v>
      </c>
      <c r="E3663" s="100"/>
      <c r="F3663" s="538">
        <f t="shared" si="215"/>
        <v>0</v>
      </c>
      <c r="G3663" s="539"/>
      <c r="H3663" s="121"/>
      <c r="I3663">
        <f>E3663*G3642</f>
        <v>0</v>
      </c>
      <c r="J3663" s="68"/>
      <c r="K3663" s="56"/>
      <c r="L3663" s="56"/>
      <c r="M3663" s="56"/>
      <c r="N3663" s="56"/>
      <c r="O3663" s="56"/>
    </row>
    <row r="3664" spans="1:15">
      <c r="A3664" s="536" t="s">
        <v>8</v>
      </c>
      <c r="B3664" s="537" t="str">
        <f>VLOOKUP(A3664,'Materiales '!$C$2:$F$1302,3,0)</f>
        <v>-</v>
      </c>
      <c r="C3664" s="98" t="str">
        <f>VLOOKUP(A3664,'Materiales '!$C$2:$F$1302,3,0)</f>
        <v>-</v>
      </c>
      <c r="D3664" s="99">
        <f>VLOOKUP(A3664,'Materiales '!$C$2:$F$1302,4,0)</f>
        <v>0</v>
      </c>
      <c r="E3664" s="100"/>
      <c r="F3664" s="538">
        <f>E3664*D3664</f>
        <v>0</v>
      </c>
      <c r="G3664" s="539"/>
      <c r="H3664" s="120"/>
      <c r="I3664">
        <f>E3664*G3642</f>
        <v>0</v>
      </c>
      <c r="J3664" s="68"/>
      <c r="K3664" s="56"/>
      <c r="L3664" s="56"/>
      <c r="M3664" s="56"/>
      <c r="N3664" s="56"/>
      <c r="O3664" s="56"/>
    </row>
    <row r="3665" spans="1:15" ht="16.5">
      <c r="A3665" s="540" t="s">
        <v>4099</v>
      </c>
      <c r="B3665" s="541"/>
      <c r="C3665" s="541"/>
      <c r="D3665" s="541"/>
      <c r="E3665" s="541"/>
      <c r="F3665" s="541"/>
      <c r="G3665" s="542"/>
      <c r="H3665" s="116">
        <f>SUM(F3651:F3664)</f>
        <v>314605.53600000002</v>
      </c>
      <c r="J3665" s="68"/>
      <c r="K3665" s="56"/>
      <c r="L3665" s="56"/>
      <c r="M3665" s="56"/>
      <c r="N3665" s="56"/>
      <c r="O3665" s="56"/>
    </row>
    <row r="3666" spans="1:15" ht="16.5">
      <c r="A3666" s="543" t="s">
        <v>4231</v>
      </c>
      <c r="B3666" s="544"/>
      <c r="C3666" s="544"/>
      <c r="D3666" s="544"/>
      <c r="E3666" s="545"/>
      <c r="F3666" s="544"/>
      <c r="G3666" s="544"/>
      <c r="H3666" s="546"/>
      <c r="J3666" s="68"/>
      <c r="K3666" s="56"/>
      <c r="L3666" s="56"/>
      <c r="M3666" s="56"/>
      <c r="N3666" s="56"/>
      <c r="O3666" s="56"/>
    </row>
    <row r="3667" spans="1:15">
      <c r="A3667" s="547" t="s">
        <v>7</v>
      </c>
      <c r="B3667" s="548"/>
      <c r="C3667" s="108" t="s">
        <v>4232</v>
      </c>
      <c r="D3667" s="107" t="s">
        <v>4233</v>
      </c>
      <c r="E3667" s="206" t="s">
        <v>4234</v>
      </c>
      <c r="F3667" s="549" t="s">
        <v>4218</v>
      </c>
      <c r="G3667" s="549"/>
      <c r="H3667" s="119"/>
      <c r="K3667" s="56"/>
      <c r="L3667" s="56"/>
      <c r="M3667" s="56"/>
      <c r="N3667" s="56"/>
      <c r="O3667" s="56"/>
    </row>
    <row r="3668" spans="1:15">
      <c r="A3668" s="550" t="s">
        <v>3928</v>
      </c>
      <c r="B3668" s="551"/>
      <c r="C3668" s="232">
        <v>1</v>
      </c>
      <c r="D3668" s="102">
        <v>0.03</v>
      </c>
      <c r="E3668" s="103">
        <f>VLOOKUP(A3668,'Equip, Herr y Transp'!$B$2:$D$218,3,0)</f>
        <v>160000</v>
      </c>
      <c r="F3668" s="552">
        <f>E3668*D3668*C3668</f>
        <v>4800</v>
      </c>
      <c r="G3668" s="553"/>
      <c r="H3668" s="117"/>
      <c r="M3668" s="56"/>
    </row>
    <row r="3669" spans="1:15" ht="16.5">
      <c r="A3669" s="554" t="s">
        <v>4216</v>
      </c>
      <c r="B3669" s="555"/>
      <c r="C3669" s="555"/>
      <c r="D3669" s="555"/>
      <c r="E3669" s="555"/>
      <c r="F3669" s="555"/>
      <c r="G3669" s="555"/>
      <c r="H3669" s="105">
        <f>F3668</f>
        <v>4800</v>
      </c>
    </row>
    <row r="3670" spans="1:15" ht="16.5">
      <c r="A3670" s="543" t="s">
        <v>4235</v>
      </c>
      <c r="B3670" s="544"/>
      <c r="C3670" s="544"/>
      <c r="D3670" s="544"/>
      <c r="E3670" s="544"/>
      <c r="F3670" s="544"/>
      <c r="G3670" s="544"/>
      <c r="H3670" s="546"/>
    </row>
    <row r="3671" spans="1:15">
      <c r="A3671" s="547" t="s">
        <v>7</v>
      </c>
      <c r="B3671" s="548"/>
      <c r="C3671" s="106" t="s">
        <v>1</v>
      </c>
      <c r="D3671" s="107" t="s">
        <v>4236</v>
      </c>
      <c r="E3671" s="108" t="s">
        <v>4215</v>
      </c>
      <c r="F3671" s="547" t="s">
        <v>5</v>
      </c>
      <c r="G3671" s="556"/>
      <c r="H3671" s="119"/>
    </row>
    <row r="3672" spans="1:15">
      <c r="A3672" s="550" t="s">
        <v>4196</v>
      </c>
      <c r="B3672" s="551"/>
      <c r="C3672" s="101">
        <v>1</v>
      </c>
      <c r="D3672" s="104">
        <f>VLOOKUP(A3672,'Mano Obra'!$B$2:$T$117,19,0)</f>
        <v>166624</v>
      </c>
      <c r="E3672" s="246">
        <f>H3635</f>
        <v>6.25E-2</v>
      </c>
      <c r="F3672" s="538">
        <f>E3672*D3672*C3672</f>
        <v>10414</v>
      </c>
      <c r="G3672" s="557"/>
      <c r="H3672" s="121"/>
      <c r="I3672" s="69"/>
      <c r="J3672" s="136">
        <f>((('Mano Obra'!$M$4/30)*F3672)/D3672)*G3642</f>
        <v>0</v>
      </c>
    </row>
    <row r="3673" spans="1:15">
      <c r="A3673" s="558" t="s">
        <v>4197</v>
      </c>
      <c r="B3673" s="559">
        <f>VLOOKUP(A3673,'Mano Obra'!$B$3:$D$290,2,0)</f>
        <v>2090000.0000000002</v>
      </c>
      <c r="C3673" s="101">
        <v>1</v>
      </c>
      <c r="D3673" s="104">
        <f>VLOOKUP(A3673,'Mano Obra'!$B$2:$T$117,19,0)</f>
        <v>120456</v>
      </c>
      <c r="E3673" s="246">
        <f>H3635</f>
        <v>6.25E-2</v>
      </c>
      <c r="F3673" s="538">
        <f t="shared" ref="F3673:F3674" si="216">E3673*D3673*C3673</f>
        <v>7528.5</v>
      </c>
      <c r="G3673" s="557"/>
      <c r="H3673" s="121"/>
      <c r="J3673" s="136">
        <f>((('Mano Obra'!$M$5/30)*F3673)/D3673)*G3642</f>
        <v>0</v>
      </c>
    </row>
    <row r="3674" spans="1:15">
      <c r="A3674" s="558" t="s">
        <v>4186</v>
      </c>
      <c r="B3674" s="559">
        <f>VLOOKUP(A3674,'Mano Obra'!$B$3:$D$290,2,0)</f>
        <v>1100000</v>
      </c>
      <c r="C3674" s="101">
        <v>1</v>
      </c>
      <c r="D3674" s="104">
        <f>VLOOKUP(A3674,'Mano Obra'!$B$2:$T$117,19,0)</f>
        <v>72664</v>
      </c>
      <c r="E3674" s="246">
        <f>H3635</f>
        <v>6.25E-2</v>
      </c>
      <c r="F3674" s="538">
        <f t="shared" si="216"/>
        <v>4541.5</v>
      </c>
      <c r="G3674" s="557"/>
      <c r="H3674" s="120"/>
      <c r="J3674" s="136">
        <f>((('Mano Obra'!$M$6/30)*F3674)/D3674)*G3642</f>
        <v>0</v>
      </c>
    </row>
    <row r="3675" spans="1:15" ht="16.5">
      <c r="A3675" s="560" t="s">
        <v>4101</v>
      </c>
      <c r="B3675" s="560"/>
      <c r="C3675" s="560"/>
      <c r="D3675" s="560"/>
      <c r="E3675" s="560"/>
      <c r="F3675" s="560"/>
      <c r="G3675" s="560"/>
      <c r="H3675" s="105">
        <f>SUM(F3672:F3674)</f>
        <v>22484</v>
      </c>
      <c r="J3675" s="136"/>
    </row>
    <row r="3676" spans="1:15">
      <c r="A3676" s="227" t="s">
        <v>4237</v>
      </c>
      <c r="B3676" s="205"/>
      <c r="C3676" s="205"/>
      <c r="D3676" s="202"/>
      <c r="E3676" s="203"/>
      <c r="F3676" s="204"/>
      <c r="G3676" s="203"/>
      <c r="H3676" s="212"/>
    </row>
    <row r="3677" spans="1:15">
      <c r="A3677" s="561" t="s">
        <v>4224</v>
      </c>
      <c r="B3677" s="562"/>
      <c r="C3677" s="562"/>
      <c r="D3677" s="562"/>
      <c r="E3677" s="200"/>
      <c r="F3677" s="201" t="s">
        <v>4238</v>
      </c>
      <c r="G3677" s="200" t="s">
        <v>4239</v>
      </c>
      <c r="H3677" s="213"/>
    </row>
    <row r="3678" spans="1:15">
      <c r="A3678" s="223" t="s">
        <v>4097</v>
      </c>
      <c r="B3678" s="72"/>
      <c r="C3678" s="72"/>
      <c r="D3678" s="73"/>
      <c r="E3678" s="78"/>
      <c r="F3678" s="79">
        <v>0</v>
      </c>
      <c r="G3678" s="80">
        <f>F3678*H3643</f>
        <v>0</v>
      </c>
      <c r="H3678" s="212"/>
    </row>
    <row r="3679" spans="1:15">
      <c r="A3679" s="224" t="s">
        <v>4240</v>
      </c>
      <c r="B3679" s="81"/>
      <c r="C3679" s="81"/>
      <c r="D3679" s="82"/>
      <c r="E3679" s="78"/>
      <c r="F3679" s="79">
        <v>0</v>
      </c>
      <c r="G3679" s="80">
        <f>F3679*H3643</f>
        <v>0</v>
      </c>
      <c r="H3679" s="212"/>
    </row>
    <row r="3680" spans="1:15">
      <c r="A3680" s="224" t="s">
        <v>4</v>
      </c>
      <c r="B3680" s="81"/>
      <c r="C3680" s="81"/>
      <c r="D3680" s="82"/>
      <c r="E3680" s="78"/>
      <c r="F3680" s="79">
        <v>0</v>
      </c>
      <c r="G3680" s="80">
        <f>F3680*H3643</f>
        <v>0</v>
      </c>
      <c r="H3680" s="212"/>
    </row>
    <row r="3681" spans="1:14">
      <c r="A3681" s="225"/>
      <c r="B3681" s="83"/>
      <c r="C3681" s="75"/>
      <c r="D3681" s="84"/>
      <c r="E3681" s="85"/>
      <c r="F3681" s="86"/>
      <c r="G3681" s="87"/>
      <c r="H3681" s="214"/>
    </row>
    <row r="3682" spans="1:14">
      <c r="A3682" s="226"/>
      <c r="B3682" s="83"/>
      <c r="C3682" s="83"/>
      <c r="D3682" s="84"/>
      <c r="E3682" s="88"/>
      <c r="F3682" s="563" t="s">
        <v>4241</v>
      </c>
      <c r="G3682" s="564"/>
      <c r="H3682" s="233">
        <f>H3643+G3678+G3679+G3680</f>
        <v>345924.06725000002</v>
      </c>
    </row>
    <row r="3683" spans="1:14">
      <c r="A3683" s="83"/>
      <c r="B3683" s="83"/>
      <c r="C3683" s="83"/>
      <c r="D3683" s="84"/>
      <c r="E3683" s="388"/>
      <c r="F3683" s="389"/>
      <c r="G3683" s="389"/>
      <c r="H3683" s="390"/>
    </row>
    <row r="3684" spans="1:14" ht="16.5">
      <c r="A3684" s="90"/>
      <c r="B3684" s="90"/>
      <c r="C3684" s="90"/>
      <c r="D3684" s="90"/>
      <c r="E3684" s="90"/>
      <c r="F3684" s="90"/>
      <c r="G3684" s="90"/>
      <c r="H3684" s="381"/>
    </row>
    <row r="3685" spans="1:14">
      <c r="A3685" s="579" t="s">
        <v>4225</v>
      </c>
      <c r="B3685" s="580"/>
      <c r="C3685" s="580"/>
      <c r="D3685" s="580"/>
      <c r="E3685" s="580"/>
      <c r="F3685" s="580"/>
      <c r="G3685" s="580"/>
      <c r="H3685" s="581"/>
    </row>
    <row r="3686" spans="1:14" ht="16.5">
      <c r="A3686" s="91"/>
      <c r="B3686" s="92"/>
      <c r="C3686" s="92"/>
      <c r="D3686" s="92"/>
      <c r="E3686" s="92"/>
      <c r="F3686" s="93"/>
      <c r="G3686" s="94"/>
      <c r="H3686" s="380">
        <f>ROUND((30/60)/8,4)</f>
        <v>6.25E-2</v>
      </c>
      <c r="I3686" s="115"/>
    </row>
    <row r="3687" spans="1:14">
      <c r="A3687" s="582" t="s">
        <v>4220</v>
      </c>
      <c r="B3687" s="584" t="str">
        <f>COSTOS!$C$14</f>
        <v>MODERNIZACION A TECNOLOGIA LED</v>
      </c>
      <c r="C3687" s="584"/>
      <c r="D3687" s="584"/>
      <c r="E3687" s="584"/>
      <c r="F3687" s="584"/>
      <c r="G3687" s="584"/>
      <c r="H3687" s="585" t="s">
        <v>4221</v>
      </c>
    </row>
    <row r="3688" spans="1:14">
      <c r="A3688" s="583"/>
      <c r="B3688" s="584"/>
      <c r="C3688" s="584"/>
      <c r="D3688" s="584"/>
      <c r="E3688" s="584"/>
      <c r="F3688" s="584"/>
      <c r="G3688" s="584"/>
      <c r="H3688" s="585"/>
    </row>
    <row r="3689" spans="1:14">
      <c r="A3689" s="583"/>
      <c r="B3689" s="584"/>
      <c r="C3689" s="584"/>
      <c r="D3689" s="584"/>
      <c r="E3689" s="584"/>
      <c r="F3689" s="584"/>
      <c r="G3689" s="584"/>
      <c r="H3689" s="585"/>
    </row>
    <row r="3690" spans="1:14" ht="15" customHeight="1">
      <c r="A3690" s="583"/>
      <c r="B3690" s="584"/>
      <c r="C3690" s="584"/>
      <c r="D3690" s="584"/>
      <c r="E3690" s="584"/>
      <c r="F3690" s="584"/>
      <c r="G3690" s="584"/>
      <c r="H3690" s="216">
        <f ca="1">TODAY()</f>
        <v>44889</v>
      </c>
      <c r="K3690" t="s">
        <v>4391</v>
      </c>
      <c r="L3690" t="s">
        <v>4392</v>
      </c>
      <c r="M3690" t="s">
        <v>4393</v>
      </c>
      <c r="N3690" t="s">
        <v>4394</v>
      </c>
    </row>
    <row r="3691" spans="1:14" ht="60.75" customHeight="1">
      <c r="A3691" s="228" t="s">
        <v>4222</v>
      </c>
      <c r="B3691" s="565" t="str">
        <f>COSTOS!$D$16</f>
        <v>Luminarias</v>
      </c>
      <c r="C3691" s="565"/>
      <c r="D3691" s="565"/>
      <c r="E3691" s="565"/>
      <c r="F3691" s="565"/>
      <c r="G3691" s="70" t="s">
        <v>4223</v>
      </c>
      <c r="H3691" s="391">
        <v>1.73</v>
      </c>
      <c r="K3691" s="62">
        <f>H3716</f>
        <v>1157979.2449891863</v>
      </c>
      <c r="L3691" s="62">
        <f>H3726</f>
        <v>22484</v>
      </c>
      <c r="M3691" s="62">
        <f>H3699</f>
        <v>4034.53125</v>
      </c>
      <c r="N3691" s="62">
        <f>H3720</f>
        <v>4800</v>
      </c>
    </row>
    <row r="3692" spans="1:14" ht="43.15" customHeight="1">
      <c r="A3692" s="229" t="s">
        <v>4224</v>
      </c>
      <c r="B3692" s="566" t="str">
        <f>VLOOKUP(H3691,COSTOS!C:M,2,0)</f>
        <v>Farol con bombillo led de 30-40W</v>
      </c>
      <c r="C3692" s="567"/>
      <c r="D3692" s="567"/>
      <c r="E3692" s="568"/>
      <c r="F3692" s="71" t="s">
        <v>0</v>
      </c>
      <c r="G3692" s="356" t="str">
        <f>VLOOKUP(H3691,COSTOS!C:M,8,0)</f>
        <v>Und</v>
      </c>
      <c r="H3692" s="276"/>
      <c r="I3692" s="306"/>
      <c r="J3692" s="308"/>
      <c r="K3692" s="308"/>
      <c r="L3692" s="308"/>
    </row>
    <row r="3693" spans="1:14">
      <c r="A3693" s="230"/>
      <c r="B3693" s="112"/>
      <c r="C3693" s="112"/>
      <c r="D3693" s="112"/>
      <c r="E3693" s="113"/>
      <c r="F3693" s="114" t="s">
        <v>1</v>
      </c>
      <c r="G3693" s="356">
        <f>VLOOKUP(H3691,COSTOS!C:M,9,0)</f>
        <v>0</v>
      </c>
      <c r="H3693" s="357"/>
      <c r="I3693" s="307"/>
    </row>
    <row r="3694" spans="1:14" ht="16.5">
      <c r="A3694" s="231" t="s">
        <v>4226</v>
      </c>
      <c r="B3694" s="75"/>
      <c r="C3694" s="75"/>
      <c r="D3694" s="76"/>
      <c r="E3694" s="209"/>
      <c r="F3694" s="210"/>
      <c r="G3694" s="211" t="s">
        <v>4227</v>
      </c>
      <c r="H3694" s="217">
        <f>H3699+H3716+H3720+H3726</f>
        <v>1189297.7762391863</v>
      </c>
    </row>
    <row r="3695" spans="1:14" ht="39">
      <c r="A3695" s="569" t="s">
        <v>4224</v>
      </c>
      <c r="B3695" s="569"/>
      <c r="C3695" s="569"/>
      <c r="D3695" s="77" t="s">
        <v>0</v>
      </c>
      <c r="E3695" s="207" t="s">
        <v>4228</v>
      </c>
      <c r="F3695" s="208" t="s">
        <v>4215</v>
      </c>
      <c r="G3695" s="74" t="s">
        <v>2</v>
      </c>
      <c r="H3695" s="218" t="s">
        <v>4229</v>
      </c>
      <c r="K3695" s="309"/>
    </row>
    <row r="3696" spans="1:14">
      <c r="A3696" s="536" t="s">
        <v>3946</v>
      </c>
      <c r="B3696" s="570" t="str">
        <f>VLOOKUP(A3696,'Equip, Herr y Transp'!$B$2:$D$739,2,0)</f>
        <v>EQU</v>
      </c>
      <c r="C3696" s="570"/>
      <c r="D3696" s="95" t="str">
        <f>VLOOKUP(A3696,'Equip, Herr y Transp'!$B$2:$D$218,2,0)</f>
        <v>EQU</v>
      </c>
      <c r="E3696" s="95">
        <f>VLOOKUP(A3696,'Equip, Herr y Transp'!$B$2:$D$218,3,0)</f>
        <v>14130</v>
      </c>
      <c r="F3696" s="96">
        <f>H3686</f>
        <v>6.25E-2</v>
      </c>
      <c r="G3696" s="122">
        <f>F3696*E3696</f>
        <v>883.125</v>
      </c>
      <c r="H3696" s="118"/>
    </row>
    <row r="3697" spans="1:15">
      <c r="A3697" s="536" t="s">
        <v>3904</v>
      </c>
      <c r="B3697" s="570" t="str">
        <f>VLOOKUP(A3697,'Equip, Herr y Transp'!$B$2:$D$739,2,0)</f>
        <v>EQU</v>
      </c>
      <c r="C3697" s="570"/>
      <c r="D3697" s="95" t="str">
        <f>VLOOKUP(A3697,'Equip, Herr y Transp'!$B$2:$D$218,2,0)</f>
        <v>EQU</v>
      </c>
      <c r="E3697" s="95">
        <f>VLOOKUP(A3697,'Equip, Herr y Transp'!$B$2:$D$218,3,0)</f>
        <v>26672.5</v>
      </c>
      <c r="F3697" s="96">
        <f>H3686</f>
        <v>6.25E-2</v>
      </c>
      <c r="G3697" s="122">
        <f>F3697*E3697</f>
        <v>1667.03125</v>
      </c>
      <c r="H3697" s="117"/>
    </row>
    <row r="3698" spans="1:15">
      <c r="A3698" s="536" t="s">
        <v>3937</v>
      </c>
      <c r="B3698" s="570" t="str">
        <f>VLOOKUP(A3698,'Equip, Herr y Transp'!$B$2:$D$739,2,0)</f>
        <v>EQU</v>
      </c>
      <c r="C3698" s="570"/>
      <c r="D3698" s="95" t="str">
        <f>VLOOKUP(A3698,'Equip, Herr y Transp'!$B$2:$D$218,2,0)</f>
        <v>EQU</v>
      </c>
      <c r="E3698" s="95">
        <f>VLOOKUP(A3698,'Equip, Herr y Transp'!$B$2:$D$218,3,0)</f>
        <v>23750</v>
      </c>
      <c r="F3698" s="96">
        <f>H3686</f>
        <v>6.25E-2</v>
      </c>
      <c r="G3698" s="122">
        <f>F3698*E3698</f>
        <v>1484.375</v>
      </c>
      <c r="H3698" s="117"/>
    </row>
    <row r="3699" spans="1:15" ht="16.5">
      <c r="A3699" s="540" t="s">
        <v>4100</v>
      </c>
      <c r="B3699" s="541"/>
      <c r="C3699" s="541"/>
      <c r="D3699" s="541"/>
      <c r="E3699" s="541"/>
      <c r="F3699" s="541"/>
      <c r="G3699" s="541"/>
      <c r="H3699" s="97">
        <f>SUM(G3696:G3698)</f>
        <v>4034.53125</v>
      </c>
    </row>
    <row r="3700" spans="1:15" ht="16.5">
      <c r="A3700" s="571" t="s">
        <v>4230</v>
      </c>
      <c r="B3700" s="572"/>
      <c r="C3700" s="572"/>
      <c r="D3700" s="572"/>
      <c r="E3700" s="572"/>
      <c r="F3700" s="572"/>
      <c r="G3700" s="572"/>
      <c r="H3700" s="573"/>
      <c r="K3700" s="56"/>
      <c r="L3700" s="56"/>
      <c r="M3700" s="56"/>
      <c r="N3700" s="56"/>
      <c r="O3700" s="56"/>
    </row>
    <row r="3701" spans="1:15" ht="30" customHeight="1">
      <c r="A3701" s="574" t="s">
        <v>7</v>
      </c>
      <c r="B3701" s="575"/>
      <c r="C3701" s="109" t="s">
        <v>0</v>
      </c>
      <c r="D3701" s="110" t="s">
        <v>4098</v>
      </c>
      <c r="E3701" s="111" t="s">
        <v>1</v>
      </c>
      <c r="F3701" s="576" t="s">
        <v>4218</v>
      </c>
      <c r="G3701" s="576"/>
      <c r="H3701" s="215"/>
      <c r="K3701" s="56"/>
      <c r="L3701" s="56"/>
      <c r="M3701" s="56"/>
      <c r="N3701" s="56"/>
      <c r="O3701" s="56"/>
    </row>
    <row r="3702" spans="1:15">
      <c r="A3702" s="577" t="s">
        <v>4678</v>
      </c>
      <c r="B3702" s="578"/>
      <c r="C3702" s="98" t="str">
        <f>VLOOKUP(A3702,'Materiales '!$C$2:$F$1302,3,0)</f>
        <v>Und</v>
      </c>
      <c r="D3702" s="99">
        <f>VLOOKUP(A3702,'Materiales '!$C$2:$F$1302,4,0)</f>
        <v>1103698.1089891864</v>
      </c>
      <c r="E3702" s="100">
        <v>1</v>
      </c>
      <c r="F3702" s="538">
        <f>E3702*D3702</f>
        <v>1103698.1089891864</v>
      </c>
      <c r="G3702" s="539"/>
      <c r="H3702" s="121"/>
      <c r="I3702">
        <f>E3702*G3693</f>
        <v>0</v>
      </c>
      <c r="J3702" s="67"/>
      <c r="K3702" s="56"/>
      <c r="L3702" s="56"/>
      <c r="M3702" s="56"/>
      <c r="N3702" s="56"/>
      <c r="O3702" s="56"/>
    </row>
    <row r="3703" spans="1:15">
      <c r="A3703" s="577" t="s">
        <v>4214</v>
      </c>
      <c r="B3703" s="578"/>
      <c r="C3703" s="98" t="str">
        <f>VLOOKUP(A3703,'Materiales '!$C$2:$F$1302,3,0)</f>
        <v>Und</v>
      </c>
      <c r="D3703" s="99">
        <f>VLOOKUP(A3703,'Materiales '!$C$2:$F$1302,4,0)</f>
        <v>22848</v>
      </c>
      <c r="E3703" s="100">
        <v>1</v>
      </c>
      <c r="F3703" s="538">
        <f t="shared" ref="F3703:F3709" si="217">E3703*D3703</f>
        <v>22848</v>
      </c>
      <c r="G3703" s="539"/>
      <c r="H3703" s="121"/>
      <c r="I3703">
        <f>E3703*G3693</f>
        <v>0</v>
      </c>
      <c r="J3703" s="67"/>
      <c r="K3703" s="56"/>
      <c r="L3703" s="56"/>
      <c r="M3703" s="56"/>
      <c r="N3703" s="56"/>
      <c r="O3703" s="56"/>
    </row>
    <row r="3704" spans="1:15">
      <c r="A3704" s="536" t="s">
        <v>4639</v>
      </c>
      <c r="B3704" s="537" t="str">
        <f>VLOOKUP(A3704,'Materiales '!$C$2:$F$1302,3,0)</f>
        <v>Und</v>
      </c>
      <c r="C3704" s="98" t="str">
        <f>VLOOKUP(A3704,'Materiales '!$C$2:$F$1302,3,0)</f>
        <v>Und</v>
      </c>
      <c r="D3704" s="99">
        <f>VLOOKUP(A3704,'Materiales '!$C$2:$F$1302,4,0)</f>
        <v>35700</v>
      </c>
      <c r="E3704" s="100">
        <v>0.5</v>
      </c>
      <c r="F3704" s="538">
        <f t="shared" si="217"/>
        <v>17850</v>
      </c>
      <c r="G3704" s="539"/>
      <c r="H3704" s="121"/>
      <c r="I3704">
        <f>E3704*G3693</f>
        <v>0</v>
      </c>
      <c r="J3704" s="68"/>
      <c r="K3704" s="56"/>
      <c r="L3704" s="56"/>
      <c r="M3704" s="56"/>
      <c r="N3704" s="56"/>
      <c r="O3704" s="56"/>
    </row>
    <row r="3705" spans="1:15">
      <c r="A3705" s="536" t="s">
        <v>4450</v>
      </c>
      <c r="B3705" s="537" t="str">
        <f>VLOOKUP(A3705,'Materiales '!$C$2:$F$1302,3,0)</f>
        <v>Ml</v>
      </c>
      <c r="C3705" s="98" t="str">
        <f>VLOOKUP(A3705,'Materiales '!$C$2:$F$1302,3,0)</f>
        <v>Ml</v>
      </c>
      <c r="D3705" s="99">
        <f>VLOOKUP(A3705,'Materiales '!$C$2:$F$1302,4,0)</f>
        <v>6791.5679999999993</v>
      </c>
      <c r="E3705" s="100">
        <v>2</v>
      </c>
      <c r="F3705" s="538">
        <f t="shared" si="217"/>
        <v>13583.135999999999</v>
      </c>
      <c r="G3705" s="539"/>
      <c r="H3705" s="121"/>
      <c r="I3705">
        <f>E3705*G3693</f>
        <v>0</v>
      </c>
      <c r="J3705" s="68"/>
      <c r="K3705" s="56"/>
      <c r="L3705" s="56"/>
      <c r="M3705" s="56"/>
      <c r="N3705" s="56"/>
      <c r="O3705" s="56"/>
    </row>
    <row r="3706" spans="1:15">
      <c r="A3706" s="536" t="s">
        <v>8</v>
      </c>
      <c r="B3706" s="537" t="str">
        <f>VLOOKUP(A3706,'Materiales '!$C$2:$F$1302,3,0)</f>
        <v>-</v>
      </c>
      <c r="C3706" s="98" t="str">
        <f>VLOOKUP(A3706,'Materiales '!$C$2:$F$1302,3,0)</f>
        <v>-</v>
      </c>
      <c r="D3706" s="99">
        <f>VLOOKUP(A3706,'Materiales '!$C$2:$F$1302,4,0)</f>
        <v>0</v>
      </c>
      <c r="E3706" s="100">
        <v>1</v>
      </c>
      <c r="F3706" s="538">
        <f t="shared" si="217"/>
        <v>0</v>
      </c>
      <c r="G3706" s="539"/>
      <c r="H3706" s="121"/>
      <c r="I3706">
        <f>E3706*G3693</f>
        <v>0</v>
      </c>
      <c r="J3706" s="68"/>
      <c r="K3706" s="56"/>
      <c r="L3706" s="56"/>
      <c r="M3706" s="56"/>
      <c r="N3706" s="56"/>
      <c r="O3706" s="56"/>
    </row>
    <row r="3707" spans="1:15">
      <c r="A3707" s="536" t="s">
        <v>8</v>
      </c>
      <c r="B3707" s="537" t="str">
        <f>VLOOKUP(A3707,'Materiales '!$C$2:$F$1302,3,0)</f>
        <v>-</v>
      </c>
      <c r="C3707" s="98" t="str">
        <f>VLOOKUP(A3707,'Materiales '!$C$2:$F$1302,3,0)</f>
        <v>-</v>
      </c>
      <c r="D3707" s="99">
        <f>VLOOKUP(A3707,'Materiales '!$C$2:$F$1302,4,0)</f>
        <v>0</v>
      </c>
      <c r="E3707" s="100">
        <v>1</v>
      </c>
      <c r="F3707" s="538">
        <f t="shared" si="217"/>
        <v>0</v>
      </c>
      <c r="G3707" s="539"/>
      <c r="H3707" s="121"/>
      <c r="I3707">
        <f>E3707*G3693</f>
        <v>0</v>
      </c>
      <c r="J3707" s="68"/>
      <c r="K3707" s="56"/>
      <c r="L3707" s="56"/>
      <c r="M3707" s="56"/>
      <c r="N3707" s="56"/>
      <c r="O3707" s="56"/>
    </row>
    <row r="3708" spans="1:15">
      <c r="A3708" s="536" t="s">
        <v>8</v>
      </c>
      <c r="B3708" s="537" t="str">
        <f>VLOOKUP(A3708,'Materiales '!$C$2:$F$1302,3,0)</f>
        <v>-</v>
      </c>
      <c r="C3708" s="98" t="str">
        <f>VLOOKUP(A3708,'Materiales '!$C$2:$F$1302,3,0)</f>
        <v>-</v>
      </c>
      <c r="D3708" s="99">
        <f>VLOOKUP(A3708,'Materiales '!$C$2:$F$1302,4,0)</f>
        <v>0</v>
      </c>
      <c r="E3708" s="100">
        <v>1</v>
      </c>
      <c r="F3708" s="538">
        <f t="shared" si="217"/>
        <v>0</v>
      </c>
      <c r="G3708" s="539"/>
      <c r="H3708" s="121"/>
      <c r="I3708">
        <f>E3708*G3693</f>
        <v>0</v>
      </c>
      <c r="J3708" s="68"/>
      <c r="K3708" s="56"/>
      <c r="L3708" s="56"/>
      <c r="M3708" s="56"/>
      <c r="N3708" s="56"/>
      <c r="O3708" s="56"/>
    </row>
    <row r="3709" spans="1:15" ht="21.75" customHeight="1">
      <c r="A3709" s="536" t="s">
        <v>8</v>
      </c>
      <c r="B3709" s="537" t="str">
        <f>VLOOKUP(A3709,'Materiales '!$C$2:$F$1302,3,0)</f>
        <v>-</v>
      </c>
      <c r="C3709" s="98" t="str">
        <f>VLOOKUP(A3709,'Materiales '!$C$2:$F$1302,3,0)</f>
        <v>-</v>
      </c>
      <c r="D3709" s="99">
        <f>VLOOKUP(A3709,'Materiales '!$C$2:$F$1302,4,0)</f>
        <v>0</v>
      </c>
      <c r="E3709" s="100">
        <v>1</v>
      </c>
      <c r="F3709" s="538">
        <f t="shared" si="217"/>
        <v>0</v>
      </c>
      <c r="G3709" s="539"/>
      <c r="H3709" s="121"/>
      <c r="I3709">
        <f>E3709*G3693</f>
        <v>0</v>
      </c>
      <c r="J3709" s="68"/>
      <c r="K3709" s="56"/>
      <c r="L3709" s="56"/>
      <c r="M3709" s="56"/>
      <c r="N3709" s="56"/>
      <c r="O3709" s="56"/>
    </row>
    <row r="3710" spans="1:15">
      <c r="A3710" s="536" t="s">
        <v>8</v>
      </c>
      <c r="B3710" s="537" t="str">
        <f>VLOOKUP(A3710,'Materiales '!$C$2:$F$1302,3,0)</f>
        <v>-</v>
      </c>
      <c r="C3710" s="98" t="str">
        <f>VLOOKUP(A3710,'Materiales '!$C$2:$F$1302,3,0)</f>
        <v>-</v>
      </c>
      <c r="D3710" s="99">
        <f>VLOOKUP(A3710,'Materiales '!$C$2:$F$1302,4,0)</f>
        <v>0</v>
      </c>
      <c r="E3710" s="100"/>
      <c r="F3710" s="538">
        <f>E3710*D3710</f>
        <v>0</v>
      </c>
      <c r="G3710" s="539"/>
      <c r="H3710" s="120"/>
      <c r="I3710">
        <f>E3710*G3693</f>
        <v>0</v>
      </c>
      <c r="J3710" s="68"/>
      <c r="K3710" s="56"/>
      <c r="L3710" s="56"/>
      <c r="M3710" s="56"/>
      <c r="N3710" s="56"/>
      <c r="O3710" s="56"/>
    </row>
    <row r="3711" spans="1:15">
      <c r="A3711" s="536" t="s">
        <v>8</v>
      </c>
      <c r="B3711" s="537" t="str">
        <f>VLOOKUP(A3711,'Materiales '!$C$2:$F$1302,3,0)</f>
        <v>-</v>
      </c>
      <c r="C3711" s="98" t="str">
        <f>VLOOKUP(A3711,'Materiales '!$C$2:$F$1302,3,0)</f>
        <v>-</v>
      </c>
      <c r="D3711" s="99">
        <f>VLOOKUP(A3711,'Materiales '!$C$2:$F$1302,4,0)</f>
        <v>0</v>
      </c>
      <c r="E3711" s="100"/>
      <c r="F3711" s="538">
        <f t="shared" ref="F3711:F3714" si="218">E3711*D3711</f>
        <v>0</v>
      </c>
      <c r="G3711" s="539"/>
      <c r="H3711" s="121"/>
      <c r="I3711">
        <f>E3711*G3693</f>
        <v>0</v>
      </c>
      <c r="J3711" s="68"/>
      <c r="K3711" s="56"/>
      <c r="L3711" s="56"/>
      <c r="M3711" s="56"/>
      <c r="N3711" s="56"/>
      <c r="O3711" s="56"/>
    </row>
    <row r="3712" spans="1:15">
      <c r="A3712" s="536" t="s">
        <v>8</v>
      </c>
      <c r="B3712" s="537" t="str">
        <f>VLOOKUP(A3712,'Materiales '!$C$2:$F$1302,3,0)</f>
        <v>-</v>
      </c>
      <c r="C3712" s="98" t="str">
        <f>VLOOKUP(A3712,'Materiales '!$C$2:$F$1302,3,0)</f>
        <v>-</v>
      </c>
      <c r="D3712" s="99">
        <f>VLOOKUP(A3712,'Materiales '!$C$2:$F$1302,4,0)</f>
        <v>0</v>
      </c>
      <c r="E3712" s="100"/>
      <c r="F3712" s="538">
        <f t="shared" si="218"/>
        <v>0</v>
      </c>
      <c r="G3712" s="539"/>
      <c r="H3712" s="121"/>
      <c r="I3712">
        <f>E3712*G3693</f>
        <v>0</v>
      </c>
      <c r="J3712" s="68"/>
      <c r="K3712" s="56"/>
      <c r="L3712" s="56"/>
      <c r="M3712" s="56"/>
      <c r="N3712" s="56"/>
      <c r="O3712" s="56"/>
    </row>
    <row r="3713" spans="1:15">
      <c r="A3713" s="536" t="s">
        <v>8</v>
      </c>
      <c r="B3713" s="537" t="str">
        <f>VLOOKUP(A3713,'Materiales '!$C$2:$F$1302,3,0)</f>
        <v>-</v>
      </c>
      <c r="C3713" s="98" t="str">
        <f>VLOOKUP(A3713,'Materiales '!$C$2:$F$1302,3,0)</f>
        <v>-</v>
      </c>
      <c r="D3713" s="99">
        <f>VLOOKUP(A3713,'Materiales '!$C$2:$F$1302,4,0)</f>
        <v>0</v>
      </c>
      <c r="E3713" s="100"/>
      <c r="F3713" s="538">
        <f t="shared" si="218"/>
        <v>0</v>
      </c>
      <c r="G3713" s="539"/>
      <c r="H3713" s="121"/>
      <c r="I3713">
        <f>E3713*G3693</f>
        <v>0</v>
      </c>
      <c r="J3713" s="68"/>
      <c r="K3713" s="56"/>
      <c r="L3713" s="56"/>
      <c r="M3713" s="56"/>
      <c r="N3713" s="56"/>
      <c r="O3713" s="56"/>
    </row>
    <row r="3714" spans="1:15">
      <c r="A3714" s="536" t="s">
        <v>8</v>
      </c>
      <c r="B3714" s="537" t="str">
        <f>VLOOKUP(A3714,'Materiales '!$C$2:$F$1302,3,0)</f>
        <v>-</v>
      </c>
      <c r="C3714" s="98" t="str">
        <f>VLOOKUP(A3714,'Materiales '!$C$2:$F$1302,3,0)</f>
        <v>-</v>
      </c>
      <c r="D3714" s="99">
        <f>VLOOKUP(A3714,'Materiales '!$C$2:$F$1302,4,0)</f>
        <v>0</v>
      </c>
      <c r="E3714" s="100"/>
      <c r="F3714" s="538">
        <f t="shared" si="218"/>
        <v>0</v>
      </c>
      <c r="G3714" s="539"/>
      <c r="H3714" s="121"/>
      <c r="I3714">
        <f>E3714*G3693</f>
        <v>0</v>
      </c>
      <c r="J3714" s="68"/>
      <c r="K3714" s="56"/>
      <c r="L3714" s="56"/>
      <c r="M3714" s="56"/>
      <c r="N3714" s="56"/>
      <c r="O3714" s="56"/>
    </row>
    <row r="3715" spans="1:15">
      <c r="A3715" s="536" t="s">
        <v>8</v>
      </c>
      <c r="B3715" s="537" t="str">
        <f>VLOOKUP(A3715,'Materiales '!$C$2:$F$1302,3,0)</f>
        <v>-</v>
      </c>
      <c r="C3715" s="98" t="str">
        <f>VLOOKUP(A3715,'Materiales '!$C$2:$F$1302,3,0)</f>
        <v>-</v>
      </c>
      <c r="D3715" s="99">
        <f>VLOOKUP(A3715,'Materiales '!$C$2:$F$1302,4,0)</f>
        <v>0</v>
      </c>
      <c r="E3715" s="100"/>
      <c r="F3715" s="538">
        <f>E3715*D3715</f>
        <v>0</v>
      </c>
      <c r="G3715" s="539"/>
      <c r="H3715" s="120"/>
      <c r="I3715">
        <f>E3715*G3693</f>
        <v>0</v>
      </c>
      <c r="J3715" s="68"/>
      <c r="K3715" s="56"/>
      <c r="L3715" s="56"/>
      <c r="M3715" s="56"/>
      <c r="N3715" s="56"/>
      <c r="O3715" s="56"/>
    </row>
    <row r="3716" spans="1:15" ht="16.5">
      <c r="A3716" s="540" t="s">
        <v>4099</v>
      </c>
      <c r="B3716" s="541"/>
      <c r="C3716" s="541"/>
      <c r="D3716" s="541"/>
      <c r="E3716" s="541"/>
      <c r="F3716" s="541"/>
      <c r="G3716" s="542"/>
      <c r="H3716" s="116">
        <f>SUM(F3702:F3715)</f>
        <v>1157979.2449891863</v>
      </c>
      <c r="J3716" s="68"/>
      <c r="K3716" s="56"/>
      <c r="L3716" s="56"/>
      <c r="M3716" s="56"/>
      <c r="N3716" s="56"/>
      <c r="O3716" s="56"/>
    </row>
    <row r="3717" spans="1:15" ht="16.5">
      <c r="A3717" s="543" t="s">
        <v>4231</v>
      </c>
      <c r="B3717" s="544"/>
      <c r="C3717" s="544"/>
      <c r="D3717" s="544"/>
      <c r="E3717" s="545"/>
      <c r="F3717" s="544"/>
      <c r="G3717" s="544"/>
      <c r="H3717" s="546"/>
      <c r="J3717" s="68"/>
      <c r="K3717" s="56"/>
      <c r="L3717" s="56"/>
      <c r="M3717" s="56"/>
      <c r="N3717" s="56"/>
      <c r="O3717" s="56"/>
    </row>
    <row r="3718" spans="1:15">
      <c r="A3718" s="547" t="s">
        <v>7</v>
      </c>
      <c r="B3718" s="548"/>
      <c r="C3718" s="108" t="s">
        <v>4232</v>
      </c>
      <c r="D3718" s="107" t="s">
        <v>4233</v>
      </c>
      <c r="E3718" s="206" t="s">
        <v>4234</v>
      </c>
      <c r="F3718" s="549" t="s">
        <v>4218</v>
      </c>
      <c r="G3718" s="549"/>
      <c r="H3718" s="119"/>
      <c r="K3718" s="56"/>
      <c r="L3718" s="56"/>
      <c r="M3718" s="56"/>
      <c r="N3718" s="56"/>
      <c r="O3718" s="56"/>
    </row>
    <row r="3719" spans="1:15">
      <c r="A3719" s="550" t="s">
        <v>3928</v>
      </c>
      <c r="B3719" s="551"/>
      <c r="C3719" s="232">
        <v>1</v>
      </c>
      <c r="D3719" s="102">
        <v>0.03</v>
      </c>
      <c r="E3719" s="103">
        <f>VLOOKUP(A3719,'Equip, Herr y Transp'!$B$2:$D$218,3,0)</f>
        <v>160000</v>
      </c>
      <c r="F3719" s="552">
        <f>E3719*D3719*C3719</f>
        <v>4800</v>
      </c>
      <c r="G3719" s="553"/>
      <c r="H3719" s="117"/>
      <c r="M3719" s="56"/>
    </row>
    <row r="3720" spans="1:15" ht="16.5">
      <c r="A3720" s="554" t="s">
        <v>4216</v>
      </c>
      <c r="B3720" s="555"/>
      <c r="C3720" s="555"/>
      <c r="D3720" s="555"/>
      <c r="E3720" s="555"/>
      <c r="F3720" s="555"/>
      <c r="G3720" s="555"/>
      <c r="H3720" s="105">
        <f>F3719</f>
        <v>4800</v>
      </c>
    </row>
    <row r="3721" spans="1:15" ht="16.5">
      <c r="A3721" s="543" t="s">
        <v>4235</v>
      </c>
      <c r="B3721" s="544"/>
      <c r="C3721" s="544"/>
      <c r="D3721" s="544"/>
      <c r="E3721" s="544"/>
      <c r="F3721" s="544"/>
      <c r="G3721" s="544"/>
      <c r="H3721" s="546"/>
    </row>
    <row r="3722" spans="1:15">
      <c r="A3722" s="547" t="s">
        <v>7</v>
      </c>
      <c r="B3722" s="548"/>
      <c r="C3722" s="106" t="s">
        <v>1</v>
      </c>
      <c r="D3722" s="107" t="s">
        <v>4236</v>
      </c>
      <c r="E3722" s="108" t="s">
        <v>4215</v>
      </c>
      <c r="F3722" s="547" t="s">
        <v>5</v>
      </c>
      <c r="G3722" s="556"/>
      <c r="H3722" s="119"/>
    </row>
    <row r="3723" spans="1:15">
      <c r="A3723" s="550" t="s">
        <v>4196</v>
      </c>
      <c r="B3723" s="551"/>
      <c r="C3723" s="101">
        <v>1</v>
      </c>
      <c r="D3723" s="104">
        <f>VLOOKUP(A3723,'Mano Obra'!$B$2:$T$117,19,0)</f>
        <v>166624</v>
      </c>
      <c r="E3723" s="246">
        <f>H3686</f>
        <v>6.25E-2</v>
      </c>
      <c r="F3723" s="538">
        <f>E3723*D3723*C3723</f>
        <v>10414</v>
      </c>
      <c r="G3723" s="557"/>
      <c r="H3723" s="121"/>
      <c r="I3723" s="69"/>
      <c r="J3723" s="136">
        <f>((('Mano Obra'!$M$4/30)*F3723)/D3723)*G3693</f>
        <v>0</v>
      </c>
    </row>
    <row r="3724" spans="1:15">
      <c r="A3724" s="558" t="s">
        <v>4197</v>
      </c>
      <c r="B3724" s="559">
        <f>VLOOKUP(A3724,'Mano Obra'!$B$3:$D$290,2,0)</f>
        <v>2090000.0000000002</v>
      </c>
      <c r="C3724" s="101">
        <v>1</v>
      </c>
      <c r="D3724" s="104">
        <f>VLOOKUP(A3724,'Mano Obra'!$B$2:$T$117,19,0)</f>
        <v>120456</v>
      </c>
      <c r="E3724" s="246">
        <f>H3686</f>
        <v>6.25E-2</v>
      </c>
      <c r="F3724" s="538">
        <f t="shared" ref="F3724:F3725" si="219">E3724*D3724*C3724</f>
        <v>7528.5</v>
      </c>
      <c r="G3724" s="557"/>
      <c r="H3724" s="121"/>
      <c r="J3724" s="136">
        <f>((('Mano Obra'!$M$5/30)*F3724)/D3724)*G3693</f>
        <v>0</v>
      </c>
    </row>
    <row r="3725" spans="1:15">
      <c r="A3725" s="558" t="s">
        <v>4186</v>
      </c>
      <c r="B3725" s="559">
        <f>VLOOKUP(A3725,'Mano Obra'!$B$3:$D$290,2,0)</f>
        <v>1100000</v>
      </c>
      <c r="C3725" s="101">
        <v>1</v>
      </c>
      <c r="D3725" s="104">
        <f>VLOOKUP(A3725,'Mano Obra'!$B$2:$T$117,19,0)</f>
        <v>72664</v>
      </c>
      <c r="E3725" s="246">
        <f>H3686</f>
        <v>6.25E-2</v>
      </c>
      <c r="F3725" s="538">
        <f t="shared" si="219"/>
        <v>4541.5</v>
      </c>
      <c r="G3725" s="557"/>
      <c r="H3725" s="120"/>
      <c r="J3725" s="136">
        <f>((('Mano Obra'!$M$6/30)*F3725)/D3725)*G3693</f>
        <v>0</v>
      </c>
    </row>
    <row r="3726" spans="1:15" ht="16.5">
      <c r="A3726" s="560" t="s">
        <v>4101</v>
      </c>
      <c r="B3726" s="560"/>
      <c r="C3726" s="560"/>
      <c r="D3726" s="560"/>
      <c r="E3726" s="560"/>
      <c r="F3726" s="560"/>
      <c r="G3726" s="560"/>
      <c r="H3726" s="105">
        <f>SUM(F3723:F3725)</f>
        <v>22484</v>
      </c>
      <c r="J3726" s="136"/>
    </row>
    <row r="3727" spans="1:15">
      <c r="A3727" s="227" t="s">
        <v>4237</v>
      </c>
      <c r="B3727" s="205"/>
      <c r="C3727" s="205"/>
      <c r="D3727" s="202"/>
      <c r="E3727" s="203"/>
      <c r="F3727" s="204"/>
      <c r="G3727" s="203"/>
      <c r="H3727" s="212"/>
    </row>
    <row r="3728" spans="1:15">
      <c r="A3728" s="561" t="s">
        <v>4224</v>
      </c>
      <c r="B3728" s="562"/>
      <c r="C3728" s="562"/>
      <c r="D3728" s="562"/>
      <c r="E3728" s="200"/>
      <c r="F3728" s="201" t="s">
        <v>4238</v>
      </c>
      <c r="G3728" s="200" t="s">
        <v>4239</v>
      </c>
      <c r="H3728" s="213"/>
    </row>
    <row r="3729" spans="1:14">
      <c r="A3729" s="223" t="s">
        <v>4097</v>
      </c>
      <c r="B3729" s="72"/>
      <c r="C3729" s="72"/>
      <c r="D3729" s="73"/>
      <c r="E3729" s="78"/>
      <c r="F3729" s="79">
        <v>0</v>
      </c>
      <c r="G3729" s="80">
        <f>F3729*H3694</f>
        <v>0</v>
      </c>
      <c r="H3729" s="212"/>
    </row>
    <row r="3730" spans="1:14">
      <c r="A3730" s="224" t="s">
        <v>4240</v>
      </c>
      <c r="B3730" s="81"/>
      <c r="C3730" s="81"/>
      <c r="D3730" s="82"/>
      <c r="E3730" s="78"/>
      <c r="F3730" s="79">
        <v>0</v>
      </c>
      <c r="G3730" s="80">
        <f>F3730*H3694</f>
        <v>0</v>
      </c>
      <c r="H3730" s="212"/>
    </row>
    <row r="3731" spans="1:14">
      <c r="A3731" s="224" t="s">
        <v>4</v>
      </c>
      <c r="B3731" s="81"/>
      <c r="C3731" s="81"/>
      <c r="D3731" s="82"/>
      <c r="E3731" s="78"/>
      <c r="F3731" s="79">
        <v>0</v>
      </c>
      <c r="G3731" s="80">
        <f>F3731*H3694</f>
        <v>0</v>
      </c>
      <c r="H3731" s="212"/>
    </row>
    <row r="3732" spans="1:14">
      <c r="A3732" s="225"/>
      <c r="B3732" s="83"/>
      <c r="C3732" s="75"/>
      <c r="D3732" s="84"/>
      <c r="E3732" s="85"/>
      <c r="F3732" s="86"/>
      <c r="G3732" s="87"/>
      <c r="H3732" s="214"/>
    </row>
    <row r="3733" spans="1:14">
      <c r="A3733" s="226"/>
      <c r="B3733" s="83"/>
      <c r="C3733" s="83"/>
      <c r="D3733" s="84"/>
      <c r="E3733" s="88"/>
      <c r="F3733" s="563" t="s">
        <v>4241</v>
      </c>
      <c r="G3733" s="564"/>
      <c r="H3733" s="233">
        <f>H3694+G3729+G3730+G3731</f>
        <v>1189297.7762391863</v>
      </c>
    </row>
    <row r="3734" spans="1:14">
      <c r="A3734" s="83"/>
      <c r="B3734" s="83"/>
      <c r="C3734" s="83"/>
      <c r="D3734" s="84"/>
      <c r="E3734" s="388"/>
      <c r="F3734" s="389"/>
      <c r="G3734" s="389"/>
      <c r="H3734" s="390"/>
    </row>
    <row r="3735" spans="1:14" ht="16.5">
      <c r="A3735" s="90"/>
      <c r="B3735" s="90"/>
      <c r="C3735" s="90"/>
      <c r="D3735" s="90"/>
      <c r="E3735" s="90"/>
      <c r="F3735" s="90"/>
      <c r="G3735" s="90"/>
      <c r="H3735" s="381"/>
    </row>
    <row r="3736" spans="1:14">
      <c r="A3736" s="579" t="s">
        <v>4225</v>
      </c>
      <c r="B3736" s="580"/>
      <c r="C3736" s="580"/>
      <c r="D3736" s="580"/>
      <c r="E3736" s="580"/>
      <c r="F3736" s="580"/>
      <c r="G3736" s="580"/>
      <c r="H3736" s="581"/>
    </row>
    <row r="3737" spans="1:14" ht="16.5">
      <c r="A3737" s="91"/>
      <c r="B3737" s="92"/>
      <c r="C3737" s="92"/>
      <c r="D3737" s="92"/>
      <c r="E3737" s="92"/>
      <c r="F3737" s="93"/>
      <c r="G3737" s="94"/>
      <c r="H3737" s="380">
        <f>ROUND((30/60)/8,4)</f>
        <v>6.25E-2</v>
      </c>
      <c r="I3737" s="115"/>
    </row>
    <row r="3738" spans="1:14">
      <c r="A3738" s="582" t="s">
        <v>4220</v>
      </c>
      <c r="B3738" s="584" t="str">
        <f>COSTOS!$C$14</f>
        <v>MODERNIZACION A TECNOLOGIA LED</v>
      </c>
      <c r="C3738" s="584"/>
      <c r="D3738" s="584"/>
      <c r="E3738" s="584"/>
      <c r="F3738" s="584"/>
      <c r="G3738" s="584"/>
      <c r="H3738" s="585" t="s">
        <v>4221</v>
      </c>
    </row>
    <row r="3739" spans="1:14">
      <c r="A3739" s="583"/>
      <c r="B3739" s="584"/>
      <c r="C3739" s="584"/>
      <c r="D3739" s="584"/>
      <c r="E3739" s="584"/>
      <c r="F3739" s="584"/>
      <c r="G3739" s="584"/>
      <c r="H3739" s="585"/>
    </row>
    <row r="3740" spans="1:14">
      <c r="A3740" s="583"/>
      <c r="B3740" s="584"/>
      <c r="C3740" s="584"/>
      <c r="D3740" s="584"/>
      <c r="E3740" s="584"/>
      <c r="F3740" s="584"/>
      <c r="G3740" s="584"/>
      <c r="H3740" s="585"/>
    </row>
    <row r="3741" spans="1:14" ht="15" customHeight="1">
      <c r="A3741" s="583"/>
      <c r="B3741" s="584"/>
      <c r="C3741" s="584"/>
      <c r="D3741" s="584"/>
      <c r="E3741" s="584"/>
      <c r="F3741" s="584"/>
      <c r="G3741" s="584"/>
      <c r="H3741" s="216">
        <f ca="1">TODAY()</f>
        <v>44889</v>
      </c>
      <c r="K3741" t="s">
        <v>4391</v>
      </c>
      <c r="L3741" t="s">
        <v>4392</v>
      </c>
      <c r="M3741" t="s">
        <v>4393</v>
      </c>
      <c r="N3741" t="s">
        <v>4394</v>
      </c>
    </row>
    <row r="3742" spans="1:14" ht="60.75" customHeight="1">
      <c r="A3742" s="228" t="s">
        <v>4222</v>
      </c>
      <c r="B3742" s="565" t="str">
        <f>COSTOS!$D$16</f>
        <v>Luminarias</v>
      </c>
      <c r="C3742" s="565"/>
      <c r="D3742" s="565"/>
      <c r="E3742" s="565"/>
      <c r="F3742" s="565"/>
      <c r="G3742" s="70" t="s">
        <v>4223</v>
      </c>
      <c r="H3742" s="391">
        <v>1.74</v>
      </c>
      <c r="K3742" s="62">
        <f>H3767</f>
        <v>639179.821</v>
      </c>
      <c r="L3742" s="62">
        <f>H3777</f>
        <v>22484</v>
      </c>
      <c r="M3742" s="62">
        <f>H3750</f>
        <v>4034.53125</v>
      </c>
      <c r="N3742" s="62">
        <f>H3771</f>
        <v>4800</v>
      </c>
    </row>
    <row r="3743" spans="1:14" ht="43.15" customHeight="1">
      <c r="A3743" s="229" t="s">
        <v>4224</v>
      </c>
      <c r="B3743" s="566" t="str">
        <f>VLOOKUP(H3742,COSTOS!C:M,2,0)</f>
        <v>Luminaria Metal Halide 400w</v>
      </c>
      <c r="C3743" s="567"/>
      <c r="D3743" s="567"/>
      <c r="E3743" s="568"/>
      <c r="F3743" s="71" t="s">
        <v>0</v>
      </c>
      <c r="G3743" s="356" t="str">
        <f>VLOOKUP(H3742,COSTOS!C:M,8,0)</f>
        <v>Und</v>
      </c>
      <c r="H3743" s="276"/>
      <c r="I3743" s="306"/>
      <c r="J3743" s="308"/>
      <c r="K3743" s="308"/>
      <c r="L3743" s="308"/>
    </row>
    <row r="3744" spans="1:14">
      <c r="A3744" s="230"/>
      <c r="B3744" s="112"/>
      <c r="C3744" s="112"/>
      <c r="D3744" s="112"/>
      <c r="E3744" s="113"/>
      <c r="F3744" s="114" t="s">
        <v>1</v>
      </c>
      <c r="G3744" s="356">
        <f>VLOOKUP(H3742,COSTOS!C:M,9,0)</f>
        <v>0</v>
      </c>
      <c r="H3744" s="357"/>
      <c r="I3744" s="307"/>
    </row>
    <row r="3745" spans="1:15" ht="16.5">
      <c r="A3745" s="231" t="s">
        <v>4226</v>
      </c>
      <c r="B3745" s="75"/>
      <c r="C3745" s="75"/>
      <c r="D3745" s="76"/>
      <c r="E3745" s="209"/>
      <c r="F3745" s="210"/>
      <c r="G3745" s="211" t="s">
        <v>4227</v>
      </c>
      <c r="H3745" s="217">
        <f>H3750+H3767+H3771+H3777</f>
        <v>670498.35225</v>
      </c>
    </row>
    <row r="3746" spans="1:15" ht="39">
      <c r="A3746" s="569" t="s">
        <v>4224</v>
      </c>
      <c r="B3746" s="569"/>
      <c r="C3746" s="569"/>
      <c r="D3746" s="77" t="s">
        <v>0</v>
      </c>
      <c r="E3746" s="207" t="s">
        <v>4228</v>
      </c>
      <c r="F3746" s="208" t="s">
        <v>4215</v>
      </c>
      <c r="G3746" s="74" t="s">
        <v>2</v>
      </c>
      <c r="H3746" s="218" t="s">
        <v>4229</v>
      </c>
      <c r="K3746" s="309"/>
    </row>
    <row r="3747" spans="1:15">
      <c r="A3747" s="536" t="s">
        <v>3946</v>
      </c>
      <c r="B3747" s="570" t="str">
        <f>VLOOKUP(A3747,'Equip, Herr y Transp'!$B$2:$D$739,2,0)</f>
        <v>EQU</v>
      </c>
      <c r="C3747" s="570"/>
      <c r="D3747" s="95" t="str">
        <f>VLOOKUP(A3747,'Equip, Herr y Transp'!$B$2:$D$218,2,0)</f>
        <v>EQU</v>
      </c>
      <c r="E3747" s="95">
        <f>VLOOKUP(A3747,'Equip, Herr y Transp'!$B$2:$D$218,3,0)</f>
        <v>14130</v>
      </c>
      <c r="F3747" s="96">
        <f>H3737</f>
        <v>6.25E-2</v>
      </c>
      <c r="G3747" s="122">
        <f>F3747*E3747</f>
        <v>883.125</v>
      </c>
      <c r="H3747" s="118"/>
    </row>
    <row r="3748" spans="1:15">
      <c r="A3748" s="536" t="s">
        <v>3904</v>
      </c>
      <c r="B3748" s="570" t="str">
        <f>VLOOKUP(A3748,'Equip, Herr y Transp'!$B$2:$D$739,2,0)</f>
        <v>EQU</v>
      </c>
      <c r="C3748" s="570"/>
      <c r="D3748" s="95" t="str">
        <f>VLOOKUP(A3748,'Equip, Herr y Transp'!$B$2:$D$218,2,0)</f>
        <v>EQU</v>
      </c>
      <c r="E3748" s="95">
        <f>VLOOKUP(A3748,'Equip, Herr y Transp'!$B$2:$D$218,3,0)</f>
        <v>26672.5</v>
      </c>
      <c r="F3748" s="96">
        <f>H3737</f>
        <v>6.25E-2</v>
      </c>
      <c r="G3748" s="122">
        <f>F3748*E3748</f>
        <v>1667.03125</v>
      </c>
      <c r="H3748" s="117"/>
    </row>
    <row r="3749" spans="1:15">
      <c r="A3749" s="536" t="s">
        <v>3937</v>
      </c>
      <c r="B3749" s="570" t="str">
        <f>VLOOKUP(A3749,'Equip, Herr y Transp'!$B$2:$D$739,2,0)</f>
        <v>EQU</v>
      </c>
      <c r="C3749" s="570"/>
      <c r="D3749" s="95" t="str">
        <f>VLOOKUP(A3749,'Equip, Herr y Transp'!$B$2:$D$218,2,0)</f>
        <v>EQU</v>
      </c>
      <c r="E3749" s="95">
        <f>VLOOKUP(A3749,'Equip, Herr y Transp'!$B$2:$D$218,3,0)</f>
        <v>23750</v>
      </c>
      <c r="F3749" s="96">
        <f>H3737</f>
        <v>6.25E-2</v>
      </c>
      <c r="G3749" s="122">
        <f>F3749*E3749</f>
        <v>1484.375</v>
      </c>
      <c r="H3749" s="117"/>
    </row>
    <row r="3750" spans="1:15" ht="16.5">
      <c r="A3750" s="540" t="s">
        <v>4100</v>
      </c>
      <c r="B3750" s="541"/>
      <c r="C3750" s="541"/>
      <c r="D3750" s="541"/>
      <c r="E3750" s="541"/>
      <c r="F3750" s="541"/>
      <c r="G3750" s="541"/>
      <c r="H3750" s="97">
        <f>SUM(G3747:G3749)</f>
        <v>4034.53125</v>
      </c>
    </row>
    <row r="3751" spans="1:15" ht="16.5">
      <c r="A3751" s="571" t="s">
        <v>4230</v>
      </c>
      <c r="B3751" s="572"/>
      <c r="C3751" s="572"/>
      <c r="D3751" s="572"/>
      <c r="E3751" s="572"/>
      <c r="F3751" s="572"/>
      <c r="G3751" s="572"/>
      <c r="H3751" s="573"/>
      <c r="K3751" s="56"/>
      <c r="L3751" s="56"/>
      <c r="M3751" s="56"/>
      <c r="N3751" s="56"/>
      <c r="O3751" s="56"/>
    </row>
    <row r="3752" spans="1:15" ht="30" customHeight="1">
      <c r="A3752" s="574" t="s">
        <v>7</v>
      </c>
      <c r="B3752" s="575"/>
      <c r="C3752" s="109" t="s">
        <v>0</v>
      </c>
      <c r="D3752" s="110" t="s">
        <v>4098</v>
      </c>
      <c r="E3752" s="111" t="s">
        <v>1</v>
      </c>
      <c r="F3752" s="576" t="s">
        <v>4218</v>
      </c>
      <c r="G3752" s="576"/>
      <c r="H3752" s="215"/>
      <c r="K3752" s="56"/>
      <c r="L3752" s="56"/>
      <c r="M3752" s="56"/>
      <c r="N3752" s="56"/>
      <c r="O3752" s="56"/>
    </row>
    <row r="3753" spans="1:15">
      <c r="A3753" s="577" t="s">
        <v>4816</v>
      </c>
      <c r="B3753" s="578"/>
      <c r="C3753" s="98" t="str">
        <f>VLOOKUP(A3753,'Materiales '!$C$2:$F$1302,3,0)</f>
        <v>Und</v>
      </c>
      <c r="D3753" s="99">
        <f>VLOOKUP(A3753,'Materiales '!$C$2:$F$1302,4,0)</f>
        <v>426734.00000000006</v>
      </c>
      <c r="E3753" s="100">
        <v>1</v>
      </c>
      <c r="F3753" s="538">
        <f>E3753*D3753</f>
        <v>426734.00000000006</v>
      </c>
      <c r="G3753" s="539"/>
      <c r="H3753" s="121"/>
      <c r="I3753">
        <f>E3753*G3744</f>
        <v>0</v>
      </c>
      <c r="J3753" s="67"/>
      <c r="K3753" s="56"/>
      <c r="L3753" s="56"/>
      <c r="M3753" s="56"/>
      <c r="N3753" s="56"/>
      <c r="O3753" s="56"/>
    </row>
    <row r="3754" spans="1:15">
      <c r="A3754" s="577" t="s">
        <v>4214</v>
      </c>
      <c r="B3754" s="578"/>
      <c r="C3754" s="98" t="str">
        <f>VLOOKUP(A3754,'Materiales '!$C$2:$F$1302,3,0)</f>
        <v>Und</v>
      </c>
      <c r="D3754" s="99">
        <f>VLOOKUP(A3754,'Materiales '!$C$2:$F$1302,4,0)</f>
        <v>22848</v>
      </c>
      <c r="E3754" s="100">
        <v>1</v>
      </c>
      <c r="F3754" s="538">
        <f t="shared" ref="F3754:F3760" si="220">E3754*D3754</f>
        <v>22848</v>
      </c>
      <c r="G3754" s="539"/>
      <c r="H3754" s="121"/>
      <c r="I3754">
        <f>E3754*G3744</f>
        <v>0</v>
      </c>
      <c r="J3754" s="67"/>
      <c r="K3754" s="56"/>
      <c r="L3754" s="56"/>
      <c r="M3754" s="56"/>
      <c r="N3754" s="56"/>
      <c r="O3754" s="56"/>
    </row>
    <row r="3755" spans="1:15">
      <c r="A3755" s="536" t="s">
        <v>4479</v>
      </c>
      <c r="B3755" s="537" t="str">
        <f>VLOOKUP(A3755,'Materiales '!$C$2:$F$1302,3,0)</f>
        <v>Und</v>
      </c>
      <c r="C3755" s="98" t="str">
        <f>VLOOKUP(A3755,'Materiales '!$C$2:$F$1302,3,0)</f>
        <v>Und</v>
      </c>
      <c r="D3755" s="99">
        <f>VLOOKUP(A3755,'Materiales '!$C$2:$F$1302,4,0)</f>
        <v>18421.2</v>
      </c>
      <c r="E3755" s="100">
        <v>1.5</v>
      </c>
      <c r="F3755" s="538">
        <f t="shared" si="220"/>
        <v>27631.800000000003</v>
      </c>
      <c r="G3755" s="539"/>
      <c r="H3755" s="121"/>
      <c r="I3755">
        <f>E3755*G3744</f>
        <v>0</v>
      </c>
      <c r="J3755" s="68"/>
      <c r="K3755" s="56"/>
      <c r="L3755" s="56"/>
      <c r="M3755" s="56"/>
      <c r="N3755" s="56"/>
      <c r="O3755" s="56"/>
    </row>
    <row r="3756" spans="1:15">
      <c r="A3756" s="536" t="s">
        <v>4489</v>
      </c>
      <c r="B3756" s="537" t="str">
        <f>VLOOKUP(A3756,'Materiales '!$C$2:$F$1302,3,0)</f>
        <v>Und</v>
      </c>
      <c r="C3756" s="98" t="str">
        <f>VLOOKUP(A3756,'Materiales '!$C$2:$F$1302,3,0)</f>
        <v>Und</v>
      </c>
      <c r="D3756" s="99">
        <f>VLOOKUP(A3756,'Materiales '!$C$2:$F$1302,4,0)</f>
        <v>8039.6399999999994</v>
      </c>
      <c r="E3756" s="100">
        <v>3</v>
      </c>
      <c r="F3756" s="538">
        <f t="shared" si="220"/>
        <v>24118.92</v>
      </c>
      <c r="G3756" s="539"/>
      <c r="H3756" s="121"/>
      <c r="I3756">
        <f>E3756*G3744</f>
        <v>0</v>
      </c>
      <c r="J3756" s="68"/>
      <c r="K3756" s="56"/>
      <c r="L3756" s="56"/>
      <c r="M3756" s="56"/>
      <c r="N3756" s="56"/>
      <c r="O3756" s="56"/>
    </row>
    <row r="3757" spans="1:15">
      <c r="A3757" s="536" t="s">
        <v>4554</v>
      </c>
      <c r="B3757" s="537" t="str">
        <f>VLOOKUP(A3757,'Materiales '!$C$2:$F$1302,3,0)</f>
        <v>Und</v>
      </c>
      <c r="C3757" s="98" t="str">
        <f>VLOOKUP(A3757,'Materiales '!$C$2:$F$1302,3,0)</f>
        <v>Und</v>
      </c>
      <c r="D3757" s="99">
        <f>VLOOKUP(A3757,'Materiales '!$C$2:$F$1302,4,0)</f>
        <v>2535.5329999999999</v>
      </c>
      <c r="E3757" s="100">
        <v>1</v>
      </c>
      <c r="F3757" s="538">
        <f t="shared" si="220"/>
        <v>2535.5329999999999</v>
      </c>
      <c r="G3757" s="539"/>
      <c r="H3757" s="121"/>
      <c r="I3757">
        <f>E3757*G3744</f>
        <v>0</v>
      </c>
      <c r="J3757" s="68"/>
      <c r="K3757" s="56"/>
      <c r="L3757" s="56"/>
      <c r="M3757" s="56"/>
      <c r="N3757" s="56"/>
      <c r="O3757" s="56"/>
    </row>
    <row r="3758" spans="1:15">
      <c r="A3758" s="536" t="s">
        <v>4450</v>
      </c>
      <c r="B3758" s="537" t="str">
        <f>VLOOKUP(A3758,'Materiales '!$C$2:$F$1302,3,0)</f>
        <v>Ml</v>
      </c>
      <c r="C3758" s="98" t="str">
        <f>VLOOKUP(A3758,'Materiales '!$C$2:$F$1302,3,0)</f>
        <v>Ml</v>
      </c>
      <c r="D3758" s="99">
        <f>VLOOKUP(A3758,'Materiales '!$C$2:$F$1302,4,0)</f>
        <v>6791.5679999999993</v>
      </c>
      <c r="E3758" s="100">
        <v>1</v>
      </c>
      <c r="F3758" s="538">
        <f t="shared" si="220"/>
        <v>6791.5679999999993</v>
      </c>
      <c r="G3758" s="539"/>
      <c r="H3758" s="121"/>
      <c r="I3758">
        <f>E3758*G3744</f>
        <v>0</v>
      </c>
      <c r="J3758" s="68"/>
      <c r="K3758" s="56"/>
      <c r="L3758" s="56"/>
      <c r="M3758" s="56"/>
      <c r="N3758" s="56"/>
      <c r="O3758" s="56"/>
    </row>
    <row r="3759" spans="1:15">
      <c r="A3759" s="536" t="s">
        <v>4436</v>
      </c>
      <c r="B3759" s="537" t="str">
        <f>VLOOKUP(A3759,'Materiales '!$C$2:$F$1302,3,0)</f>
        <v>Und</v>
      </c>
      <c r="C3759" s="98" t="str">
        <f>VLOOKUP(A3759,'Materiales '!$C$2:$F$1302,3,0)</f>
        <v>Und</v>
      </c>
      <c r="D3759" s="99">
        <f>VLOOKUP(A3759,'Materiales '!$C$2:$F$1302,4,0)</f>
        <v>92820</v>
      </c>
      <c r="E3759" s="100">
        <v>1</v>
      </c>
      <c r="F3759" s="538">
        <f t="shared" si="220"/>
        <v>92820</v>
      </c>
      <c r="G3759" s="539"/>
      <c r="H3759" s="121"/>
      <c r="I3759">
        <f>E3759*G3744</f>
        <v>0</v>
      </c>
      <c r="J3759" s="68"/>
      <c r="K3759" s="56"/>
      <c r="L3759" s="56"/>
      <c r="M3759" s="56"/>
      <c r="N3759" s="56"/>
      <c r="O3759" s="56"/>
    </row>
    <row r="3760" spans="1:15" ht="21.75" customHeight="1">
      <c r="A3760" s="536" t="s">
        <v>4639</v>
      </c>
      <c r="B3760" s="537" t="str">
        <f>VLOOKUP(A3760,'Materiales '!$C$2:$F$1302,3,0)</f>
        <v>Und</v>
      </c>
      <c r="C3760" s="98" t="str">
        <f>VLOOKUP(A3760,'Materiales '!$C$2:$F$1302,3,0)</f>
        <v>Und</v>
      </c>
      <c r="D3760" s="99">
        <f>VLOOKUP(A3760,'Materiales '!$C$2:$F$1302,4,0)</f>
        <v>35700</v>
      </c>
      <c r="E3760" s="100">
        <v>1</v>
      </c>
      <c r="F3760" s="538">
        <f t="shared" si="220"/>
        <v>35700</v>
      </c>
      <c r="G3760" s="539"/>
      <c r="H3760" s="121"/>
      <c r="I3760">
        <f>E3760*G3744</f>
        <v>0</v>
      </c>
      <c r="J3760" s="68"/>
      <c r="K3760" s="56"/>
      <c r="L3760" s="56"/>
      <c r="M3760" s="56"/>
      <c r="N3760" s="56"/>
      <c r="O3760" s="56"/>
    </row>
    <row r="3761" spans="1:15">
      <c r="A3761" s="536" t="s">
        <v>8</v>
      </c>
      <c r="B3761" s="537" t="str">
        <f>VLOOKUP(A3761,'Materiales '!$C$2:$F$1302,3,0)</f>
        <v>-</v>
      </c>
      <c r="C3761" s="98" t="str">
        <f>VLOOKUP(A3761,'Materiales '!$C$2:$F$1302,3,0)</f>
        <v>-</v>
      </c>
      <c r="D3761" s="99">
        <f>VLOOKUP(A3761,'Materiales '!$C$2:$F$1302,4,0)</f>
        <v>0</v>
      </c>
      <c r="E3761" s="100"/>
      <c r="F3761" s="538">
        <f>E3761*D3761</f>
        <v>0</v>
      </c>
      <c r="G3761" s="539"/>
      <c r="H3761" s="120"/>
      <c r="I3761">
        <f>E3761*G3744</f>
        <v>0</v>
      </c>
      <c r="J3761" s="68"/>
      <c r="K3761" s="56"/>
      <c r="L3761" s="56"/>
      <c r="M3761" s="56"/>
      <c r="N3761" s="56"/>
      <c r="O3761" s="56"/>
    </row>
    <row r="3762" spans="1:15">
      <c r="A3762" s="536" t="s">
        <v>8</v>
      </c>
      <c r="B3762" s="537" t="str">
        <f>VLOOKUP(A3762,'Materiales '!$C$2:$F$1302,3,0)</f>
        <v>-</v>
      </c>
      <c r="C3762" s="98" t="str">
        <f>VLOOKUP(A3762,'Materiales '!$C$2:$F$1302,3,0)</f>
        <v>-</v>
      </c>
      <c r="D3762" s="99">
        <f>VLOOKUP(A3762,'Materiales '!$C$2:$F$1302,4,0)</f>
        <v>0</v>
      </c>
      <c r="E3762" s="100"/>
      <c r="F3762" s="538">
        <f t="shared" ref="F3762:F3765" si="221">E3762*D3762</f>
        <v>0</v>
      </c>
      <c r="G3762" s="539"/>
      <c r="H3762" s="121"/>
      <c r="I3762">
        <f>E3762*G3744</f>
        <v>0</v>
      </c>
      <c r="J3762" s="68"/>
      <c r="K3762" s="56"/>
      <c r="L3762" s="56"/>
      <c r="M3762" s="56"/>
      <c r="N3762" s="56"/>
      <c r="O3762" s="56"/>
    </row>
    <row r="3763" spans="1:15">
      <c r="A3763" s="536" t="s">
        <v>8</v>
      </c>
      <c r="B3763" s="537" t="str">
        <f>VLOOKUP(A3763,'Materiales '!$C$2:$F$1302,3,0)</f>
        <v>-</v>
      </c>
      <c r="C3763" s="98" t="str">
        <f>VLOOKUP(A3763,'Materiales '!$C$2:$F$1302,3,0)</f>
        <v>-</v>
      </c>
      <c r="D3763" s="99">
        <f>VLOOKUP(A3763,'Materiales '!$C$2:$F$1302,4,0)</f>
        <v>0</v>
      </c>
      <c r="E3763" s="100"/>
      <c r="F3763" s="538">
        <f t="shared" si="221"/>
        <v>0</v>
      </c>
      <c r="G3763" s="539"/>
      <c r="H3763" s="121"/>
      <c r="I3763">
        <f>E3763*G3744</f>
        <v>0</v>
      </c>
      <c r="J3763" s="68"/>
      <c r="K3763" s="56"/>
      <c r="L3763" s="56"/>
      <c r="M3763" s="56"/>
      <c r="N3763" s="56"/>
      <c r="O3763" s="56"/>
    </row>
    <row r="3764" spans="1:15">
      <c r="A3764" s="536" t="s">
        <v>8</v>
      </c>
      <c r="B3764" s="537" t="str">
        <f>VLOOKUP(A3764,'Materiales '!$C$2:$F$1302,3,0)</f>
        <v>-</v>
      </c>
      <c r="C3764" s="98" t="str">
        <f>VLOOKUP(A3764,'Materiales '!$C$2:$F$1302,3,0)</f>
        <v>-</v>
      </c>
      <c r="D3764" s="99">
        <f>VLOOKUP(A3764,'Materiales '!$C$2:$F$1302,4,0)</f>
        <v>0</v>
      </c>
      <c r="E3764" s="100"/>
      <c r="F3764" s="538">
        <f t="shared" si="221"/>
        <v>0</v>
      </c>
      <c r="G3764" s="539"/>
      <c r="H3764" s="121"/>
      <c r="I3764">
        <f>E3764*G3744</f>
        <v>0</v>
      </c>
      <c r="J3764" s="68"/>
      <c r="K3764" s="56"/>
      <c r="L3764" s="56"/>
      <c r="M3764" s="56"/>
      <c r="N3764" s="56"/>
      <c r="O3764" s="56"/>
    </row>
    <row r="3765" spans="1:15">
      <c r="A3765" s="536" t="s">
        <v>8</v>
      </c>
      <c r="B3765" s="537" t="str">
        <f>VLOOKUP(A3765,'Materiales '!$C$2:$F$1302,3,0)</f>
        <v>-</v>
      </c>
      <c r="C3765" s="98" t="str">
        <f>VLOOKUP(A3765,'Materiales '!$C$2:$F$1302,3,0)</f>
        <v>-</v>
      </c>
      <c r="D3765" s="99">
        <f>VLOOKUP(A3765,'Materiales '!$C$2:$F$1302,4,0)</f>
        <v>0</v>
      </c>
      <c r="E3765" s="100"/>
      <c r="F3765" s="538">
        <f t="shared" si="221"/>
        <v>0</v>
      </c>
      <c r="G3765" s="539"/>
      <c r="H3765" s="121"/>
      <c r="I3765">
        <f>E3765*G3744</f>
        <v>0</v>
      </c>
      <c r="J3765" s="68"/>
      <c r="K3765" s="56"/>
      <c r="L3765" s="56"/>
      <c r="M3765" s="56"/>
      <c r="N3765" s="56"/>
      <c r="O3765" s="56"/>
    </row>
    <row r="3766" spans="1:15">
      <c r="A3766" s="536" t="s">
        <v>8</v>
      </c>
      <c r="B3766" s="537" t="str">
        <f>VLOOKUP(A3766,'Materiales '!$C$2:$F$1302,3,0)</f>
        <v>-</v>
      </c>
      <c r="C3766" s="98" t="str">
        <f>VLOOKUP(A3766,'Materiales '!$C$2:$F$1302,3,0)</f>
        <v>-</v>
      </c>
      <c r="D3766" s="99">
        <f>VLOOKUP(A3766,'Materiales '!$C$2:$F$1302,4,0)</f>
        <v>0</v>
      </c>
      <c r="E3766" s="100"/>
      <c r="F3766" s="538">
        <f>E3766*D3766</f>
        <v>0</v>
      </c>
      <c r="G3766" s="539"/>
      <c r="H3766" s="120"/>
      <c r="I3766">
        <f>E3766*G3744</f>
        <v>0</v>
      </c>
      <c r="J3766" s="68"/>
      <c r="K3766" s="56"/>
      <c r="L3766" s="56"/>
      <c r="M3766" s="56"/>
      <c r="N3766" s="56"/>
      <c r="O3766" s="56"/>
    </row>
    <row r="3767" spans="1:15" ht="16.5">
      <c r="A3767" s="540" t="s">
        <v>4099</v>
      </c>
      <c r="B3767" s="541"/>
      <c r="C3767" s="541"/>
      <c r="D3767" s="541"/>
      <c r="E3767" s="541"/>
      <c r="F3767" s="541"/>
      <c r="G3767" s="542"/>
      <c r="H3767" s="116">
        <f>SUM(F3753:F3766)</f>
        <v>639179.821</v>
      </c>
      <c r="J3767" s="68"/>
      <c r="K3767" s="56"/>
      <c r="L3767" s="56"/>
      <c r="M3767" s="56"/>
      <c r="N3767" s="56"/>
      <c r="O3767" s="56"/>
    </row>
    <row r="3768" spans="1:15" ht="16.5">
      <c r="A3768" s="543" t="s">
        <v>4231</v>
      </c>
      <c r="B3768" s="544"/>
      <c r="C3768" s="544"/>
      <c r="D3768" s="544"/>
      <c r="E3768" s="545"/>
      <c r="F3768" s="544"/>
      <c r="G3768" s="544"/>
      <c r="H3768" s="546"/>
      <c r="J3768" s="68"/>
      <c r="K3768" s="56"/>
      <c r="L3768" s="56"/>
      <c r="M3768" s="56"/>
      <c r="N3768" s="56"/>
      <c r="O3768" s="56"/>
    </row>
    <row r="3769" spans="1:15">
      <c r="A3769" s="547" t="s">
        <v>7</v>
      </c>
      <c r="B3769" s="548"/>
      <c r="C3769" s="108" t="s">
        <v>4232</v>
      </c>
      <c r="D3769" s="107" t="s">
        <v>4233</v>
      </c>
      <c r="E3769" s="206" t="s">
        <v>4234</v>
      </c>
      <c r="F3769" s="549" t="s">
        <v>4218</v>
      </c>
      <c r="G3769" s="549"/>
      <c r="H3769" s="119"/>
      <c r="K3769" s="56"/>
      <c r="L3769" s="56"/>
      <c r="M3769" s="56"/>
      <c r="N3769" s="56"/>
      <c r="O3769" s="56"/>
    </row>
    <row r="3770" spans="1:15">
      <c r="A3770" s="550" t="s">
        <v>3928</v>
      </c>
      <c r="B3770" s="551"/>
      <c r="C3770" s="232">
        <v>1</v>
      </c>
      <c r="D3770" s="102">
        <v>0.03</v>
      </c>
      <c r="E3770" s="103">
        <f>VLOOKUP(A3770,'Equip, Herr y Transp'!$B$2:$D$218,3,0)</f>
        <v>160000</v>
      </c>
      <c r="F3770" s="552">
        <f>E3770*D3770*C3770</f>
        <v>4800</v>
      </c>
      <c r="G3770" s="553"/>
      <c r="H3770" s="117"/>
      <c r="M3770" s="56"/>
    </row>
    <row r="3771" spans="1:15" ht="16.5">
      <c r="A3771" s="554" t="s">
        <v>4216</v>
      </c>
      <c r="B3771" s="555"/>
      <c r="C3771" s="555"/>
      <c r="D3771" s="555"/>
      <c r="E3771" s="555"/>
      <c r="F3771" s="555"/>
      <c r="G3771" s="555"/>
      <c r="H3771" s="105">
        <f>F3770</f>
        <v>4800</v>
      </c>
    </row>
    <row r="3772" spans="1:15" ht="16.5">
      <c r="A3772" s="543" t="s">
        <v>4235</v>
      </c>
      <c r="B3772" s="544"/>
      <c r="C3772" s="544"/>
      <c r="D3772" s="544"/>
      <c r="E3772" s="544"/>
      <c r="F3772" s="544"/>
      <c r="G3772" s="544"/>
      <c r="H3772" s="546"/>
    </row>
    <row r="3773" spans="1:15">
      <c r="A3773" s="547" t="s">
        <v>7</v>
      </c>
      <c r="B3773" s="548"/>
      <c r="C3773" s="106" t="s">
        <v>1</v>
      </c>
      <c r="D3773" s="107" t="s">
        <v>4236</v>
      </c>
      <c r="E3773" s="108" t="s">
        <v>4215</v>
      </c>
      <c r="F3773" s="547" t="s">
        <v>5</v>
      </c>
      <c r="G3773" s="556"/>
      <c r="H3773" s="119"/>
    </row>
    <row r="3774" spans="1:15">
      <c r="A3774" s="550" t="s">
        <v>4196</v>
      </c>
      <c r="B3774" s="551"/>
      <c r="C3774" s="101">
        <v>1</v>
      </c>
      <c r="D3774" s="104">
        <f>VLOOKUP(A3774,'Mano Obra'!$B$2:$T$117,19,0)</f>
        <v>166624</v>
      </c>
      <c r="E3774" s="246">
        <f>H3737</f>
        <v>6.25E-2</v>
      </c>
      <c r="F3774" s="538">
        <f>E3774*D3774*C3774</f>
        <v>10414</v>
      </c>
      <c r="G3774" s="557"/>
      <c r="H3774" s="121"/>
      <c r="I3774" s="69"/>
      <c r="J3774" s="136">
        <f>((('Mano Obra'!$M$4/30)*F3774)/D3774)*G3744</f>
        <v>0</v>
      </c>
    </row>
    <row r="3775" spans="1:15">
      <c r="A3775" s="558" t="s">
        <v>4197</v>
      </c>
      <c r="B3775" s="559">
        <f>VLOOKUP(A3775,'Mano Obra'!$B$3:$D$290,2,0)</f>
        <v>2090000.0000000002</v>
      </c>
      <c r="C3775" s="101">
        <v>1</v>
      </c>
      <c r="D3775" s="104">
        <f>VLOOKUP(A3775,'Mano Obra'!$B$2:$T$117,19,0)</f>
        <v>120456</v>
      </c>
      <c r="E3775" s="246">
        <f>H3737</f>
        <v>6.25E-2</v>
      </c>
      <c r="F3775" s="538">
        <f t="shared" ref="F3775:F3776" si="222">E3775*D3775*C3775</f>
        <v>7528.5</v>
      </c>
      <c r="G3775" s="557"/>
      <c r="H3775" s="121"/>
      <c r="J3775" s="136">
        <f>((('Mano Obra'!$M$5/30)*F3775)/D3775)*G3744</f>
        <v>0</v>
      </c>
    </row>
    <row r="3776" spans="1:15">
      <c r="A3776" s="558" t="s">
        <v>4186</v>
      </c>
      <c r="B3776" s="559">
        <f>VLOOKUP(A3776,'Mano Obra'!$B$3:$D$290,2,0)</f>
        <v>1100000</v>
      </c>
      <c r="C3776" s="101">
        <v>1</v>
      </c>
      <c r="D3776" s="104">
        <f>VLOOKUP(A3776,'Mano Obra'!$B$2:$T$117,19,0)</f>
        <v>72664</v>
      </c>
      <c r="E3776" s="246">
        <f>H3737</f>
        <v>6.25E-2</v>
      </c>
      <c r="F3776" s="538">
        <f t="shared" si="222"/>
        <v>4541.5</v>
      </c>
      <c r="G3776" s="557"/>
      <c r="H3776" s="120"/>
      <c r="J3776" s="136">
        <f>((('Mano Obra'!$M$6/30)*F3776)/D3776)*G3744</f>
        <v>0</v>
      </c>
    </row>
    <row r="3777" spans="1:14" ht="16.5">
      <c r="A3777" s="560" t="s">
        <v>4101</v>
      </c>
      <c r="B3777" s="560"/>
      <c r="C3777" s="560"/>
      <c r="D3777" s="560"/>
      <c r="E3777" s="560"/>
      <c r="F3777" s="560"/>
      <c r="G3777" s="560"/>
      <c r="H3777" s="105">
        <f>SUM(F3774:F3776)</f>
        <v>22484</v>
      </c>
      <c r="J3777" s="136"/>
    </row>
    <row r="3778" spans="1:14">
      <c r="A3778" s="227" t="s">
        <v>4237</v>
      </c>
      <c r="B3778" s="205"/>
      <c r="C3778" s="205"/>
      <c r="D3778" s="202"/>
      <c r="E3778" s="203"/>
      <c r="F3778" s="204"/>
      <c r="G3778" s="203"/>
      <c r="H3778" s="212"/>
    </row>
    <row r="3779" spans="1:14">
      <c r="A3779" s="561" t="s">
        <v>4224</v>
      </c>
      <c r="B3779" s="562"/>
      <c r="C3779" s="562"/>
      <c r="D3779" s="562"/>
      <c r="E3779" s="200"/>
      <c r="F3779" s="201" t="s">
        <v>4238</v>
      </c>
      <c r="G3779" s="200" t="s">
        <v>4239</v>
      </c>
      <c r="H3779" s="213"/>
    </row>
    <row r="3780" spans="1:14">
      <c r="A3780" s="223" t="s">
        <v>4097</v>
      </c>
      <c r="B3780" s="72"/>
      <c r="C3780" s="72"/>
      <c r="D3780" s="73"/>
      <c r="E3780" s="78"/>
      <c r="F3780" s="79">
        <v>0</v>
      </c>
      <c r="G3780" s="80">
        <f>F3780*H3745</f>
        <v>0</v>
      </c>
      <c r="H3780" s="212"/>
    </row>
    <row r="3781" spans="1:14">
      <c r="A3781" s="224" t="s">
        <v>4240</v>
      </c>
      <c r="B3781" s="81"/>
      <c r="C3781" s="81"/>
      <c r="D3781" s="82"/>
      <c r="E3781" s="78"/>
      <c r="F3781" s="79">
        <v>0</v>
      </c>
      <c r="G3781" s="80">
        <f>F3781*H3745</f>
        <v>0</v>
      </c>
      <c r="H3781" s="212"/>
    </row>
    <row r="3782" spans="1:14">
      <c r="A3782" s="224" t="s">
        <v>4</v>
      </c>
      <c r="B3782" s="81"/>
      <c r="C3782" s="81"/>
      <c r="D3782" s="82"/>
      <c r="E3782" s="78"/>
      <c r="F3782" s="79">
        <v>0</v>
      </c>
      <c r="G3782" s="80">
        <f>F3782*H3745</f>
        <v>0</v>
      </c>
      <c r="H3782" s="212"/>
    </row>
    <row r="3783" spans="1:14">
      <c r="A3783" s="225"/>
      <c r="B3783" s="83"/>
      <c r="C3783" s="75"/>
      <c r="D3783" s="84"/>
      <c r="E3783" s="85"/>
      <c r="F3783" s="86"/>
      <c r="G3783" s="87"/>
      <c r="H3783" s="214"/>
    </row>
    <row r="3784" spans="1:14">
      <c r="A3784" s="226"/>
      <c r="B3784" s="83"/>
      <c r="C3784" s="83"/>
      <c r="D3784" s="84"/>
      <c r="E3784" s="88"/>
      <c r="F3784" s="563" t="s">
        <v>4241</v>
      </c>
      <c r="G3784" s="564"/>
      <c r="H3784" s="233">
        <f>H3745+G3780+G3781+G3782</f>
        <v>670498.35225</v>
      </c>
    </row>
    <row r="3785" spans="1:14">
      <c r="A3785" s="83"/>
      <c r="B3785" s="83"/>
      <c r="C3785" s="83"/>
      <c r="D3785" s="84"/>
      <c r="E3785" s="388"/>
      <c r="F3785" s="389"/>
      <c r="G3785" s="389"/>
      <c r="H3785" s="390"/>
    </row>
    <row r="3786" spans="1:14" ht="16.5">
      <c r="A3786" s="90"/>
      <c r="B3786" s="90"/>
      <c r="C3786" s="90"/>
      <c r="D3786" s="90"/>
      <c r="E3786" s="90"/>
      <c r="F3786" s="90"/>
      <c r="G3786" s="90"/>
      <c r="H3786" s="381"/>
    </row>
    <row r="3787" spans="1:14">
      <c r="A3787" s="579" t="s">
        <v>4225</v>
      </c>
      <c r="B3787" s="580"/>
      <c r="C3787" s="580"/>
      <c r="D3787" s="580"/>
      <c r="E3787" s="580"/>
      <c r="F3787" s="580"/>
      <c r="G3787" s="580"/>
      <c r="H3787" s="581"/>
    </row>
    <row r="3788" spans="1:14" ht="16.5">
      <c r="A3788" s="91"/>
      <c r="B3788" s="92"/>
      <c r="C3788" s="92"/>
      <c r="D3788" s="92"/>
      <c r="E3788" s="92"/>
      <c r="F3788" s="93"/>
      <c r="G3788" s="94"/>
      <c r="H3788" s="380">
        <f>ROUND((30/60)/8,4)</f>
        <v>6.25E-2</v>
      </c>
      <c r="I3788" s="115"/>
    </row>
    <row r="3789" spans="1:14">
      <c r="A3789" s="582" t="s">
        <v>4220</v>
      </c>
      <c r="B3789" s="584" t="str">
        <f>COSTOS!$C$14</f>
        <v>MODERNIZACION A TECNOLOGIA LED</v>
      </c>
      <c r="C3789" s="584"/>
      <c r="D3789" s="584"/>
      <c r="E3789" s="584"/>
      <c r="F3789" s="584"/>
      <c r="G3789" s="584"/>
      <c r="H3789" s="585" t="s">
        <v>4221</v>
      </c>
    </row>
    <row r="3790" spans="1:14">
      <c r="A3790" s="583"/>
      <c r="B3790" s="584"/>
      <c r="C3790" s="584"/>
      <c r="D3790" s="584"/>
      <c r="E3790" s="584"/>
      <c r="F3790" s="584"/>
      <c r="G3790" s="584"/>
      <c r="H3790" s="585"/>
    </row>
    <row r="3791" spans="1:14">
      <c r="A3791" s="583"/>
      <c r="B3791" s="584"/>
      <c r="C3791" s="584"/>
      <c r="D3791" s="584"/>
      <c r="E3791" s="584"/>
      <c r="F3791" s="584"/>
      <c r="G3791" s="584"/>
      <c r="H3791" s="585"/>
    </row>
    <row r="3792" spans="1:14" ht="15" customHeight="1">
      <c r="A3792" s="583"/>
      <c r="B3792" s="584"/>
      <c r="C3792" s="584"/>
      <c r="D3792" s="584"/>
      <c r="E3792" s="584"/>
      <c r="F3792" s="584"/>
      <c r="G3792" s="584"/>
      <c r="H3792" s="216">
        <f ca="1">TODAY()</f>
        <v>44889</v>
      </c>
      <c r="K3792" t="s">
        <v>4391</v>
      </c>
      <c r="L3792" t="s">
        <v>4392</v>
      </c>
      <c r="M3792" t="s">
        <v>4393</v>
      </c>
      <c r="N3792" t="s">
        <v>4394</v>
      </c>
    </row>
    <row r="3793" spans="1:15" ht="60.75" customHeight="1">
      <c r="A3793" s="228" t="s">
        <v>4222</v>
      </c>
      <c r="B3793" s="565" t="str">
        <f>COSTOS!$D$16</f>
        <v>Luminarias</v>
      </c>
      <c r="C3793" s="565"/>
      <c r="D3793" s="565"/>
      <c r="E3793" s="565"/>
      <c r="F3793" s="565"/>
      <c r="G3793" s="70" t="s">
        <v>4223</v>
      </c>
      <c r="H3793" s="391">
        <v>1.75</v>
      </c>
      <c r="K3793" s="62">
        <f>H3818</f>
        <v>516914.2648590859</v>
      </c>
      <c r="L3793" s="62">
        <f>H3828</f>
        <v>22484</v>
      </c>
      <c r="M3793" s="62">
        <f>H3801</f>
        <v>4034.53125</v>
      </c>
      <c r="N3793" s="62">
        <f>H3822</f>
        <v>4800</v>
      </c>
    </row>
    <row r="3794" spans="1:15" ht="43.15" customHeight="1">
      <c r="A3794" s="229" t="s">
        <v>4224</v>
      </c>
      <c r="B3794" s="566" t="str">
        <f>VLOOKUP(H3793,COSTOS!C:M,2,0)</f>
        <v>Reflector con bombillo fluorescente 80W</v>
      </c>
      <c r="C3794" s="567"/>
      <c r="D3794" s="567"/>
      <c r="E3794" s="568"/>
      <c r="F3794" s="71" t="s">
        <v>0</v>
      </c>
      <c r="G3794" s="356" t="str">
        <f>VLOOKUP(H3793,COSTOS!C:M,8,0)</f>
        <v>Und</v>
      </c>
      <c r="H3794" s="276"/>
      <c r="I3794" s="306"/>
      <c r="J3794" s="308"/>
      <c r="K3794" s="308"/>
      <c r="L3794" s="308"/>
    </row>
    <row r="3795" spans="1:15">
      <c r="A3795" s="230"/>
      <c r="B3795" s="112"/>
      <c r="C3795" s="112"/>
      <c r="D3795" s="112"/>
      <c r="E3795" s="113"/>
      <c r="F3795" s="114" t="s">
        <v>1</v>
      </c>
      <c r="G3795" s="356">
        <f>VLOOKUP(H3793,COSTOS!C:M,9,0)</f>
        <v>0</v>
      </c>
      <c r="H3795" s="357"/>
      <c r="I3795" s="307"/>
    </row>
    <row r="3796" spans="1:15" ht="16.5">
      <c r="A3796" s="231" t="s">
        <v>4226</v>
      </c>
      <c r="B3796" s="75"/>
      <c r="C3796" s="75"/>
      <c r="D3796" s="76"/>
      <c r="E3796" s="209"/>
      <c r="F3796" s="210"/>
      <c r="G3796" s="211" t="s">
        <v>4227</v>
      </c>
      <c r="H3796" s="217">
        <f>H3801+H3818+H3822+H3828</f>
        <v>548232.7961090859</v>
      </c>
    </row>
    <row r="3797" spans="1:15" ht="39">
      <c r="A3797" s="569" t="s">
        <v>4224</v>
      </c>
      <c r="B3797" s="569"/>
      <c r="C3797" s="569"/>
      <c r="D3797" s="77" t="s">
        <v>0</v>
      </c>
      <c r="E3797" s="207" t="s">
        <v>4228</v>
      </c>
      <c r="F3797" s="208" t="s">
        <v>4215</v>
      </c>
      <c r="G3797" s="74" t="s">
        <v>2</v>
      </c>
      <c r="H3797" s="218" t="s">
        <v>4229</v>
      </c>
      <c r="K3797" s="309"/>
    </row>
    <row r="3798" spans="1:15">
      <c r="A3798" s="536" t="s">
        <v>3946</v>
      </c>
      <c r="B3798" s="570" t="str">
        <f>VLOOKUP(A3798,'Equip, Herr y Transp'!$B$2:$D$739,2,0)</f>
        <v>EQU</v>
      </c>
      <c r="C3798" s="570"/>
      <c r="D3798" s="95" t="str">
        <f>VLOOKUP(A3798,'Equip, Herr y Transp'!$B$2:$D$218,2,0)</f>
        <v>EQU</v>
      </c>
      <c r="E3798" s="95">
        <f>VLOOKUP(A3798,'Equip, Herr y Transp'!$B$2:$D$218,3,0)</f>
        <v>14130</v>
      </c>
      <c r="F3798" s="96">
        <f>H3788</f>
        <v>6.25E-2</v>
      </c>
      <c r="G3798" s="122">
        <f>F3798*E3798</f>
        <v>883.125</v>
      </c>
      <c r="H3798" s="118"/>
    </row>
    <row r="3799" spans="1:15">
      <c r="A3799" s="536" t="s">
        <v>3904</v>
      </c>
      <c r="B3799" s="570" t="str">
        <f>VLOOKUP(A3799,'Equip, Herr y Transp'!$B$2:$D$739,2,0)</f>
        <v>EQU</v>
      </c>
      <c r="C3799" s="570"/>
      <c r="D3799" s="95" t="str">
        <f>VLOOKUP(A3799,'Equip, Herr y Transp'!$B$2:$D$218,2,0)</f>
        <v>EQU</v>
      </c>
      <c r="E3799" s="95">
        <f>VLOOKUP(A3799,'Equip, Herr y Transp'!$B$2:$D$218,3,0)</f>
        <v>26672.5</v>
      </c>
      <c r="F3799" s="96">
        <f>H3788</f>
        <v>6.25E-2</v>
      </c>
      <c r="G3799" s="122">
        <f>F3799*E3799</f>
        <v>1667.03125</v>
      </c>
      <c r="H3799" s="117"/>
    </row>
    <row r="3800" spans="1:15">
      <c r="A3800" s="536" t="s">
        <v>3937</v>
      </c>
      <c r="B3800" s="570" t="str">
        <f>VLOOKUP(A3800,'Equip, Herr y Transp'!$B$2:$D$739,2,0)</f>
        <v>EQU</v>
      </c>
      <c r="C3800" s="570"/>
      <c r="D3800" s="95" t="str">
        <f>VLOOKUP(A3800,'Equip, Herr y Transp'!$B$2:$D$218,2,0)</f>
        <v>EQU</v>
      </c>
      <c r="E3800" s="95">
        <f>VLOOKUP(A3800,'Equip, Herr y Transp'!$B$2:$D$218,3,0)</f>
        <v>23750</v>
      </c>
      <c r="F3800" s="96">
        <f>H3788</f>
        <v>6.25E-2</v>
      </c>
      <c r="G3800" s="122">
        <f>F3800*E3800</f>
        <v>1484.375</v>
      </c>
      <c r="H3800" s="117"/>
    </row>
    <row r="3801" spans="1:15" ht="16.5">
      <c r="A3801" s="540" t="s">
        <v>4100</v>
      </c>
      <c r="B3801" s="541"/>
      <c r="C3801" s="541"/>
      <c r="D3801" s="541"/>
      <c r="E3801" s="541"/>
      <c r="F3801" s="541"/>
      <c r="G3801" s="541"/>
      <c r="H3801" s="97">
        <f>SUM(G3798:G3800)</f>
        <v>4034.53125</v>
      </c>
    </row>
    <row r="3802" spans="1:15" ht="16.5">
      <c r="A3802" s="571" t="s">
        <v>4230</v>
      </c>
      <c r="B3802" s="572"/>
      <c r="C3802" s="572"/>
      <c r="D3802" s="572"/>
      <c r="E3802" s="572"/>
      <c r="F3802" s="572"/>
      <c r="G3802" s="572"/>
      <c r="H3802" s="573"/>
      <c r="K3802" s="56"/>
      <c r="L3802" s="56"/>
      <c r="M3802" s="56"/>
      <c r="N3802" s="56"/>
      <c r="O3802" s="56"/>
    </row>
    <row r="3803" spans="1:15" ht="30" customHeight="1">
      <c r="A3803" s="574" t="s">
        <v>7</v>
      </c>
      <c r="B3803" s="575"/>
      <c r="C3803" s="109" t="s">
        <v>0</v>
      </c>
      <c r="D3803" s="110" t="s">
        <v>4098</v>
      </c>
      <c r="E3803" s="111" t="s">
        <v>1</v>
      </c>
      <c r="F3803" s="576" t="s">
        <v>4218</v>
      </c>
      <c r="G3803" s="576"/>
      <c r="H3803" s="215"/>
      <c r="K3803" s="56"/>
      <c r="L3803" s="56"/>
      <c r="M3803" s="56"/>
      <c r="N3803" s="56"/>
      <c r="O3803" s="56"/>
    </row>
    <row r="3804" spans="1:15">
      <c r="A3804" s="577" t="s">
        <v>4827</v>
      </c>
      <c r="B3804" s="578"/>
      <c r="C3804" s="98" t="str">
        <f>VLOOKUP(A3804,'Materiales '!$C$2:$F$1302,3,0)</f>
        <v>Und</v>
      </c>
      <c r="D3804" s="99">
        <f>VLOOKUP(A3804,'Materiales '!$C$2:$F$1302,4,0)</f>
        <v>304468.44385908591</v>
      </c>
      <c r="E3804" s="100">
        <v>1</v>
      </c>
      <c r="F3804" s="538">
        <f>E3804*D3804</f>
        <v>304468.44385908591</v>
      </c>
      <c r="G3804" s="539"/>
      <c r="H3804" s="121"/>
      <c r="I3804">
        <f>E3804*G3795</f>
        <v>0</v>
      </c>
      <c r="J3804" s="67"/>
      <c r="K3804" s="56"/>
      <c r="L3804" s="56"/>
      <c r="M3804" s="56"/>
      <c r="N3804" s="56"/>
      <c r="O3804" s="56"/>
    </row>
    <row r="3805" spans="1:15">
      <c r="A3805" s="577" t="s">
        <v>4214</v>
      </c>
      <c r="B3805" s="578"/>
      <c r="C3805" s="98" t="str">
        <f>VLOOKUP(A3805,'Materiales '!$C$2:$F$1302,3,0)</f>
        <v>Und</v>
      </c>
      <c r="D3805" s="99">
        <f>VLOOKUP(A3805,'Materiales '!$C$2:$F$1302,4,0)</f>
        <v>22848</v>
      </c>
      <c r="E3805" s="100">
        <v>1</v>
      </c>
      <c r="F3805" s="538">
        <f t="shared" ref="F3805:F3811" si="223">E3805*D3805</f>
        <v>22848</v>
      </c>
      <c r="G3805" s="539"/>
      <c r="H3805" s="121"/>
      <c r="I3805">
        <f>E3805*G3795</f>
        <v>0</v>
      </c>
      <c r="J3805" s="67"/>
      <c r="K3805" s="56"/>
      <c r="L3805" s="56"/>
      <c r="M3805" s="56"/>
      <c r="N3805" s="56"/>
      <c r="O3805" s="56"/>
    </row>
    <row r="3806" spans="1:15">
      <c r="A3806" s="536" t="s">
        <v>4479</v>
      </c>
      <c r="B3806" s="537" t="str">
        <f>VLOOKUP(A3806,'Materiales '!$C$2:$F$1302,3,0)</f>
        <v>Und</v>
      </c>
      <c r="C3806" s="98" t="str">
        <f>VLOOKUP(A3806,'Materiales '!$C$2:$F$1302,3,0)</f>
        <v>Und</v>
      </c>
      <c r="D3806" s="99">
        <f>VLOOKUP(A3806,'Materiales '!$C$2:$F$1302,4,0)</f>
        <v>18421.2</v>
      </c>
      <c r="E3806" s="100">
        <v>1.5</v>
      </c>
      <c r="F3806" s="538">
        <f t="shared" si="223"/>
        <v>27631.800000000003</v>
      </c>
      <c r="G3806" s="539"/>
      <c r="H3806" s="121"/>
      <c r="I3806">
        <f>E3806*G3795</f>
        <v>0</v>
      </c>
      <c r="J3806" s="68"/>
      <c r="K3806" s="56"/>
      <c r="L3806" s="56"/>
      <c r="M3806" s="56"/>
      <c r="N3806" s="56"/>
      <c r="O3806" s="56"/>
    </row>
    <row r="3807" spans="1:15">
      <c r="A3807" s="536" t="s">
        <v>4489</v>
      </c>
      <c r="B3807" s="537" t="str">
        <f>VLOOKUP(A3807,'Materiales '!$C$2:$F$1302,3,0)</f>
        <v>Und</v>
      </c>
      <c r="C3807" s="98" t="str">
        <f>VLOOKUP(A3807,'Materiales '!$C$2:$F$1302,3,0)</f>
        <v>Und</v>
      </c>
      <c r="D3807" s="99">
        <f>VLOOKUP(A3807,'Materiales '!$C$2:$F$1302,4,0)</f>
        <v>8039.6399999999994</v>
      </c>
      <c r="E3807" s="100">
        <v>3</v>
      </c>
      <c r="F3807" s="538">
        <f t="shared" si="223"/>
        <v>24118.92</v>
      </c>
      <c r="G3807" s="539"/>
      <c r="H3807" s="121"/>
      <c r="I3807">
        <f>E3807*G3795</f>
        <v>0</v>
      </c>
      <c r="J3807" s="68"/>
      <c r="K3807" s="56"/>
      <c r="L3807" s="56"/>
      <c r="M3807" s="56"/>
      <c r="N3807" s="56"/>
      <c r="O3807" s="56"/>
    </row>
    <row r="3808" spans="1:15">
      <c r="A3808" s="536" t="s">
        <v>4554</v>
      </c>
      <c r="B3808" s="537" t="str">
        <f>VLOOKUP(A3808,'Materiales '!$C$2:$F$1302,3,0)</f>
        <v>Und</v>
      </c>
      <c r="C3808" s="98" t="str">
        <f>VLOOKUP(A3808,'Materiales '!$C$2:$F$1302,3,0)</f>
        <v>Und</v>
      </c>
      <c r="D3808" s="99">
        <f>VLOOKUP(A3808,'Materiales '!$C$2:$F$1302,4,0)</f>
        <v>2535.5329999999999</v>
      </c>
      <c r="E3808" s="100">
        <v>1</v>
      </c>
      <c r="F3808" s="538">
        <f t="shared" si="223"/>
        <v>2535.5329999999999</v>
      </c>
      <c r="G3808" s="539"/>
      <c r="H3808" s="121"/>
      <c r="I3808">
        <f>E3808*G3795</f>
        <v>0</v>
      </c>
      <c r="J3808" s="68"/>
      <c r="K3808" s="56"/>
      <c r="L3808" s="56"/>
      <c r="M3808" s="56"/>
      <c r="N3808" s="56"/>
      <c r="O3808" s="56"/>
    </row>
    <row r="3809" spans="1:15">
      <c r="A3809" s="536" t="s">
        <v>4450</v>
      </c>
      <c r="B3809" s="537" t="str">
        <f>VLOOKUP(A3809,'Materiales '!$C$2:$F$1302,3,0)</f>
        <v>Ml</v>
      </c>
      <c r="C3809" s="98" t="str">
        <f>VLOOKUP(A3809,'Materiales '!$C$2:$F$1302,3,0)</f>
        <v>Ml</v>
      </c>
      <c r="D3809" s="99">
        <f>VLOOKUP(A3809,'Materiales '!$C$2:$F$1302,4,0)</f>
        <v>6791.5679999999993</v>
      </c>
      <c r="E3809" s="100">
        <v>1</v>
      </c>
      <c r="F3809" s="538">
        <f t="shared" si="223"/>
        <v>6791.5679999999993</v>
      </c>
      <c r="G3809" s="539"/>
      <c r="H3809" s="121"/>
      <c r="I3809">
        <f>E3809*G3795</f>
        <v>0</v>
      </c>
      <c r="J3809" s="68"/>
      <c r="K3809" s="56"/>
      <c r="L3809" s="56"/>
      <c r="M3809" s="56"/>
      <c r="N3809" s="56"/>
      <c r="O3809" s="56"/>
    </row>
    <row r="3810" spans="1:15">
      <c r="A3810" s="536" t="s">
        <v>4436</v>
      </c>
      <c r="B3810" s="537" t="str">
        <f>VLOOKUP(A3810,'Materiales '!$C$2:$F$1302,3,0)</f>
        <v>Und</v>
      </c>
      <c r="C3810" s="98" t="str">
        <f>VLOOKUP(A3810,'Materiales '!$C$2:$F$1302,3,0)</f>
        <v>Und</v>
      </c>
      <c r="D3810" s="99">
        <f>VLOOKUP(A3810,'Materiales '!$C$2:$F$1302,4,0)</f>
        <v>92820</v>
      </c>
      <c r="E3810" s="100">
        <v>1</v>
      </c>
      <c r="F3810" s="538">
        <f t="shared" si="223"/>
        <v>92820</v>
      </c>
      <c r="G3810" s="539"/>
      <c r="H3810" s="121"/>
      <c r="I3810">
        <f>E3810*G3795</f>
        <v>0</v>
      </c>
      <c r="J3810" s="68"/>
      <c r="K3810" s="56"/>
      <c r="L3810" s="56"/>
      <c r="M3810" s="56"/>
      <c r="N3810" s="56"/>
      <c r="O3810" s="56"/>
    </row>
    <row r="3811" spans="1:15" ht="21.75" customHeight="1">
      <c r="A3811" s="536" t="s">
        <v>4639</v>
      </c>
      <c r="B3811" s="537" t="str">
        <f>VLOOKUP(A3811,'Materiales '!$C$2:$F$1302,3,0)</f>
        <v>Und</v>
      </c>
      <c r="C3811" s="98" t="str">
        <f>VLOOKUP(A3811,'Materiales '!$C$2:$F$1302,3,0)</f>
        <v>Und</v>
      </c>
      <c r="D3811" s="99">
        <f>VLOOKUP(A3811,'Materiales '!$C$2:$F$1302,4,0)</f>
        <v>35700</v>
      </c>
      <c r="E3811" s="100">
        <v>1</v>
      </c>
      <c r="F3811" s="538">
        <f t="shared" si="223"/>
        <v>35700</v>
      </c>
      <c r="G3811" s="539"/>
      <c r="H3811" s="121"/>
      <c r="I3811">
        <f>E3811*G3795</f>
        <v>0</v>
      </c>
      <c r="J3811" s="68"/>
      <c r="K3811" s="56"/>
      <c r="L3811" s="56"/>
      <c r="M3811" s="56"/>
      <c r="N3811" s="56"/>
      <c r="O3811" s="56"/>
    </row>
    <row r="3812" spans="1:15">
      <c r="A3812" s="536" t="s">
        <v>8</v>
      </c>
      <c r="B3812" s="537" t="str">
        <f>VLOOKUP(A3812,'Materiales '!$C$2:$F$1302,3,0)</f>
        <v>-</v>
      </c>
      <c r="C3812" s="98" t="str">
        <f>VLOOKUP(A3812,'Materiales '!$C$2:$F$1302,3,0)</f>
        <v>-</v>
      </c>
      <c r="D3812" s="99">
        <f>VLOOKUP(A3812,'Materiales '!$C$2:$F$1302,4,0)</f>
        <v>0</v>
      </c>
      <c r="E3812" s="100"/>
      <c r="F3812" s="538">
        <f>E3812*D3812</f>
        <v>0</v>
      </c>
      <c r="G3812" s="539"/>
      <c r="H3812" s="120"/>
      <c r="I3812">
        <f>E3812*G3795</f>
        <v>0</v>
      </c>
      <c r="J3812" s="68"/>
      <c r="K3812" s="56"/>
      <c r="L3812" s="56"/>
      <c r="M3812" s="56"/>
      <c r="N3812" s="56"/>
      <c r="O3812" s="56"/>
    </row>
    <row r="3813" spans="1:15">
      <c r="A3813" s="536" t="s">
        <v>8</v>
      </c>
      <c r="B3813" s="537" t="str">
        <f>VLOOKUP(A3813,'Materiales '!$C$2:$F$1302,3,0)</f>
        <v>-</v>
      </c>
      <c r="C3813" s="98" t="str">
        <f>VLOOKUP(A3813,'Materiales '!$C$2:$F$1302,3,0)</f>
        <v>-</v>
      </c>
      <c r="D3813" s="99">
        <f>VLOOKUP(A3813,'Materiales '!$C$2:$F$1302,4,0)</f>
        <v>0</v>
      </c>
      <c r="E3813" s="100"/>
      <c r="F3813" s="538">
        <f t="shared" ref="F3813:F3816" si="224">E3813*D3813</f>
        <v>0</v>
      </c>
      <c r="G3813" s="539"/>
      <c r="H3813" s="121"/>
      <c r="I3813">
        <f>E3813*G3795</f>
        <v>0</v>
      </c>
      <c r="J3813" s="68"/>
      <c r="K3813" s="56"/>
      <c r="L3813" s="56"/>
      <c r="M3813" s="56"/>
      <c r="N3813" s="56"/>
      <c r="O3813" s="56"/>
    </row>
    <row r="3814" spans="1:15">
      <c r="A3814" s="536" t="s">
        <v>8</v>
      </c>
      <c r="B3814" s="537" t="str">
        <f>VLOOKUP(A3814,'Materiales '!$C$2:$F$1302,3,0)</f>
        <v>-</v>
      </c>
      <c r="C3814" s="98" t="str">
        <f>VLOOKUP(A3814,'Materiales '!$C$2:$F$1302,3,0)</f>
        <v>-</v>
      </c>
      <c r="D3814" s="99">
        <f>VLOOKUP(A3814,'Materiales '!$C$2:$F$1302,4,0)</f>
        <v>0</v>
      </c>
      <c r="E3814" s="100"/>
      <c r="F3814" s="538">
        <f t="shared" si="224"/>
        <v>0</v>
      </c>
      <c r="G3814" s="539"/>
      <c r="H3814" s="121"/>
      <c r="I3814">
        <f>E3814*G3795</f>
        <v>0</v>
      </c>
      <c r="J3814" s="68"/>
      <c r="K3814" s="56"/>
      <c r="L3814" s="56"/>
      <c r="M3814" s="56"/>
      <c r="N3814" s="56"/>
      <c r="O3814" s="56"/>
    </row>
    <row r="3815" spans="1:15">
      <c r="A3815" s="536" t="s">
        <v>8</v>
      </c>
      <c r="B3815" s="537" t="str">
        <f>VLOOKUP(A3815,'Materiales '!$C$2:$F$1302,3,0)</f>
        <v>-</v>
      </c>
      <c r="C3815" s="98" t="str">
        <f>VLOOKUP(A3815,'Materiales '!$C$2:$F$1302,3,0)</f>
        <v>-</v>
      </c>
      <c r="D3815" s="99">
        <f>VLOOKUP(A3815,'Materiales '!$C$2:$F$1302,4,0)</f>
        <v>0</v>
      </c>
      <c r="E3815" s="100"/>
      <c r="F3815" s="538">
        <f t="shared" si="224"/>
        <v>0</v>
      </c>
      <c r="G3815" s="539"/>
      <c r="H3815" s="121"/>
      <c r="I3815">
        <f>E3815*G3795</f>
        <v>0</v>
      </c>
      <c r="J3815" s="68"/>
      <c r="K3815" s="56"/>
      <c r="L3815" s="56"/>
      <c r="M3815" s="56"/>
      <c r="N3815" s="56"/>
      <c r="O3815" s="56"/>
    </row>
    <row r="3816" spans="1:15">
      <c r="A3816" s="536" t="s">
        <v>8</v>
      </c>
      <c r="B3816" s="537" t="str">
        <f>VLOOKUP(A3816,'Materiales '!$C$2:$F$1302,3,0)</f>
        <v>-</v>
      </c>
      <c r="C3816" s="98" t="str">
        <f>VLOOKUP(A3816,'Materiales '!$C$2:$F$1302,3,0)</f>
        <v>-</v>
      </c>
      <c r="D3816" s="99">
        <f>VLOOKUP(A3816,'Materiales '!$C$2:$F$1302,4,0)</f>
        <v>0</v>
      </c>
      <c r="E3816" s="100"/>
      <c r="F3816" s="538">
        <f t="shared" si="224"/>
        <v>0</v>
      </c>
      <c r="G3816" s="539"/>
      <c r="H3816" s="121"/>
      <c r="I3816">
        <f>E3816*G3795</f>
        <v>0</v>
      </c>
      <c r="J3816" s="68"/>
      <c r="K3816" s="56"/>
      <c r="L3816" s="56"/>
      <c r="M3816" s="56"/>
      <c r="N3816" s="56"/>
      <c r="O3816" s="56"/>
    </row>
    <row r="3817" spans="1:15">
      <c r="A3817" s="536" t="s">
        <v>8</v>
      </c>
      <c r="B3817" s="537" t="str">
        <f>VLOOKUP(A3817,'Materiales '!$C$2:$F$1302,3,0)</f>
        <v>-</v>
      </c>
      <c r="C3817" s="98" t="str">
        <f>VLOOKUP(A3817,'Materiales '!$C$2:$F$1302,3,0)</f>
        <v>-</v>
      </c>
      <c r="D3817" s="99">
        <f>VLOOKUP(A3817,'Materiales '!$C$2:$F$1302,4,0)</f>
        <v>0</v>
      </c>
      <c r="E3817" s="100"/>
      <c r="F3817" s="538">
        <f>E3817*D3817</f>
        <v>0</v>
      </c>
      <c r="G3817" s="539"/>
      <c r="H3817" s="120"/>
      <c r="I3817">
        <f>E3817*G3795</f>
        <v>0</v>
      </c>
      <c r="J3817" s="68"/>
      <c r="K3817" s="56"/>
      <c r="L3817" s="56"/>
      <c r="M3817" s="56"/>
      <c r="N3817" s="56"/>
      <c r="O3817" s="56"/>
    </row>
    <row r="3818" spans="1:15" ht="16.5">
      <c r="A3818" s="540" t="s">
        <v>4099</v>
      </c>
      <c r="B3818" s="541"/>
      <c r="C3818" s="541"/>
      <c r="D3818" s="541"/>
      <c r="E3818" s="541"/>
      <c r="F3818" s="541"/>
      <c r="G3818" s="542"/>
      <c r="H3818" s="116">
        <f>SUM(F3804:F3817)</f>
        <v>516914.2648590859</v>
      </c>
      <c r="J3818" s="68"/>
      <c r="K3818" s="56"/>
      <c r="L3818" s="56"/>
      <c r="M3818" s="56"/>
      <c r="N3818" s="56"/>
      <c r="O3818" s="56"/>
    </row>
    <row r="3819" spans="1:15" ht="16.5">
      <c r="A3819" s="543" t="s">
        <v>4231</v>
      </c>
      <c r="B3819" s="544"/>
      <c r="C3819" s="544"/>
      <c r="D3819" s="544"/>
      <c r="E3819" s="545"/>
      <c r="F3819" s="544"/>
      <c r="G3819" s="544"/>
      <c r="H3819" s="546"/>
      <c r="J3819" s="68"/>
      <c r="K3819" s="56"/>
      <c r="L3819" s="56"/>
      <c r="M3819" s="56"/>
      <c r="N3819" s="56"/>
      <c r="O3819" s="56"/>
    </row>
    <row r="3820" spans="1:15">
      <c r="A3820" s="547" t="s">
        <v>7</v>
      </c>
      <c r="B3820" s="548"/>
      <c r="C3820" s="108" t="s">
        <v>4232</v>
      </c>
      <c r="D3820" s="107" t="s">
        <v>4233</v>
      </c>
      <c r="E3820" s="206" t="s">
        <v>4234</v>
      </c>
      <c r="F3820" s="549" t="s">
        <v>4218</v>
      </c>
      <c r="G3820" s="549"/>
      <c r="H3820" s="119"/>
      <c r="K3820" s="56"/>
      <c r="L3820" s="56"/>
      <c r="M3820" s="56"/>
      <c r="N3820" s="56"/>
      <c r="O3820" s="56"/>
    </row>
    <row r="3821" spans="1:15">
      <c r="A3821" s="550" t="s">
        <v>3928</v>
      </c>
      <c r="B3821" s="551"/>
      <c r="C3821" s="232">
        <v>1</v>
      </c>
      <c r="D3821" s="102">
        <v>0.03</v>
      </c>
      <c r="E3821" s="103">
        <f>VLOOKUP(A3821,'Equip, Herr y Transp'!$B$2:$D$218,3,0)</f>
        <v>160000</v>
      </c>
      <c r="F3821" s="552">
        <f>E3821*D3821*C3821</f>
        <v>4800</v>
      </c>
      <c r="G3821" s="553"/>
      <c r="H3821" s="117"/>
      <c r="M3821" s="56"/>
    </row>
    <row r="3822" spans="1:15" ht="16.5">
      <c r="A3822" s="554" t="s">
        <v>4216</v>
      </c>
      <c r="B3822" s="555"/>
      <c r="C3822" s="555"/>
      <c r="D3822" s="555"/>
      <c r="E3822" s="555"/>
      <c r="F3822" s="555"/>
      <c r="G3822" s="555"/>
      <c r="H3822" s="105">
        <f>F3821</f>
        <v>4800</v>
      </c>
    </row>
    <row r="3823" spans="1:15" ht="16.5">
      <c r="A3823" s="543" t="s">
        <v>4235</v>
      </c>
      <c r="B3823" s="544"/>
      <c r="C3823" s="544"/>
      <c r="D3823" s="544"/>
      <c r="E3823" s="544"/>
      <c r="F3823" s="544"/>
      <c r="G3823" s="544"/>
      <c r="H3823" s="546"/>
    </row>
    <row r="3824" spans="1:15">
      <c r="A3824" s="547" t="s">
        <v>7</v>
      </c>
      <c r="B3824" s="548"/>
      <c r="C3824" s="106" t="s">
        <v>1</v>
      </c>
      <c r="D3824" s="107" t="s">
        <v>4236</v>
      </c>
      <c r="E3824" s="108" t="s">
        <v>4215</v>
      </c>
      <c r="F3824" s="547" t="s">
        <v>5</v>
      </c>
      <c r="G3824" s="556"/>
      <c r="H3824" s="119"/>
    </row>
    <row r="3825" spans="1:10">
      <c r="A3825" s="550" t="s">
        <v>4196</v>
      </c>
      <c r="B3825" s="551"/>
      <c r="C3825" s="101">
        <v>1</v>
      </c>
      <c r="D3825" s="104">
        <f>VLOOKUP(A3825,'Mano Obra'!$B$2:$T$117,19,0)</f>
        <v>166624</v>
      </c>
      <c r="E3825" s="246">
        <f>H3788</f>
        <v>6.25E-2</v>
      </c>
      <c r="F3825" s="538">
        <f>E3825*D3825*C3825</f>
        <v>10414</v>
      </c>
      <c r="G3825" s="557"/>
      <c r="H3825" s="121"/>
      <c r="I3825" s="69"/>
      <c r="J3825" s="136">
        <f>((('Mano Obra'!$M$4/30)*F3825)/D3825)*G3795</f>
        <v>0</v>
      </c>
    </row>
    <row r="3826" spans="1:10">
      <c r="A3826" s="558" t="s">
        <v>4197</v>
      </c>
      <c r="B3826" s="559">
        <f>VLOOKUP(A3826,'Mano Obra'!$B$3:$D$290,2,0)</f>
        <v>2090000.0000000002</v>
      </c>
      <c r="C3826" s="101">
        <v>1</v>
      </c>
      <c r="D3826" s="104">
        <f>VLOOKUP(A3826,'Mano Obra'!$B$2:$T$117,19,0)</f>
        <v>120456</v>
      </c>
      <c r="E3826" s="246">
        <f>H3788</f>
        <v>6.25E-2</v>
      </c>
      <c r="F3826" s="538">
        <f t="shared" ref="F3826:F3827" si="225">E3826*D3826*C3826</f>
        <v>7528.5</v>
      </c>
      <c r="G3826" s="557"/>
      <c r="H3826" s="121"/>
      <c r="J3826" s="136">
        <f>((('Mano Obra'!$M$5/30)*F3826)/D3826)*G3795</f>
        <v>0</v>
      </c>
    </row>
    <row r="3827" spans="1:10">
      <c r="A3827" s="558" t="s">
        <v>4186</v>
      </c>
      <c r="B3827" s="559">
        <f>VLOOKUP(A3827,'Mano Obra'!$B$3:$D$290,2,0)</f>
        <v>1100000</v>
      </c>
      <c r="C3827" s="101">
        <v>1</v>
      </c>
      <c r="D3827" s="104">
        <f>VLOOKUP(A3827,'Mano Obra'!$B$2:$T$117,19,0)</f>
        <v>72664</v>
      </c>
      <c r="E3827" s="246">
        <f>H3788</f>
        <v>6.25E-2</v>
      </c>
      <c r="F3827" s="538">
        <f t="shared" si="225"/>
        <v>4541.5</v>
      </c>
      <c r="G3827" s="557"/>
      <c r="H3827" s="120"/>
      <c r="J3827" s="136">
        <f>((('Mano Obra'!$M$6/30)*F3827)/D3827)*G3795</f>
        <v>0</v>
      </c>
    </row>
    <row r="3828" spans="1:10" ht="16.5">
      <c r="A3828" s="560" t="s">
        <v>4101</v>
      </c>
      <c r="B3828" s="560"/>
      <c r="C3828" s="560"/>
      <c r="D3828" s="560"/>
      <c r="E3828" s="560"/>
      <c r="F3828" s="560"/>
      <c r="G3828" s="560"/>
      <c r="H3828" s="105">
        <f>SUM(F3825:F3827)</f>
        <v>22484</v>
      </c>
      <c r="J3828" s="136"/>
    </row>
    <row r="3829" spans="1:10">
      <c r="A3829" s="227" t="s">
        <v>4237</v>
      </c>
      <c r="B3829" s="205"/>
      <c r="C3829" s="205"/>
      <c r="D3829" s="202"/>
      <c r="E3829" s="203"/>
      <c r="F3829" s="204"/>
      <c r="G3829" s="203"/>
      <c r="H3829" s="212"/>
    </row>
    <row r="3830" spans="1:10">
      <c r="A3830" s="561" t="s">
        <v>4224</v>
      </c>
      <c r="B3830" s="562"/>
      <c r="C3830" s="562"/>
      <c r="D3830" s="562"/>
      <c r="E3830" s="200"/>
      <c r="F3830" s="201" t="s">
        <v>4238</v>
      </c>
      <c r="G3830" s="200" t="s">
        <v>4239</v>
      </c>
      <c r="H3830" s="213"/>
    </row>
    <row r="3831" spans="1:10">
      <c r="A3831" s="223" t="s">
        <v>4097</v>
      </c>
      <c r="B3831" s="72"/>
      <c r="C3831" s="72"/>
      <c r="D3831" s="73"/>
      <c r="E3831" s="78"/>
      <c r="F3831" s="79">
        <v>0</v>
      </c>
      <c r="G3831" s="80">
        <f>F3831*H3796</f>
        <v>0</v>
      </c>
      <c r="H3831" s="212"/>
    </row>
    <row r="3832" spans="1:10">
      <c r="A3832" s="224" t="s">
        <v>4240</v>
      </c>
      <c r="B3832" s="81"/>
      <c r="C3832" s="81"/>
      <c r="D3832" s="82"/>
      <c r="E3832" s="78"/>
      <c r="F3832" s="79">
        <v>0</v>
      </c>
      <c r="G3832" s="80">
        <f>F3832*H3796</f>
        <v>0</v>
      </c>
      <c r="H3832" s="212"/>
    </row>
    <row r="3833" spans="1:10">
      <c r="A3833" s="224" t="s">
        <v>4</v>
      </c>
      <c r="B3833" s="81"/>
      <c r="C3833" s="81"/>
      <c r="D3833" s="82"/>
      <c r="E3833" s="78"/>
      <c r="F3833" s="79">
        <v>0</v>
      </c>
      <c r="G3833" s="80">
        <f>F3833*H3796</f>
        <v>0</v>
      </c>
      <c r="H3833" s="212"/>
    </row>
    <row r="3834" spans="1:10">
      <c r="A3834" s="225"/>
      <c r="B3834" s="83"/>
      <c r="C3834" s="75"/>
      <c r="D3834" s="84"/>
      <c r="E3834" s="85"/>
      <c r="F3834" s="86"/>
      <c r="G3834" s="87"/>
      <c r="H3834" s="214"/>
    </row>
    <row r="3835" spans="1:10">
      <c r="A3835" s="226"/>
      <c r="B3835" s="83"/>
      <c r="C3835" s="83"/>
      <c r="D3835" s="84"/>
      <c r="E3835" s="88"/>
      <c r="F3835" s="563" t="s">
        <v>4241</v>
      </c>
      <c r="G3835" s="564"/>
      <c r="H3835" s="233">
        <f>H3796+G3831+G3832+G3833</f>
        <v>548232.7961090859</v>
      </c>
    </row>
    <row r="3836" spans="1:10">
      <c r="A3836" s="83"/>
      <c r="B3836" s="83"/>
      <c r="C3836" s="83"/>
      <c r="D3836" s="84"/>
      <c r="E3836" s="388"/>
      <c r="F3836" s="389"/>
      <c r="G3836" s="389"/>
      <c r="H3836" s="390"/>
    </row>
    <row r="3837" spans="1:10" ht="16.5">
      <c r="A3837" s="90"/>
      <c r="B3837" s="90"/>
      <c r="C3837" s="90"/>
      <c r="D3837" s="90"/>
      <c r="E3837" s="90"/>
      <c r="F3837" s="90"/>
      <c r="G3837" s="90"/>
      <c r="H3837" s="381"/>
    </row>
    <row r="3838" spans="1:10">
      <c r="A3838" s="579" t="s">
        <v>4225</v>
      </c>
      <c r="B3838" s="580"/>
      <c r="C3838" s="580"/>
      <c r="D3838" s="580"/>
      <c r="E3838" s="580"/>
      <c r="F3838" s="580"/>
      <c r="G3838" s="580"/>
      <c r="H3838" s="581"/>
    </row>
    <row r="3839" spans="1:10" ht="16.5">
      <c r="A3839" s="91"/>
      <c r="B3839" s="92"/>
      <c r="C3839" s="92"/>
      <c r="D3839" s="92"/>
      <c r="E3839" s="92"/>
      <c r="F3839" s="93"/>
      <c r="G3839" s="94"/>
      <c r="H3839" s="380">
        <f>ROUND((30/60)/8,4)</f>
        <v>6.25E-2</v>
      </c>
      <c r="I3839" s="115"/>
    </row>
    <row r="3840" spans="1:10">
      <c r="A3840" s="582" t="s">
        <v>4220</v>
      </c>
      <c r="B3840" s="584" t="str">
        <f>COSTOS!$C$14</f>
        <v>MODERNIZACION A TECNOLOGIA LED</v>
      </c>
      <c r="C3840" s="584"/>
      <c r="D3840" s="584"/>
      <c r="E3840" s="584"/>
      <c r="F3840" s="584"/>
      <c r="G3840" s="584"/>
      <c r="H3840" s="585" t="s">
        <v>4221</v>
      </c>
    </row>
    <row r="3841" spans="1:15">
      <c r="A3841" s="583"/>
      <c r="B3841" s="584"/>
      <c r="C3841" s="584"/>
      <c r="D3841" s="584"/>
      <c r="E3841" s="584"/>
      <c r="F3841" s="584"/>
      <c r="G3841" s="584"/>
      <c r="H3841" s="585"/>
    </row>
    <row r="3842" spans="1:15">
      <c r="A3842" s="583"/>
      <c r="B3842" s="584"/>
      <c r="C3842" s="584"/>
      <c r="D3842" s="584"/>
      <c r="E3842" s="584"/>
      <c r="F3842" s="584"/>
      <c r="G3842" s="584"/>
      <c r="H3842" s="585"/>
    </row>
    <row r="3843" spans="1:15" ht="15" customHeight="1">
      <c r="A3843" s="583"/>
      <c r="B3843" s="584"/>
      <c r="C3843" s="584"/>
      <c r="D3843" s="584"/>
      <c r="E3843" s="584"/>
      <c r="F3843" s="584"/>
      <c r="G3843" s="584"/>
      <c r="H3843" s="216">
        <f ca="1">TODAY()</f>
        <v>44889</v>
      </c>
      <c r="K3843" t="s">
        <v>4391</v>
      </c>
      <c r="L3843" t="s">
        <v>4392</v>
      </c>
      <c r="M3843" t="s">
        <v>4393</v>
      </c>
      <c r="N3843" t="s">
        <v>4394</v>
      </c>
    </row>
    <row r="3844" spans="1:15" ht="60.75" customHeight="1">
      <c r="A3844" s="228" t="s">
        <v>4222</v>
      </c>
      <c r="B3844" s="565" t="str">
        <f>COSTOS!$D$16</f>
        <v>Luminarias</v>
      </c>
      <c r="C3844" s="565"/>
      <c r="D3844" s="565"/>
      <c r="E3844" s="565"/>
      <c r="F3844" s="565"/>
      <c r="G3844" s="70" t="s">
        <v>4223</v>
      </c>
      <c r="H3844" s="391">
        <v>1.76</v>
      </c>
      <c r="K3844" s="62">
        <f>H3869</f>
        <v>553160.50817564374</v>
      </c>
      <c r="L3844" s="62">
        <f>H3879</f>
        <v>22484</v>
      </c>
      <c r="M3844" s="62">
        <f>H3852</f>
        <v>4034.53125</v>
      </c>
      <c r="N3844" s="62">
        <f>H3873</f>
        <v>4800</v>
      </c>
    </row>
    <row r="3845" spans="1:15" ht="43.15" customHeight="1">
      <c r="A3845" s="229" t="s">
        <v>4224</v>
      </c>
      <c r="B3845" s="566" t="str">
        <f>VLOOKUP(H3844,COSTOS!C:M,2,0)</f>
        <v>Reflector con bombillo fluorescente 100W</v>
      </c>
      <c r="C3845" s="567"/>
      <c r="D3845" s="567"/>
      <c r="E3845" s="568"/>
      <c r="F3845" s="71" t="s">
        <v>0</v>
      </c>
      <c r="G3845" s="356" t="str">
        <f>VLOOKUP(H3844,COSTOS!C:M,8,0)</f>
        <v>Und</v>
      </c>
      <c r="H3845" s="276"/>
      <c r="I3845" s="306"/>
      <c r="J3845" s="308"/>
      <c r="K3845" s="308"/>
      <c r="L3845" s="308"/>
    </row>
    <row r="3846" spans="1:15">
      <c r="A3846" s="230"/>
      <c r="B3846" s="112"/>
      <c r="C3846" s="112"/>
      <c r="D3846" s="112"/>
      <c r="E3846" s="113"/>
      <c r="F3846" s="114" t="s">
        <v>1</v>
      </c>
      <c r="G3846" s="356">
        <f>VLOOKUP(H3844,COSTOS!C:M,9,0)</f>
        <v>0</v>
      </c>
      <c r="H3846" s="357"/>
      <c r="I3846" s="307"/>
    </row>
    <row r="3847" spans="1:15" ht="16.5">
      <c r="A3847" s="231" t="s">
        <v>4226</v>
      </c>
      <c r="B3847" s="75"/>
      <c r="C3847" s="75"/>
      <c r="D3847" s="76"/>
      <c r="E3847" s="209"/>
      <c r="F3847" s="210"/>
      <c r="G3847" s="211" t="s">
        <v>4227</v>
      </c>
      <c r="H3847" s="217">
        <f>H3852+H3869+H3873+H3879</f>
        <v>584479.03942564374</v>
      </c>
    </row>
    <row r="3848" spans="1:15" ht="39">
      <c r="A3848" s="569" t="s">
        <v>4224</v>
      </c>
      <c r="B3848" s="569"/>
      <c r="C3848" s="569"/>
      <c r="D3848" s="77" t="s">
        <v>0</v>
      </c>
      <c r="E3848" s="207" t="s">
        <v>4228</v>
      </c>
      <c r="F3848" s="208" t="s">
        <v>4215</v>
      </c>
      <c r="G3848" s="74" t="s">
        <v>2</v>
      </c>
      <c r="H3848" s="218" t="s">
        <v>4229</v>
      </c>
      <c r="K3848" s="309"/>
    </row>
    <row r="3849" spans="1:15">
      <c r="A3849" s="536" t="s">
        <v>3946</v>
      </c>
      <c r="B3849" s="570" t="str">
        <f>VLOOKUP(A3849,'Equip, Herr y Transp'!$B$2:$D$739,2,0)</f>
        <v>EQU</v>
      </c>
      <c r="C3849" s="570"/>
      <c r="D3849" s="95" t="str">
        <f>VLOOKUP(A3849,'Equip, Herr y Transp'!$B$2:$D$218,2,0)</f>
        <v>EQU</v>
      </c>
      <c r="E3849" s="95">
        <f>VLOOKUP(A3849,'Equip, Herr y Transp'!$B$2:$D$218,3,0)</f>
        <v>14130</v>
      </c>
      <c r="F3849" s="96">
        <f>H3839</f>
        <v>6.25E-2</v>
      </c>
      <c r="G3849" s="122">
        <f>F3849*E3849</f>
        <v>883.125</v>
      </c>
      <c r="H3849" s="118"/>
    </row>
    <row r="3850" spans="1:15">
      <c r="A3850" s="536" t="s">
        <v>3904</v>
      </c>
      <c r="B3850" s="570" t="str">
        <f>VLOOKUP(A3850,'Equip, Herr y Transp'!$B$2:$D$739,2,0)</f>
        <v>EQU</v>
      </c>
      <c r="C3850" s="570"/>
      <c r="D3850" s="95" t="str">
        <f>VLOOKUP(A3850,'Equip, Herr y Transp'!$B$2:$D$218,2,0)</f>
        <v>EQU</v>
      </c>
      <c r="E3850" s="95">
        <f>VLOOKUP(A3850,'Equip, Herr y Transp'!$B$2:$D$218,3,0)</f>
        <v>26672.5</v>
      </c>
      <c r="F3850" s="96">
        <f>H3839</f>
        <v>6.25E-2</v>
      </c>
      <c r="G3850" s="122">
        <f>F3850*E3850</f>
        <v>1667.03125</v>
      </c>
      <c r="H3850" s="117"/>
    </row>
    <row r="3851" spans="1:15">
      <c r="A3851" s="536" t="s">
        <v>3937</v>
      </c>
      <c r="B3851" s="570" t="str">
        <f>VLOOKUP(A3851,'Equip, Herr y Transp'!$B$2:$D$739,2,0)</f>
        <v>EQU</v>
      </c>
      <c r="C3851" s="570"/>
      <c r="D3851" s="95" t="str">
        <f>VLOOKUP(A3851,'Equip, Herr y Transp'!$B$2:$D$218,2,0)</f>
        <v>EQU</v>
      </c>
      <c r="E3851" s="95">
        <f>VLOOKUP(A3851,'Equip, Herr y Transp'!$B$2:$D$218,3,0)</f>
        <v>23750</v>
      </c>
      <c r="F3851" s="96">
        <f>H3839</f>
        <v>6.25E-2</v>
      </c>
      <c r="G3851" s="122">
        <f>F3851*E3851</f>
        <v>1484.375</v>
      </c>
      <c r="H3851" s="117"/>
    </row>
    <row r="3852" spans="1:15" ht="16.5">
      <c r="A3852" s="540" t="s">
        <v>4100</v>
      </c>
      <c r="B3852" s="541"/>
      <c r="C3852" s="541"/>
      <c r="D3852" s="541"/>
      <c r="E3852" s="541"/>
      <c r="F3852" s="541"/>
      <c r="G3852" s="541"/>
      <c r="H3852" s="97">
        <f>SUM(G3849:G3851)</f>
        <v>4034.53125</v>
      </c>
    </row>
    <row r="3853" spans="1:15" ht="16.5">
      <c r="A3853" s="571" t="s">
        <v>4230</v>
      </c>
      <c r="B3853" s="572"/>
      <c r="C3853" s="572"/>
      <c r="D3853" s="572"/>
      <c r="E3853" s="572"/>
      <c r="F3853" s="572"/>
      <c r="G3853" s="572"/>
      <c r="H3853" s="573"/>
      <c r="K3853" s="56"/>
      <c r="L3853" s="56"/>
      <c r="M3853" s="56"/>
      <c r="N3853" s="56"/>
      <c r="O3853" s="56"/>
    </row>
    <row r="3854" spans="1:15" ht="30" customHeight="1">
      <c r="A3854" s="574" t="s">
        <v>7</v>
      </c>
      <c r="B3854" s="575"/>
      <c r="C3854" s="109" t="s">
        <v>0</v>
      </c>
      <c r="D3854" s="110" t="s">
        <v>4098</v>
      </c>
      <c r="E3854" s="111" t="s">
        <v>1</v>
      </c>
      <c r="F3854" s="576" t="s">
        <v>4218</v>
      </c>
      <c r="G3854" s="576"/>
      <c r="H3854" s="215"/>
      <c r="K3854" s="56"/>
      <c r="L3854" s="56"/>
      <c r="M3854" s="56"/>
      <c r="N3854" s="56"/>
      <c r="O3854" s="56"/>
    </row>
    <row r="3855" spans="1:15">
      <c r="A3855" s="577" t="s">
        <v>4830</v>
      </c>
      <c r="B3855" s="578"/>
      <c r="C3855" s="98" t="str">
        <f>VLOOKUP(A3855,'Materiales '!$C$2:$F$1302,3,0)</f>
        <v>Und</v>
      </c>
      <c r="D3855" s="99">
        <f>VLOOKUP(A3855,'Materiales '!$C$2:$F$1302,4,0)</f>
        <v>340714.68717564375</v>
      </c>
      <c r="E3855" s="100">
        <v>1</v>
      </c>
      <c r="F3855" s="538">
        <f>E3855*D3855</f>
        <v>340714.68717564375</v>
      </c>
      <c r="G3855" s="539"/>
      <c r="H3855" s="121"/>
      <c r="I3855">
        <f>E3855*G3846</f>
        <v>0</v>
      </c>
      <c r="J3855" s="67"/>
      <c r="K3855" s="56"/>
      <c r="L3855" s="56"/>
      <c r="M3855" s="56"/>
      <c r="N3855" s="56"/>
      <c r="O3855" s="56"/>
    </row>
    <row r="3856" spans="1:15">
      <c r="A3856" s="577" t="s">
        <v>4214</v>
      </c>
      <c r="B3856" s="578"/>
      <c r="C3856" s="98" t="str">
        <f>VLOOKUP(A3856,'Materiales '!$C$2:$F$1302,3,0)</f>
        <v>Und</v>
      </c>
      <c r="D3856" s="99">
        <f>VLOOKUP(A3856,'Materiales '!$C$2:$F$1302,4,0)</f>
        <v>22848</v>
      </c>
      <c r="E3856" s="100">
        <v>1</v>
      </c>
      <c r="F3856" s="538">
        <f t="shared" ref="F3856:F3862" si="226">E3856*D3856</f>
        <v>22848</v>
      </c>
      <c r="G3856" s="539"/>
      <c r="H3856" s="121"/>
      <c r="I3856">
        <f>E3856*G3846</f>
        <v>0</v>
      </c>
      <c r="J3856" s="67"/>
      <c r="K3856" s="56"/>
      <c r="L3856" s="56"/>
      <c r="M3856" s="56"/>
      <c r="N3856" s="56"/>
      <c r="O3856" s="56"/>
    </row>
    <row r="3857" spans="1:15">
      <c r="A3857" s="536" t="s">
        <v>4479</v>
      </c>
      <c r="B3857" s="537" t="str">
        <f>VLOOKUP(A3857,'Materiales '!$C$2:$F$1302,3,0)</f>
        <v>Und</v>
      </c>
      <c r="C3857" s="98" t="str">
        <f>VLOOKUP(A3857,'Materiales '!$C$2:$F$1302,3,0)</f>
        <v>Und</v>
      </c>
      <c r="D3857" s="99">
        <f>VLOOKUP(A3857,'Materiales '!$C$2:$F$1302,4,0)</f>
        <v>18421.2</v>
      </c>
      <c r="E3857" s="100">
        <v>1.5</v>
      </c>
      <c r="F3857" s="538">
        <f t="shared" si="226"/>
        <v>27631.800000000003</v>
      </c>
      <c r="G3857" s="539"/>
      <c r="H3857" s="121"/>
      <c r="I3857">
        <f>E3857*G3846</f>
        <v>0</v>
      </c>
      <c r="J3857" s="68"/>
      <c r="K3857" s="56"/>
      <c r="L3857" s="56"/>
      <c r="M3857" s="56"/>
      <c r="N3857" s="56"/>
      <c r="O3857" s="56"/>
    </row>
    <row r="3858" spans="1:15">
      <c r="A3858" s="536" t="s">
        <v>4489</v>
      </c>
      <c r="B3858" s="537" t="str">
        <f>VLOOKUP(A3858,'Materiales '!$C$2:$F$1302,3,0)</f>
        <v>Und</v>
      </c>
      <c r="C3858" s="98" t="str">
        <f>VLOOKUP(A3858,'Materiales '!$C$2:$F$1302,3,0)</f>
        <v>Und</v>
      </c>
      <c r="D3858" s="99">
        <f>VLOOKUP(A3858,'Materiales '!$C$2:$F$1302,4,0)</f>
        <v>8039.6399999999994</v>
      </c>
      <c r="E3858" s="100">
        <v>3</v>
      </c>
      <c r="F3858" s="538">
        <f t="shared" si="226"/>
        <v>24118.92</v>
      </c>
      <c r="G3858" s="539"/>
      <c r="H3858" s="121"/>
      <c r="I3858">
        <f>E3858*G3846</f>
        <v>0</v>
      </c>
      <c r="J3858" s="68"/>
      <c r="K3858" s="56"/>
      <c r="L3858" s="56"/>
      <c r="M3858" s="56"/>
      <c r="N3858" s="56"/>
      <c r="O3858" s="56"/>
    </row>
    <row r="3859" spans="1:15">
      <c r="A3859" s="536" t="s">
        <v>4554</v>
      </c>
      <c r="B3859" s="537" t="str">
        <f>VLOOKUP(A3859,'Materiales '!$C$2:$F$1302,3,0)</f>
        <v>Und</v>
      </c>
      <c r="C3859" s="98" t="str">
        <f>VLOOKUP(A3859,'Materiales '!$C$2:$F$1302,3,0)</f>
        <v>Und</v>
      </c>
      <c r="D3859" s="99">
        <f>VLOOKUP(A3859,'Materiales '!$C$2:$F$1302,4,0)</f>
        <v>2535.5329999999999</v>
      </c>
      <c r="E3859" s="100">
        <v>1</v>
      </c>
      <c r="F3859" s="538">
        <f t="shared" si="226"/>
        <v>2535.5329999999999</v>
      </c>
      <c r="G3859" s="539"/>
      <c r="H3859" s="121"/>
      <c r="I3859">
        <f>E3859*G3846</f>
        <v>0</v>
      </c>
      <c r="J3859" s="68"/>
      <c r="K3859" s="56"/>
      <c r="L3859" s="56"/>
      <c r="M3859" s="56"/>
      <c r="N3859" s="56"/>
      <c r="O3859" s="56"/>
    </row>
    <row r="3860" spans="1:15">
      <c r="A3860" s="536" t="s">
        <v>4450</v>
      </c>
      <c r="B3860" s="537" t="str">
        <f>VLOOKUP(A3860,'Materiales '!$C$2:$F$1302,3,0)</f>
        <v>Ml</v>
      </c>
      <c r="C3860" s="98" t="str">
        <f>VLOOKUP(A3860,'Materiales '!$C$2:$F$1302,3,0)</f>
        <v>Ml</v>
      </c>
      <c r="D3860" s="99">
        <f>VLOOKUP(A3860,'Materiales '!$C$2:$F$1302,4,0)</f>
        <v>6791.5679999999993</v>
      </c>
      <c r="E3860" s="100">
        <v>1</v>
      </c>
      <c r="F3860" s="538">
        <f t="shared" si="226"/>
        <v>6791.5679999999993</v>
      </c>
      <c r="G3860" s="539"/>
      <c r="H3860" s="121"/>
      <c r="I3860">
        <f>E3860*G3846</f>
        <v>0</v>
      </c>
      <c r="J3860" s="68"/>
      <c r="K3860" s="56"/>
      <c r="L3860" s="56"/>
      <c r="M3860" s="56"/>
      <c r="N3860" s="56"/>
      <c r="O3860" s="56"/>
    </row>
    <row r="3861" spans="1:15">
      <c r="A3861" s="536" t="s">
        <v>4436</v>
      </c>
      <c r="B3861" s="537" t="str">
        <f>VLOOKUP(A3861,'Materiales '!$C$2:$F$1302,3,0)</f>
        <v>Und</v>
      </c>
      <c r="C3861" s="98" t="str">
        <f>VLOOKUP(A3861,'Materiales '!$C$2:$F$1302,3,0)</f>
        <v>Und</v>
      </c>
      <c r="D3861" s="99">
        <f>VLOOKUP(A3861,'Materiales '!$C$2:$F$1302,4,0)</f>
        <v>92820</v>
      </c>
      <c r="E3861" s="100">
        <v>1</v>
      </c>
      <c r="F3861" s="538">
        <f t="shared" si="226"/>
        <v>92820</v>
      </c>
      <c r="G3861" s="539"/>
      <c r="H3861" s="121"/>
      <c r="I3861">
        <f>E3861*G3846</f>
        <v>0</v>
      </c>
      <c r="J3861" s="68"/>
      <c r="K3861" s="56"/>
      <c r="L3861" s="56"/>
      <c r="M3861" s="56"/>
      <c r="N3861" s="56"/>
      <c r="O3861" s="56"/>
    </row>
    <row r="3862" spans="1:15" ht="21.75" customHeight="1">
      <c r="A3862" s="536" t="s">
        <v>4639</v>
      </c>
      <c r="B3862" s="537" t="str">
        <f>VLOOKUP(A3862,'Materiales '!$C$2:$F$1302,3,0)</f>
        <v>Und</v>
      </c>
      <c r="C3862" s="98" t="str">
        <f>VLOOKUP(A3862,'Materiales '!$C$2:$F$1302,3,0)</f>
        <v>Und</v>
      </c>
      <c r="D3862" s="99">
        <f>VLOOKUP(A3862,'Materiales '!$C$2:$F$1302,4,0)</f>
        <v>35700</v>
      </c>
      <c r="E3862" s="100">
        <v>1</v>
      </c>
      <c r="F3862" s="538">
        <f t="shared" si="226"/>
        <v>35700</v>
      </c>
      <c r="G3862" s="539"/>
      <c r="H3862" s="121"/>
      <c r="I3862">
        <f>E3862*G3846</f>
        <v>0</v>
      </c>
      <c r="J3862" s="68"/>
      <c r="K3862" s="56"/>
      <c r="L3862" s="56"/>
      <c r="M3862" s="56"/>
      <c r="N3862" s="56"/>
      <c r="O3862" s="56"/>
    </row>
    <row r="3863" spans="1:15">
      <c r="A3863" s="536" t="s">
        <v>8</v>
      </c>
      <c r="B3863" s="537" t="str">
        <f>VLOOKUP(A3863,'Materiales '!$C$2:$F$1302,3,0)</f>
        <v>-</v>
      </c>
      <c r="C3863" s="98" t="str">
        <f>VLOOKUP(A3863,'Materiales '!$C$2:$F$1302,3,0)</f>
        <v>-</v>
      </c>
      <c r="D3863" s="99">
        <f>VLOOKUP(A3863,'Materiales '!$C$2:$F$1302,4,0)</f>
        <v>0</v>
      </c>
      <c r="E3863" s="100"/>
      <c r="F3863" s="538">
        <f>E3863*D3863</f>
        <v>0</v>
      </c>
      <c r="G3863" s="539"/>
      <c r="H3863" s="120"/>
      <c r="I3863">
        <f>E3863*G3846</f>
        <v>0</v>
      </c>
      <c r="J3863" s="68"/>
      <c r="K3863" s="56"/>
      <c r="L3863" s="56"/>
      <c r="M3863" s="56"/>
      <c r="N3863" s="56"/>
      <c r="O3863" s="56"/>
    </row>
    <row r="3864" spans="1:15">
      <c r="A3864" s="536" t="s">
        <v>8</v>
      </c>
      <c r="B3864" s="537" t="str">
        <f>VLOOKUP(A3864,'Materiales '!$C$2:$F$1302,3,0)</f>
        <v>-</v>
      </c>
      <c r="C3864" s="98" t="str">
        <f>VLOOKUP(A3864,'Materiales '!$C$2:$F$1302,3,0)</f>
        <v>-</v>
      </c>
      <c r="D3864" s="99">
        <f>VLOOKUP(A3864,'Materiales '!$C$2:$F$1302,4,0)</f>
        <v>0</v>
      </c>
      <c r="E3864" s="100"/>
      <c r="F3864" s="538">
        <f t="shared" ref="F3864:F3867" si="227">E3864*D3864</f>
        <v>0</v>
      </c>
      <c r="G3864" s="539"/>
      <c r="H3864" s="121"/>
      <c r="I3864">
        <f>E3864*G3846</f>
        <v>0</v>
      </c>
      <c r="J3864" s="68"/>
      <c r="K3864" s="56"/>
      <c r="L3864" s="56"/>
      <c r="M3864" s="56"/>
      <c r="N3864" s="56"/>
      <c r="O3864" s="56"/>
    </row>
    <row r="3865" spans="1:15">
      <c r="A3865" s="536" t="s">
        <v>8</v>
      </c>
      <c r="B3865" s="537" t="str">
        <f>VLOOKUP(A3865,'Materiales '!$C$2:$F$1302,3,0)</f>
        <v>-</v>
      </c>
      <c r="C3865" s="98" t="str">
        <f>VLOOKUP(A3865,'Materiales '!$C$2:$F$1302,3,0)</f>
        <v>-</v>
      </c>
      <c r="D3865" s="99">
        <f>VLOOKUP(A3865,'Materiales '!$C$2:$F$1302,4,0)</f>
        <v>0</v>
      </c>
      <c r="E3865" s="100"/>
      <c r="F3865" s="538">
        <f t="shared" si="227"/>
        <v>0</v>
      </c>
      <c r="G3865" s="539"/>
      <c r="H3865" s="121"/>
      <c r="I3865">
        <f>E3865*G3846</f>
        <v>0</v>
      </c>
      <c r="J3865" s="68"/>
      <c r="K3865" s="56"/>
      <c r="L3865" s="56"/>
      <c r="M3865" s="56"/>
      <c r="N3865" s="56"/>
      <c r="O3865" s="56"/>
    </row>
    <row r="3866" spans="1:15">
      <c r="A3866" s="536" t="s">
        <v>8</v>
      </c>
      <c r="B3866" s="537" t="str">
        <f>VLOOKUP(A3866,'Materiales '!$C$2:$F$1302,3,0)</f>
        <v>-</v>
      </c>
      <c r="C3866" s="98" t="str">
        <f>VLOOKUP(A3866,'Materiales '!$C$2:$F$1302,3,0)</f>
        <v>-</v>
      </c>
      <c r="D3866" s="99">
        <f>VLOOKUP(A3866,'Materiales '!$C$2:$F$1302,4,0)</f>
        <v>0</v>
      </c>
      <c r="E3866" s="100"/>
      <c r="F3866" s="538">
        <f t="shared" si="227"/>
        <v>0</v>
      </c>
      <c r="G3866" s="539"/>
      <c r="H3866" s="121"/>
      <c r="I3866">
        <f>E3866*G3846</f>
        <v>0</v>
      </c>
      <c r="J3866" s="68"/>
      <c r="K3866" s="56"/>
      <c r="L3866" s="56"/>
      <c r="M3866" s="56"/>
      <c r="N3866" s="56"/>
      <c r="O3866" s="56"/>
    </row>
    <row r="3867" spans="1:15">
      <c r="A3867" s="536" t="s">
        <v>8</v>
      </c>
      <c r="B3867" s="537" t="str">
        <f>VLOOKUP(A3867,'Materiales '!$C$2:$F$1302,3,0)</f>
        <v>-</v>
      </c>
      <c r="C3867" s="98" t="str">
        <f>VLOOKUP(A3867,'Materiales '!$C$2:$F$1302,3,0)</f>
        <v>-</v>
      </c>
      <c r="D3867" s="99">
        <f>VLOOKUP(A3867,'Materiales '!$C$2:$F$1302,4,0)</f>
        <v>0</v>
      </c>
      <c r="E3867" s="100"/>
      <c r="F3867" s="538">
        <f t="shared" si="227"/>
        <v>0</v>
      </c>
      <c r="G3867" s="539"/>
      <c r="H3867" s="121"/>
      <c r="I3867">
        <f>E3867*G3846</f>
        <v>0</v>
      </c>
      <c r="J3867" s="68"/>
      <c r="K3867" s="56"/>
      <c r="L3867" s="56"/>
      <c r="M3867" s="56"/>
      <c r="N3867" s="56"/>
      <c r="O3867" s="56"/>
    </row>
    <row r="3868" spans="1:15">
      <c r="A3868" s="536" t="s">
        <v>8</v>
      </c>
      <c r="B3868" s="537" t="str">
        <f>VLOOKUP(A3868,'Materiales '!$C$2:$F$1302,3,0)</f>
        <v>-</v>
      </c>
      <c r="C3868" s="98" t="str">
        <f>VLOOKUP(A3868,'Materiales '!$C$2:$F$1302,3,0)</f>
        <v>-</v>
      </c>
      <c r="D3868" s="99">
        <f>VLOOKUP(A3868,'Materiales '!$C$2:$F$1302,4,0)</f>
        <v>0</v>
      </c>
      <c r="E3868" s="100"/>
      <c r="F3868" s="538">
        <f>E3868*D3868</f>
        <v>0</v>
      </c>
      <c r="G3868" s="539"/>
      <c r="H3868" s="120"/>
      <c r="I3868">
        <f>E3868*G3846</f>
        <v>0</v>
      </c>
      <c r="J3868" s="68"/>
      <c r="K3868" s="56"/>
      <c r="L3868" s="56"/>
      <c r="M3868" s="56"/>
      <c r="N3868" s="56"/>
      <c r="O3868" s="56"/>
    </row>
    <row r="3869" spans="1:15" ht="16.5">
      <c r="A3869" s="540" t="s">
        <v>4099</v>
      </c>
      <c r="B3869" s="541"/>
      <c r="C3869" s="541"/>
      <c r="D3869" s="541"/>
      <c r="E3869" s="541"/>
      <c r="F3869" s="541"/>
      <c r="G3869" s="542"/>
      <c r="H3869" s="116">
        <f>SUM(F3855:F3868)</f>
        <v>553160.50817564374</v>
      </c>
      <c r="J3869" s="68"/>
      <c r="K3869" s="56"/>
      <c r="L3869" s="56"/>
      <c r="M3869" s="56"/>
      <c r="N3869" s="56"/>
      <c r="O3869" s="56"/>
    </row>
    <row r="3870" spans="1:15" ht="16.5">
      <c r="A3870" s="543" t="s">
        <v>4231</v>
      </c>
      <c r="B3870" s="544"/>
      <c r="C3870" s="544"/>
      <c r="D3870" s="544"/>
      <c r="E3870" s="545"/>
      <c r="F3870" s="544"/>
      <c r="G3870" s="544"/>
      <c r="H3870" s="546"/>
      <c r="J3870" s="68"/>
      <c r="K3870" s="56"/>
      <c r="L3870" s="56"/>
      <c r="M3870" s="56"/>
      <c r="N3870" s="56"/>
      <c r="O3870" s="56"/>
    </row>
    <row r="3871" spans="1:15">
      <c r="A3871" s="547" t="s">
        <v>7</v>
      </c>
      <c r="B3871" s="548"/>
      <c r="C3871" s="108" t="s">
        <v>4232</v>
      </c>
      <c r="D3871" s="107" t="s">
        <v>4233</v>
      </c>
      <c r="E3871" s="206" t="s">
        <v>4234</v>
      </c>
      <c r="F3871" s="549" t="s">
        <v>4218</v>
      </c>
      <c r="G3871" s="549"/>
      <c r="H3871" s="119"/>
      <c r="K3871" s="56"/>
      <c r="L3871" s="56"/>
      <c r="M3871" s="56"/>
      <c r="N3871" s="56"/>
      <c r="O3871" s="56"/>
    </row>
    <row r="3872" spans="1:15">
      <c r="A3872" s="550" t="s">
        <v>3928</v>
      </c>
      <c r="B3872" s="551"/>
      <c r="C3872" s="232">
        <v>1</v>
      </c>
      <c r="D3872" s="102">
        <v>0.03</v>
      </c>
      <c r="E3872" s="103">
        <f>VLOOKUP(A3872,'Equip, Herr y Transp'!$B$2:$D$218,3,0)</f>
        <v>160000</v>
      </c>
      <c r="F3872" s="552">
        <f>E3872*D3872*C3872</f>
        <v>4800</v>
      </c>
      <c r="G3872" s="553"/>
      <c r="H3872" s="117"/>
      <c r="M3872" s="56"/>
    </row>
    <row r="3873" spans="1:10" ht="16.5">
      <c r="A3873" s="554" t="s">
        <v>4216</v>
      </c>
      <c r="B3873" s="555"/>
      <c r="C3873" s="555"/>
      <c r="D3873" s="555"/>
      <c r="E3873" s="555"/>
      <c r="F3873" s="555"/>
      <c r="G3873" s="555"/>
      <c r="H3873" s="105">
        <f>F3872</f>
        <v>4800</v>
      </c>
    </row>
    <row r="3874" spans="1:10" ht="16.5">
      <c r="A3874" s="543" t="s">
        <v>4235</v>
      </c>
      <c r="B3874" s="544"/>
      <c r="C3874" s="544"/>
      <c r="D3874" s="544"/>
      <c r="E3874" s="544"/>
      <c r="F3874" s="544"/>
      <c r="G3874" s="544"/>
      <c r="H3874" s="546"/>
    </row>
    <row r="3875" spans="1:10">
      <c r="A3875" s="547" t="s">
        <v>7</v>
      </c>
      <c r="B3875" s="548"/>
      <c r="C3875" s="106" t="s">
        <v>1</v>
      </c>
      <c r="D3875" s="107" t="s">
        <v>4236</v>
      </c>
      <c r="E3875" s="108" t="s">
        <v>4215</v>
      </c>
      <c r="F3875" s="547" t="s">
        <v>5</v>
      </c>
      <c r="G3875" s="556"/>
      <c r="H3875" s="119"/>
    </row>
    <row r="3876" spans="1:10">
      <c r="A3876" s="550" t="s">
        <v>4196</v>
      </c>
      <c r="B3876" s="551"/>
      <c r="C3876" s="101">
        <v>1</v>
      </c>
      <c r="D3876" s="104">
        <f>VLOOKUP(A3876,'Mano Obra'!$B$2:$T$117,19,0)</f>
        <v>166624</v>
      </c>
      <c r="E3876" s="246">
        <f>H3839</f>
        <v>6.25E-2</v>
      </c>
      <c r="F3876" s="538">
        <f>E3876*D3876*C3876</f>
        <v>10414</v>
      </c>
      <c r="G3876" s="557"/>
      <c r="H3876" s="121"/>
      <c r="I3876" s="69"/>
      <c r="J3876" s="136">
        <f>((('Mano Obra'!$M$4/30)*F3876)/D3876)*G3846</f>
        <v>0</v>
      </c>
    </row>
    <row r="3877" spans="1:10">
      <c r="A3877" s="558" t="s">
        <v>4197</v>
      </c>
      <c r="B3877" s="559">
        <f>VLOOKUP(A3877,'Mano Obra'!$B$3:$D$290,2,0)</f>
        <v>2090000.0000000002</v>
      </c>
      <c r="C3877" s="101">
        <v>1</v>
      </c>
      <c r="D3877" s="104">
        <f>VLOOKUP(A3877,'Mano Obra'!$B$2:$T$117,19,0)</f>
        <v>120456</v>
      </c>
      <c r="E3877" s="246">
        <f>H3839</f>
        <v>6.25E-2</v>
      </c>
      <c r="F3877" s="538">
        <f t="shared" ref="F3877:F3878" si="228">E3877*D3877*C3877</f>
        <v>7528.5</v>
      </c>
      <c r="G3877" s="557"/>
      <c r="H3877" s="121"/>
      <c r="J3877" s="136">
        <f>((('Mano Obra'!$M$5/30)*F3877)/D3877)*G3846</f>
        <v>0</v>
      </c>
    </row>
    <row r="3878" spans="1:10">
      <c r="A3878" s="558" t="s">
        <v>4186</v>
      </c>
      <c r="B3878" s="559">
        <f>VLOOKUP(A3878,'Mano Obra'!$B$3:$D$290,2,0)</f>
        <v>1100000</v>
      </c>
      <c r="C3878" s="101">
        <v>1</v>
      </c>
      <c r="D3878" s="104">
        <f>VLOOKUP(A3878,'Mano Obra'!$B$2:$T$117,19,0)</f>
        <v>72664</v>
      </c>
      <c r="E3878" s="246">
        <f>H3839</f>
        <v>6.25E-2</v>
      </c>
      <c r="F3878" s="538">
        <f t="shared" si="228"/>
        <v>4541.5</v>
      </c>
      <c r="G3878" s="557"/>
      <c r="H3878" s="120"/>
      <c r="J3878" s="136">
        <f>((('Mano Obra'!$M$6/30)*F3878)/D3878)*G3846</f>
        <v>0</v>
      </c>
    </row>
    <row r="3879" spans="1:10" ht="16.5">
      <c r="A3879" s="560" t="s">
        <v>4101</v>
      </c>
      <c r="B3879" s="560"/>
      <c r="C3879" s="560"/>
      <c r="D3879" s="560"/>
      <c r="E3879" s="560"/>
      <c r="F3879" s="560"/>
      <c r="G3879" s="560"/>
      <c r="H3879" s="105">
        <f>SUM(F3876:F3878)</f>
        <v>22484</v>
      </c>
      <c r="J3879" s="136"/>
    </row>
    <row r="3880" spans="1:10">
      <c r="A3880" s="227" t="s">
        <v>4237</v>
      </c>
      <c r="B3880" s="205"/>
      <c r="C3880" s="205"/>
      <c r="D3880" s="202"/>
      <c r="E3880" s="203"/>
      <c r="F3880" s="204"/>
      <c r="G3880" s="203"/>
      <c r="H3880" s="212"/>
    </row>
    <row r="3881" spans="1:10">
      <c r="A3881" s="561" t="s">
        <v>4224</v>
      </c>
      <c r="B3881" s="562"/>
      <c r="C3881" s="562"/>
      <c r="D3881" s="562"/>
      <c r="E3881" s="200"/>
      <c r="F3881" s="201" t="s">
        <v>4238</v>
      </c>
      <c r="G3881" s="200" t="s">
        <v>4239</v>
      </c>
      <c r="H3881" s="213"/>
    </row>
    <row r="3882" spans="1:10">
      <c r="A3882" s="223" t="s">
        <v>4097</v>
      </c>
      <c r="B3882" s="72"/>
      <c r="C3882" s="72"/>
      <c r="D3882" s="73"/>
      <c r="E3882" s="78"/>
      <c r="F3882" s="79">
        <v>0</v>
      </c>
      <c r="G3882" s="80">
        <f>F3882*H3847</f>
        <v>0</v>
      </c>
      <c r="H3882" s="212"/>
    </row>
    <row r="3883" spans="1:10">
      <c r="A3883" s="224" t="s">
        <v>4240</v>
      </c>
      <c r="B3883" s="81"/>
      <c r="C3883" s="81"/>
      <c r="D3883" s="82"/>
      <c r="E3883" s="78"/>
      <c r="F3883" s="79">
        <v>0</v>
      </c>
      <c r="G3883" s="80">
        <f>F3883*H3847</f>
        <v>0</v>
      </c>
      <c r="H3883" s="212"/>
    </row>
    <row r="3884" spans="1:10">
      <c r="A3884" s="224" t="s">
        <v>4</v>
      </c>
      <c r="B3884" s="81"/>
      <c r="C3884" s="81"/>
      <c r="D3884" s="82"/>
      <c r="E3884" s="78"/>
      <c r="F3884" s="79">
        <v>0</v>
      </c>
      <c r="G3884" s="80">
        <f>F3884*H3847</f>
        <v>0</v>
      </c>
      <c r="H3884" s="212"/>
    </row>
    <row r="3885" spans="1:10">
      <c r="A3885" s="225"/>
      <c r="B3885" s="83"/>
      <c r="C3885" s="75"/>
      <c r="D3885" s="84"/>
      <c r="E3885" s="85"/>
      <c r="F3885" s="86"/>
      <c r="G3885" s="87"/>
      <c r="H3885" s="214"/>
    </row>
    <row r="3886" spans="1:10">
      <c r="A3886" s="226"/>
      <c r="B3886" s="83"/>
      <c r="C3886" s="83"/>
      <c r="D3886" s="84"/>
      <c r="E3886" s="88"/>
      <c r="F3886" s="563" t="s">
        <v>4241</v>
      </c>
      <c r="G3886" s="564"/>
      <c r="H3886" s="233">
        <f>H3847+G3882+G3883+G3884</f>
        <v>584479.03942564374</v>
      </c>
    </row>
    <row r="3887" spans="1:10">
      <c r="A3887" s="83"/>
      <c r="B3887" s="83"/>
      <c r="C3887" s="83"/>
      <c r="D3887" s="84"/>
      <c r="E3887" s="388"/>
      <c r="F3887" s="389"/>
      <c r="G3887" s="389"/>
      <c r="H3887" s="390"/>
    </row>
    <row r="3888" spans="1:10" ht="16.5">
      <c r="A3888" s="90"/>
      <c r="B3888" s="90"/>
      <c r="C3888" s="90"/>
      <c r="D3888" s="90"/>
      <c r="E3888" s="90"/>
      <c r="F3888" s="90"/>
      <c r="G3888" s="90"/>
      <c r="H3888" s="381"/>
    </row>
    <row r="3889" spans="1:15">
      <c r="A3889" s="579" t="s">
        <v>4225</v>
      </c>
      <c r="B3889" s="580"/>
      <c r="C3889" s="580"/>
      <c r="D3889" s="580"/>
      <c r="E3889" s="580"/>
      <c r="F3889" s="580"/>
      <c r="G3889" s="580"/>
      <c r="H3889" s="581"/>
    </row>
    <row r="3890" spans="1:15" ht="16.5">
      <c r="A3890" s="91"/>
      <c r="B3890" s="92"/>
      <c r="C3890" s="92"/>
      <c r="D3890" s="92"/>
      <c r="E3890" s="92"/>
      <c r="F3890" s="93"/>
      <c r="G3890" s="94"/>
      <c r="H3890" s="380">
        <f>ROUND((30/60)/8,4)</f>
        <v>6.25E-2</v>
      </c>
      <c r="I3890" s="115"/>
    </row>
    <row r="3891" spans="1:15">
      <c r="A3891" s="582" t="s">
        <v>4220</v>
      </c>
      <c r="B3891" s="584" t="str">
        <f>COSTOS!$C$14</f>
        <v>MODERNIZACION A TECNOLOGIA LED</v>
      </c>
      <c r="C3891" s="584"/>
      <c r="D3891" s="584"/>
      <c r="E3891" s="584"/>
      <c r="F3891" s="584"/>
      <c r="G3891" s="584"/>
      <c r="H3891" s="585" t="s">
        <v>4221</v>
      </c>
    </row>
    <row r="3892" spans="1:15">
      <c r="A3892" s="583"/>
      <c r="B3892" s="584"/>
      <c r="C3892" s="584"/>
      <c r="D3892" s="584"/>
      <c r="E3892" s="584"/>
      <c r="F3892" s="584"/>
      <c r="G3892" s="584"/>
      <c r="H3892" s="585"/>
    </row>
    <row r="3893" spans="1:15">
      <c r="A3893" s="583"/>
      <c r="B3893" s="584"/>
      <c r="C3893" s="584"/>
      <c r="D3893" s="584"/>
      <c r="E3893" s="584"/>
      <c r="F3893" s="584"/>
      <c r="G3893" s="584"/>
      <c r="H3893" s="585"/>
    </row>
    <row r="3894" spans="1:15" ht="15" customHeight="1">
      <c r="A3894" s="583"/>
      <c r="B3894" s="584"/>
      <c r="C3894" s="584"/>
      <c r="D3894" s="584"/>
      <c r="E3894" s="584"/>
      <c r="F3894" s="584"/>
      <c r="G3894" s="584"/>
      <c r="H3894" s="216">
        <f ca="1">TODAY()</f>
        <v>44889</v>
      </c>
      <c r="K3894" t="s">
        <v>4391</v>
      </c>
      <c r="L3894" t="s">
        <v>4392</v>
      </c>
      <c r="M3894" t="s">
        <v>4393</v>
      </c>
      <c r="N3894" t="s">
        <v>4394</v>
      </c>
    </row>
    <row r="3895" spans="1:15" ht="60.75" customHeight="1">
      <c r="A3895" s="228" t="s">
        <v>4222</v>
      </c>
      <c r="B3895" s="565" t="str">
        <f>COSTOS!$D$16</f>
        <v>Luminarias</v>
      </c>
      <c r="C3895" s="565"/>
      <c r="D3895" s="565"/>
      <c r="E3895" s="565"/>
      <c r="F3895" s="565"/>
      <c r="G3895" s="70" t="s">
        <v>4223</v>
      </c>
      <c r="H3895" s="391">
        <v>1.77</v>
      </c>
      <c r="K3895" s="62">
        <f>H3920</f>
        <v>957764.24100000015</v>
      </c>
      <c r="L3895" s="62">
        <f>H3930</f>
        <v>22484</v>
      </c>
      <c r="M3895" s="62">
        <f>H3903</f>
        <v>4034.53125</v>
      </c>
      <c r="N3895" s="62">
        <f>H3924</f>
        <v>4800</v>
      </c>
    </row>
    <row r="3896" spans="1:15" ht="43.15" customHeight="1">
      <c r="A3896" s="229" t="s">
        <v>4224</v>
      </c>
      <c r="B3896" s="566" t="str">
        <f>VLOOKUP(H3895,COSTOS!C:M,2,0)</f>
        <v>Luminaria led 37 w Agm</v>
      </c>
      <c r="C3896" s="567"/>
      <c r="D3896" s="567"/>
      <c r="E3896" s="568"/>
      <c r="F3896" s="71" t="s">
        <v>0</v>
      </c>
      <c r="G3896" s="356" t="str">
        <f>VLOOKUP(H3895,COSTOS!C:M,8,0)</f>
        <v>Und</v>
      </c>
      <c r="H3896" s="276"/>
      <c r="I3896" s="306"/>
      <c r="J3896" s="308"/>
      <c r="K3896" s="308"/>
      <c r="L3896" s="308"/>
    </row>
    <row r="3897" spans="1:15">
      <c r="A3897" s="230"/>
      <c r="B3897" s="112"/>
      <c r="C3897" s="112"/>
      <c r="D3897" s="112"/>
      <c r="E3897" s="113"/>
      <c r="F3897" s="114" t="s">
        <v>1</v>
      </c>
      <c r="G3897" s="356">
        <f>VLOOKUP(H3895,COSTOS!C:M,9,0)</f>
        <v>1</v>
      </c>
      <c r="H3897" s="357"/>
      <c r="I3897" s="307"/>
    </row>
    <row r="3898" spans="1:15" ht="16.5">
      <c r="A3898" s="231" t="s">
        <v>4226</v>
      </c>
      <c r="B3898" s="75"/>
      <c r="C3898" s="75"/>
      <c r="D3898" s="76"/>
      <c r="E3898" s="209"/>
      <c r="F3898" s="210"/>
      <c r="G3898" s="211" t="s">
        <v>4227</v>
      </c>
      <c r="H3898" s="217">
        <f>H3903+H3920+H3924+H3930</f>
        <v>989082.77225000015</v>
      </c>
    </row>
    <row r="3899" spans="1:15" ht="39">
      <c r="A3899" s="569" t="s">
        <v>4224</v>
      </c>
      <c r="B3899" s="569"/>
      <c r="C3899" s="569"/>
      <c r="D3899" s="77" t="s">
        <v>0</v>
      </c>
      <c r="E3899" s="207" t="s">
        <v>4228</v>
      </c>
      <c r="F3899" s="208" t="s">
        <v>4215</v>
      </c>
      <c r="G3899" s="74" t="s">
        <v>2</v>
      </c>
      <c r="H3899" s="218" t="s">
        <v>4229</v>
      </c>
      <c r="K3899" s="309"/>
    </row>
    <row r="3900" spans="1:15">
      <c r="A3900" s="536" t="s">
        <v>3946</v>
      </c>
      <c r="B3900" s="570" t="str">
        <f>VLOOKUP(A3900,'Equip, Herr y Transp'!$B$2:$D$739,2,0)</f>
        <v>EQU</v>
      </c>
      <c r="C3900" s="570"/>
      <c r="D3900" s="95" t="str">
        <f>VLOOKUP(A3900,'Equip, Herr y Transp'!$B$2:$D$218,2,0)</f>
        <v>EQU</v>
      </c>
      <c r="E3900" s="95">
        <f>VLOOKUP(A3900,'Equip, Herr y Transp'!$B$2:$D$218,3,0)</f>
        <v>14130</v>
      </c>
      <c r="F3900" s="96">
        <f>H3890</f>
        <v>6.25E-2</v>
      </c>
      <c r="G3900" s="122">
        <f>F3900*E3900</f>
        <v>883.125</v>
      </c>
      <c r="H3900" s="118"/>
    </row>
    <row r="3901" spans="1:15">
      <c r="A3901" s="536" t="s">
        <v>3904</v>
      </c>
      <c r="B3901" s="570" t="str">
        <f>VLOOKUP(A3901,'Equip, Herr y Transp'!$B$2:$D$739,2,0)</f>
        <v>EQU</v>
      </c>
      <c r="C3901" s="570"/>
      <c r="D3901" s="95" t="str">
        <f>VLOOKUP(A3901,'Equip, Herr y Transp'!$B$2:$D$218,2,0)</f>
        <v>EQU</v>
      </c>
      <c r="E3901" s="95">
        <f>VLOOKUP(A3901,'Equip, Herr y Transp'!$B$2:$D$218,3,0)</f>
        <v>26672.5</v>
      </c>
      <c r="F3901" s="96">
        <f>H3890</f>
        <v>6.25E-2</v>
      </c>
      <c r="G3901" s="122">
        <f>F3901*E3901</f>
        <v>1667.03125</v>
      </c>
      <c r="H3901" s="117"/>
    </row>
    <row r="3902" spans="1:15">
      <c r="A3902" s="536" t="s">
        <v>3937</v>
      </c>
      <c r="B3902" s="570" t="str">
        <f>VLOOKUP(A3902,'Equip, Herr y Transp'!$B$2:$D$739,2,0)</f>
        <v>EQU</v>
      </c>
      <c r="C3902" s="570"/>
      <c r="D3902" s="95" t="str">
        <f>VLOOKUP(A3902,'Equip, Herr y Transp'!$B$2:$D$218,2,0)</f>
        <v>EQU</v>
      </c>
      <c r="E3902" s="95">
        <f>VLOOKUP(A3902,'Equip, Herr y Transp'!$B$2:$D$218,3,0)</f>
        <v>23750</v>
      </c>
      <c r="F3902" s="96">
        <f>H3890</f>
        <v>6.25E-2</v>
      </c>
      <c r="G3902" s="122">
        <f>F3902*E3902</f>
        <v>1484.375</v>
      </c>
      <c r="H3902" s="117"/>
    </row>
    <row r="3903" spans="1:15" ht="16.5">
      <c r="A3903" s="540" t="s">
        <v>4100</v>
      </c>
      <c r="B3903" s="541"/>
      <c r="C3903" s="541"/>
      <c r="D3903" s="541"/>
      <c r="E3903" s="541"/>
      <c r="F3903" s="541"/>
      <c r="G3903" s="541"/>
      <c r="H3903" s="97">
        <f>SUM(G3900:G3902)</f>
        <v>4034.53125</v>
      </c>
    </row>
    <row r="3904" spans="1:15" ht="16.5">
      <c r="A3904" s="571" t="s">
        <v>4230</v>
      </c>
      <c r="B3904" s="572"/>
      <c r="C3904" s="572"/>
      <c r="D3904" s="572"/>
      <c r="E3904" s="572"/>
      <c r="F3904" s="572"/>
      <c r="G3904" s="572"/>
      <c r="H3904" s="573"/>
      <c r="K3904" s="56"/>
      <c r="L3904" s="56"/>
      <c r="M3904" s="56"/>
      <c r="N3904" s="56"/>
      <c r="O3904" s="56"/>
    </row>
    <row r="3905" spans="1:15" ht="30" customHeight="1">
      <c r="A3905" s="574" t="s">
        <v>7</v>
      </c>
      <c r="B3905" s="575"/>
      <c r="C3905" s="109" t="s">
        <v>0</v>
      </c>
      <c r="D3905" s="110" t="s">
        <v>4098</v>
      </c>
      <c r="E3905" s="111" t="s">
        <v>1</v>
      </c>
      <c r="F3905" s="576" t="s">
        <v>4218</v>
      </c>
      <c r="G3905" s="576"/>
      <c r="H3905" s="215"/>
      <c r="K3905" s="56"/>
      <c r="L3905" s="56"/>
      <c r="M3905" s="56"/>
      <c r="N3905" s="56"/>
      <c r="O3905" s="56"/>
    </row>
    <row r="3906" spans="1:15">
      <c r="A3906" s="577" t="s">
        <v>4836</v>
      </c>
      <c r="B3906" s="578"/>
      <c r="C3906" s="98" t="str">
        <f>VLOOKUP(A3906,'Materiales '!$C$2:$F$1302,3,0)</f>
        <v>Und</v>
      </c>
      <c r="D3906" s="99">
        <f>VLOOKUP(A3906,'Materiales '!$C$2:$F$1302,4,0)</f>
        <v>745318.42</v>
      </c>
      <c r="E3906" s="100">
        <v>1</v>
      </c>
      <c r="F3906" s="538">
        <f>E3906*D3906</f>
        <v>745318.42</v>
      </c>
      <c r="G3906" s="539"/>
      <c r="H3906" s="121"/>
      <c r="I3906">
        <f>E3906*G3897</f>
        <v>1</v>
      </c>
      <c r="J3906" s="67"/>
      <c r="K3906" s="56"/>
      <c r="L3906" s="56"/>
      <c r="M3906" s="56"/>
      <c r="N3906" s="56"/>
      <c r="O3906" s="56"/>
    </row>
    <row r="3907" spans="1:15">
      <c r="A3907" s="577" t="s">
        <v>4214</v>
      </c>
      <c r="B3907" s="578"/>
      <c r="C3907" s="98" t="str">
        <f>VLOOKUP(A3907,'Materiales '!$C$2:$F$1302,3,0)</f>
        <v>Und</v>
      </c>
      <c r="D3907" s="99">
        <f>VLOOKUP(A3907,'Materiales '!$C$2:$F$1302,4,0)</f>
        <v>22848</v>
      </c>
      <c r="E3907" s="100">
        <v>1</v>
      </c>
      <c r="F3907" s="538">
        <f t="shared" ref="F3907:F3913" si="229">E3907*D3907</f>
        <v>22848</v>
      </c>
      <c r="G3907" s="539"/>
      <c r="H3907" s="121"/>
      <c r="I3907">
        <f>E3907*G3897</f>
        <v>1</v>
      </c>
      <c r="J3907" s="67"/>
      <c r="K3907" s="56"/>
      <c r="L3907" s="56"/>
      <c r="M3907" s="56"/>
      <c r="N3907" s="56"/>
      <c r="O3907" s="56"/>
    </row>
    <row r="3908" spans="1:15">
      <c r="A3908" s="536" t="s">
        <v>4479</v>
      </c>
      <c r="B3908" s="537" t="str">
        <f>VLOOKUP(A3908,'Materiales '!$C$2:$F$1302,3,0)</f>
        <v>Und</v>
      </c>
      <c r="C3908" s="98" t="str">
        <f>VLOOKUP(A3908,'Materiales '!$C$2:$F$1302,3,0)</f>
        <v>Und</v>
      </c>
      <c r="D3908" s="99">
        <f>VLOOKUP(A3908,'Materiales '!$C$2:$F$1302,4,0)</f>
        <v>18421.2</v>
      </c>
      <c r="E3908" s="100">
        <v>1.5</v>
      </c>
      <c r="F3908" s="538">
        <f t="shared" si="229"/>
        <v>27631.800000000003</v>
      </c>
      <c r="G3908" s="539"/>
      <c r="H3908" s="121"/>
      <c r="I3908">
        <f>E3908*G3897</f>
        <v>1.5</v>
      </c>
      <c r="J3908" s="68"/>
      <c r="K3908" s="56"/>
      <c r="L3908" s="56"/>
      <c r="M3908" s="56"/>
      <c r="N3908" s="56"/>
      <c r="O3908" s="56"/>
    </row>
    <row r="3909" spans="1:15">
      <c r="A3909" s="536" t="s">
        <v>4489</v>
      </c>
      <c r="B3909" s="537" t="str">
        <f>VLOOKUP(A3909,'Materiales '!$C$2:$F$1302,3,0)</f>
        <v>Und</v>
      </c>
      <c r="C3909" s="98" t="str">
        <f>VLOOKUP(A3909,'Materiales '!$C$2:$F$1302,3,0)</f>
        <v>Und</v>
      </c>
      <c r="D3909" s="99">
        <f>VLOOKUP(A3909,'Materiales '!$C$2:$F$1302,4,0)</f>
        <v>8039.6399999999994</v>
      </c>
      <c r="E3909" s="100">
        <v>3</v>
      </c>
      <c r="F3909" s="538">
        <f t="shared" si="229"/>
        <v>24118.92</v>
      </c>
      <c r="G3909" s="539"/>
      <c r="H3909" s="121"/>
      <c r="I3909">
        <f>E3909*G3897</f>
        <v>3</v>
      </c>
      <c r="J3909" s="68"/>
      <c r="K3909" s="56"/>
      <c r="L3909" s="56"/>
      <c r="M3909" s="56"/>
      <c r="N3909" s="56"/>
      <c r="O3909" s="56"/>
    </row>
    <row r="3910" spans="1:15">
      <c r="A3910" s="536" t="s">
        <v>4554</v>
      </c>
      <c r="B3910" s="537" t="str">
        <f>VLOOKUP(A3910,'Materiales '!$C$2:$F$1302,3,0)</f>
        <v>Und</v>
      </c>
      <c r="C3910" s="98" t="str">
        <f>VLOOKUP(A3910,'Materiales '!$C$2:$F$1302,3,0)</f>
        <v>Und</v>
      </c>
      <c r="D3910" s="99">
        <f>VLOOKUP(A3910,'Materiales '!$C$2:$F$1302,4,0)</f>
        <v>2535.5329999999999</v>
      </c>
      <c r="E3910" s="100">
        <v>1</v>
      </c>
      <c r="F3910" s="538">
        <f t="shared" si="229"/>
        <v>2535.5329999999999</v>
      </c>
      <c r="G3910" s="539"/>
      <c r="H3910" s="121"/>
      <c r="I3910">
        <f>E3910*G3897</f>
        <v>1</v>
      </c>
      <c r="J3910" s="68"/>
      <c r="K3910" s="56"/>
      <c r="L3910" s="56"/>
      <c r="M3910" s="56"/>
      <c r="N3910" s="56"/>
      <c r="O3910" s="56"/>
    </row>
    <row r="3911" spans="1:15">
      <c r="A3911" s="536" t="s">
        <v>4450</v>
      </c>
      <c r="B3911" s="537" t="str">
        <f>VLOOKUP(A3911,'Materiales '!$C$2:$F$1302,3,0)</f>
        <v>Ml</v>
      </c>
      <c r="C3911" s="98" t="str">
        <f>VLOOKUP(A3911,'Materiales '!$C$2:$F$1302,3,0)</f>
        <v>Ml</v>
      </c>
      <c r="D3911" s="99">
        <f>VLOOKUP(A3911,'Materiales '!$C$2:$F$1302,4,0)</f>
        <v>6791.5679999999993</v>
      </c>
      <c r="E3911" s="100">
        <v>1</v>
      </c>
      <c r="F3911" s="538">
        <f t="shared" si="229"/>
        <v>6791.5679999999993</v>
      </c>
      <c r="G3911" s="539"/>
      <c r="H3911" s="121"/>
      <c r="I3911">
        <f>E3911*G3897</f>
        <v>1</v>
      </c>
      <c r="J3911" s="68"/>
      <c r="K3911" s="56"/>
      <c r="L3911" s="56"/>
      <c r="M3911" s="56"/>
      <c r="N3911" s="56"/>
      <c r="O3911" s="56"/>
    </row>
    <row r="3912" spans="1:15">
      <c r="A3912" s="536" t="s">
        <v>4436</v>
      </c>
      <c r="B3912" s="537" t="str">
        <f>VLOOKUP(A3912,'Materiales '!$C$2:$F$1302,3,0)</f>
        <v>Und</v>
      </c>
      <c r="C3912" s="98" t="str">
        <f>VLOOKUP(A3912,'Materiales '!$C$2:$F$1302,3,0)</f>
        <v>Und</v>
      </c>
      <c r="D3912" s="99">
        <f>VLOOKUP(A3912,'Materiales '!$C$2:$F$1302,4,0)</f>
        <v>92820</v>
      </c>
      <c r="E3912" s="100">
        <v>1</v>
      </c>
      <c r="F3912" s="538">
        <f t="shared" si="229"/>
        <v>92820</v>
      </c>
      <c r="G3912" s="539"/>
      <c r="H3912" s="121"/>
      <c r="I3912">
        <f>E3912*G3897</f>
        <v>1</v>
      </c>
      <c r="J3912" s="68"/>
      <c r="K3912" s="56"/>
      <c r="L3912" s="56"/>
      <c r="M3912" s="56"/>
      <c r="N3912" s="56"/>
      <c r="O3912" s="56"/>
    </row>
    <row r="3913" spans="1:15" ht="21.75" customHeight="1">
      <c r="A3913" s="536" t="s">
        <v>4639</v>
      </c>
      <c r="B3913" s="537" t="str">
        <f>VLOOKUP(A3913,'Materiales '!$C$2:$F$1302,3,0)</f>
        <v>Und</v>
      </c>
      <c r="C3913" s="98" t="str">
        <f>VLOOKUP(A3913,'Materiales '!$C$2:$F$1302,3,0)</f>
        <v>Und</v>
      </c>
      <c r="D3913" s="99">
        <f>VLOOKUP(A3913,'Materiales '!$C$2:$F$1302,4,0)</f>
        <v>35700</v>
      </c>
      <c r="E3913" s="100">
        <v>1</v>
      </c>
      <c r="F3913" s="538">
        <f t="shared" si="229"/>
        <v>35700</v>
      </c>
      <c r="G3913" s="539"/>
      <c r="H3913" s="121"/>
      <c r="I3913">
        <f>E3913*G3897</f>
        <v>1</v>
      </c>
      <c r="J3913" s="68"/>
      <c r="K3913" s="56"/>
      <c r="L3913" s="56"/>
      <c r="M3913" s="56"/>
      <c r="N3913" s="56"/>
      <c r="O3913" s="56"/>
    </row>
    <row r="3914" spans="1:15">
      <c r="A3914" s="536" t="s">
        <v>8</v>
      </c>
      <c r="B3914" s="537" t="str">
        <f>VLOOKUP(A3914,'Materiales '!$C$2:$F$1302,3,0)</f>
        <v>-</v>
      </c>
      <c r="C3914" s="98" t="str">
        <f>VLOOKUP(A3914,'Materiales '!$C$2:$F$1302,3,0)</f>
        <v>-</v>
      </c>
      <c r="D3914" s="99">
        <f>VLOOKUP(A3914,'Materiales '!$C$2:$F$1302,4,0)</f>
        <v>0</v>
      </c>
      <c r="E3914" s="100"/>
      <c r="F3914" s="538">
        <f>E3914*D3914</f>
        <v>0</v>
      </c>
      <c r="G3914" s="539"/>
      <c r="H3914" s="120"/>
      <c r="I3914">
        <f>E3914*G3897</f>
        <v>0</v>
      </c>
      <c r="J3914" s="68"/>
      <c r="K3914" s="56"/>
      <c r="L3914" s="56"/>
      <c r="M3914" s="56"/>
      <c r="N3914" s="56"/>
      <c r="O3914" s="56"/>
    </row>
    <row r="3915" spans="1:15">
      <c r="A3915" s="536" t="s">
        <v>8</v>
      </c>
      <c r="B3915" s="537" t="str">
        <f>VLOOKUP(A3915,'Materiales '!$C$2:$F$1302,3,0)</f>
        <v>-</v>
      </c>
      <c r="C3915" s="98" t="str">
        <f>VLOOKUP(A3915,'Materiales '!$C$2:$F$1302,3,0)</f>
        <v>-</v>
      </c>
      <c r="D3915" s="99">
        <f>VLOOKUP(A3915,'Materiales '!$C$2:$F$1302,4,0)</f>
        <v>0</v>
      </c>
      <c r="E3915" s="100"/>
      <c r="F3915" s="538">
        <f t="shared" ref="F3915:F3918" si="230">E3915*D3915</f>
        <v>0</v>
      </c>
      <c r="G3915" s="539"/>
      <c r="H3915" s="121"/>
      <c r="I3915">
        <f>E3915*G3897</f>
        <v>0</v>
      </c>
      <c r="J3915" s="68"/>
      <c r="K3915" s="56"/>
      <c r="L3915" s="56"/>
      <c r="M3915" s="56"/>
      <c r="N3915" s="56"/>
      <c r="O3915" s="56"/>
    </row>
    <row r="3916" spans="1:15">
      <c r="A3916" s="536" t="s">
        <v>8</v>
      </c>
      <c r="B3916" s="537" t="str">
        <f>VLOOKUP(A3916,'Materiales '!$C$2:$F$1302,3,0)</f>
        <v>-</v>
      </c>
      <c r="C3916" s="98" t="str">
        <f>VLOOKUP(A3916,'Materiales '!$C$2:$F$1302,3,0)</f>
        <v>-</v>
      </c>
      <c r="D3916" s="99">
        <f>VLOOKUP(A3916,'Materiales '!$C$2:$F$1302,4,0)</f>
        <v>0</v>
      </c>
      <c r="E3916" s="100"/>
      <c r="F3916" s="538">
        <f t="shared" si="230"/>
        <v>0</v>
      </c>
      <c r="G3916" s="539"/>
      <c r="H3916" s="121"/>
      <c r="I3916">
        <f>E3916*G3897</f>
        <v>0</v>
      </c>
      <c r="J3916" s="68"/>
      <c r="K3916" s="56"/>
      <c r="L3916" s="56"/>
      <c r="M3916" s="56"/>
      <c r="N3916" s="56"/>
      <c r="O3916" s="56"/>
    </row>
    <row r="3917" spans="1:15">
      <c r="A3917" s="536" t="s">
        <v>8</v>
      </c>
      <c r="B3917" s="537" t="str">
        <f>VLOOKUP(A3917,'Materiales '!$C$2:$F$1302,3,0)</f>
        <v>-</v>
      </c>
      <c r="C3917" s="98" t="str">
        <f>VLOOKUP(A3917,'Materiales '!$C$2:$F$1302,3,0)</f>
        <v>-</v>
      </c>
      <c r="D3917" s="99">
        <f>VLOOKUP(A3917,'Materiales '!$C$2:$F$1302,4,0)</f>
        <v>0</v>
      </c>
      <c r="E3917" s="100"/>
      <c r="F3917" s="538">
        <f t="shared" si="230"/>
        <v>0</v>
      </c>
      <c r="G3917" s="539"/>
      <c r="H3917" s="121"/>
      <c r="I3917">
        <f>E3917*G3897</f>
        <v>0</v>
      </c>
      <c r="J3917" s="68"/>
      <c r="K3917" s="56"/>
      <c r="L3917" s="56"/>
      <c r="M3917" s="56"/>
      <c r="N3917" s="56"/>
      <c r="O3917" s="56"/>
    </row>
    <row r="3918" spans="1:15">
      <c r="A3918" s="536" t="s">
        <v>8</v>
      </c>
      <c r="B3918" s="537" t="str">
        <f>VLOOKUP(A3918,'Materiales '!$C$2:$F$1302,3,0)</f>
        <v>-</v>
      </c>
      <c r="C3918" s="98" t="str">
        <f>VLOOKUP(A3918,'Materiales '!$C$2:$F$1302,3,0)</f>
        <v>-</v>
      </c>
      <c r="D3918" s="99">
        <f>VLOOKUP(A3918,'Materiales '!$C$2:$F$1302,4,0)</f>
        <v>0</v>
      </c>
      <c r="E3918" s="100"/>
      <c r="F3918" s="538">
        <f t="shared" si="230"/>
        <v>0</v>
      </c>
      <c r="G3918" s="539"/>
      <c r="H3918" s="121"/>
      <c r="I3918">
        <f>E3918*G3897</f>
        <v>0</v>
      </c>
      <c r="J3918" s="68"/>
      <c r="K3918" s="56"/>
      <c r="L3918" s="56"/>
      <c r="M3918" s="56"/>
      <c r="N3918" s="56"/>
      <c r="O3918" s="56"/>
    </row>
    <row r="3919" spans="1:15">
      <c r="A3919" s="536" t="s">
        <v>8</v>
      </c>
      <c r="B3919" s="537" t="str">
        <f>VLOOKUP(A3919,'Materiales '!$C$2:$F$1302,3,0)</f>
        <v>-</v>
      </c>
      <c r="C3919" s="98" t="str">
        <f>VLOOKUP(A3919,'Materiales '!$C$2:$F$1302,3,0)</f>
        <v>-</v>
      </c>
      <c r="D3919" s="99">
        <f>VLOOKUP(A3919,'Materiales '!$C$2:$F$1302,4,0)</f>
        <v>0</v>
      </c>
      <c r="E3919" s="100"/>
      <c r="F3919" s="538">
        <f>E3919*D3919</f>
        <v>0</v>
      </c>
      <c r="G3919" s="539"/>
      <c r="H3919" s="120"/>
      <c r="I3919">
        <f>E3919*G3897</f>
        <v>0</v>
      </c>
      <c r="J3919" s="68"/>
      <c r="K3919" s="56"/>
      <c r="L3919" s="56"/>
      <c r="M3919" s="56"/>
      <c r="N3919" s="56"/>
      <c r="O3919" s="56"/>
    </row>
    <row r="3920" spans="1:15" ht="16.5">
      <c r="A3920" s="540" t="s">
        <v>4099</v>
      </c>
      <c r="B3920" s="541"/>
      <c r="C3920" s="541"/>
      <c r="D3920" s="541"/>
      <c r="E3920" s="541"/>
      <c r="F3920" s="541"/>
      <c r="G3920" s="542"/>
      <c r="H3920" s="116">
        <f>SUM(F3906:F3919)</f>
        <v>957764.24100000015</v>
      </c>
      <c r="J3920" s="68"/>
      <c r="K3920" s="56"/>
      <c r="L3920" s="56"/>
      <c r="M3920" s="56"/>
      <c r="N3920" s="56"/>
      <c r="O3920" s="56"/>
    </row>
    <row r="3921" spans="1:15" ht="16.5">
      <c r="A3921" s="543" t="s">
        <v>4231</v>
      </c>
      <c r="B3921" s="544"/>
      <c r="C3921" s="544"/>
      <c r="D3921" s="544"/>
      <c r="E3921" s="545"/>
      <c r="F3921" s="544"/>
      <c r="G3921" s="544"/>
      <c r="H3921" s="546"/>
      <c r="J3921" s="68"/>
      <c r="K3921" s="56"/>
      <c r="L3921" s="56"/>
      <c r="M3921" s="56"/>
      <c r="N3921" s="56"/>
      <c r="O3921" s="56"/>
    </row>
    <row r="3922" spans="1:15">
      <c r="A3922" s="547" t="s">
        <v>7</v>
      </c>
      <c r="B3922" s="548"/>
      <c r="C3922" s="108" t="s">
        <v>4232</v>
      </c>
      <c r="D3922" s="107" t="s">
        <v>4233</v>
      </c>
      <c r="E3922" s="206" t="s">
        <v>4234</v>
      </c>
      <c r="F3922" s="549" t="s">
        <v>4218</v>
      </c>
      <c r="G3922" s="549"/>
      <c r="H3922" s="119"/>
      <c r="K3922" s="56"/>
      <c r="L3922" s="56"/>
      <c r="M3922" s="56"/>
      <c r="N3922" s="56"/>
      <c r="O3922" s="56"/>
    </row>
    <row r="3923" spans="1:15">
      <c r="A3923" s="550" t="s">
        <v>3928</v>
      </c>
      <c r="B3923" s="551"/>
      <c r="C3923" s="232">
        <v>1</v>
      </c>
      <c r="D3923" s="102">
        <v>0.03</v>
      </c>
      <c r="E3923" s="103">
        <f>VLOOKUP(A3923,'Equip, Herr y Transp'!$B$2:$D$218,3,0)</f>
        <v>160000</v>
      </c>
      <c r="F3923" s="552">
        <f>E3923*D3923*C3923</f>
        <v>4800</v>
      </c>
      <c r="G3923" s="553"/>
      <c r="H3923" s="117"/>
      <c r="M3923" s="56"/>
    </row>
    <row r="3924" spans="1:15" ht="16.5">
      <c r="A3924" s="554" t="s">
        <v>4216</v>
      </c>
      <c r="B3924" s="555"/>
      <c r="C3924" s="555"/>
      <c r="D3924" s="555"/>
      <c r="E3924" s="555"/>
      <c r="F3924" s="555"/>
      <c r="G3924" s="555"/>
      <c r="H3924" s="105">
        <f>F3923</f>
        <v>4800</v>
      </c>
    </row>
    <row r="3925" spans="1:15" ht="16.5">
      <c r="A3925" s="543" t="s">
        <v>4235</v>
      </c>
      <c r="B3925" s="544"/>
      <c r="C3925" s="544"/>
      <c r="D3925" s="544"/>
      <c r="E3925" s="544"/>
      <c r="F3925" s="544"/>
      <c r="G3925" s="544"/>
      <c r="H3925" s="546"/>
    </row>
    <row r="3926" spans="1:15">
      <c r="A3926" s="547" t="s">
        <v>7</v>
      </c>
      <c r="B3926" s="548"/>
      <c r="C3926" s="106" t="s">
        <v>1</v>
      </c>
      <c r="D3926" s="107" t="s">
        <v>4236</v>
      </c>
      <c r="E3926" s="108" t="s">
        <v>4215</v>
      </c>
      <c r="F3926" s="547" t="s">
        <v>5</v>
      </c>
      <c r="G3926" s="556"/>
      <c r="H3926" s="119"/>
    </row>
    <row r="3927" spans="1:15">
      <c r="A3927" s="550" t="s">
        <v>4196</v>
      </c>
      <c r="B3927" s="551"/>
      <c r="C3927" s="101">
        <v>1</v>
      </c>
      <c r="D3927" s="104">
        <f>VLOOKUP(A3927,'Mano Obra'!$B$2:$T$117,19,0)</f>
        <v>166624</v>
      </c>
      <c r="E3927" s="246">
        <f>H3890</f>
        <v>6.25E-2</v>
      </c>
      <c r="F3927" s="538">
        <f>E3927*D3927*C3927</f>
        <v>10414</v>
      </c>
      <c r="G3927" s="557"/>
      <c r="H3927" s="121"/>
      <c r="I3927" s="69"/>
      <c r="J3927" s="136">
        <f>((('Mano Obra'!$M$4/30)*F3927)/D3927)*G3897</f>
        <v>676.29972569444442</v>
      </c>
    </row>
    <row r="3928" spans="1:15">
      <c r="A3928" s="558" t="s">
        <v>4197</v>
      </c>
      <c r="B3928" s="559">
        <f>VLOOKUP(A3928,'Mano Obra'!$B$3:$D$290,2,0)</f>
        <v>2090000.0000000002</v>
      </c>
      <c r="C3928" s="101">
        <v>1</v>
      </c>
      <c r="D3928" s="104">
        <f>VLOOKUP(A3928,'Mano Obra'!$B$2:$T$117,19,0)</f>
        <v>120456</v>
      </c>
      <c r="E3928" s="246">
        <f>H3890</f>
        <v>6.25E-2</v>
      </c>
      <c r="F3928" s="538">
        <f t="shared" ref="F3928:F3929" si="231">E3928*D3928*C3928</f>
        <v>7528.5</v>
      </c>
      <c r="G3928" s="557"/>
      <c r="H3928" s="121"/>
      <c r="J3928" s="136">
        <f>((('Mano Obra'!$M$5/30)*F3928)/D3928)*G3897</f>
        <v>676.29972569444442</v>
      </c>
    </row>
    <row r="3929" spans="1:15">
      <c r="A3929" s="558" t="s">
        <v>4186</v>
      </c>
      <c r="B3929" s="559">
        <f>VLOOKUP(A3929,'Mano Obra'!$B$3:$D$290,2,0)</f>
        <v>1100000</v>
      </c>
      <c r="C3929" s="101">
        <v>1</v>
      </c>
      <c r="D3929" s="104">
        <f>VLOOKUP(A3929,'Mano Obra'!$B$2:$T$117,19,0)</f>
        <v>72664</v>
      </c>
      <c r="E3929" s="246">
        <f>H3890</f>
        <v>6.25E-2</v>
      </c>
      <c r="F3929" s="538">
        <f t="shared" si="231"/>
        <v>4541.5</v>
      </c>
      <c r="G3929" s="557"/>
      <c r="H3929" s="120"/>
      <c r="J3929" s="136">
        <f>((('Mano Obra'!$M$6/30)*F3929)/D3929)*G3897</f>
        <v>676.29972569444442</v>
      </c>
    </row>
    <row r="3930" spans="1:15" ht="16.5">
      <c r="A3930" s="560" t="s">
        <v>4101</v>
      </c>
      <c r="B3930" s="560"/>
      <c r="C3930" s="560"/>
      <c r="D3930" s="560"/>
      <c r="E3930" s="560"/>
      <c r="F3930" s="560"/>
      <c r="G3930" s="560"/>
      <c r="H3930" s="105">
        <f>SUM(F3927:F3929)</f>
        <v>22484</v>
      </c>
      <c r="J3930" s="136"/>
    </row>
    <row r="3931" spans="1:15">
      <c r="A3931" s="227" t="s">
        <v>4237</v>
      </c>
      <c r="B3931" s="205"/>
      <c r="C3931" s="205"/>
      <c r="D3931" s="202"/>
      <c r="E3931" s="203"/>
      <c r="F3931" s="204"/>
      <c r="G3931" s="203"/>
      <c r="H3931" s="212"/>
    </row>
    <row r="3932" spans="1:15">
      <c r="A3932" s="561" t="s">
        <v>4224</v>
      </c>
      <c r="B3932" s="562"/>
      <c r="C3932" s="562"/>
      <c r="D3932" s="562"/>
      <c r="E3932" s="200"/>
      <c r="F3932" s="201" t="s">
        <v>4238</v>
      </c>
      <c r="G3932" s="200" t="s">
        <v>4239</v>
      </c>
      <c r="H3932" s="213"/>
    </row>
    <row r="3933" spans="1:15">
      <c r="A3933" s="223" t="s">
        <v>4097</v>
      </c>
      <c r="B3933" s="72"/>
      <c r="C3933" s="72"/>
      <c r="D3933" s="73"/>
      <c r="E3933" s="78"/>
      <c r="F3933" s="79">
        <v>0</v>
      </c>
      <c r="G3933" s="80">
        <f>F3933*H3898</f>
        <v>0</v>
      </c>
      <c r="H3933" s="212"/>
    </row>
    <row r="3934" spans="1:15">
      <c r="A3934" s="224" t="s">
        <v>4240</v>
      </c>
      <c r="B3934" s="81"/>
      <c r="C3934" s="81"/>
      <c r="D3934" s="82"/>
      <c r="E3934" s="78"/>
      <c r="F3934" s="79">
        <v>0</v>
      </c>
      <c r="G3934" s="80">
        <f>F3934*H3898</f>
        <v>0</v>
      </c>
      <c r="H3934" s="212"/>
    </row>
    <row r="3935" spans="1:15">
      <c r="A3935" s="224" t="s">
        <v>4</v>
      </c>
      <c r="B3935" s="81"/>
      <c r="C3935" s="81"/>
      <c r="D3935" s="82"/>
      <c r="E3935" s="78"/>
      <c r="F3935" s="79">
        <v>0</v>
      </c>
      <c r="G3935" s="80">
        <f>F3935*H3898</f>
        <v>0</v>
      </c>
      <c r="H3935" s="212"/>
    </row>
    <row r="3936" spans="1:15">
      <c r="A3936" s="225"/>
      <c r="B3936" s="83"/>
      <c r="C3936" s="75"/>
      <c r="D3936" s="84"/>
      <c r="E3936" s="85"/>
      <c r="F3936" s="86"/>
      <c r="G3936" s="87"/>
      <c r="H3936" s="214"/>
    </row>
    <row r="3937" spans="1:14">
      <c r="A3937" s="226"/>
      <c r="B3937" s="83"/>
      <c r="C3937" s="83"/>
      <c r="D3937" s="84"/>
      <c r="E3937" s="88"/>
      <c r="F3937" s="563" t="s">
        <v>4241</v>
      </c>
      <c r="G3937" s="564"/>
      <c r="H3937" s="233">
        <f>H3898+G3933+G3934+G3935</f>
        <v>989082.77225000015</v>
      </c>
    </row>
    <row r="3938" spans="1:14">
      <c r="A3938" s="83"/>
      <c r="B3938" s="83"/>
      <c r="C3938" s="83"/>
      <c r="D3938" s="84"/>
      <c r="E3938" s="388"/>
      <c r="F3938" s="389"/>
      <c r="G3938" s="389"/>
      <c r="H3938" s="390"/>
    </row>
    <row r="3939" spans="1:14" ht="16.5">
      <c r="A3939" s="90"/>
      <c r="B3939" s="90"/>
      <c r="C3939" s="90"/>
      <c r="D3939" s="90"/>
      <c r="E3939" s="90"/>
      <c r="F3939" s="90"/>
      <c r="G3939" s="90"/>
      <c r="H3939" s="381"/>
    </row>
    <row r="3940" spans="1:14">
      <c r="A3940" s="579" t="s">
        <v>4225</v>
      </c>
      <c r="B3940" s="580"/>
      <c r="C3940" s="580"/>
      <c r="D3940" s="580"/>
      <c r="E3940" s="580"/>
      <c r="F3940" s="580"/>
      <c r="G3940" s="580"/>
      <c r="H3940" s="581"/>
    </row>
    <row r="3941" spans="1:14" ht="16.5">
      <c r="A3941" s="91"/>
      <c r="B3941" s="92"/>
      <c r="C3941" s="92"/>
      <c r="D3941" s="92"/>
      <c r="E3941" s="92"/>
      <c r="F3941" s="93"/>
      <c r="G3941" s="94"/>
      <c r="H3941" s="380">
        <f>ROUND((34/60)/8,4)</f>
        <v>7.0800000000000002E-2</v>
      </c>
      <c r="I3941" s="115"/>
    </row>
    <row r="3942" spans="1:14">
      <c r="A3942" s="582" t="s">
        <v>4220</v>
      </c>
      <c r="B3942" s="584" t="str">
        <f>COSTOS!$C$14</f>
        <v>MODERNIZACION A TECNOLOGIA LED</v>
      </c>
      <c r="C3942" s="584"/>
      <c r="D3942" s="584"/>
      <c r="E3942" s="584"/>
      <c r="F3942" s="584"/>
      <c r="G3942" s="584"/>
      <c r="H3942" s="585" t="s">
        <v>4221</v>
      </c>
    </row>
    <row r="3943" spans="1:14">
      <c r="A3943" s="583"/>
      <c r="B3943" s="584"/>
      <c r="C3943" s="584"/>
      <c r="D3943" s="584"/>
      <c r="E3943" s="584"/>
      <c r="F3943" s="584"/>
      <c r="G3943" s="584"/>
      <c r="H3943" s="585"/>
    </row>
    <row r="3944" spans="1:14">
      <c r="A3944" s="583"/>
      <c r="B3944" s="584"/>
      <c r="C3944" s="584"/>
      <c r="D3944" s="584"/>
      <c r="E3944" s="584"/>
      <c r="F3944" s="584"/>
      <c r="G3944" s="584"/>
      <c r="H3944" s="585"/>
    </row>
    <row r="3945" spans="1:14" ht="15" customHeight="1">
      <c r="A3945" s="583"/>
      <c r="B3945" s="584"/>
      <c r="C3945" s="584"/>
      <c r="D3945" s="584"/>
      <c r="E3945" s="584"/>
      <c r="F3945" s="584"/>
      <c r="G3945" s="584"/>
      <c r="H3945" s="216">
        <f ca="1">TODAY()</f>
        <v>44889</v>
      </c>
      <c r="K3945" t="s">
        <v>4391</v>
      </c>
      <c r="L3945" t="s">
        <v>4392</v>
      </c>
      <c r="M3945" t="s">
        <v>4393</v>
      </c>
      <c r="N3945" t="s">
        <v>4394</v>
      </c>
    </row>
    <row r="3946" spans="1:14" ht="60.75" customHeight="1">
      <c r="A3946" s="228" t="s">
        <v>4222</v>
      </c>
      <c r="B3946" s="565" t="str">
        <f>COSTOS!$D$16</f>
        <v>Luminarias</v>
      </c>
      <c r="C3946" s="565"/>
      <c r="D3946" s="565"/>
      <c r="E3946" s="565"/>
      <c r="F3946" s="565"/>
      <c r="G3946" s="70" t="s">
        <v>4223</v>
      </c>
      <c r="H3946" s="391">
        <v>1.78</v>
      </c>
      <c r="K3946" s="62">
        <f>H3971</f>
        <v>1406182.4209999999</v>
      </c>
      <c r="L3946" s="62">
        <f>H3981</f>
        <v>25469.875199999999</v>
      </c>
      <c r="M3946" s="62">
        <f>H3954</f>
        <v>4570.317</v>
      </c>
      <c r="N3946" s="62">
        <f>H3975</f>
        <v>4800</v>
      </c>
    </row>
    <row r="3947" spans="1:14" ht="43.15" customHeight="1">
      <c r="A3947" s="229" t="s">
        <v>4224</v>
      </c>
      <c r="B3947" s="566" t="str">
        <f>VLOOKUP(H3946,COSTOS!C:M,2,0)</f>
        <v>Luminaria led 106,5 w Agm</v>
      </c>
      <c r="C3947" s="567"/>
      <c r="D3947" s="567"/>
      <c r="E3947" s="568"/>
      <c r="F3947" s="71" t="s">
        <v>0</v>
      </c>
      <c r="G3947" s="356" t="str">
        <f>VLOOKUP(H3946,COSTOS!C:M,8,0)</f>
        <v>Und</v>
      </c>
      <c r="H3947" s="276"/>
      <c r="I3947" s="306"/>
      <c r="J3947" s="308"/>
      <c r="K3947" s="308"/>
      <c r="L3947" s="308"/>
    </row>
    <row r="3948" spans="1:14">
      <c r="A3948" s="230"/>
      <c r="B3948" s="112"/>
      <c r="C3948" s="112"/>
      <c r="D3948" s="112"/>
      <c r="E3948" s="113"/>
      <c r="F3948" s="114" t="s">
        <v>1</v>
      </c>
      <c r="G3948" s="356">
        <f>VLOOKUP(H3946,COSTOS!C:M,9,0)</f>
        <v>0</v>
      </c>
      <c r="H3948" s="357"/>
      <c r="I3948" s="307"/>
    </row>
    <row r="3949" spans="1:14" ht="16.5">
      <c r="A3949" s="231" t="s">
        <v>4226</v>
      </c>
      <c r="B3949" s="75"/>
      <c r="C3949" s="75"/>
      <c r="D3949" s="76"/>
      <c r="E3949" s="209"/>
      <c r="F3949" s="210"/>
      <c r="G3949" s="211" t="s">
        <v>4227</v>
      </c>
      <c r="H3949" s="217">
        <f>H3954+H3971+H3975+H3981</f>
        <v>1441022.6131999998</v>
      </c>
    </row>
    <row r="3950" spans="1:14" ht="39">
      <c r="A3950" s="569" t="s">
        <v>4224</v>
      </c>
      <c r="B3950" s="569"/>
      <c r="C3950" s="569"/>
      <c r="D3950" s="77" t="s">
        <v>0</v>
      </c>
      <c r="E3950" s="207" t="s">
        <v>4228</v>
      </c>
      <c r="F3950" s="208" t="s">
        <v>4215</v>
      </c>
      <c r="G3950" s="74" t="s">
        <v>2</v>
      </c>
      <c r="H3950" s="218" t="s">
        <v>4229</v>
      </c>
      <c r="K3950" s="309"/>
    </row>
    <row r="3951" spans="1:14">
      <c r="A3951" s="536" t="s">
        <v>3946</v>
      </c>
      <c r="B3951" s="570" t="str">
        <f>VLOOKUP(A3951,'Equip, Herr y Transp'!$B$2:$D$739,2,0)</f>
        <v>EQU</v>
      </c>
      <c r="C3951" s="570"/>
      <c r="D3951" s="95" t="str">
        <f>VLOOKUP(A3951,'Equip, Herr y Transp'!$B$2:$D$218,2,0)</f>
        <v>EQU</v>
      </c>
      <c r="E3951" s="95">
        <f>VLOOKUP(A3951,'Equip, Herr y Transp'!$B$2:$D$218,3,0)</f>
        <v>14130</v>
      </c>
      <c r="F3951" s="96">
        <f>H3941</f>
        <v>7.0800000000000002E-2</v>
      </c>
      <c r="G3951" s="122">
        <f>F3951*E3951</f>
        <v>1000.404</v>
      </c>
      <c r="H3951" s="118"/>
    </row>
    <row r="3952" spans="1:14">
      <c r="A3952" s="536" t="s">
        <v>3904</v>
      </c>
      <c r="B3952" s="570" t="str">
        <f>VLOOKUP(A3952,'Equip, Herr y Transp'!$B$2:$D$739,2,0)</f>
        <v>EQU</v>
      </c>
      <c r="C3952" s="570"/>
      <c r="D3952" s="95" t="str">
        <f>VLOOKUP(A3952,'Equip, Herr y Transp'!$B$2:$D$218,2,0)</f>
        <v>EQU</v>
      </c>
      <c r="E3952" s="95">
        <f>VLOOKUP(A3952,'Equip, Herr y Transp'!$B$2:$D$218,3,0)</f>
        <v>26672.5</v>
      </c>
      <c r="F3952" s="96">
        <f>H3941</f>
        <v>7.0800000000000002E-2</v>
      </c>
      <c r="G3952" s="122">
        <f>F3952*E3952</f>
        <v>1888.413</v>
      </c>
      <c r="H3952" s="117"/>
    </row>
    <row r="3953" spans="1:15">
      <c r="A3953" s="536" t="s">
        <v>3937</v>
      </c>
      <c r="B3953" s="570" t="str">
        <f>VLOOKUP(A3953,'Equip, Herr y Transp'!$B$2:$D$739,2,0)</f>
        <v>EQU</v>
      </c>
      <c r="C3953" s="570"/>
      <c r="D3953" s="95" t="str">
        <f>VLOOKUP(A3953,'Equip, Herr y Transp'!$B$2:$D$218,2,0)</f>
        <v>EQU</v>
      </c>
      <c r="E3953" s="95">
        <f>VLOOKUP(A3953,'Equip, Herr y Transp'!$B$2:$D$218,3,0)</f>
        <v>23750</v>
      </c>
      <c r="F3953" s="96">
        <f>H3941</f>
        <v>7.0800000000000002E-2</v>
      </c>
      <c r="G3953" s="122">
        <f>F3953*E3953</f>
        <v>1681.5</v>
      </c>
      <c r="H3953" s="117"/>
    </row>
    <row r="3954" spans="1:15" ht="16.5">
      <c r="A3954" s="540" t="s">
        <v>4100</v>
      </c>
      <c r="B3954" s="541"/>
      <c r="C3954" s="541"/>
      <c r="D3954" s="541"/>
      <c r="E3954" s="541"/>
      <c r="F3954" s="541"/>
      <c r="G3954" s="541"/>
      <c r="H3954" s="97">
        <f>SUM(G3951:G3953)</f>
        <v>4570.317</v>
      </c>
    </row>
    <row r="3955" spans="1:15" ht="16.5">
      <c r="A3955" s="571" t="s">
        <v>4230</v>
      </c>
      <c r="B3955" s="572"/>
      <c r="C3955" s="572"/>
      <c r="D3955" s="572"/>
      <c r="E3955" s="572"/>
      <c r="F3955" s="572"/>
      <c r="G3955" s="572"/>
      <c r="H3955" s="573"/>
      <c r="K3955" s="56"/>
      <c r="L3955" s="56"/>
      <c r="M3955" s="56"/>
      <c r="N3955" s="56"/>
      <c r="O3955" s="56"/>
    </row>
    <row r="3956" spans="1:15" ht="30" customHeight="1">
      <c r="A3956" s="574" t="s">
        <v>7</v>
      </c>
      <c r="B3956" s="575"/>
      <c r="C3956" s="109" t="s">
        <v>0</v>
      </c>
      <c r="D3956" s="110" t="s">
        <v>4098</v>
      </c>
      <c r="E3956" s="111" t="s">
        <v>1</v>
      </c>
      <c r="F3956" s="576" t="s">
        <v>4218</v>
      </c>
      <c r="G3956" s="576"/>
      <c r="H3956" s="215"/>
      <c r="K3956" s="56"/>
      <c r="L3956" s="56"/>
      <c r="M3956" s="56"/>
      <c r="N3956" s="56"/>
      <c r="O3956" s="56"/>
    </row>
    <row r="3957" spans="1:15">
      <c r="A3957" s="577" t="s">
        <v>4980</v>
      </c>
      <c r="B3957" s="578"/>
      <c r="C3957" s="98" t="str">
        <f>VLOOKUP(A3957,'Materiales '!$C$2:$F$1302,3,0)</f>
        <v>Und</v>
      </c>
      <c r="D3957" s="99">
        <f>VLOOKUP(A3957,'Materiales '!$C$2:$F$1302,4,0)</f>
        <v>1154538</v>
      </c>
      <c r="E3957" s="100">
        <v>1</v>
      </c>
      <c r="F3957" s="538">
        <f>E3957*D3957</f>
        <v>1154538</v>
      </c>
      <c r="G3957" s="539"/>
      <c r="H3957" s="121"/>
      <c r="I3957">
        <f>E3957*G3948</f>
        <v>0</v>
      </c>
      <c r="J3957" s="67"/>
      <c r="K3957" s="56"/>
      <c r="L3957" s="56"/>
      <c r="M3957" s="56"/>
      <c r="N3957" s="56"/>
      <c r="O3957" s="56"/>
    </row>
    <row r="3958" spans="1:15">
      <c r="A3958" s="577" t="s">
        <v>4214</v>
      </c>
      <c r="B3958" s="578"/>
      <c r="C3958" s="98" t="str">
        <f>VLOOKUP(A3958,'Materiales '!$C$2:$F$1302,3,0)</f>
        <v>Und</v>
      </c>
      <c r="D3958" s="99">
        <f>VLOOKUP(A3958,'Materiales '!$C$2:$F$1302,4,0)</f>
        <v>22848</v>
      </c>
      <c r="E3958" s="100">
        <v>1</v>
      </c>
      <c r="F3958" s="538">
        <f t="shared" ref="F3958:F3964" si="232">E3958*D3958</f>
        <v>22848</v>
      </c>
      <c r="G3958" s="539"/>
      <c r="H3958" s="121"/>
      <c r="I3958">
        <f>E3958*G3948</f>
        <v>0</v>
      </c>
      <c r="J3958" s="67"/>
      <c r="K3958" s="56"/>
      <c r="L3958" s="56"/>
      <c r="M3958" s="56"/>
      <c r="N3958" s="56"/>
      <c r="O3958" s="56"/>
    </row>
    <row r="3959" spans="1:15">
      <c r="A3959" s="536" t="s">
        <v>4479</v>
      </c>
      <c r="B3959" s="537" t="str">
        <f>VLOOKUP(A3959,'Materiales '!$C$2:$F$1302,3,0)</f>
        <v>Und</v>
      </c>
      <c r="C3959" s="98" t="str">
        <f>VLOOKUP(A3959,'Materiales '!$C$2:$F$1302,3,0)</f>
        <v>Und</v>
      </c>
      <c r="D3959" s="99">
        <f>VLOOKUP(A3959,'Materiales '!$C$2:$F$1302,4,0)</f>
        <v>18421.2</v>
      </c>
      <c r="E3959" s="100">
        <v>2</v>
      </c>
      <c r="F3959" s="538">
        <f t="shared" si="232"/>
        <v>36842.400000000001</v>
      </c>
      <c r="G3959" s="539"/>
      <c r="H3959" s="121"/>
      <c r="I3959">
        <f>E3959*G3948</f>
        <v>0</v>
      </c>
      <c r="J3959" s="68"/>
      <c r="K3959" s="56"/>
      <c r="L3959" s="56"/>
      <c r="M3959" s="56"/>
      <c r="N3959" s="56"/>
      <c r="O3959" s="56"/>
    </row>
    <row r="3960" spans="1:15">
      <c r="A3960" s="536" t="s">
        <v>4489</v>
      </c>
      <c r="B3960" s="537" t="str">
        <f>VLOOKUP(A3960,'Materiales '!$C$2:$F$1302,3,0)</f>
        <v>Und</v>
      </c>
      <c r="C3960" s="98" t="str">
        <f>VLOOKUP(A3960,'Materiales '!$C$2:$F$1302,3,0)</f>
        <v>Und</v>
      </c>
      <c r="D3960" s="99">
        <f>VLOOKUP(A3960,'Materiales '!$C$2:$F$1302,4,0)</f>
        <v>8039.6399999999994</v>
      </c>
      <c r="E3960" s="100">
        <v>3</v>
      </c>
      <c r="F3960" s="538">
        <f t="shared" si="232"/>
        <v>24118.92</v>
      </c>
      <c r="G3960" s="539"/>
      <c r="H3960" s="121"/>
      <c r="I3960">
        <f>E3960*G3948</f>
        <v>0</v>
      </c>
      <c r="J3960" s="68"/>
      <c r="K3960" s="56"/>
      <c r="L3960" s="56"/>
      <c r="M3960" s="56"/>
      <c r="N3960" s="56"/>
      <c r="O3960" s="56"/>
    </row>
    <row r="3961" spans="1:15">
      <c r="A3961" s="536" t="s">
        <v>4554</v>
      </c>
      <c r="B3961" s="537" t="str">
        <f>VLOOKUP(A3961,'Materiales '!$C$2:$F$1302,3,0)</f>
        <v>Und</v>
      </c>
      <c r="C3961" s="98" t="str">
        <f>VLOOKUP(A3961,'Materiales '!$C$2:$F$1302,3,0)</f>
        <v>Und</v>
      </c>
      <c r="D3961" s="99">
        <f>VLOOKUP(A3961,'Materiales '!$C$2:$F$1302,4,0)</f>
        <v>2535.5329999999999</v>
      </c>
      <c r="E3961" s="100">
        <v>1</v>
      </c>
      <c r="F3961" s="538">
        <f t="shared" si="232"/>
        <v>2535.5329999999999</v>
      </c>
      <c r="G3961" s="539"/>
      <c r="H3961" s="121"/>
      <c r="I3961">
        <f>E3961*G3948</f>
        <v>0</v>
      </c>
      <c r="J3961" s="68"/>
      <c r="K3961" s="56"/>
      <c r="L3961" s="56"/>
      <c r="M3961" s="56"/>
      <c r="N3961" s="56"/>
      <c r="O3961" s="56"/>
    </row>
    <row r="3962" spans="1:15">
      <c r="A3962" s="536" t="s">
        <v>4450</v>
      </c>
      <c r="B3962" s="537" t="str">
        <f>VLOOKUP(A3962,'Materiales '!$C$2:$F$1302,3,0)</f>
        <v>Ml</v>
      </c>
      <c r="C3962" s="98" t="str">
        <f>VLOOKUP(A3962,'Materiales '!$C$2:$F$1302,3,0)</f>
        <v>Ml</v>
      </c>
      <c r="D3962" s="99">
        <f>VLOOKUP(A3962,'Materiales '!$C$2:$F$1302,4,0)</f>
        <v>6791.5679999999993</v>
      </c>
      <c r="E3962" s="100">
        <v>1</v>
      </c>
      <c r="F3962" s="538">
        <f t="shared" si="232"/>
        <v>6791.5679999999993</v>
      </c>
      <c r="G3962" s="539"/>
      <c r="H3962" s="121"/>
      <c r="I3962">
        <f>E3962*G3948</f>
        <v>0</v>
      </c>
      <c r="J3962" s="68"/>
      <c r="K3962" s="56"/>
      <c r="L3962" s="56"/>
      <c r="M3962" s="56"/>
      <c r="N3962" s="56"/>
      <c r="O3962" s="56"/>
    </row>
    <row r="3963" spans="1:15">
      <c r="A3963" s="536" t="s">
        <v>4435</v>
      </c>
      <c r="B3963" s="537" t="str">
        <f>VLOOKUP(A3963,'Materiales '!$C$2:$F$1302,3,0)</f>
        <v>Und</v>
      </c>
      <c r="C3963" s="98" t="str">
        <f>VLOOKUP(A3963,'Materiales '!$C$2:$F$1302,3,0)</f>
        <v>Und</v>
      </c>
      <c r="D3963" s="99">
        <f>VLOOKUP(A3963,'Materiales '!$C$2:$F$1302,4,0)</f>
        <v>122808</v>
      </c>
      <c r="E3963" s="100">
        <v>1</v>
      </c>
      <c r="F3963" s="538">
        <f t="shared" si="232"/>
        <v>122808</v>
      </c>
      <c r="G3963" s="539"/>
      <c r="H3963" s="121"/>
      <c r="I3963">
        <f>E3963*G3948</f>
        <v>0</v>
      </c>
      <c r="J3963" s="68"/>
      <c r="K3963" s="56"/>
      <c r="L3963" s="56"/>
      <c r="M3963" s="56"/>
      <c r="N3963" s="56"/>
      <c r="O3963" s="56"/>
    </row>
    <row r="3964" spans="1:15" ht="21.75" customHeight="1">
      <c r="A3964" s="536" t="s">
        <v>4639</v>
      </c>
      <c r="B3964" s="537" t="str">
        <f>VLOOKUP(A3964,'Materiales '!$C$2:$F$1302,3,0)</f>
        <v>Und</v>
      </c>
      <c r="C3964" s="98" t="str">
        <f>VLOOKUP(A3964,'Materiales '!$C$2:$F$1302,3,0)</f>
        <v>Und</v>
      </c>
      <c r="D3964" s="99">
        <f>VLOOKUP(A3964,'Materiales '!$C$2:$F$1302,4,0)</f>
        <v>35700</v>
      </c>
      <c r="E3964" s="100">
        <v>1</v>
      </c>
      <c r="F3964" s="538">
        <f t="shared" si="232"/>
        <v>35700</v>
      </c>
      <c r="G3964" s="539"/>
      <c r="H3964" s="121"/>
      <c r="I3964">
        <f>E3964*G3948</f>
        <v>0</v>
      </c>
      <c r="J3964" s="68"/>
      <c r="K3964" s="56"/>
      <c r="L3964" s="56"/>
      <c r="M3964" s="56"/>
      <c r="N3964" s="56"/>
      <c r="O3964" s="56"/>
    </row>
    <row r="3965" spans="1:15">
      <c r="A3965" s="536" t="s">
        <v>8</v>
      </c>
      <c r="B3965" s="537" t="str">
        <f>VLOOKUP(A3965,'Materiales '!$C$2:$F$1302,3,0)</f>
        <v>-</v>
      </c>
      <c r="C3965" s="98" t="str">
        <f>VLOOKUP(A3965,'Materiales '!$C$2:$F$1302,3,0)</f>
        <v>-</v>
      </c>
      <c r="D3965" s="99">
        <f>VLOOKUP(A3965,'Materiales '!$C$2:$F$1302,4,0)</f>
        <v>0</v>
      </c>
      <c r="E3965" s="100"/>
      <c r="F3965" s="538">
        <f>E3965*D3965</f>
        <v>0</v>
      </c>
      <c r="G3965" s="539"/>
      <c r="H3965" s="120"/>
      <c r="I3965">
        <f>E3965*G3948</f>
        <v>0</v>
      </c>
      <c r="J3965" s="68"/>
      <c r="K3965" s="56"/>
      <c r="L3965" s="56"/>
      <c r="M3965" s="56"/>
      <c r="N3965" s="56"/>
      <c r="O3965" s="56"/>
    </row>
    <row r="3966" spans="1:15">
      <c r="A3966" s="536" t="s">
        <v>8</v>
      </c>
      <c r="B3966" s="537" t="str">
        <f>VLOOKUP(A3966,'Materiales '!$C$2:$F$1302,3,0)</f>
        <v>-</v>
      </c>
      <c r="C3966" s="98" t="str">
        <f>VLOOKUP(A3966,'Materiales '!$C$2:$F$1302,3,0)</f>
        <v>-</v>
      </c>
      <c r="D3966" s="99">
        <f>VLOOKUP(A3966,'Materiales '!$C$2:$F$1302,4,0)</f>
        <v>0</v>
      </c>
      <c r="E3966" s="100"/>
      <c r="F3966" s="538">
        <f t="shared" ref="F3966:F3969" si="233">E3966*D3966</f>
        <v>0</v>
      </c>
      <c r="G3966" s="539"/>
      <c r="H3966" s="121"/>
      <c r="I3966">
        <f>E3966*G3948</f>
        <v>0</v>
      </c>
      <c r="J3966" s="68"/>
      <c r="K3966" s="56"/>
      <c r="L3966" s="56"/>
      <c r="M3966" s="56"/>
      <c r="N3966" s="56"/>
      <c r="O3966" s="56"/>
    </row>
    <row r="3967" spans="1:15">
      <c r="A3967" s="536" t="s">
        <v>8</v>
      </c>
      <c r="B3967" s="537" t="str">
        <f>VLOOKUP(A3967,'Materiales '!$C$2:$F$1302,3,0)</f>
        <v>-</v>
      </c>
      <c r="C3967" s="98" t="str">
        <f>VLOOKUP(A3967,'Materiales '!$C$2:$F$1302,3,0)</f>
        <v>-</v>
      </c>
      <c r="D3967" s="99">
        <f>VLOOKUP(A3967,'Materiales '!$C$2:$F$1302,4,0)</f>
        <v>0</v>
      </c>
      <c r="E3967" s="100"/>
      <c r="F3967" s="538">
        <f t="shared" si="233"/>
        <v>0</v>
      </c>
      <c r="G3967" s="539"/>
      <c r="H3967" s="121"/>
      <c r="I3967">
        <f>E3967*G3948</f>
        <v>0</v>
      </c>
      <c r="J3967" s="68"/>
      <c r="K3967" s="56"/>
      <c r="L3967" s="56"/>
      <c r="M3967" s="56"/>
      <c r="N3967" s="56"/>
      <c r="O3967" s="56"/>
    </row>
    <row r="3968" spans="1:15">
      <c r="A3968" s="536" t="s">
        <v>8</v>
      </c>
      <c r="B3968" s="537" t="str">
        <f>VLOOKUP(A3968,'Materiales '!$C$2:$F$1302,3,0)</f>
        <v>-</v>
      </c>
      <c r="C3968" s="98" t="str">
        <f>VLOOKUP(A3968,'Materiales '!$C$2:$F$1302,3,0)</f>
        <v>-</v>
      </c>
      <c r="D3968" s="99">
        <f>VLOOKUP(A3968,'Materiales '!$C$2:$F$1302,4,0)</f>
        <v>0</v>
      </c>
      <c r="E3968" s="100"/>
      <c r="F3968" s="538">
        <f t="shared" si="233"/>
        <v>0</v>
      </c>
      <c r="G3968" s="539"/>
      <c r="H3968" s="121"/>
      <c r="I3968">
        <f>E3968*G3948</f>
        <v>0</v>
      </c>
      <c r="J3968" s="68"/>
      <c r="K3968" s="56"/>
      <c r="L3968" s="56"/>
      <c r="M3968" s="56"/>
      <c r="N3968" s="56"/>
      <c r="O3968" s="56"/>
    </row>
    <row r="3969" spans="1:15">
      <c r="A3969" s="536" t="s">
        <v>8</v>
      </c>
      <c r="B3969" s="537" t="str">
        <f>VLOOKUP(A3969,'Materiales '!$C$2:$F$1302,3,0)</f>
        <v>-</v>
      </c>
      <c r="C3969" s="98" t="str">
        <f>VLOOKUP(A3969,'Materiales '!$C$2:$F$1302,3,0)</f>
        <v>-</v>
      </c>
      <c r="D3969" s="99">
        <f>VLOOKUP(A3969,'Materiales '!$C$2:$F$1302,4,0)</f>
        <v>0</v>
      </c>
      <c r="E3969" s="100"/>
      <c r="F3969" s="538">
        <f t="shared" si="233"/>
        <v>0</v>
      </c>
      <c r="G3969" s="539"/>
      <c r="H3969" s="121"/>
      <c r="I3969">
        <f>E3969*G3948</f>
        <v>0</v>
      </c>
      <c r="J3969" s="68"/>
      <c r="K3969" s="56"/>
      <c r="L3969" s="56"/>
      <c r="M3969" s="56"/>
      <c r="N3969" s="56"/>
      <c r="O3969" s="56"/>
    </row>
    <row r="3970" spans="1:15">
      <c r="A3970" s="536" t="s">
        <v>8</v>
      </c>
      <c r="B3970" s="537" t="str">
        <f>VLOOKUP(A3970,'Materiales '!$C$2:$F$1302,3,0)</f>
        <v>-</v>
      </c>
      <c r="C3970" s="98" t="str">
        <f>VLOOKUP(A3970,'Materiales '!$C$2:$F$1302,3,0)</f>
        <v>-</v>
      </c>
      <c r="D3970" s="99">
        <f>VLOOKUP(A3970,'Materiales '!$C$2:$F$1302,4,0)</f>
        <v>0</v>
      </c>
      <c r="E3970" s="100"/>
      <c r="F3970" s="538">
        <f>E3970*D3970</f>
        <v>0</v>
      </c>
      <c r="G3970" s="539"/>
      <c r="H3970" s="120"/>
      <c r="I3970">
        <f>E3970*G3948</f>
        <v>0</v>
      </c>
      <c r="J3970" s="68"/>
      <c r="K3970" s="56"/>
      <c r="L3970" s="56"/>
      <c r="M3970" s="56"/>
      <c r="N3970" s="56"/>
      <c r="O3970" s="56"/>
    </row>
    <row r="3971" spans="1:15" ht="16.5">
      <c r="A3971" s="540" t="s">
        <v>4099</v>
      </c>
      <c r="B3971" s="541"/>
      <c r="C3971" s="541"/>
      <c r="D3971" s="541"/>
      <c r="E3971" s="541"/>
      <c r="F3971" s="541"/>
      <c r="G3971" s="542"/>
      <c r="H3971" s="116">
        <f>SUM(F3957:F3970)</f>
        <v>1406182.4209999999</v>
      </c>
      <c r="J3971" s="68"/>
      <c r="K3971" s="56"/>
      <c r="L3971" s="56"/>
      <c r="M3971" s="56"/>
      <c r="N3971" s="56"/>
      <c r="O3971" s="56"/>
    </row>
    <row r="3972" spans="1:15" ht="16.5">
      <c r="A3972" s="543" t="s">
        <v>4231</v>
      </c>
      <c r="B3972" s="544"/>
      <c r="C3972" s="544"/>
      <c r="D3972" s="544"/>
      <c r="E3972" s="545"/>
      <c r="F3972" s="544"/>
      <c r="G3972" s="544"/>
      <c r="H3972" s="546"/>
      <c r="J3972" s="68"/>
      <c r="K3972" s="56"/>
      <c r="L3972" s="56"/>
      <c r="M3972" s="56"/>
      <c r="N3972" s="56"/>
      <c r="O3972" s="56"/>
    </row>
    <row r="3973" spans="1:15">
      <c r="A3973" s="547" t="s">
        <v>7</v>
      </c>
      <c r="B3973" s="548"/>
      <c r="C3973" s="108" t="s">
        <v>4232</v>
      </c>
      <c r="D3973" s="107" t="s">
        <v>4233</v>
      </c>
      <c r="E3973" s="206" t="s">
        <v>4234</v>
      </c>
      <c r="F3973" s="549" t="s">
        <v>4218</v>
      </c>
      <c r="G3973" s="549"/>
      <c r="H3973" s="119"/>
      <c r="K3973" s="56"/>
      <c r="L3973" s="56"/>
      <c r="M3973" s="56"/>
      <c r="N3973" s="56"/>
      <c r="O3973" s="56"/>
    </row>
    <row r="3974" spans="1:15">
      <c r="A3974" s="550" t="s">
        <v>3928</v>
      </c>
      <c r="B3974" s="551"/>
      <c r="C3974" s="232">
        <v>1</v>
      </c>
      <c r="D3974" s="102">
        <v>0.03</v>
      </c>
      <c r="E3974" s="103">
        <f>VLOOKUP(A3974,'Equip, Herr y Transp'!$B$2:$D$218,3,0)</f>
        <v>160000</v>
      </c>
      <c r="F3974" s="552">
        <f>E3974*D3974*C3974</f>
        <v>4800</v>
      </c>
      <c r="G3974" s="553"/>
      <c r="H3974" s="117"/>
      <c r="M3974" s="56"/>
    </row>
    <row r="3975" spans="1:15" ht="16.5">
      <c r="A3975" s="554" t="s">
        <v>4216</v>
      </c>
      <c r="B3975" s="555"/>
      <c r="C3975" s="555"/>
      <c r="D3975" s="555"/>
      <c r="E3975" s="555"/>
      <c r="F3975" s="555"/>
      <c r="G3975" s="555"/>
      <c r="H3975" s="105">
        <f>F3974</f>
        <v>4800</v>
      </c>
    </row>
    <row r="3976" spans="1:15" ht="16.5">
      <c r="A3976" s="543" t="s">
        <v>4235</v>
      </c>
      <c r="B3976" s="544"/>
      <c r="C3976" s="544"/>
      <c r="D3976" s="544"/>
      <c r="E3976" s="544"/>
      <c r="F3976" s="544"/>
      <c r="G3976" s="544"/>
      <c r="H3976" s="546"/>
    </row>
    <row r="3977" spans="1:15">
      <c r="A3977" s="547" t="s">
        <v>7</v>
      </c>
      <c r="B3977" s="548"/>
      <c r="C3977" s="106" t="s">
        <v>1</v>
      </c>
      <c r="D3977" s="107" t="s">
        <v>4236</v>
      </c>
      <c r="E3977" s="108" t="s">
        <v>4215</v>
      </c>
      <c r="F3977" s="547" t="s">
        <v>5</v>
      </c>
      <c r="G3977" s="556"/>
      <c r="H3977" s="119"/>
    </row>
    <row r="3978" spans="1:15">
      <c r="A3978" s="550" t="s">
        <v>4196</v>
      </c>
      <c r="B3978" s="551"/>
      <c r="C3978" s="101">
        <v>1</v>
      </c>
      <c r="D3978" s="104">
        <f>VLOOKUP(A3978,'Mano Obra'!$B$2:$T$117,19,0)</f>
        <v>166624</v>
      </c>
      <c r="E3978" s="246">
        <f>H3941</f>
        <v>7.0800000000000002E-2</v>
      </c>
      <c r="F3978" s="538">
        <f>E3978*D3978*C3978</f>
        <v>11796.9792</v>
      </c>
      <c r="G3978" s="557"/>
      <c r="H3978" s="121"/>
      <c r="I3978" s="69"/>
      <c r="J3978" s="136">
        <f>((('Mano Obra'!$M$4/30)*F3978)/D3978)*G3948</f>
        <v>0</v>
      </c>
    </row>
    <row r="3979" spans="1:15">
      <c r="A3979" s="558" t="s">
        <v>4197</v>
      </c>
      <c r="B3979" s="559">
        <f>VLOOKUP(A3979,'Mano Obra'!$B$3:$D$290,2,0)</f>
        <v>2090000.0000000002</v>
      </c>
      <c r="C3979" s="101">
        <v>1</v>
      </c>
      <c r="D3979" s="104">
        <f>VLOOKUP(A3979,'Mano Obra'!$B$2:$T$117,19,0)</f>
        <v>120456</v>
      </c>
      <c r="E3979" s="246">
        <f>H3941</f>
        <v>7.0800000000000002E-2</v>
      </c>
      <c r="F3979" s="538">
        <f t="shared" ref="F3979:F3980" si="234">E3979*D3979*C3979</f>
        <v>8528.2847999999994</v>
      </c>
      <c r="G3979" s="557"/>
      <c r="H3979" s="121"/>
      <c r="J3979" s="136">
        <f>((('Mano Obra'!$M$5/30)*F3979)/D3979)*G3948</f>
        <v>0</v>
      </c>
    </row>
    <row r="3980" spans="1:15">
      <c r="A3980" s="558" t="s">
        <v>4186</v>
      </c>
      <c r="B3980" s="559">
        <f>VLOOKUP(A3980,'Mano Obra'!$B$3:$D$290,2,0)</f>
        <v>1100000</v>
      </c>
      <c r="C3980" s="101">
        <v>1</v>
      </c>
      <c r="D3980" s="104">
        <f>VLOOKUP(A3980,'Mano Obra'!$B$2:$T$117,19,0)</f>
        <v>72664</v>
      </c>
      <c r="E3980" s="246">
        <f>H3941</f>
        <v>7.0800000000000002E-2</v>
      </c>
      <c r="F3980" s="538">
        <f t="shared" si="234"/>
        <v>5144.6112000000003</v>
      </c>
      <c r="G3980" s="557"/>
      <c r="H3980" s="120"/>
      <c r="J3980" s="136">
        <f>((('Mano Obra'!$M$6/30)*F3980)/D3980)*G3948</f>
        <v>0</v>
      </c>
    </row>
    <row r="3981" spans="1:15" ht="16.5">
      <c r="A3981" s="560" t="s">
        <v>4101</v>
      </c>
      <c r="B3981" s="560"/>
      <c r="C3981" s="560"/>
      <c r="D3981" s="560"/>
      <c r="E3981" s="560"/>
      <c r="F3981" s="560"/>
      <c r="G3981" s="560"/>
      <c r="H3981" s="105">
        <f>SUM(F3978:F3980)</f>
        <v>25469.875199999999</v>
      </c>
      <c r="J3981" s="136"/>
    </row>
    <row r="3982" spans="1:15">
      <c r="A3982" s="227" t="s">
        <v>4237</v>
      </c>
      <c r="B3982" s="205"/>
      <c r="C3982" s="205"/>
      <c r="D3982" s="202"/>
      <c r="E3982" s="203"/>
      <c r="F3982" s="204"/>
      <c r="G3982" s="203"/>
      <c r="H3982" s="212"/>
    </row>
    <row r="3983" spans="1:15">
      <c r="A3983" s="561" t="s">
        <v>4224</v>
      </c>
      <c r="B3983" s="562"/>
      <c r="C3983" s="562"/>
      <c r="D3983" s="562"/>
      <c r="E3983" s="200"/>
      <c r="F3983" s="201" t="s">
        <v>4238</v>
      </c>
      <c r="G3983" s="200" t="s">
        <v>4239</v>
      </c>
      <c r="H3983" s="213"/>
    </row>
    <row r="3984" spans="1:15">
      <c r="A3984" s="223" t="s">
        <v>4097</v>
      </c>
      <c r="B3984" s="72"/>
      <c r="C3984" s="72"/>
      <c r="D3984" s="73"/>
      <c r="E3984" s="78"/>
      <c r="F3984" s="79">
        <v>0</v>
      </c>
      <c r="G3984" s="80">
        <f>F3984*H3949</f>
        <v>0</v>
      </c>
      <c r="H3984" s="212"/>
    </row>
    <row r="3985" spans="1:14">
      <c r="A3985" s="224" t="s">
        <v>4240</v>
      </c>
      <c r="B3985" s="81"/>
      <c r="C3985" s="81"/>
      <c r="D3985" s="82"/>
      <c r="E3985" s="78"/>
      <c r="F3985" s="79">
        <v>0</v>
      </c>
      <c r="G3985" s="80">
        <f>F3985*H3949</f>
        <v>0</v>
      </c>
      <c r="H3985" s="212"/>
    </row>
    <row r="3986" spans="1:14">
      <c r="A3986" s="224" t="s">
        <v>4</v>
      </c>
      <c r="B3986" s="81"/>
      <c r="C3986" s="81"/>
      <c r="D3986" s="82"/>
      <c r="E3986" s="78"/>
      <c r="F3986" s="79">
        <v>0</v>
      </c>
      <c r="G3986" s="80">
        <f>F3986*H3949</f>
        <v>0</v>
      </c>
      <c r="H3986" s="212"/>
    </row>
    <row r="3987" spans="1:14">
      <c r="A3987" s="225"/>
      <c r="B3987" s="83"/>
      <c r="C3987" s="75"/>
      <c r="D3987" s="84"/>
      <c r="E3987" s="85"/>
      <c r="F3987" s="86"/>
      <c r="G3987" s="87"/>
      <c r="H3987" s="214"/>
    </row>
    <row r="3988" spans="1:14">
      <c r="A3988" s="226"/>
      <c r="B3988" s="83"/>
      <c r="C3988" s="83"/>
      <c r="D3988" s="84"/>
      <c r="E3988" s="88"/>
      <c r="F3988" s="563" t="s">
        <v>4241</v>
      </c>
      <c r="G3988" s="564"/>
      <c r="H3988" s="233">
        <f>H3949+G3984+G3985+G3986</f>
        <v>1441022.6131999998</v>
      </c>
    </row>
    <row r="3989" spans="1:14">
      <c r="A3989" s="83"/>
      <c r="B3989" s="83"/>
      <c r="C3989" s="83"/>
      <c r="D3989" s="84"/>
      <c r="E3989" s="388"/>
      <c r="F3989" s="389"/>
      <c r="G3989" s="389"/>
      <c r="H3989" s="390"/>
    </row>
    <row r="3990" spans="1:14" ht="16.5">
      <c r="A3990" s="90"/>
      <c r="B3990" s="90"/>
      <c r="C3990" s="90"/>
      <c r="D3990" s="90"/>
      <c r="E3990" s="90"/>
      <c r="F3990" s="90"/>
      <c r="G3990" s="90"/>
      <c r="H3990" s="381"/>
    </row>
    <row r="3991" spans="1:14">
      <c r="A3991" s="579" t="s">
        <v>4225</v>
      </c>
      <c r="B3991" s="580"/>
      <c r="C3991" s="580"/>
      <c r="D3991" s="580"/>
      <c r="E3991" s="580"/>
      <c r="F3991" s="580"/>
      <c r="G3991" s="580"/>
      <c r="H3991" s="581"/>
    </row>
    <row r="3992" spans="1:14" ht="16.5">
      <c r="A3992" s="91"/>
      <c r="B3992" s="92"/>
      <c r="C3992" s="92"/>
      <c r="D3992" s="92"/>
      <c r="E3992" s="92"/>
      <c r="F3992" s="93"/>
      <c r="G3992" s="94"/>
      <c r="H3992" s="380">
        <f>ROUND((34/60)/8,4)</f>
        <v>7.0800000000000002E-2</v>
      </c>
      <c r="I3992" s="115"/>
    </row>
    <row r="3993" spans="1:14">
      <c r="A3993" s="582" t="s">
        <v>4220</v>
      </c>
      <c r="B3993" s="584" t="str">
        <f>COSTOS!$C$14</f>
        <v>MODERNIZACION A TECNOLOGIA LED</v>
      </c>
      <c r="C3993" s="584"/>
      <c r="D3993" s="584"/>
      <c r="E3993" s="584"/>
      <c r="F3993" s="584"/>
      <c r="G3993" s="584"/>
      <c r="H3993" s="585" t="s">
        <v>4221</v>
      </c>
    </row>
    <row r="3994" spans="1:14">
      <c r="A3994" s="583"/>
      <c r="B3994" s="584"/>
      <c r="C3994" s="584"/>
      <c r="D3994" s="584"/>
      <c r="E3994" s="584"/>
      <c r="F3994" s="584"/>
      <c r="G3994" s="584"/>
      <c r="H3994" s="585"/>
    </row>
    <row r="3995" spans="1:14">
      <c r="A3995" s="583"/>
      <c r="B3995" s="584"/>
      <c r="C3995" s="584"/>
      <c r="D3995" s="584"/>
      <c r="E3995" s="584"/>
      <c r="F3995" s="584"/>
      <c r="G3995" s="584"/>
      <c r="H3995" s="585"/>
    </row>
    <row r="3996" spans="1:14" ht="15" customHeight="1">
      <c r="A3996" s="583"/>
      <c r="B3996" s="584"/>
      <c r="C3996" s="584"/>
      <c r="D3996" s="584"/>
      <c r="E3996" s="584"/>
      <c r="F3996" s="584"/>
      <c r="G3996" s="584"/>
      <c r="H3996" s="216">
        <f ca="1">TODAY()</f>
        <v>44889</v>
      </c>
      <c r="K3996" t="s">
        <v>4391</v>
      </c>
      <c r="L3996" t="s">
        <v>4392</v>
      </c>
      <c r="M3996" t="s">
        <v>4393</v>
      </c>
      <c r="N3996" t="s">
        <v>4394</v>
      </c>
    </row>
    <row r="3997" spans="1:14" ht="60.75" customHeight="1">
      <c r="A3997" s="228" t="s">
        <v>4222</v>
      </c>
      <c r="B3997" s="565" t="str">
        <f>COSTOS!$D$16</f>
        <v>Luminarias</v>
      </c>
      <c r="C3997" s="565"/>
      <c r="D3997" s="565"/>
      <c r="E3997" s="565"/>
      <c r="F3997" s="565"/>
      <c r="G3997" s="70" t="s">
        <v>4223</v>
      </c>
      <c r="H3997" s="391">
        <v>1.79</v>
      </c>
      <c r="K3997" s="62">
        <f>H4022</f>
        <v>1502393.9209999999</v>
      </c>
      <c r="L3997" s="62">
        <f>H4032</f>
        <v>25469.875199999999</v>
      </c>
      <c r="M3997" s="62">
        <f>H4005</f>
        <v>4570.317</v>
      </c>
      <c r="N3997" s="62">
        <f>H4026</f>
        <v>4800</v>
      </c>
    </row>
    <row r="3998" spans="1:14" ht="43.15" customHeight="1">
      <c r="A3998" s="229" t="s">
        <v>4224</v>
      </c>
      <c r="B3998" s="566" t="str">
        <f>VLOOKUP(H3997,COSTOS!C:M,2,0)</f>
        <v>Luminaria led 120.4 w Agm</v>
      </c>
      <c r="C3998" s="567"/>
      <c r="D3998" s="567"/>
      <c r="E3998" s="568"/>
      <c r="F3998" s="71" t="s">
        <v>0</v>
      </c>
      <c r="G3998" s="356" t="str">
        <f>VLOOKUP(H3997,COSTOS!C:M,8,0)</f>
        <v>Und</v>
      </c>
      <c r="H3998" s="276"/>
      <c r="I3998" s="306"/>
      <c r="J3998" s="308"/>
      <c r="K3998" s="308"/>
      <c r="L3998" s="308"/>
    </row>
    <row r="3999" spans="1:14">
      <c r="A3999" s="230"/>
      <c r="B3999" s="112"/>
      <c r="C3999" s="112"/>
      <c r="D3999" s="112"/>
      <c r="E3999" s="113"/>
      <c r="F3999" s="114" t="s">
        <v>1</v>
      </c>
      <c r="G3999" s="356">
        <f>VLOOKUP(H3997,COSTOS!C:M,9,0)</f>
        <v>0</v>
      </c>
      <c r="H3999" s="357"/>
      <c r="I3999" s="307"/>
    </row>
    <row r="4000" spans="1:14" ht="16.5">
      <c r="A4000" s="231" t="s">
        <v>4226</v>
      </c>
      <c r="B4000" s="75"/>
      <c r="C4000" s="75"/>
      <c r="D4000" s="76"/>
      <c r="E4000" s="209"/>
      <c r="F4000" s="210"/>
      <c r="G4000" s="211" t="s">
        <v>4227</v>
      </c>
      <c r="H4000" s="217">
        <f>H4005+H4022+H4026+H4032</f>
        <v>1537234.1131999998</v>
      </c>
    </row>
    <row r="4001" spans="1:15" ht="39">
      <c r="A4001" s="569" t="s">
        <v>4224</v>
      </c>
      <c r="B4001" s="569"/>
      <c r="C4001" s="569"/>
      <c r="D4001" s="77" t="s">
        <v>0</v>
      </c>
      <c r="E4001" s="207" t="s">
        <v>4228</v>
      </c>
      <c r="F4001" s="208" t="s">
        <v>4215</v>
      </c>
      <c r="G4001" s="74" t="s">
        <v>2</v>
      </c>
      <c r="H4001" s="218" t="s">
        <v>4229</v>
      </c>
      <c r="K4001" s="309"/>
    </row>
    <row r="4002" spans="1:15">
      <c r="A4002" s="536" t="s">
        <v>3946</v>
      </c>
      <c r="B4002" s="570" t="str">
        <f>VLOOKUP(A4002,'Equip, Herr y Transp'!$B$2:$D$739,2,0)</f>
        <v>EQU</v>
      </c>
      <c r="C4002" s="570"/>
      <c r="D4002" s="95" t="str">
        <f>VLOOKUP(A4002,'Equip, Herr y Transp'!$B$2:$D$218,2,0)</f>
        <v>EQU</v>
      </c>
      <c r="E4002" s="95">
        <f>VLOOKUP(A4002,'Equip, Herr y Transp'!$B$2:$D$218,3,0)</f>
        <v>14130</v>
      </c>
      <c r="F4002" s="96">
        <f>H3992</f>
        <v>7.0800000000000002E-2</v>
      </c>
      <c r="G4002" s="122">
        <f>F4002*E4002</f>
        <v>1000.404</v>
      </c>
      <c r="H4002" s="118"/>
    </row>
    <row r="4003" spans="1:15">
      <c r="A4003" s="536" t="s">
        <v>3904</v>
      </c>
      <c r="B4003" s="570" t="str">
        <f>VLOOKUP(A4003,'Equip, Herr y Transp'!$B$2:$D$739,2,0)</f>
        <v>EQU</v>
      </c>
      <c r="C4003" s="570"/>
      <c r="D4003" s="95" t="str">
        <f>VLOOKUP(A4003,'Equip, Herr y Transp'!$B$2:$D$218,2,0)</f>
        <v>EQU</v>
      </c>
      <c r="E4003" s="95">
        <f>VLOOKUP(A4003,'Equip, Herr y Transp'!$B$2:$D$218,3,0)</f>
        <v>26672.5</v>
      </c>
      <c r="F4003" s="96">
        <f>H3992</f>
        <v>7.0800000000000002E-2</v>
      </c>
      <c r="G4003" s="122">
        <f>F4003*E4003</f>
        <v>1888.413</v>
      </c>
      <c r="H4003" s="117"/>
    </row>
    <row r="4004" spans="1:15">
      <c r="A4004" s="536" t="s">
        <v>3937</v>
      </c>
      <c r="B4004" s="570" t="str">
        <f>VLOOKUP(A4004,'Equip, Herr y Transp'!$B$2:$D$739,2,0)</f>
        <v>EQU</v>
      </c>
      <c r="C4004" s="570"/>
      <c r="D4004" s="95" t="str">
        <f>VLOOKUP(A4004,'Equip, Herr y Transp'!$B$2:$D$218,2,0)</f>
        <v>EQU</v>
      </c>
      <c r="E4004" s="95">
        <f>VLOOKUP(A4004,'Equip, Herr y Transp'!$B$2:$D$218,3,0)</f>
        <v>23750</v>
      </c>
      <c r="F4004" s="96">
        <f>H3992</f>
        <v>7.0800000000000002E-2</v>
      </c>
      <c r="G4004" s="122">
        <f>F4004*E4004</f>
        <v>1681.5</v>
      </c>
      <c r="H4004" s="117"/>
    </row>
    <row r="4005" spans="1:15" ht="16.5">
      <c r="A4005" s="540" t="s">
        <v>4100</v>
      </c>
      <c r="B4005" s="541"/>
      <c r="C4005" s="541"/>
      <c r="D4005" s="541"/>
      <c r="E4005" s="541"/>
      <c r="F4005" s="541"/>
      <c r="G4005" s="541"/>
      <c r="H4005" s="97">
        <f>SUM(G4002:G4004)</f>
        <v>4570.317</v>
      </c>
    </row>
    <row r="4006" spans="1:15" ht="16.5">
      <c r="A4006" s="571" t="s">
        <v>4230</v>
      </c>
      <c r="B4006" s="572"/>
      <c r="C4006" s="572"/>
      <c r="D4006" s="572"/>
      <c r="E4006" s="572"/>
      <c r="F4006" s="572"/>
      <c r="G4006" s="572"/>
      <c r="H4006" s="573"/>
      <c r="K4006" s="56"/>
      <c r="L4006" s="56"/>
      <c r="M4006" s="56"/>
      <c r="N4006" s="56"/>
      <c r="O4006" s="56"/>
    </row>
    <row r="4007" spans="1:15" ht="30" customHeight="1">
      <c r="A4007" s="574" t="s">
        <v>7</v>
      </c>
      <c r="B4007" s="575"/>
      <c r="C4007" s="109" t="s">
        <v>0</v>
      </c>
      <c r="D4007" s="110" t="s">
        <v>4098</v>
      </c>
      <c r="E4007" s="111" t="s">
        <v>1</v>
      </c>
      <c r="F4007" s="576" t="s">
        <v>4218</v>
      </c>
      <c r="G4007" s="576"/>
      <c r="H4007" s="215"/>
      <c r="K4007" s="56"/>
      <c r="L4007" s="56"/>
      <c r="M4007" s="56"/>
      <c r="N4007" s="56"/>
      <c r="O4007" s="56"/>
    </row>
    <row r="4008" spans="1:15">
      <c r="A4008" s="577" t="s">
        <v>4981</v>
      </c>
      <c r="B4008" s="578"/>
      <c r="C4008" s="98" t="str">
        <f>VLOOKUP(A4008,'Materiales '!$C$2:$F$1302,3,0)</f>
        <v>Und</v>
      </c>
      <c r="D4008" s="99">
        <f>VLOOKUP(A4008,'Materiales '!$C$2:$F$1302,4,0)</f>
        <v>1250749.5</v>
      </c>
      <c r="E4008" s="100">
        <v>1</v>
      </c>
      <c r="F4008" s="538">
        <f>E4008*D4008</f>
        <v>1250749.5</v>
      </c>
      <c r="G4008" s="539"/>
      <c r="H4008" s="121"/>
      <c r="I4008">
        <f>E4008*G3999</f>
        <v>0</v>
      </c>
      <c r="J4008" s="67"/>
      <c r="K4008" s="56"/>
      <c r="L4008" s="56"/>
      <c r="M4008" s="56"/>
      <c r="N4008" s="56"/>
      <c r="O4008" s="56"/>
    </row>
    <row r="4009" spans="1:15">
      <c r="A4009" s="577" t="s">
        <v>4214</v>
      </c>
      <c r="B4009" s="578"/>
      <c r="C4009" s="98" t="str">
        <f>VLOOKUP(A4009,'Materiales '!$C$2:$F$1302,3,0)</f>
        <v>Und</v>
      </c>
      <c r="D4009" s="99">
        <f>VLOOKUP(A4009,'Materiales '!$C$2:$F$1302,4,0)</f>
        <v>22848</v>
      </c>
      <c r="E4009" s="100">
        <v>1</v>
      </c>
      <c r="F4009" s="538">
        <f t="shared" ref="F4009:F4015" si="235">E4009*D4009</f>
        <v>22848</v>
      </c>
      <c r="G4009" s="539"/>
      <c r="H4009" s="121"/>
      <c r="I4009">
        <f>E4009*G3999</f>
        <v>0</v>
      </c>
      <c r="J4009" s="67"/>
      <c r="K4009" s="56"/>
      <c r="L4009" s="56"/>
      <c r="M4009" s="56"/>
      <c r="N4009" s="56"/>
      <c r="O4009" s="56"/>
    </row>
    <row r="4010" spans="1:15">
      <c r="A4010" s="536" t="s">
        <v>4479</v>
      </c>
      <c r="B4010" s="537" t="str">
        <f>VLOOKUP(A4010,'Materiales '!$C$2:$F$1302,3,0)</f>
        <v>Und</v>
      </c>
      <c r="C4010" s="98" t="str">
        <f>VLOOKUP(A4010,'Materiales '!$C$2:$F$1302,3,0)</f>
        <v>Und</v>
      </c>
      <c r="D4010" s="99">
        <f>VLOOKUP(A4010,'Materiales '!$C$2:$F$1302,4,0)</f>
        <v>18421.2</v>
      </c>
      <c r="E4010" s="100">
        <v>2</v>
      </c>
      <c r="F4010" s="538">
        <f t="shared" si="235"/>
        <v>36842.400000000001</v>
      </c>
      <c r="G4010" s="539"/>
      <c r="H4010" s="121"/>
      <c r="I4010">
        <f>E4010*G3999</f>
        <v>0</v>
      </c>
      <c r="J4010" s="68"/>
      <c r="K4010" s="56"/>
      <c r="L4010" s="56"/>
      <c r="M4010" s="56"/>
      <c r="N4010" s="56"/>
      <c r="O4010" s="56"/>
    </row>
    <row r="4011" spans="1:15">
      <c r="A4011" s="536" t="s">
        <v>4489</v>
      </c>
      <c r="B4011" s="537" t="str">
        <f>VLOOKUP(A4011,'Materiales '!$C$2:$F$1302,3,0)</f>
        <v>Und</v>
      </c>
      <c r="C4011" s="98" t="str">
        <f>VLOOKUP(A4011,'Materiales '!$C$2:$F$1302,3,0)</f>
        <v>Und</v>
      </c>
      <c r="D4011" s="99">
        <f>VLOOKUP(A4011,'Materiales '!$C$2:$F$1302,4,0)</f>
        <v>8039.6399999999994</v>
      </c>
      <c r="E4011" s="100">
        <v>3</v>
      </c>
      <c r="F4011" s="538">
        <f t="shared" si="235"/>
        <v>24118.92</v>
      </c>
      <c r="G4011" s="539"/>
      <c r="H4011" s="121"/>
      <c r="I4011">
        <f>E4011*G3999</f>
        <v>0</v>
      </c>
      <c r="J4011" s="68"/>
      <c r="K4011" s="56"/>
      <c r="L4011" s="56"/>
      <c r="M4011" s="56"/>
      <c r="N4011" s="56"/>
      <c r="O4011" s="56"/>
    </row>
    <row r="4012" spans="1:15">
      <c r="A4012" s="536" t="s">
        <v>4554</v>
      </c>
      <c r="B4012" s="537" t="str">
        <f>VLOOKUP(A4012,'Materiales '!$C$2:$F$1302,3,0)</f>
        <v>Und</v>
      </c>
      <c r="C4012" s="98" t="str">
        <f>VLOOKUP(A4012,'Materiales '!$C$2:$F$1302,3,0)</f>
        <v>Und</v>
      </c>
      <c r="D4012" s="99">
        <f>VLOOKUP(A4012,'Materiales '!$C$2:$F$1302,4,0)</f>
        <v>2535.5329999999999</v>
      </c>
      <c r="E4012" s="100">
        <v>1</v>
      </c>
      <c r="F4012" s="538">
        <f t="shared" si="235"/>
        <v>2535.5329999999999</v>
      </c>
      <c r="G4012" s="539"/>
      <c r="H4012" s="121"/>
      <c r="I4012">
        <f>E4012*G3999</f>
        <v>0</v>
      </c>
      <c r="J4012" s="68"/>
      <c r="K4012" s="56"/>
      <c r="L4012" s="56"/>
      <c r="M4012" s="56"/>
      <c r="N4012" s="56"/>
      <c r="O4012" s="56"/>
    </row>
    <row r="4013" spans="1:15">
      <c r="A4013" s="536" t="s">
        <v>4450</v>
      </c>
      <c r="B4013" s="537" t="str">
        <f>VLOOKUP(A4013,'Materiales '!$C$2:$F$1302,3,0)</f>
        <v>Ml</v>
      </c>
      <c r="C4013" s="98" t="str">
        <f>VLOOKUP(A4013,'Materiales '!$C$2:$F$1302,3,0)</f>
        <v>Ml</v>
      </c>
      <c r="D4013" s="99">
        <f>VLOOKUP(A4013,'Materiales '!$C$2:$F$1302,4,0)</f>
        <v>6791.5679999999993</v>
      </c>
      <c r="E4013" s="100">
        <v>1</v>
      </c>
      <c r="F4013" s="538">
        <f t="shared" si="235"/>
        <v>6791.5679999999993</v>
      </c>
      <c r="G4013" s="539"/>
      <c r="H4013" s="121"/>
      <c r="I4013">
        <f>E4013*G3999</f>
        <v>0</v>
      </c>
      <c r="J4013" s="68"/>
      <c r="K4013" s="56"/>
      <c r="L4013" s="56"/>
      <c r="M4013" s="56"/>
      <c r="N4013" s="56"/>
      <c r="O4013" s="56"/>
    </row>
    <row r="4014" spans="1:15">
      <c r="A4014" s="536" t="s">
        <v>4435</v>
      </c>
      <c r="B4014" s="537" t="str">
        <f>VLOOKUP(A4014,'Materiales '!$C$2:$F$1302,3,0)</f>
        <v>Und</v>
      </c>
      <c r="C4014" s="98" t="str">
        <f>VLOOKUP(A4014,'Materiales '!$C$2:$F$1302,3,0)</f>
        <v>Und</v>
      </c>
      <c r="D4014" s="99">
        <f>VLOOKUP(A4014,'Materiales '!$C$2:$F$1302,4,0)</f>
        <v>122808</v>
      </c>
      <c r="E4014" s="100">
        <v>1</v>
      </c>
      <c r="F4014" s="538">
        <f t="shared" si="235"/>
        <v>122808</v>
      </c>
      <c r="G4014" s="539"/>
      <c r="H4014" s="121"/>
      <c r="I4014">
        <f>E4014*G3999</f>
        <v>0</v>
      </c>
      <c r="J4014" s="68"/>
      <c r="K4014" s="56"/>
      <c r="L4014" s="56"/>
      <c r="M4014" s="56"/>
      <c r="N4014" s="56"/>
      <c r="O4014" s="56"/>
    </row>
    <row r="4015" spans="1:15" ht="21.75" customHeight="1">
      <c r="A4015" s="536" t="s">
        <v>4639</v>
      </c>
      <c r="B4015" s="537" t="str">
        <f>VLOOKUP(A4015,'Materiales '!$C$2:$F$1302,3,0)</f>
        <v>Und</v>
      </c>
      <c r="C4015" s="98" t="str">
        <f>VLOOKUP(A4015,'Materiales '!$C$2:$F$1302,3,0)</f>
        <v>Und</v>
      </c>
      <c r="D4015" s="99">
        <f>VLOOKUP(A4015,'Materiales '!$C$2:$F$1302,4,0)</f>
        <v>35700</v>
      </c>
      <c r="E4015" s="100">
        <v>1</v>
      </c>
      <c r="F4015" s="538">
        <f t="shared" si="235"/>
        <v>35700</v>
      </c>
      <c r="G4015" s="539"/>
      <c r="H4015" s="121"/>
      <c r="I4015">
        <f>E4015*G3999</f>
        <v>0</v>
      </c>
      <c r="J4015" s="68"/>
      <c r="K4015" s="56"/>
      <c r="L4015" s="56"/>
      <c r="M4015" s="56"/>
      <c r="N4015" s="56"/>
      <c r="O4015" s="56"/>
    </row>
    <row r="4016" spans="1:15">
      <c r="A4016" s="536" t="s">
        <v>8</v>
      </c>
      <c r="B4016" s="537" t="str">
        <f>VLOOKUP(A4016,'Materiales '!$C$2:$F$1302,3,0)</f>
        <v>-</v>
      </c>
      <c r="C4016" s="98" t="str">
        <f>VLOOKUP(A4016,'Materiales '!$C$2:$F$1302,3,0)</f>
        <v>-</v>
      </c>
      <c r="D4016" s="99">
        <f>VLOOKUP(A4016,'Materiales '!$C$2:$F$1302,4,0)</f>
        <v>0</v>
      </c>
      <c r="E4016" s="100"/>
      <c r="F4016" s="538">
        <f>E4016*D4016</f>
        <v>0</v>
      </c>
      <c r="G4016" s="539"/>
      <c r="H4016" s="120"/>
      <c r="I4016">
        <f>E4016*G3999</f>
        <v>0</v>
      </c>
      <c r="J4016" s="68"/>
      <c r="K4016" s="56"/>
      <c r="L4016" s="56"/>
      <c r="M4016" s="56"/>
      <c r="N4016" s="56"/>
      <c r="O4016" s="56"/>
    </row>
    <row r="4017" spans="1:15">
      <c r="A4017" s="536" t="s">
        <v>8</v>
      </c>
      <c r="B4017" s="537" t="str">
        <f>VLOOKUP(A4017,'Materiales '!$C$2:$F$1302,3,0)</f>
        <v>-</v>
      </c>
      <c r="C4017" s="98" t="str">
        <f>VLOOKUP(A4017,'Materiales '!$C$2:$F$1302,3,0)</f>
        <v>-</v>
      </c>
      <c r="D4017" s="99">
        <f>VLOOKUP(A4017,'Materiales '!$C$2:$F$1302,4,0)</f>
        <v>0</v>
      </c>
      <c r="E4017" s="100"/>
      <c r="F4017" s="538">
        <f t="shared" ref="F4017:F4020" si="236">E4017*D4017</f>
        <v>0</v>
      </c>
      <c r="G4017" s="539"/>
      <c r="H4017" s="121"/>
      <c r="I4017">
        <f>E4017*G3999</f>
        <v>0</v>
      </c>
      <c r="J4017" s="68"/>
      <c r="K4017" s="56"/>
      <c r="L4017" s="56"/>
      <c r="M4017" s="56"/>
      <c r="N4017" s="56"/>
      <c r="O4017" s="56"/>
    </row>
    <row r="4018" spans="1:15">
      <c r="A4018" s="536" t="s">
        <v>8</v>
      </c>
      <c r="B4018" s="537" t="str">
        <f>VLOOKUP(A4018,'Materiales '!$C$2:$F$1302,3,0)</f>
        <v>-</v>
      </c>
      <c r="C4018" s="98" t="str">
        <f>VLOOKUP(A4018,'Materiales '!$C$2:$F$1302,3,0)</f>
        <v>-</v>
      </c>
      <c r="D4018" s="99">
        <f>VLOOKUP(A4018,'Materiales '!$C$2:$F$1302,4,0)</f>
        <v>0</v>
      </c>
      <c r="E4018" s="100"/>
      <c r="F4018" s="538">
        <f t="shared" si="236"/>
        <v>0</v>
      </c>
      <c r="G4018" s="539"/>
      <c r="H4018" s="121"/>
      <c r="I4018">
        <f>E4018*G3999</f>
        <v>0</v>
      </c>
      <c r="J4018" s="68"/>
      <c r="K4018" s="56"/>
      <c r="L4018" s="56"/>
      <c r="M4018" s="56"/>
      <c r="N4018" s="56"/>
      <c r="O4018" s="56"/>
    </row>
    <row r="4019" spans="1:15">
      <c r="A4019" s="536" t="s">
        <v>8</v>
      </c>
      <c r="B4019" s="537" t="str">
        <f>VLOOKUP(A4019,'Materiales '!$C$2:$F$1302,3,0)</f>
        <v>-</v>
      </c>
      <c r="C4019" s="98" t="str">
        <f>VLOOKUP(A4019,'Materiales '!$C$2:$F$1302,3,0)</f>
        <v>-</v>
      </c>
      <c r="D4019" s="99">
        <f>VLOOKUP(A4019,'Materiales '!$C$2:$F$1302,4,0)</f>
        <v>0</v>
      </c>
      <c r="E4019" s="100"/>
      <c r="F4019" s="538">
        <f t="shared" si="236"/>
        <v>0</v>
      </c>
      <c r="G4019" s="539"/>
      <c r="H4019" s="121"/>
      <c r="I4019">
        <f>E4019*G3999</f>
        <v>0</v>
      </c>
      <c r="J4019" s="68"/>
      <c r="K4019" s="56"/>
      <c r="L4019" s="56"/>
      <c r="M4019" s="56"/>
      <c r="N4019" s="56"/>
      <c r="O4019" s="56"/>
    </row>
    <row r="4020" spans="1:15">
      <c r="A4020" s="536" t="s">
        <v>8</v>
      </c>
      <c r="B4020" s="537" t="str">
        <f>VLOOKUP(A4020,'Materiales '!$C$2:$F$1302,3,0)</f>
        <v>-</v>
      </c>
      <c r="C4020" s="98" t="str">
        <f>VLOOKUP(A4020,'Materiales '!$C$2:$F$1302,3,0)</f>
        <v>-</v>
      </c>
      <c r="D4020" s="99">
        <f>VLOOKUP(A4020,'Materiales '!$C$2:$F$1302,4,0)</f>
        <v>0</v>
      </c>
      <c r="E4020" s="100"/>
      <c r="F4020" s="538">
        <f t="shared" si="236"/>
        <v>0</v>
      </c>
      <c r="G4020" s="539"/>
      <c r="H4020" s="121"/>
      <c r="I4020">
        <f>E4020*G3999</f>
        <v>0</v>
      </c>
      <c r="J4020" s="68"/>
      <c r="K4020" s="56"/>
      <c r="L4020" s="56"/>
      <c r="M4020" s="56"/>
      <c r="N4020" s="56"/>
      <c r="O4020" s="56"/>
    </row>
    <row r="4021" spans="1:15">
      <c r="A4021" s="536" t="s">
        <v>8</v>
      </c>
      <c r="B4021" s="537" t="str">
        <f>VLOOKUP(A4021,'Materiales '!$C$2:$F$1302,3,0)</f>
        <v>-</v>
      </c>
      <c r="C4021" s="98" t="str">
        <f>VLOOKUP(A4021,'Materiales '!$C$2:$F$1302,3,0)</f>
        <v>-</v>
      </c>
      <c r="D4021" s="99">
        <f>VLOOKUP(A4021,'Materiales '!$C$2:$F$1302,4,0)</f>
        <v>0</v>
      </c>
      <c r="E4021" s="100"/>
      <c r="F4021" s="538">
        <f>E4021*D4021</f>
        <v>0</v>
      </c>
      <c r="G4021" s="539"/>
      <c r="H4021" s="120"/>
      <c r="I4021">
        <f>E4021*G3999</f>
        <v>0</v>
      </c>
      <c r="J4021" s="68"/>
      <c r="K4021" s="56"/>
      <c r="L4021" s="56"/>
      <c r="M4021" s="56"/>
      <c r="N4021" s="56"/>
      <c r="O4021" s="56"/>
    </row>
    <row r="4022" spans="1:15" ht="16.5">
      <c r="A4022" s="540" t="s">
        <v>4099</v>
      </c>
      <c r="B4022" s="541"/>
      <c r="C4022" s="541"/>
      <c r="D4022" s="541"/>
      <c r="E4022" s="541"/>
      <c r="F4022" s="541"/>
      <c r="G4022" s="542"/>
      <c r="H4022" s="116">
        <f>SUM(F4008:F4021)</f>
        <v>1502393.9209999999</v>
      </c>
      <c r="J4022" s="68"/>
      <c r="K4022" s="56"/>
      <c r="L4022" s="56"/>
      <c r="M4022" s="56"/>
      <c r="N4022" s="56"/>
      <c r="O4022" s="56"/>
    </row>
    <row r="4023" spans="1:15" ht="16.5">
      <c r="A4023" s="543" t="s">
        <v>4231</v>
      </c>
      <c r="B4023" s="544"/>
      <c r="C4023" s="544"/>
      <c r="D4023" s="544"/>
      <c r="E4023" s="545"/>
      <c r="F4023" s="544"/>
      <c r="G4023" s="544"/>
      <c r="H4023" s="546"/>
      <c r="J4023" s="68"/>
      <c r="K4023" s="56"/>
      <c r="L4023" s="56"/>
      <c r="M4023" s="56"/>
      <c r="N4023" s="56"/>
      <c r="O4023" s="56"/>
    </row>
    <row r="4024" spans="1:15">
      <c r="A4024" s="547" t="s">
        <v>7</v>
      </c>
      <c r="B4024" s="548"/>
      <c r="C4024" s="108" t="s">
        <v>4232</v>
      </c>
      <c r="D4024" s="107" t="s">
        <v>4233</v>
      </c>
      <c r="E4024" s="206" t="s">
        <v>4234</v>
      </c>
      <c r="F4024" s="549" t="s">
        <v>4218</v>
      </c>
      <c r="G4024" s="549"/>
      <c r="H4024" s="119"/>
      <c r="K4024" s="56"/>
      <c r="L4024" s="56"/>
      <c r="M4024" s="56"/>
      <c r="N4024" s="56"/>
      <c r="O4024" s="56"/>
    </row>
    <row r="4025" spans="1:15">
      <c r="A4025" s="550" t="s">
        <v>3928</v>
      </c>
      <c r="B4025" s="551"/>
      <c r="C4025" s="232">
        <v>1</v>
      </c>
      <c r="D4025" s="102">
        <v>0.03</v>
      </c>
      <c r="E4025" s="103">
        <f>VLOOKUP(A4025,'Equip, Herr y Transp'!$B$2:$D$218,3,0)</f>
        <v>160000</v>
      </c>
      <c r="F4025" s="552">
        <f>E4025*D4025*C4025</f>
        <v>4800</v>
      </c>
      <c r="G4025" s="553"/>
      <c r="H4025" s="117"/>
      <c r="M4025" s="56"/>
    </row>
    <row r="4026" spans="1:15" ht="16.5">
      <c r="A4026" s="554" t="s">
        <v>4216</v>
      </c>
      <c r="B4026" s="555"/>
      <c r="C4026" s="555"/>
      <c r="D4026" s="555"/>
      <c r="E4026" s="555"/>
      <c r="F4026" s="555"/>
      <c r="G4026" s="555"/>
      <c r="H4026" s="105">
        <f>F4025</f>
        <v>4800</v>
      </c>
    </row>
    <row r="4027" spans="1:15" ht="16.5">
      <c r="A4027" s="543" t="s">
        <v>4235</v>
      </c>
      <c r="B4027" s="544"/>
      <c r="C4027" s="544"/>
      <c r="D4027" s="544"/>
      <c r="E4027" s="544"/>
      <c r="F4027" s="544"/>
      <c r="G4027" s="544"/>
      <c r="H4027" s="546"/>
    </row>
    <row r="4028" spans="1:15">
      <c r="A4028" s="547" t="s">
        <v>7</v>
      </c>
      <c r="B4028" s="548"/>
      <c r="C4028" s="106" t="s">
        <v>1</v>
      </c>
      <c r="D4028" s="107" t="s">
        <v>4236</v>
      </c>
      <c r="E4028" s="108" t="s">
        <v>4215</v>
      </c>
      <c r="F4028" s="547" t="s">
        <v>5</v>
      </c>
      <c r="G4028" s="556"/>
      <c r="H4028" s="119"/>
    </row>
    <row r="4029" spans="1:15">
      <c r="A4029" s="550" t="s">
        <v>4196</v>
      </c>
      <c r="B4029" s="551"/>
      <c r="C4029" s="101">
        <v>1</v>
      </c>
      <c r="D4029" s="104">
        <f>VLOOKUP(A4029,'Mano Obra'!$B$2:$T$117,19,0)</f>
        <v>166624</v>
      </c>
      <c r="E4029" s="246">
        <f>H3992</f>
        <v>7.0800000000000002E-2</v>
      </c>
      <c r="F4029" s="538">
        <f>E4029*D4029*C4029</f>
        <v>11796.9792</v>
      </c>
      <c r="G4029" s="557"/>
      <c r="H4029" s="121"/>
      <c r="I4029" s="69"/>
      <c r="J4029" s="136">
        <f>((('Mano Obra'!$M$4/30)*F4029)/D4029)*G3999</f>
        <v>0</v>
      </c>
    </row>
    <row r="4030" spans="1:15">
      <c r="A4030" s="558" t="s">
        <v>4197</v>
      </c>
      <c r="B4030" s="559">
        <f>VLOOKUP(A4030,'Mano Obra'!$B$3:$D$290,2,0)</f>
        <v>2090000.0000000002</v>
      </c>
      <c r="C4030" s="101">
        <v>1</v>
      </c>
      <c r="D4030" s="104">
        <f>VLOOKUP(A4030,'Mano Obra'!$B$2:$T$117,19,0)</f>
        <v>120456</v>
      </c>
      <c r="E4030" s="246">
        <f>H3992</f>
        <v>7.0800000000000002E-2</v>
      </c>
      <c r="F4030" s="538">
        <f t="shared" ref="F4030:F4031" si="237">E4030*D4030*C4030</f>
        <v>8528.2847999999994</v>
      </c>
      <c r="G4030" s="557"/>
      <c r="H4030" s="121"/>
      <c r="J4030" s="136">
        <f>((('Mano Obra'!$M$5/30)*F4030)/D4030)*G3999</f>
        <v>0</v>
      </c>
    </row>
    <row r="4031" spans="1:15">
      <c r="A4031" s="558" t="s">
        <v>4186</v>
      </c>
      <c r="B4031" s="559">
        <f>VLOOKUP(A4031,'Mano Obra'!$B$3:$D$290,2,0)</f>
        <v>1100000</v>
      </c>
      <c r="C4031" s="101">
        <v>1</v>
      </c>
      <c r="D4031" s="104">
        <f>VLOOKUP(A4031,'Mano Obra'!$B$2:$T$117,19,0)</f>
        <v>72664</v>
      </c>
      <c r="E4031" s="246">
        <f>H3992</f>
        <v>7.0800000000000002E-2</v>
      </c>
      <c r="F4031" s="538">
        <f t="shared" si="237"/>
        <v>5144.6112000000003</v>
      </c>
      <c r="G4031" s="557"/>
      <c r="H4031" s="120"/>
      <c r="J4031" s="136">
        <f>((('Mano Obra'!$M$6/30)*F4031)/D4031)*G3999</f>
        <v>0</v>
      </c>
    </row>
    <row r="4032" spans="1:15" ht="16.5">
      <c r="A4032" s="560" t="s">
        <v>4101</v>
      </c>
      <c r="B4032" s="560"/>
      <c r="C4032" s="560"/>
      <c r="D4032" s="560"/>
      <c r="E4032" s="560"/>
      <c r="F4032" s="560"/>
      <c r="G4032" s="560"/>
      <c r="H4032" s="105">
        <f>SUM(F4029:F4031)</f>
        <v>25469.875199999999</v>
      </c>
      <c r="J4032" s="136"/>
    </row>
    <row r="4033" spans="1:14">
      <c r="A4033" s="227" t="s">
        <v>4237</v>
      </c>
      <c r="B4033" s="205"/>
      <c r="C4033" s="205"/>
      <c r="D4033" s="202"/>
      <c r="E4033" s="203"/>
      <c r="F4033" s="204"/>
      <c r="G4033" s="203"/>
      <c r="H4033" s="212"/>
    </row>
    <row r="4034" spans="1:14">
      <c r="A4034" s="561" t="s">
        <v>4224</v>
      </c>
      <c r="B4034" s="562"/>
      <c r="C4034" s="562"/>
      <c r="D4034" s="562"/>
      <c r="E4034" s="200"/>
      <c r="F4034" s="201" t="s">
        <v>4238</v>
      </c>
      <c r="G4034" s="200" t="s">
        <v>4239</v>
      </c>
      <c r="H4034" s="213"/>
    </row>
    <row r="4035" spans="1:14">
      <c r="A4035" s="223" t="s">
        <v>4097</v>
      </c>
      <c r="B4035" s="72"/>
      <c r="C4035" s="72"/>
      <c r="D4035" s="73"/>
      <c r="E4035" s="78"/>
      <c r="F4035" s="79">
        <v>0</v>
      </c>
      <c r="G4035" s="80">
        <f>F4035*H4000</f>
        <v>0</v>
      </c>
      <c r="H4035" s="212"/>
    </row>
    <row r="4036" spans="1:14">
      <c r="A4036" s="224" t="s">
        <v>4240</v>
      </c>
      <c r="B4036" s="81"/>
      <c r="C4036" s="81"/>
      <c r="D4036" s="82"/>
      <c r="E4036" s="78"/>
      <c r="F4036" s="79">
        <v>0</v>
      </c>
      <c r="G4036" s="80">
        <f>F4036*H4000</f>
        <v>0</v>
      </c>
      <c r="H4036" s="212"/>
    </row>
    <row r="4037" spans="1:14">
      <c r="A4037" s="224" t="s">
        <v>4</v>
      </c>
      <c r="B4037" s="81"/>
      <c r="C4037" s="81"/>
      <c r="D4037" s="82"/>
      <c r="E4037" s="78"/>
      <c r="F4037" s="79">
        <v>0</v>
      </c>
      <c r="G4037" s="80">
        <f>F4037*H4000</f>
        <v>0</v>
      </c>
      <c r="H4037" s="212"/>
    </row>
    <row r="4038" spans="1:14">
      <c r="A4038" s="225"/>
      <c r="B4038" s="83"/>
      <c r="C4038" s="75"/>
      <c r="D4038" s="84"/>
      <c r="E4038" s="85"/>
      <c r="F4038" s="86"/>
      <c r="G4038" s="87"/>
      <c r="H4038" s="214"/>
    </row>
    <row r="4039" spans="1:14">
      <c r="A4039" s="226"/>
      <c r="B4039" s="83"/>
      <c r="C4039" s="83"/>
      <c r="D4039" s="84"/>
      <c r="E4039" s="88"/>
      <c r="F4039" s="563" t="s">
        <v>4241</v>
      </c>
      <c r="G4039" s="564"/>
      <c r="H4039" s="233">
        <f>H4000+G4035+G4036+G4037</f>
        <v>1537234.1131999998</v>
      </c>
    </row>
    <row r="4040" spans="1:14">
      <c r="A4040" s="83"/>
      <c r="B4040" s="83"/>
      <c r="C4040" s="83"/>
      <c r="D4040" s="84"/>
      <c r="E4040" s="388"/>
      <c r="F4040" s="389"/>
      <c r="G4040" s="389"/>
      <c r="H4040" s="390"/>
    </row>
    <row r="4041" spans="1:14" ht="16.5">
      <c r="A4041" s="90"/>
      <c r="B4041" s="90"/>
      <c r="C4041" s="90"/>
      <c r="D4041" s="90"/>
      <c r="E4041" s="90"/>
      <c r="F4041" s="90"/>
      <c r="G4041" s="90"/>
      <c r="H4041" s="381"/>
    </row>
    <row r="4042" spans="1:14">
      <c r="A4042" s="579" t="s">
        <v>4225</v>
      </c>
      <c r="B4042" s="580"/>
      <c r="C4042" s="580"/>
      <c r="D4042" s="580"/>
      <c r="E4042" s="580"/>
      <c r="F4042" s="580"/>
      <c r="G4042" s="580"/>
      <c r="H4042" s="581"/>
    </row>
    <row r="4043" spans="1:14" ht="16.5">
      <c r="A4043" s="91"/>
      <c r="B4043" s="92"/>
      <c r="C4043" s="92"/>
      <c r="D4043" s="92"/>
      <c r="E4043" s="92"/>
      <c r="F4043" s="93"/>
      <c r="G4043" s="94"/>
      <c r="H4043" s="380">
        <f>ROUND((34/60)/8,4)</f>
        <v>7.0800000000000002E-2</v>
      </c>
      <c r="I4043" s="115"/>
    </row>
    <row r="4044" spans="1:14">
      <c r="A4044" s="582" t="s">
        <v>4220</v>
      </c>
      <c r="B4044" s="584" t="str">
        <f>COSTOS!$C$14</f>
        <v>MODERNIZACION A TECNOLOGIA LED</v>
      </c>
      <c r="C4044" s="584"/>
      <c r="D4044" s="584"/>
      <c r="E4044" s="584"/>
      <c r="F4044" s="584"/>
      <c r="G4044" s="584"/>
      <c r="H4044" s="585" t="s">
        <v>4221</v>
      </c>
    </row>
    <row r="4045" spans="1:14">
      <c r="A4045" s="583"/>
      <c r="B4045" s="584"/>
      <c r="C4045" s="584"/>
      <c r="D4045" s="584"/>
      <c r="E4045" s="584"/>
      <c r="F4045" s="584"/>
      <c r="G4045" s="584"/>
      <c r="H4045" s="585"/>
    </row>
    <row r="4046" spans="1:14">
      <c r="A4046" s="583"/>
      <c r="B4046" s="584"/>
      <c r="C4046" s="584"/>
      <c r="D4046" s="584"/>
      <c r="E4046" s="584"/>
      <c r="F4046" s="584"/>
      <c r="G4046" s="584"/>
      <c r="H4046" s="585"/>
    </row>
    <row r="4047" spans="1:14" ht="15" customHeight="1">
      <c r="A4047" s="583"/>
      <c r="B4047" s="584"/>
      <c r="C4047" s="584"/>
      <c r="D4047" s="584"/>
      <c r="E4047" s="584"/>
      <c r="F4047" s="584"/>
      <c r="G4047" s="584"/>
      <c r="H4047" s="216">
        <f ca="1">TODAY()</f>
        <v>44889</v>
      </c>
      <c r="K4047" t="s">
        <v>4391</v>
      </c>
      <c r="L4047" t="s">
        <v>4392</v>
      </c>
      <c r="M4047" t="s">
        <v>4393</v>
      </c>
      <c r="N4047" t="s">
        <v>4394</v>
      </c>
    </row>
    <row r="4048" spans="1:14" ht="60.75" customHeight="1">
      <c r="A4048" s="228" t="s">
        <v>4222</v>
      </c>
      <c r="B4048" s="565" t="str">
        <f>COSTOS!$D$16</f>
        <v>Luminarias</v>
      </c>
      <c r="C4048" s="565"/>
      <c r="D4048" s="565"/>
      <c r="E4048" s="565"/>
      <c r="F4048" s="565"/>
      <c r="G4048" s="70" t="s">
        <v>4223</v>
      </c>
      <c r="H4048" s="391" t="s">
        <v>4978</v>
      </c>
      <c r="K4048" s="62">
        <f>H4073</f>
        <v>1694816.9210000001</v>
      </c>
      <c r="L4048" s="62">
        <f>H4083</f>
        <v>25469.875199999999</v>
      </c>
      <c r="M4048" s="62">
        <f>H4056</f>
        <v>4570.317</v>
      </c>
      <c r="N4048" s="62">
        <f>H4077</f>
        <v>4800</v>
      </c>
    </row>
    <row r="4049" spans="1:15" ht="43.15" customHeight="1">
      <c r="A4049" s="229" t="s">
        <v>4224</v>
      </c>
      <c r="B4049" s="566" t="str">
        <f>VLOOKUP(H4048,COSTOS!C:M,2,0)</f>
        <v>Luminaria led 150 w Agm</v>
      </c>
      <c r="C4049" s="567"/>
      <c r="D4049" s="567"/>
      <c r="E4049" s="568"/>
      <c r="F4049" s="71" t="s">
        <v>0</v>
      </c>
      <c r="G4049" s="356" t="str">
        <f>VLOOKUP(H4048,COSTOS!C:M,8,0)</f>
        <v>Und</v>
      </c>
      <c r="H4049" s="276"/>
      <c r="I4049" s="306"/>
      <c r="J4049" s="308"/>
      <c r="K4049" s="308"/>
      <c r="L4049" s="308"/>
    </row>
    <row r="4050" spans="1:15">
      <c r="A4050" s="230"/>
      <c r="B4050" s="112"/>
      <c r="C4050" s="112"/>
      <c r="D4050" s="112"/>
      <c r="E4050" s="113"/>
      <c r="F4050" s="114" t="s">
        <v>1</v>
      </c>
      <c r="G4050" s="356">
        <f>VLOOKUP(H4048,COSTOS!C:M,9,0)</f>
        <v>0</v>
      </c>
      <c r="H4050" s="357"/>
      <c r="I4050" s="307"/>
    </row>
    <row r="4051" spans="1:15" ht="16.5">
      <c r="A4051" s="231" t="s">
        <v>4226</v>
      </c>
      <c r="B4051" s="75"/>
      <c r="C4051" s="75"/>
      <c r="D4051" s="76"/>
      <c r="E4051" s="209"/>
      <c r="F4051" s="210"/>
      <c r="G4051" s="211" t="s">
        <v>4227</v>
      </c>
      <c r="H4051" s="217">
        <f>H4056+H4073+H4077+H4083</f>
        <v>1729657.1132</v>
      </c>
    </row>
    <row r="4052" spans="1:15" ht="39">
      <c r="A4052" s="569" t="s">
        <v>4224</v>
      </c>
      <c r="B4052" s="569"/>
      <c r="C4052" s="569"/>
      <c r="D4052" s="77" t="s">
        <v>0</v>
      </c>
      <c r="E4052" s="207" t="s">
        <v>4228</v>
      </c>
      <c r="F4052" s="208" t="s">
        <v>4215</v>
      </c>
      <c r="G4052" s="74" t="s">
        <v>2</v>
      </c>
      <c r="H4052" s="218" t="s">
        <v>4229</v>
      </c>
      <c r="K4052" s="309"/>
    </row>
    <row r="4053" spans="1:15">
      <c r="A4053" s="536" t="s">
        <v>3946</v>
      </c>
      <c r="B4053" s="570" t="str">
        <f>VLOOKUP(A4053,'Equip, Herr y Transp'!$B$2:$D$739,2,0)</f>
        <v>EQU</v>
      </c>
      <c r="C4053" s="570"/>
      <c r="D4053" s="95" t="str">
        <f>VLOOKUP(A4053,'Equip, Herr y Transp'!$B$2:$D$218,2,0)</f>
        <v>EQU</v>
      </c>
      <c r="E4053" s="95">
        <f>VLOOKUP(A4053,'Equip, Herr y Transp'!$B$2:$D$218,3,0)</f>
        <v>14130</v>
      </c>
      <c r="F4053" s="96">
        <f>H4043</f>
        <v>7.0800000000000002E-2</v>
      </c>
      <c r="G4053" s="122">
        <f>F4053*E4053</f>
        <v>1000.404</v>
      </c>
      <c r="H4053" s="118"/>
    </row>
    <row r="4054" spans="1:15">
      <c r="A4054" s="536" t="s">
        <v>3904</v>
      </c>
      <c r="B4054" s="570" t="str">
        <f>VLOOKUP(A4054,'Equip, Herr y Transp'!$B$2:$D$739,2,0)</f>
        <v>EQU</v>
      </c>
      <c r="C4054" s="570"/>
      <c r="D4054" s="95" t="str">
        <f>VLOOKUP(A4054,'Equip, Herr y Transp'!$B$2:$D$218,2,0)</f>
        <v>EQU</v>
      </c>
      <c r="E4054" s="95">
        <f>VLOOKUP(A4054,'Equip, Herr y Transp'!$B$2:$D$218,3,0)</f>
        <v>26672.5</v>
      </c>
      <c r="F4054" s="96">
        <f>H4043</f>
        <v>7.0800000000000002E-2</v>
      </c>
      <c r="G4054" s="122">
        <f>F4054*E4054</f>
        <v>1888.413</v>
      </c>
      <c r="H4054" s="117"/>
    </row>
    <row r="4055" spans="1:15">
      <c r="A4055" s="536" t="s">
        <v>3937</v>
      </c>
      <c r="B4055" s="570" t="str">
        <f>VLOOKUP(A4055,'Equip, Herr y Transp'!$B$2:$D$739,2,0)</f>
        <v>EQU</v>
      </c>
      <c r="C4055" s="570"/>
      <c r="D4055" s="95" t="str">
        <f>VLOOKUP(A4055,'Equip, Herr y Transp'!$B$2:$D$218,2,0)</f>
        <v>EQU</v>
      </c>
      <c r="E4055" s="95">
        <f>VLOOKUP(A4055,'Equip, Herr y Transp'!$B$2:$D$218,3,0)</f>
        <v>23750</v>
      </c>
      <c r="F4055" s="96">
        <f>H4043</f>
        <v>7.0800000000000002E-2</v>
      </c>
      <c r="G4055" s="122">
        <f>F4055*E4055</f>
        <v>1681.5</v>
      </c>
      <c r="H4055" s="117"/>
    </row>
    <row r="4056" spans="1:15" ht="16.5">
      <c r="A4056" s="540" t="s">
        <v>4100</v>
      </c>
      <c r="B4056" s="541"/>
      <c r="C4056" s="541"/>
      <c r="D4056" s="541"/>
      <c r="E4056" s="541"/>
      <c r="F4056" s="541"/>
      <c r="G4056" s="541"/>
      <c r="H4056" s="97">
        <f>SUM(G4053:G4055)</f>
        <v>4570.317</v>
      </c>
    </row>
    <row r="4057" spans="1:15" ht="16.5">
      <c r="A4057" s="571" t="s">
        <v>4230</v>
      </c>
      <c r="B4057" s="572"/>
      <c r="C4057" s="572"/>
      <c r="D4057" s="572"/>
      <c r="E4057" s="572"/>
      <c r="F4057" s="572"/>
      <c r="G4057" s="572"/>
      <c r="H4057" s="573"/>
      <c r="K4057" s="56"/>
      <c r="L4057" s="56"/>
      <c r="M4057" s="56"/>
      <c r="N4057" s="56"/>
      <c r="O4057" s="56"/>
    </row>
    <row r="4058" spans="1:15" ht="30" customHeight="1">
      <c r="A4058" s="574" t="s">
        <v>7</v>
      </c>
      <c r="B4058" s="575"/>
      <c r="C4058" s="109" t="s">
        <v>0</v>
      </c>
      <c r="D4058" s="110" t="s">
        <v>4098</v>
      </c>
      <c r="E4058" s="111" t="s">
        <v>1</v>
      </c>
      <c r="F4058" s="576" t="s">
        <v>4218</v>
      </c>
      <c r="G4058" s="576"/>
      <c r="H4058" s="215"/>
      <c r="K4058" s="56"/>
      <c r="L4058" s="56"/>
      <c r="M4058" s="56"/>
      <c r="N4058" s="56"/>
      <c r="O4058" s="56"/>
    </row>
    <row r="4059" spans="1:15">
      <c r="A4059" s="577" t="s">
        <v>4979</v>
      </c>
      <c r="B4059" s="578"/>
      <c r="C4059" s="98" t="str">
        <f>VLOOKUP(A4059,'Materiales '!$C$2:$F$1302,3,0)</f>
        <v>Und</v>
      </c>
      <c r="D4059" s="99">
        <f>VLOOKUP(A4059,'Materiales '!$C$2:$F$1302,4,0)</f>
        <v>1443172.5000000002</v>
      </c>
      <c r="E4059" s="100">
        <v>1</v>
      </c>
      <c r="F4059" s="538">
        <f>E4059*D4059</f>
        <v>1443172.5000000002</v>
      </c>
      <c r="G4059" s="539"/>
      <c r="H4059" s="121"/>
      <c r="I4059">
        <f>E4059*G4050</f>
        <v>0</v>
      </c>
      <c r="J4059" s="67"/>
      <c r="K4059" s="56"/>
      <c r="L4059" s="56"/>
      <c r="M4059" s="56"/>
      <c r="N4059" s="56"/>
      <c r="O4059" s="56"/>
    </row>
    <row r="4060" spans="1:15">
      <c r="A4060" s="577" t="s">
        <v>4214</v>
      </c>
      <c r="B4060" s="578"/>
      <c r="C4060" s="98" t="str">
        <f>VLOOKUP(A4060,'Materiales '!$C$2:$F$1302,3,0)</f>
        <v>Und</v>
      </c>
      <c r="D4060" s="99">
        <f>VLOOKUP(A4060,'Materiales '!$C$2:$F$1302,4,0)</f>
        <v>22848</v>
      </c>
      <c r="E4060" s="100">
        <v>1</v>
      </c>
      <c r="F4060" s="538">
        <f t="shared" ref="F4060:F4066" si="238">E4060*D4060</f>
        <v>22848</v>
      </c>
      <c r="G4060" s="539"/>
      <c r="H4060" s="121"/>
      <c r="I4060">
        <f>E4060*G4050</f>
        <v>0</v>
      </c>
      <c r="J4060" s="67"/>
      <c r="K4060" s="56"/>
      <c r="L4060" s="56"/>
      <c r="M4060" s="56"/>
      <c r="N4060" s="56"/>
      <c r="O4060" s="56"/>
    </row>
    <row r="4061" spans="1:15">
      <c r="A4061" s="536" t="s">
        <v>4479</v>
      </c>
      <c r="B4061" s="537" t="str">
        <f>VLOOKUP(A4061,'Materiales '!$C$2:$F$1302,3,0)</f>
        <v>Und</v>
      </c>
      <c r="C4061" s="98" t="str">
        <f>VLOOKUP(A4061,'Materiales '!$C$2:$F$1302,3,0)</f>
        <v>Und</v>
      </c>
      <c r="D4061" s="99">
        <f>VLOOKUP(A4061,'Materiales '!$C$2:$F$1302,4,0)</f>
        <v>18421.2</v>
      </c>
      <c r="E4061" s="100">
        <v>2</v>
      </c>
      <c r="F4061" s="538">
        <f t="shared" si="238"/>
        <v>36842.400000000001</v>
      </c>
      <c r="G4061" s="539"/>
      <c r="H4061" s="121"/>
      <c r="I4061">
        <f>E4061*G4050</f>
        <v>0</v>
      </c>
      <c r="J4061" s="68"/>
      <c r="K4061" s="56"/>
      <c r="L4061" s="56"/>
      <c r="M4061" s="56"/>
      <c r="N4061" s="56"/>
      <c r="O4061" s="56"/>
    </row>
    <row r="4062" spans="1:15">
      <c r="A4062" s="536" t="s">
        <v>4489</v>
      </c>
      <c r="B4062" s="537" t="str">
        <f>VLOOKUP(A4062,'Materiales '!$C$2:$F$1302,3,0)</f>
        <v>Und</v>
      </c>
      <c r="C4062" s="98" t="str">
        <f>VLOOKUP(A4062,'Materiales '!$C$2:$F$1302,3,0)</f>
        <v>Und</v>
      </c>
      <c r="D4062" s="99">
        <f>VLOOKUP(A4062,'Materiales '!$C$2:$F$1302,4,0)</f>
        <v>8039.6399999999994</v>
      </c>
      <c r="E4062" s="100">
        <v>3</v>
      </c>
      <c r="F4062" s="538">
        <f t="shared" si="238"/>
        <v>24118.92</v>
      </c>
      <c r="G4062" s="539"/>
      <c r="H4062" s="121"/>
      <c r="I4062">
        <f>E4062*G4050</f>
        <v>0</v>
      </c>
      <c r="J4062" s="68"/>
      <c r="K4062" s="56"/>
      <c r="L4062" s="56"/>
      <c r="M4062" s="56"/>
      <c r="N4062" s="56"/>
      <c r="O4062" s="56"/>
    </row>
    <row r="4063" spans="1:15">
      <c r="A4063" s="536" t="s">
        <v>4554</v>
      </c>
      <c r="B4063" s="537" t="str">
        <f>VLOOKUP(A4063,'Materiales '!$C$2:$F$1302,3,0)</f>
        <v>Und</v>
      </c>
      <c r="C4063" s="98" t="str">
        <f>VLOOKUP(A4063,'Materiales '!$C$2:$F$1302,3,0)</f>
        <v>Und</v>
      </c>
      <c r="D4063" s="99">
        <f>VLOOKUP(A4063,'Materiales '!$C$2:$F$1302,4,0)</f>
        <v>2535.5329999999999</v>
      </c>
      <c r="E4063" s="100">
        <v>1</v>
      </c>
      <c r="F4063" s="538">
        <f t="shared" si="238"/>
        <v>2535.5329999999999</v>
      </c>
      <c r="G4063" s="539"/>
      <c r="H4063" s="121"/>
      <c r="I4063">
        <f>E4063*G4050</f>
        <v>0</v>
      </c>
      <c r="J4063" s="68"/>
      <c r="K4063" s="56"/>
      <c r="L4063" s="56"/>
      <c r="M4063" s="56"/>
      <c r="N4063" s="56"/>
      <c r="O4063" s="56"/>
    </row>
    <row r="4064" spans="1:15">
      <c r="A4064" s="536" t="s">
        <v>4450</v>
      </c>
      <c r="B4064" s="537" t="str">
        <f>VLOOKUP(A4064,'Materiales '!$C$2:$F$1302,3,0)</f>
        <v>Ml</v>
      </c>
      <c r="C4064" s="98" t="str">
        <f>VLOOKUP(A4064,'Materiales '!$C$2:$F$1302,3,0)</f>
        <v>Ml</v>
      </c>
      <c r="D4064" s="99">
        <f>VLOOKUP(A4064,'Materiales '!$C$2:$F$1302,4,0)</f>
        <v>6791.5679999999993</v>
      </c>
      <c r="E4064" s="100">
        <v>1</v>
      </c>
      <c r="F4064" s="538">
        <f t="shared" si="238"/>
        <v>6791.5679999999993</v>
      </c>
      <c r="G4064" s="539"/>
      <c r="H4064" s="121"/>
      <c r="I4064">
        <f>E4064*G4050</f>
        <v>0</v>
      </c>
      <c r="J4064" s="68"/>
      <c r="K4064" s="56"/>
      <c r="L4064" s="56"/>
      <c r="M4064" s="56"/>
      <c r="N4064" s="56"/>
      <c r="O4064" s="56"/>
    </row>
    <row r="4065" spans="1:15">
      <c r="A4065" s="536" t="s">
        <v>4435</v>
      </c>
      <c r="B4065" s="537" t="str">
        <f>VLOOKUP(A4065,'Materiales '!$C$2:$F$1302,3,0)</f>
        <v>Und</v>
      </c>
      <c r="C4065" s="98" t="str">
        <f>VLOOKUP(A4065,'Materiales '!$C$2:$F$1302,3,0)</f>
        <v>Und</v>
      </c>
      <c r="D4065" s="99">
        <f>VLOOKUP(A4065,'Materiales '!$C$2:$F$1302,4,0)</f>
        <v>122808</v>
      </c>
      <c r="E4065" s="100">
        <v>1</v>
      </c>
      <c r="F4065" s="538">
        <f t="shared" si="238"/>
        <v>122808</v>
      </c>
      <c r="G4065" s="539"/>
      <c r="H4065" s="121"/>
      <c r="I4065">
        <f>E4065*G4050</f>
        <v>0</v>
      </c>
      <c r="J4065" s="68"/>
      <c r="K4065" s="56"/>
      <c r="L4065" s="56"/>
      <c r="M4065" s="56"/>
      <c r="N4065" s="56"/>
      <c r="O4065" s="56"/>
    </row>
    <row r="4066" spans="1:15" ht="21.75" customHeight="1">
      <c r="A4066" s="536" t="s">
        <v>4639</v>
      </c>
      <c r="B4066" s="537" t="str">
        <f>VLOOKUP(A4066,'Materiales '!$C$2:$F$1302,3,0)</f>
        <v>Und</v>
      </c>
      <c r="C4066" s="98" t="str">
        <f>VLOOKUP(A4066,'Materiales '!$C$2:$F$1302,3,0)</f>
        <v>Und</v>
      </c>
      <c r="D4066" s="99">
        <f>VLOOKUP(A4066,'Materiales '!$C$2:$F$1302,4,0)</f>
        <v>35700</v>
      </c>
      <c r="E4066" s="100">
        <v>1</v>
      </c>
      <c r="F4066" s="538">
        <f t="shared" si="238"/>
        <v>35700</v>
      </c>
      <c r="G4066" s="539"/>
      <c r="H4066" s="121"/>
      <c r="I4066">
        <f>E4066*G4050</f>
        <v>0</v>
      </c>
      <c r="J4066" s="68"/>
      <c r="K4066" s="56"/>
      <c r="L4066" s="56"/>
      <c r="M4066" s="56"/>
      <c r="N4066" s="56"/>
      <c r="O4066" s="56"/>
    </row>
    <row r="4067" spans="1:15">
      <c r="A4067" s="536" t="s">
        <v>8</v>
      </c>
      <c r="B4067" s="537" t="str">
        <f>VLOOKUP(A4067,'Materiales '!$C$2:$F$1302,3,0)</f>
        <v>-</v>
      </c>
      <c r="C4067" s="98" t="str">
        <f>VLOOKUP(A4067,'Materiales '!$C$2:$F$1302,3,0)</f>
        <v>-</v>
      </c>
      <c r="D4067" s="99">
        <f>VLOOKUP(A4067,'Materiales '!$C$2:$F$1302,4,0)</f>
        <v>0</v>
      </c>
      <c r="E4067" s="100"/>
      <c r="F4067" s="538">
        <f>E4067*D4067</f>
        <v>0</v>
      </c>
      <c r="G4067" s="539"/>
      <c r="H4067" s="120"/>
      <c r="I4067">
        <f>E4067*G4050</f>
        <v>0</v>
      </c>
      <c r="J4067" s="68"/>
      <c r="K4067" s="56"/>
      <c r="L4067" s="56"/>
      <c r="M4067" s="56"/>
      <c r="N4067" s="56"/>
      <c r="O4067" s="56"/>
    </row>
    <row r="4068" spans="1:15">
      <c r="A4068" s="536" t="s">
        <v>8</v>
      </c>
      <c r="B4068" s="537" t="str">
        <f>VLOOKUP(A4068,'Materiales '!$C$2:$F$1302,3,0)</f>
        <v>-</v>
      </c>
      <c r="C4068" s="98" t="str">
        <f>VLOOKUP(A4068,'Materiales '!$C$2:$F$1302,3,0)</f>
        <v>-</v>
      </c>
      <c r="D4068" s="99">
        <f>VLOOKUP(A4068,'Materiales '!$C$2:$F$1302,4,0)</f>
        <v>0</v>
      </c>
      <c r="E4068" s="100"/>
      <c r="F4068" s="538">
        <f t="shared" ref="F4068:F4071" si="239">E4068*D4068</f>
        <v>0</v>
      </c>
      <c r="G4068" s="539"/>
      <c r="H4068" s="121"/>
      <c r="I4068">
        <f>E4068*G4050</f>
        <v>0</v>
      </c>
      <c r="J4068" s="68"/>
      <c r="K4068" s="56"/>
      <c r="L4068" s="56"/>
      <c r="M4068" s="56"/>
      <c r="N4068" s="56"/>
      <c r="O4068" s="56"/>
    </row>
    <row r="4069" spans="1:15">
      <c r="A4069" s="536" t="s">
        <v>8</v>
      </c>
      <c r="B4069" s="537" t="str">
        <f>VLOOKUP(A4069,'Materiales '!$C$2:$F$1302,3,0)</f>
        <v>-</v>
      </c>
      <c r="C4069" s="98" t="str">
        <f>VLOOKUP(A4069,'Materiales '!$C$2:$F$1302,3,0)</f>
        <v>-</v>
      </c>
      <c r="D4069" s="99">
        <f>VLOOKUP(A4069,'Materiales '!$C$2:$F$1302,4,0)</f>
        <v>0</v>
      </c>
      <c r="E4069" s="100"/>
      <c r="F4069" s="538">
        <f t="shared" si="239"/>
        <v>0</v>
      </c>
      <c r="G4069" s="539"/>
      <c r="H4069" s="121"/>
      <c r="I4069">
        <f>E4069*G4050</f>
        <v>0</v>
      </c>
      <c r="J4069" s="68"/>
      <c r="K4069" s="56"/>
      <c r="L4069" s="56"/>
      <c r="M4069" s="56"/>
      <c r="N4069" s="56"/>
      <c r="O4069" s="56"/>
    </row>
    <row r="4070" spans="1:15">
      <c r="A4070" s="536" t="s">
        <v>8</v>
      </c>
      <c r="B4070" s="537" t="str">
        <f>VLOOKUP(A4070,'Materiales '!$C$2:$F$1302,3,0)</f>
        <v>-</v>
      </c>
      <c r="C4070" s="98" t="str">
        <f>VLOOKUP(A4070,'Materiales '!$C$2:$F$1302,3,0)</f>
        <v>-</v>
      </c>
      <c r="D4070" s="99">
        <f>VLOOKUP(A4070,'Materiales '!$C$2:$F$1302,4,0)</f>
        <v>0</v>
      </c>
      <c r="E4070" s="100"/>
      <c r="F4070" s="538">
        <f t="shared" si="239"/>
        <v>0</v>
      </c>
      <c r="G4070" s="539"/>
      <c r="H4070" s="121"/>
      <c r="I4070">
        <f>E4070*G4050</f>
        <v>0</v>
      </c>
      <c r="J4070" s="68"/>
      <c r="K4070" s="56"/>
      <c r="L4070" s="56"/>
      <c r="M4070" s="56"/>
      <c r="N4070" s="56"/>
      <c r="O4070" s="56"/>
    </row>
    <row r="4071" spans="1:15">
      <c r="A4071" s="536" t="s">
        <v>8</v>
      </c>
      <c r="B4071" s="537" t="str">
        <f>VLOOKUP(A4071,'Materiales '!$C$2:$F$1302,3,0)</f>
        <v>-</v>
      </c>
      <c r="C4071" s="98" t="str">
        <f>VLOOKUP(A4071,'Materiales '!$C$2:$F$1302,3,0)</f>
        <v>-</v>
      </c>
      <c r="D4071" s="99">
        <f>VLOOKUP(A4071,'Materiales '!$C$2:$F$1302,4,0)</f>
        <v>0</v>
      </c>
      <c r="E4071" s="100"/>
      <c r="F4071" s="538">
        <f t="shared" si="239"/>
        <v>0</v>
      </c>
      <c r="G4071" s="539"/>
      <c r="H4071" s="121"/>
      <c r="I4071">
        <f>E4071*G4050</f>
        <v>0</v>
      </c>
      <c r="J4071" s="68"/>
      <c r="K4071" s="56"/>
      <c r="L4071" s="56"/>
      <c r="M4071" s="56"/>
      <c r="N4071" s="56"/>
      <c r="O4071" s="56"/>
    </row>
    <row r="4072" spans="1:15">
      <c r="A4072" s="536" t="s">
        <v>8</v>
      </c>
      <c r="B4072" s="537" t="str">
        <f>VLOOKUP(A4072,'Materiales '!$C$2:$F$1302,3,0)</f>
        <v>-</v>
      </c>
      <c r="C4072" s="98" t="str">
        <f>VLOOKUP(A4072,'Materiales '!$C$2:$F$1302,3,0)</f>
        <v>-</v>
      </c>
      <c r="D4072" s="99">
        <f>VLOOKUP(A4072,'Materiales '!$C$2:$F$1302,4,0)</f>
        <v>0</v>
      </c>
      <c r="E4072" s="100"/>
      <c r="F4072" s="538">
        <f>E4072*D4072</f>
        <v>0</v>
      </c>
      <c r="G4072" s="539"/>
      <c r="H4072" s="120"/>
      <c r="I4072">
        <f>E4072*G4050</f>
        <v>0</v>
      </c>
      <c r="J4072" s="68"/>
      <c r="K4072" s="56"/>
      <c r="L4072" s="56"/>
      <c r="M4072" s="56"/>
      <c r="N4072" s="56"/>
      <c r="O4072" s="56"/>
    </row>
    <row r="4073" spans="1:15" ht="16.5">
      <c r="A4073" s="540" t="s">
        <v>4099</v>
      </c>
      <c r="B4073" s="541"/>
      <c r="C4073" s="541"/>
      <c r="D4073" s="541"/>
      <c r="E4073" s="541"/>
      <c r="F4073" s="541"/>
      <c r="G4073" s="542"/>
      <c r="H4073" s="116">
        <f>SUM(F4059:F4072)</f>
        <v>1694816.9210000001</v>
      </c>
      <c r="J4073" s="68"/>
      <c r="K4073" s="56"/>
      <c r="L4073" s="56"/>
      <c r="M4073" s="56"/>
      <c r="N4073" s="56"/>
      <c r="O4073" s="56"/>
    </row>
    <row r="4074" spans="1:15" ht="16.5">
      <c r="A4074" s="543" t="s">
        <v>4231</v>
      </c>
      <c r="B4074" s="544"/>
      <c r="C4074" s="544"/>
      <c r="D4074" s="544"/>
      <c r="E4074" s="545"/>
      <c r="F4074" s="544"/>
      <c r="G4074" s="544"/>
      <c r="H4074" s="546"/>
      <c r="J4074" s="68"/>
      <c r="K4074" s="56"/>
      <c r="L4074" s="56"/>
      <c r="M4074" s="56"/>
      <c r="N4074" s="56"/>
      <c r="O4074" s="56"/>
    </row>
    <row r="4075" spans="1:15">
      <c r="A4075" s="547" t="s">
        <v>7</v>
      </c>
      <c r="B4075" s="548"/>
      <c r="C4075" s="108" t="s">
        <v>4232</v>
      </c>
      <c r="D4075" s="107" t="s">
        <v>4233</v>
      </c>
      <c r="E4075" s="206" t="s">
        <v>4234</v>
      </c>
      <c r="F4075" s="549" t="s">
        <v>4218</v>
      </c>
      <c r="G4075" s="549"/>
      <c r="H4075" s="119"/>
      <c r="K4075" s="56"/>
      <c r="L4075" s="56"/>
      <c r="M4075" s="56"/>
      <c r="N4075" s="56"/>
      <c r="O4075" s="56"/>
    </row>
    <row r="4076" spans="1:15">
      <c r="A4076" s="550" t="s">
        <v>3928</v>
      </c>
      <c r="B4076" s="551"/>
      <c r="C4076" s="232">
        <v>1</v>
      </c>
      <c r="D4076" s="102">
        <v>0.03</v>
      </c>
      <c r="E4076" s="103">
        <f>VLOOKUP(A4076,'Equip, Herr y Transp'!$B$2:$D$218,3,0)</f>
        <v>160000</v>
      </c>
      <c r="F4076" s="552">
        <f>E4076*D4076*C4076</f>
        <v>4800</v>
      </c>
      <c r="G4076" s="553"/>
      <c r="H4076" s="117"/>
      <c r="M4076" s="56"/>
    </row>
    <row r="4077" spans="1:15" ht="16.5">
      <c r="A4077" s="554" t="s">
        <v>4216</v>
      </c>
      <c r="B4077" s="555"/>
      <c r="C4077" s="555"/>
      <c r="D4077" s="555"/>
      <c r="E4077" s="555"/>
      <c r="F4077" s="555"/>
      <c r="G4077" s="555"/>
      <c r="H4077" s="105">
        <f>F4076</f>
        <v>4800</v>
      </c>
    </row>
    <row r="4078" spans="1:15" ht="16.5">
      <c r="A4078" s="543" t="s">
        <v>4235</v>
      </c>
      <c r="B4078" s="544"/>
      <c r="C4078" s="544"/>
      <c r="D4078" s="544"/>
      <c r="E4078" s="544"/>
      <c r="F4078" s="544"/>
      <c r="G4078" s="544"/>
      <c r="H4078" s="546"/>
    </row>
    <row r="4079" spans="1:15">
      <c r="A4079" s="547" t="s">
        <v>7</v>
      </c>
      <c r="B4079" s="548"/>
      <c r="C4079" s="106" t="s">
        <v>1</v>
      </c>
      <c r="D4079" s="107" t="s">
        <v>4236</v>
      </c>
      <c r="E4079" s="108" t="s">
        <v>4215</v>
      </c>
      <c r="F4079" s="547" t="s">
        <v>5</v>
      </c>
      <c r="G4079" s="556"/>
      <c r="H4079" s="119"/>
    </row>
    <row r="4080" spans="1:15">
      <c r="A4080" s="550" t="s">
        <v>4196</v>
      </c>
      <c r="B4080" s="551"/>
      <c r="C4080" s="101">
        <v>1</v>
      </c>
      <c r="D4080" s="104">
        <f>VLOOKUP(A4080,'Mano Obra'!$B$2:$T$117,19,0)</f>
        <v>166624</v>
      </c>
      <c r="E4080" s="246">
        <f>H4043</f>
        <v>7.0800000000000002E-2</v>
      </c>
      <c r="F4080" s="538">
        <f>E4080*D4080*C4080</f>
        <v>11796.9792</v>
      </c>
      <c r="G4080" s="557"/>
      <c r="H4080" s="121"/>
      <c r="I4080" s="69"/>
      <c r="J4080" s="136">
        <f>((('Mano Obra'!$M$4/30)*F4080)/D4080)*G4050</f>
        <v>0</v>
      </c>
    </row>
    <row r="4081" spans="1:10">
      <c r="A4081" s="558" t="s">
        <v>4197</v>
      </c>
      <c r="B4081" s="559">
        <f>VLOOKUP(A4081,'Mano Obra'!$B$3:$D$290,2,0)</f>
        <v>2090000.0000000002</v>
      </c>
      <c r="C4081" s="101">
        <v>1</v>
      </c>
      <c r="D4081" s="104">
        <f>VLOOKUP(A4081,'Mano Obra'!$B$2:$T$117,19,0)</f>
        <v>120456</v>
      </c>
      <c r="E4081" s="246">
        <f>H4043</f>
        <v>7.0800000000000002E-2</v>
      </c>
      <c r="F4081" s="538">
        <f t="shared" ref="F4081:F4082" si="240">E4081*D4081*C4081</f>
        <v>8528.2847999999994</v>
      </c>
      <c r="G4081" s="557"/>
      <c r="H4081" s="121"/>
      <c r="J4081" s="136">
        <f>((('Mano Obra'!$M$5/30)*F4081)/D4081)*G4050</f>
        <v>0</v>
      </c>
    </row>
    <row r="4082" spans="1:10">
      <c r="A4082" s="558" t="s">
        <v>4186</v>
      </c>
      <c r="B4082" s="559">
        <f>VLOOKUP(A4082,'Mano Obra'!$B$3:$D$290,2,0)</f>
        <v>1100000</v>
      </c>
      <c r="C4082" s="101">
        <v>1</v>
      </c>
      <c r="D4082" s="104">
        <f>VLOOKUP(A4082,'Mano Obra'!$B$2:$T$117,19,0)</f>
        <v>72664</v>
      </c>
      <c r="E4082" s="246">
        <f>H4043</f>
        <v>7.0800000000000002E-2</v>
      </c>
      <c r="F4082" s="538">
        <f t="shared" si="240"/>
        <v>5144.6112000000003</v>
      </c>
      <c r="G4082" s="557"/>
      <c r="H4082" s="120"/>
      <c r="J4082" s="136">
        <f>((('Mano Obra'!$M$6/30)*F4082)/D4082)*G4050</f>
        <v>0</v>
      </c>
    </row>
    <row r="4083" spans="1:10" ht="16.5">
      <c r="A4083" s="560" t="s">
        <v>4101</v>
      </c>
      <c r="B4083" s="560"/>
      <c r="C4083" s="560"/>
      <c r="D4083" s="560"/>
      <c r="E4083" s="560"/>
      <c r="F4083" s="560"/>
      <c r="G4083" s="560"/>
      <c r="H4083" s="105">
        <f>SUM(F4080:F4082)</f>
        <v>25469.875199999999</v>
      </c>
      <c r="J4083" s="136"/>
    </row>
    <row r="4084" spans="1:10">
      <c r="A4084" s="227" t="s">
        <v>4237</v>
      </c>
      <c r="B4084" s="205"/>
      <c r="C4084" s="205"/>
      <c r="D4084" s="202"/>
      <c r="E4084" s="203"/>
      <c r="F4084" s="204"/>
      <c r="G4084" s="203"/>
      <c r="H4084" s="212"/>
    </row>
    <row r="4085" spans="1:10">
      <c r="A4085" s="561" t="s">
        <v>4224</v>
      </c>
      <c r="B4085" s="562"/>
      <c r="C4085" s="562"/>
      <c r="D4085" s="562"/>
      <c r="E4085" s="200"/>
      <c r="F4085" s="201" t="s">
        <v>4238</v>
      </c>
      <c r="G4085" s="200" t="s">
        <v>4239</v>
      </c>
      <c r="H4085" s="213"/>
    </row>
    <row r="4086" spans="1:10">
      <c r="A4086" s="223" t="s">
        <v>4097</v>
      </c>
      <c r="B4086" s="72"/>
      <c r="C4086" s="72"/>
      <c r="D4086" s="73"/>
      <c r="E4086" s="78"/>
      <c r="F4086" s="79">
        <v>0</v>
      </c>
      <c r="G4086" s="80">
        <f>F4086*H4051</f>
        <v>0</v>
      </c>
      <c r="H4086" s="212"/>
    </row>
    <row r="4087" spans="1:10">
      <c r="A4087" s="224" t="s">
        <v>4240</v>
      </c>
      <c r="B4087" s="81"/>
      <c r="C4087" s="81"/>
      <c r="D4087" s="82"/>
      <c r="E4087" s="78"/>
      <c r="F4087" s="79">
        <v>0</v>
      </c>
      <c r="G4087" s="80">
        <f>F4087*H4051</f>
        <v>0</v>
      </c>
      <c r="H4087" s="212"/>
    </row>
    <row r="4088" spans="1:10">
      <c r="A4088" s="224" t="s">
        <v>4</v>
      </c>
      <c r="B4088" s="81"/>
      <c r="C4088" s="81"/>
      <c r="D4088" s="82"/>
      <c r="E4088" s="78"/>
      <c r="F4088" s="79">
        <v>0</v>
      </c>
      <c r="G4088" s="80">
        <f>F4088*H4051</f>
        <v>0</v>
      </c>
      <c r="H4088" s="212"/>
    </row>
    <row r="4089" spans="1:10">
      <c r="A4089" s="225"/>
      <c r="B4089" s="83"/>
      <c r="C4089" s="75"/>
      <c r="D4089" s="84"/>
      <c r="E4089" s="85"/>
      <c r="F4089" s="86"/>
      <c r="G4089" s="87"/>
      <c r="H4089" s="214"/>
    </row>
    <row r="4090" spans="1:10">
      <c r="A4090" s="226"/>
      <c r="B4090" s="83"/>
      <c r="C4090" s="83"/>
      <c r="D4090" s="84"/>
      <c r="E4090" s="88"/>
      <c r="F4090" s="563" t="s">
        <v>4241</v>
      </c>
      <c r="G4090" s="564"/>
      <c r="H4090" s="233">
        <f>H4051+G4086+G4087+G4088</f>
        <v>1729657.1132</v>
      </c>
    </row>
    <row r="4091" spans="1:10">
      <c r="A4091" s="83"/>
      <c r="B4091" s="83"/>
      <c r="C4091" s="83"/>
      <c r="D4091" s="84"/>
      <c r="E4091" s="388"/>
      <c r="F4091" s="389"/>
      <c r="G4091" s="389"/>
      <c r="H4091" s="390"/>
    </row>
    <row r="4092" spans="1:10" ht="16.5">
      <c r="A4092" s="90"/>
      <c r="B4092" s="90"/>
      <c r="C4092" s="90"/>
      <c r="D4092" s="90"/>
      <c r="E4092" s="90"/>
      <c r="F4092" s="90"/>
      <c r="G4092" s="90"/>
      <c r="H4092" s="381"/>
    </row>
    <row r="4093" spans="1:10">
      <c r="A4093" s="579" t="s">
        <v>4225</v>
      </c>
      <c r="B4093" s="580"/>
      <c r="C4093" s="580"/>
      <c r="D4093" s="580"/>
      <c r="E4093" s="580"/>
      <c r="F4093" s="580"/>
      <c r="G4093" s="580"/>
      <c r="H4093" s="581"/>
    </row>
    <row r="4094" spans="1:10" ht="16.5">
      <c r="A4094" s="91"/>
      <c r="B4094" s="92"/>
      <c r="C4094" s="92"/>
      <c r="D4094" s="92"/>
      <c r="E4094" s="92"/>
      <c r="F4094" s="93"/>
      <c r="G4094" s="94"/>
      <c r="H4094" s="380">
        <f>ROUND((30/60)/8,4)</f>
        <v>6.25E-2</v>
      </c>
      <c r="I4094" s="115"/>
    </row>
    <row r="4095" spans="1:10">
      <c r="A4095" s="582" t="s">
        <v>4220</v>
      </c>
      <c r="B4095" s="584" t="str">
        <f>COSTOS!$C$14</f>
        <v>MODERNIZACION A TECNOLOGIA LED</v>
      </c>
      <c r="C4095" s="584"/>
      <c r="D4095" s="584"/>
      <c r="E4095" s="584"/>
      <c r="F4095" s="584"/>
      <c r="G4095" s="584"/>
      <c r="H4095" s="585" t="s">
        <v>4221</v>
      </c>
    </row>
    <row r="4096" spans="1:10">
      <c r="A4096" s="583"/>
      <c r="B4096" s="584"/>
      <c r="C4096" s="584"/>
      <c r="D4096" s="584"/>
      <c r="E4096" s="584"/>
      <c r="F4096" s="584"/>
      <c r="G4096" s="584"/>
      <c r="H4096" s="585"/>
    </row>
    <row r="4097" spans="1:15">
      <c r="A4097" s="583"/>
      <c r="B4097" s="584"/>
      <c r="C4097" s="584"/>
      <c r="D4097" s="584"/>
      <c r="E4097" s="584"/>
      <c r="F4097" s="584"/>
      <c r="G4097" s="584"/>
      <c r="H4097" s="585"/>
    </row>
    <row r="4098" spans="1:15" ht="15" customHeight="1">
      <c r="A4098" s="583"/>
      <c r="B4098" s="584"/>
      <c r="C4098" s="584"/>
      <c r="D4098" s="584"/>
      <c r="E4098" s="584"/>
      <c r="F4098" s="584"/>
      <c r="G4098" s="584"/>
      <c r="H4098" s="216">
        <f ca="1">TODAY()</f>
        <v>44889</v>
      </c>
      <c r="K4098" t="s">
        <v>4391</v>
      </c>
      <c r="L4098" t="s">
        <v>4392</v>
      </c>
      <c r="M4098" t="s">
        <v>4393</v>
      </c>
      <c r="N4098" t="s">
        <v>4394</v>
      </c>
    </row>
    <row r="4099" spans="1:15" ht="60.75" customHeight="1">
      <c r="A4099" s="228" t="s">
        <v>4222</v>
      </c>
      <c r="B4099" s="565" t="str">
        <f>COSTOS!$D$16</f>
        <v>Luminarias</v>
      </c>
      <c r="C4099" s="565"/>
      <c r="D4099" s="565"/>
      <c r="E4099" s="565"/>
      <c r="F4099" s="565"/>
      <c r="G4099" s="70" t="s">
        <v>4223</v>
      </c>
      <c r="H4099" s="387">
        <v>1.81</v>
      </c>
      <c r="K4099" s="62">
        <f>H4124</f>
        <v>5454726.0460000001</v>
      </c>
      <c r="L4099" s="62">
        <f>H4134</f>
        <v>22484</v>
      </c>
      <c r="M4099" s="62">
        <f>H4107</f>
        <v>4034.53125</v>
      </c>
      <c r="N4099" s="62">
        <f>H4128</f>
        <v>4800</v>
      </c>
    </row>
    <row r="4100" spans="1:15" ht="43.15" customHeight="1">
      <c r="A4100" s="229" t="s">
        <v>4224</v>
      </c>
      <c r="B4100" s="566" t="str">
        <f>VLOOKUP(H4099,COSTOS!C:M,2,0)</f>
        <v>Reflector Led de 500w</v>
      </c>
      <c r="C4100" s="567"/>
      <c r="D4100" s="567"/>
      <c r="E4100" s="568"/>
      <c r="F4100" s="71" t="s">
        <v>0</v>
      </c>
      <c r="G4100" s="356" t="str">
        <f>VLOOKUP(H4099,COSTOS!C:M,8,0)</f>
        <v>Und</v>
      </c>
      <c r="H4100" s="276"/>
      <c r="I4100" s="306"/>
      <c r="J4100" s="308"/>
      <c r="K4100" s="308"/>
      <c r="L4100" s="308"/>
    </row>
    <row r="4101" spans="1:15">
      <c r="A4101" s="230"/>
      <c r="B4101" s="112"/>
      <c r="C4101" s="112"/>
      <c r="D4101" s="112"/>
      <c r="E4101" s="113"/>
      <c r="F4101" s="114" t="s">
        <v>1</v>
      </c>
      <c r="G4101" s="356">
        <f>VLOOKUP(H4099,COSTOS!C:M,9,0)</f>
        <v>0</v>
      </c>
      <c r="H4101" s="357"/>
      <c r="I4101" s="307"/>
    </row>
    <row r="4102" spans="1:15" ht="16.5">
      <c r="A4102" s="231" t="s">
        <v>4226</v>
      </c>
      <c r="B4102" s="75"/>
      <c r="C4102" s="75"/>
      <c r="D4102" s="76"/>
      <c r="E4102" s="209"/>
      <c r="F4102" s="210"/>
      <c r="G4102" s="211" t="s">
        <v>4227</v>
      </c>
      <c r="H4102" s="217">
        <f>H4107+H4124+H4128+H4134</f>
        <v>5486044.5772500001</v>
      </c>
    </row>
    <row r="4103" spans="1:15" ht="39">
      <c r="A4103" s="569" t="s">
        <v>4224</v>
      </c>
      <c r="B4103" s="569"/>
      <c r="C4103" s="569"/>
      <c r="D4103" s="77" t="s">
        <v>0</v>
      </c>
      <c r="E4103" s="207" t="s">
        <v>4228</v>
      </c>
      <c r="F4103" s="208" t="s">
        <v>4215</v>
      </c>
      <c r="G4103" s="74" t="s">
        <v>2</v>
      </c>
      <c r="H4103" s="218" t="s">
        <v>4229</v>
      </c>
      <c r="K4103" s="309"/>
    </row>
    <row r="4104" spans="1:15">
      <c r="A4104" s="536" t="s">
        <v>3946</v>
      </c>
      <c r="B4104" s="570" t="str">
        <f>VLOOKUP(A4104,'Equip, Herr y Transp'!$B$2:$D$739,2,0)</f>
        <v>EQU</v>
      </c>
      <c r="C4104" s="570"/>
      <c r="D4104" s="95" t="str">
        <f>VLOOKUP(A4104,'Equip, Herr y Transp'!$B$2:$D$218,2,0)</f>
        <v>EQU</v>
      </c>
      <c r="E4104" s="95">
        <f>VLOOKUP(A4104,'Equip, Herr y Transp'!$B$2:$D$218,3,0)</f>
        <v>14130</v>
      </c>
      <c r="F4104" s="96">
        <f>H4094</f>
        <v>6.25E-2</v>
      </c>
      <c r="G4104" s="122">
        <f>F4104*E4104</f>
        <v>883.125</v>
      </c>
      <c r="H4104" s="118"/>
    </row>
    <row r="4105" spans="1:15">
      <c r="A4105" s="536" t="s">
        <v>3904</v>
      </c>
      <c r="B4105" s="570" t="str">
        <f>VLOOKUP(A4105,'Equip, Herr y Transp'!$B$2:$D$739,2,0)</f>
        <v>EQU</v>
      </c>
      <c r="C4105" s="570"/>
      <c r="D4105" s="95" t="str">
        <f>VLOOKUP(A4105,'Equip, Herr y Transp'!$B$2:$D$218,2,0)</f>
        <v>EQU</v>
      </c>
      <c r="E4105" s="95">
        <f>VLOOKUP(A4105,'Equip, Herr y Transp'!$B$2:$D$218,3,0)</f>
        <v>26672.5</v>
      </c>
      <c r="F4105" s="96">
        <f>H4094</f>
        <v>6.25E-2</v>
      </c>
      <c r="G4105" s="122">
        <f>F4105*E4105</f>
        <v>1667.03125</v>
      </c>
      <c r="H4105" s="117"/>
    </row>
    <row r="4106" spans="1:15">
      <c r="A4106" s="536" t="s">
        <v>3937</v>
      </c>
      <c r="B4106" s="570" t="str">
        <f>VLOOKUP(A4106,'Equip, Herr y Transp'!$B$2:$D$739,2,0)</f>
        <v>EQU</v>
      </c>
      <c r="C4106" s="570"/>
      <c r="D4106" s="95" t="str">
        <f>VLOOKUP(A4106,'Equip, Herr y Transp'!$B$2:$D$218,2,0)</f>
        <v>EQU</v>
      </c>
      <c r="E4106" s="95">
        <f>VLOOKUP(A4106,'Equip, Herr y Transp'!$B$2:$D$218,3,0)</f>
        <v>23750</v>
      </c>
      <c r="F4106" s="96">
        <f>H4094</f>
        <v>6.25E-2</v>
      </c>
      <c r="G4106" s="122">
        <f>F4106*E4106</f>
        <v>1484.375</v>
      </c>
      <c r="H4106" s="117"/>
    </row>
    <row r="4107" spans="1:15" ht="16.5">
      <c r="A4107" s="540" t="s">
        <v>4100</v>
      </c>
      <c r="B4107" s="541"/>
      <c r="C4107" s="541"/>
      <c r="D4107" s="541"/>
      <c r="E4107" s="541"/>
      <c r="F4107" s="541"/>
      <c r="G4107" s="541"/>
      <c r="H4107" s="97">
        <f>SUM(G4104:G4106)</f>
        <v>4034.53125</v>
      </c>
    </row>
    <row r="4108" spans="1:15" ht="16.5">
      <c r="A4108" s="571" t="s">
        <v>4230</v>
      </c>
      <c r="B4108" s="572"/>
      <c r="C4108" s="572"/>
      <c r="D4108" s="572"/>
      <c r="E4108" s="572"/>
      <c r="F4108" s="572"/>
      <c r="G4108" s="572"/>
      <c r="H4108" s="573"/>
      <c r="K4108" s="56"/>
      <c r="L4108" s="56"/>
      <c r="M4108" s="56"/>
      <c r="N4108" s="56"/>
      <c r="O4108" s="56"/>
    </row>
    <row r="4109" spans="1:15" ht="30" customHeight="1">
      <c r="A4109" s="574" t="s">
        <v>7</v>
      </c>
      <c r="B4109" s="575"/>
      <c r="C4109" s="109" t="s">
        <v>0</v>
      </c>
      <c r="D4109" s="110" t="s">
        <v>4098</v>
      </c>
      <c r="E4109" s="111" t="s">
        <v>1</v>
      </c>
      <c r="F4109" s="576" t="s">
        <v>4218</v>
      </c>
      <c r="G4109" s="576"/>
      <c r="H4109" s="215"/>
      <c r="K4109" s="56"/>
      <c r="L4109" s="56"/>
      <c r="M4109" s="56"/>
      <c r="N4109" s="56"/>
      <c r="O4109" s="56"/>
    </row>
    <row r="4110" spans="1:15">
      <c r="A4110" s="577" t="s">
        <v>4580</v>
      </c>
      <c r="B4110" s="578"/>
      <c r="C4110" s="98" t="str">
        <f>VLOOKUP(A4110,'Materiales '!$C$2:$F$1302,3,0)</f>
        <v>Und</v>
      </c>
      <c r="D4110" s="99">
        <f>VLOOKUP(A4110,'Materiales '!$C$2:$F$1302,4,0)</f>
        <v>5291632.5</v>
      </c>
      <c r="E4110" s="100">
        <v>1</v>
      </c>
      <c r="F4110" s="538">
        <f>E4110*D4110</f>
        <v>5291632.5</v>
      </c>
      <c r="G4110" s="539"/>
      <c r="H4110" s="121"/>
      <c r="I4110">
        <f>E4110*G4101</f>
        <v>0</v>
      </c>
      <c r="J4110" s="67"/>
      <c r="K4110" s="56"/>
      <c r="L4110" s="56"/>
      <c r="M4110" s="56"/>
      <c r="N4110" s="56"/>
      <c r="O4110" s="56"/>
    </row>
    <row r="4111" spans="1:15">
      <c r="A4111" s="577" t="s">
        <v>4214</v>
      </c>
      <c r="B4111" s="578"/>
      <c r="C4111" s="98" t="str">
        <f>VLOOKUP(A4111,'Materiales '!$C$2:$F$1302,3,0)</f>
        <v>Und</v>
      </c>
      <c r="D4111" s="99">
        <f>VLOOKUP(A4111,'Materiales '!$C$2:$F$1302,4,0)</f>
        <v>22848</v>
      </c>
      <c r="E4111" s="100">
        <v>1</v>
      </c>
      <c r="F4111" s="538">
        <f t="shared" ref="F4111:F4117" si="241">E4111*D4111</f>
        <v>22848</v>
      </c>
      <c r="G4111" s="539"/>
      <c r="H4111" s="121"/>
      <c r="I4111">
        <f>E4111*G4101</f>
        <v>0</v>
      </c>
      <c r="J4111" s="67"/>
      <c r="K4111" s="56"/>
      <c r="L4111" s="56"/>
      <c r="M4111" s="56"/>
      <c r="N4111" s="56"/>
      <c r="O4111" s="56"/>
    </row>
    <row r="4112" spans="1:15">
      <c r="A4112" s="536" t="s">
        <v>4484</v>
      </c>
      <c r="B4112" s="537" t="str">
        <f>VLOOKUP(A4112,'Materiales '!$C$2:$F$1302,3,0)</f>
        <v>Und</v>
      </c>
      <c r="C4112" s="98" t="str">
        <f>VLOOKUP(A4112,'Materiales '!$C$2:$F$1302,3,0)</f>
        <v>Und</v>
      </c>
      <c r="D4112" s="99">
        <f>VLOOKUP(A4112,'Materiales '!$C$2:$F$1302,4,0)</f>
        <v>21705.599999999999</v>
      </c>
      <c r="E4112" s="100">
        <v>2</v>
      </c>
      <c r="F4112" s="538">
        <f t="shared" si="241"/>
        <v>43411.199999999997</v>
      </c>
      <c r="G4112" s="539"/>
      <c r="H4112" s="121"/>
      <c r="I4112">
        <f>E4112*G4101</f>
        <v>0</v>
      </c>
      <c r="J4112" s="68"/>
      <c r="K4112" s="56"/>
      <c r="L4112" s="56"/>
      <c r="M4112" s="56"/>
      <c r="N4112" s="56"/>
      <c r="O4112" s="56"/>
    </row>
    <row r="4113" spans="1:15">
      <c r="A4113" s="536" t="s">
        <v>4489</v>
      </c>
      <c r="B4113" s="537" t="str">
        <f>VLOOKUP(A4113,'Materiales '!$C$2:$F$1302,3,0)</f>
        <v>Und</v>
      </c>
      <c r="C4113" s="98" t="str">
        <f>VLOOKUP(A4113,'Materiales '!$C$2:$F$1302,3,0)</f>
        <v>Und</v>
      </c>
      <c r="D4113" s="99">
        <f>VLOOKUP(A4113,'Materiales '!$C$2:$F$1302,4,0)</f>
        <v>8039.6399999999994</v>
      </c>
      <c r="E4113" s="100">
        <v>3</v>
      </c>
      <c r="F4113" s="538">
        <f t="shared" si="241"/>
        <v>24118.92</v>
      </c>
      <c r="G4113" s="539"/>
      <c r="H4113" s="121"/>
      <c r="I4113">
        <f>E4113*G4101</f>
        <v>0</v>
      </c>
      <c r="J4113" s="68"/>
      <c r="K4113" s="56"/>
      <c r="L4113" s="56"/>
      <c r="M4113" s="56"/>
      <c r="N4113" s="56"/>
      <c r="O4113" s="56"/>
    </row>
    <row r="4114" spans="1:15">
      <c r="A4114" s="536" t="s">
        <v>4554</v>
      </c>
      <c r="B4114" s="537" t="str">
        <f>VLOOKUP(A4114,'Materiales '!$C$2:$F$1302,3,0)</f>
        <v>Und</v>
      </c>
      <c r="C4114" s="98" t="str">
        <f>VLOOKUP(A4114,'Materiales '!$C$2:$F$1302,3,0)</f>
        <v>Und</v>
      </c>
      <c r="D4114" s="99">
        <f>VLOOKUP(A4114,'Materiales '!$C$2:$F$1302,4,0)</f>
        <v>2535.5329999999999</v>
      </c>
      <c r="E4114" s="100">
        <v>2</v>
      </c>
      <c r="F4114" s="538">
        <f t="shared" si="241"/>
        <v>5071.0659999999998</v>
      </c>
      <c r="G4114" s="539"/>
      <c r="H4114" s="121"/>
      <c r="I4114">
        <f>E4114*G4101</f>
        <v>0</v>
      </c>
      <c r="J4114" s="68"/>
      <c r="K4114" s="56"/>
      <c r="L4114" s="56"/>
      <c r="M4114" s="56"/>
      <c r="N4114" s="56"/>
      <c r="O4114" s="56"/>
    </row>
    <row r="4115" spans="1:15">
      <c r="A4115" s="536" t="s">
        <v>4450</v>
      </c>
      <c r="B4115" s="537" t="str">
        <f>VLOOKUP(A4115,'Materiales '!$C$2:$F$1302,3,0)</f>
        <v>Ml</v>
      </c>
      <c r="C4115" s="98" t="str">
        <f>VLOOKUP(A4115,'Materiales '!$C$2:$F$1302,3,0)</f>
        <v>Ml</v>
      </c>
      <c r="D4115" s="99">
        <f>VLOOKUP(A4115,'Materiales '!$C$2:$F$1302,4,0)</f>
        <v>6791.5679999999993</v>
      </c>
      <c r="E4115" s="100">
        <v>1</v>
      </c>
      <c r="F4115" s="538">
        <f t="shared" si="241"/>
        <v>6791.5679999999993</v>
      </c>
      <c r="G4115" s="539"/>
      <c r="H4115" s="121"/>
      <c r="I4115">
        <f>E4115*G4101</f>
        <v>0</v>
      </c>
      <c r="J4115" s="68"/>
      <c r="K4115" s="56"/>
      <c r="L4115" s="56"/>
      <c r="M4115" s="56"/>
      <c r="N4115" s="56"/>
      <c r="O4115" s="56"/>
    </row>
    <row r="4116" spans="1:15">
      <c r="A4116" s="536" t="s">
        <v>4493</v>
      </c>
      <c r="B4116" s="537" t="str">
        <f>VLOOKUP(A4116,'Materiales '!$C$2:$F$1302,3,0)</f>
        <v>Und</v>
      </c>
      <c r="C4116" s="98" t="str">
        <f>VLOOKUP(A4116,'Materiales '!$C$2:$F$1302,3,0)</f>
        <v>Und</v>
      </c>
      <c r="D4116" s="99">
        <f>VLOOKUP(A4116,'Materiales '!$C$2:$F$1302,4,0)</f>
        <v>232.76399999999998</v>
      </c>
      <c r="E4116" s="100">
        <v>3</v>
      </c>
      <c r="F4116" s="538">
        <f t="shared" si="241"/>
        <v>698.29199999999992</v>
      </c>
      <c r="G4116" s="539"/>
      <c r="H4116" s="121"/>
      <c r="I4116">
        <f>E4116*G4101</f>
        <v>0</v>
      </c>
      <c r="J4116" s="68"/>
      <c r="K4116" s="56"/>
      <c r="L4116" s="56"/>
      <c r="M4116" s="56"/>
      <c r="N4116" s="56"/>
      <c r="O4116" s="56"/>
    </row>
    <row r="4117" spans="1:15" ht="21.75" customHeight="1">
      <c r="A4117" s="536" t="s">
        <v>4498</v>
      </c>
      <c r="B4117" s="537" t="str">
        <f>VLOOKUP(A4117,'Materiales '!$C$2:$F$1302,3,0)</f>
        <v>Und</v>
      </c>
      <c r="C4117" s="98" t="str">
        <f>VLOOKUP(A4117,'Materiales '!$C$2:$F$1302,3,0)</f>
        <v>Und</v>
      </c>
      <c r="D4117" s="99">
        <f>VLOOKUP(A4117,'Materiales '!$C$2:$F$1302,4,0)</f>
        <v>120309</v>
      </c>
      <c r="E4117" s="100">
        <v>0.5</v>
      </c>
      <c r="F4117" s="538">
        <f t="shared" si="241"/>
        <v>60154.5</v>
      </c>
      <c r="G4117" s="539"/>
      <c r="H4117" s="121"/>
      <c r="I4117">
        <f>E4117*G4101</f>
        <v>0</v>
      </c>
      <c r="J4117" s="68"/>
      <c r="K4117" s="56"/>
      <c r="L4117" s="56"/>
      <c r="M4117" s="56"/>
      <c r="N4117" s="56"/>
      <c r="O4117" s="56"/>
    </row>
    <row r="4118" spans="1:15">
      <c r="A4118" s="536" t="s">
        <v>8</v>
      </c>
      <c r="B4118" s="537" t="str">
        <f>VLOOKUP(A4118,'Materiales '!$C$2:$F$1302,3,0)</f>
        <v>-</v>
      </c>
      <c r="C4118" s="98" t="str">
        <f>VLOOKUP(A4118,'Materiales '!$C$2:$F$1302,3,0)</f>
        <v>-</v>
      </c>
      <c r="D4118" s="99">
        <f>VLOOKUP(A4118,'Materiales '!$C$2:$F$1302,4,0)</f>
        <v>0</v>
      </c>
      <c r="E4118" s="100"/>
      <c r="F4118" s="538">
        <f>E4118*D4118</f>
        <v>0</v>
      </c>
      <c r="G4118" s="539"/>
      <c r="H4118" s="120"/>
      <c r="I4118">
        <f>E4118*G4101</f>
        <v>0</v>
      </c>
      <c r="J4118" s="68"/>
      <c r="K4118" s="56"/>
      <c r="L4118" s="56"/>
      <c r="M4118" s="56"/>
      <c r="N4118" s="56"/>
      <c r="O4118" s="56"/>
    </row>
    <row r="4119" spans="1:15">
      <c r="A4119" s="536" t="s">
        <v>8</v>
      </c>
      <c r="B4119" s="537" t="str">
        <f>VLOOKUP(A4119,'Materiales '!$C$2:$F$1302,3,0)</f>
        <v>-</v>
      </c>
      <c r="C4119" s="98" t="str">
        <f>VLOOKUP(A4119,'Materiales '!$C$2:$F$1302,3,0)</f>
        <v>-</v>
      </c>
      <c r="D4119" s="99">
        <f>VLOOKUP(A4119,'Materiales '!$C$2:$F$1302,4,0)</f>
        <v>0</v>
      </c>
      <c r="E4119" s="100"/>
      <c r="F4119" s="538">
        <f t="shared" ref="F4119:F4122" si="242">E4119*D4119</f>
        <v>0</v>
      </c>
      <c r="G4119" s="539"/>
      <c r="H4119" s="121"/>
      <c r="I4119">
        <f>E4119*G4101</f>
        <v>0</v>
      </c>
      <c r="J4119" s="68"/>
      <c r="K4119" s="56"/>
      <c r="L4119" s="56"/>
      <c r="M4119" s="56"/>
      <c r="N4119" s="56"/>
      <c r="O4119" s="56"/>
    </row>
    <row r="4120" spans="1:15">
      <c r="A4120" s="536" t="s">
        <v>8</v>
      </c>
      <c r="B4120" s="537" t="str">
        <f>VLOOKUP(A4120,'Materiales '!$C$2:$F$1302,3,0)</f>
        <v>-</v>
      </c>
      <c r="C4120" s="98" t="str">
        <f>VLOOKUP(A4120,'Materiales '!$C$2:$F$1302,3,0)</f>
        <v>-</v>
      </c>
      <c r="D4120" s="99">
        <f>VLOOKUP(A4120,'Materiales '!$C$2:$F$1302,4,0)</f>
        <v>0</v>
      </c>
      <c r="E4120" s="100"/>
      <c r="F4120" s="538">
        <f t="shared" si="242"/>
        <v>0</v>
      </c>
      <c r="G4120" s="539"/>
      <c r="H4120" s="121"/>
      <c r="I4120">
        <f>E4120*G4101</f>
        <v>0</v>
      </c>
      <c r="J4120" s="68"/>
      <c r="K4120" s="56"/>
      <c r="L4120" s="56"/>
      <c r="M4120" s="56"/>
      <c r="N4120" s="56"/>
      <c r="O4120" s="56"/>
    </row>
    <row r="4121" spans="1:15">
      <c r="A4121" s="536" t="s">
        <v>8</v>
      </c>
      <c r="B4121" s="537" t="str">
        <f>VLOOKUP(A4121,'Materiales '!$C$2:$F$1302,3,0)</f>
        <v>-</v>
      </c>
      <c r="C4121" s="98" t="str">
        <f>VLOOKUP(A4121,'Materiales '!$C$2:$F$1302,3,0)</f>
        <v>-</v>
      </c>
      <c r="D4121" s="99">
        <f>VLOOKUP(A4121,'Materiales '!$C$2:$F$1302,4,0)</f>
        <v>0</v>
      </c>
      <c r="E4121" s="100"/>
      <c r="F4121" s="538">
        <f t="shared" si="242"/>
        <v>0</v>
      </c>
      <c r="G4121" s="539"/>
      <c r="H4121" s="121"/>
      <c r="I4121">
        <f>E4121*G4101</f>
        <v>0</v>
      </c>
      <c r="J4121" s="68"/>
      <c r="K4121" s="56"/>
      <c r="L4121" s="56"/>
      <c r="M4121" s="56"/>
      <c r="N4121" s="56"/>
      <c r="O4121" s="56"/>
    </row>
    <row r="4122" spans="1:15">
      <c r="A4122" s="536" t="s">
        <v>8</v>
      </c>
      <c r="B4122" s="537" t="str">
        <f>VLOOKUP(A4122,'Materiales '!$C$2:$F$1302,3,0)</f>
        <v>-</v>
      </c>
      <c r="C4122" s="98" t="str">
        <f>VLOOKUP(A4122,'Materiales '!$C$2:$F$1302,3,0)</f>
        <v>-</v>
      </c>
      <c r="D4122" s="99">
        <f>VLOOKUP(A4122,'Materiales '!$C$2:$F$1302,4,0)</f>
        <v>0</v>
      </c>
      <c r="E4122" s="100"/>
      <c r="F4122" s="538">
        <f t="shared" si="242"/>
        <v>0</v>
      </c>
      <c r="G4122" s="539"/>
      <c r="H4122" s="121"/>
      <c r="I4122">
        <f>E4122*G4101</f>
        <v>0</v>
      </c>
      <c r="J4122" s="68"/>
      <c r="K4122" s="56"/>
      <c r="L4122" s="56"/>
      <c r="M4122" s="56"/>
      <c r="N4122" s="56"/>
      <c r="O4122" s="56"/>
    </row>
    <row r="4123" spans="1:15">
      <c r="A4123" s="536" t="s">
        <v>8</v>
      </c>
      <c r="B4123" s="537" t="str">
        <f>VLOOKUP(A4123,'Materiales '!$C$2:$F$1302,3,0)</f>
        <v>-</v>
      </c>
      <c r="C4123" s="98" t="str">
        <f>VLOOKUP(A4123,'Materiales '!$C$2:$F$1302,3,0)</f>
        <v>-</v>
      </c>
      <c r="D4123" s="99">
        <f>VLOOKUP(A4123,'Materiales '!$C$2:$F$1302,4,0)</f>
        <v>0</v>
      </c>
      <c r="E4123" s="100"/>
      <c r="F4123" s="538">
        <f>E4123*D4123</f>
        <v>0</v>
      </c>
      <c r="G4123" s="539"/>
      <c r="H4123" s="120"/>
      <c r="I4123">
        <f>E4123*G4101</f>
        <v>0</v>
      </c>
      <c r="J4123" s="68"/>
      <c r="K4123" s="56"/>
      <c r="L4123" s="56"/>
      <c r="M4123" s="56"/>
      <c r="N4123" s="56"/>
      <c r="O4123" s="56"/>
    </row>
    <row r="4124" spans="1:15" ht="16.5">
      <c r="A4124" s="540" t="s">
        <v>4099</v>
      </c>
      <c r="B4124" s="541"/>
      <c r="C4124" s="541"/>
      <c r="D4124" s="541"/>
      <c r="E4124" s="541"/>
      <c r="F4124" s="541"/>
      <c r="G4124" s="542"/>
      <c r="H4124" s="116">
        <f>SUM(F4110:F4123)</f>
        <v>5454726.0460000001</v>
      </c>
      <c r="J4124" s="68"/>
      <c r="K4124" s="56"/>
      <c r="L4124" s="56"/>
      <c r="M4124" s="56"/>
      <c r="N4124" s="56"/>
      <c r="O4124" s="56"/>
    </row>
    <row r="4125" spans="1:15" ht="16.5">
      <c r="A4125" s="543" t="s">
        <v>4231</v>
      </c>
      <c r="B4125" s="544"/>
      <c r="C4125" s="544"/>
      <c r="D4125" s="544"/>
      <c r="E4125" s="545"/>
      <c r="F4125" s="544"/>
      <c r="G4125" s="544"/>
      <c r="H4125" s="546"/>
      <c r="J4125" s="68"/>
      <c r="K4125" s="56"/>
      <c r="L4125" s="56"/>
      <c r="M4125" s="56"/>
      <c r="N4125" s="56"/>
      <c r="O4125" s="56"/>
    </row>
    <row r="4126" spans="1:15">
      <c r="A4126" s="547" t="s">
        <v>7</v>
      </c>
      <c r="B4126" s="548"/>
      <c r="C4126" s="108" t="s">
        <v>4232</v>
      </c>
      <c r="D4126" s="107" t="s">
        <v>4233</v>
      </c>
      <c r="E4126" s="206" t="s">
        <v>4234</v>
      </c>
      <c r="F4126" s="549" t="s">
        <v>4218</v>
      </c>
      <c r="G4126" s="549"/>
      <c r="H4126" s="119"/>
      <c r="K4126" s="56"/>
      <c r="L4126" s="56"/>
      <c r="M4126" s="56"/>
      <c r="N4126" s="56"/>
      <c r="O4126" s="56"/>
    </row>
    <row r="4127" spans="1:15">
      <c r="A4127" s="550" t="s">
        <v>3928</v>
      </c>
      <c r="B4127" s="551"/>
      <c r="C4127" s="232">
        <v>1</v>
      </c>
      <c r="D4127" s="102">
        <v>0.03</v>
      </c>
      <c r="E4127" s="103">
        <f>VLOOKUP(A4127,'Equip, Herr y Transp'!$B$2:$D$218,3,0)</f>
        <v>160000</v>
      </c>
      <c r="F4127" s="552">
        <f>E4127*D4127*C4127</f>
        <v>4800</v>
      </c>
      <c r="G4127" s="553"/>
      <c r="H4127" s="117"/>
      <c r="M4127" s="56"/>
    </row>
    <row r="4128" spans="1:15" ht="16.5">
      <c r="A4128" s="554" t="s">
        <v>4216</v>
      </c>
      <c r="B4128" s="555"/>
      <c r="C4128" s="555"/>
      <c r="D4128" s="555"/>
      <c r="E4128" s="555"/>
      <c r="F4128" s="555"/>
      <c r="G4128" s="555"/>
      <c r="H4128" s="105">
        <f>F4127</f>
        <v>4800</v>
      </c>
    </row>
    <row r="4129" spans="1:10" ht="16.5">
      <c r="A4129" s="543" t="s">
        <v>4235</v>
      </c>
      <c r="B4129" s="544"/>
      <c r="C4129" s="544"/>
      <c r="D4129" s="544"/>
      <c r="E4129" s="544"/>
      <c r="F4129" s="544"/>
      <c r="G4129" s="544"/>
      <c r="H4129" s="546"/>
    </row>
    <row r="4130" spans="1:10">
      <c r="A4130" s="547" t="s">
        <v>7</v>
      </c>
      <c r="B4130" s="548"/>
      <c r="C4130" s="106" t="s">
        <v>1</v>
      </c>
      <c r="D4130" s="107" t="s">
        <v>4236</v>
      </c>
      <c r="E4130" s="108" t="s">
        <v>4215</v>
      </c>
      <c r="F4130" s="547" t="s">
        <v>5</v>
      </c>
      <c r="G4130" s="556"/>
      <c r="H4130" s="119"/>
    </row>
    <row r="4131" spans="1:10">
      <c r="A4131" s="550" t="s">
        <v>4196</v>
      </c>
      <c r="B4131" s="551"/>
      <c r="C4131" s="101">
        <v>1</v>
      </c>
      <c r="D4131" s="104">
        <f>VLOOKUP(A4131,'Mano Obra'!$B$2:$T$117,19,0)</f>
        <v>166624</v>
      </c>
      <c r="E4131" s="246">
        <f>H4094</f>
        <v>6.25E-2</v>
      </c>
      <c r="F4131" s="538">
        <f>E4131*D4131*C4131</f>
        <v>10414</v>
      </c>
      <c r="G4131" s="557"/>
      <c r="H4131" s="121"/>
      <c r="I4131" s="69"/>
      <c r="J4131" s="136">
        <f>((('Mano Obra'!$M$4/30)*F4131)/D4131)*G4101</f>
        <v>0</v>
      </c>
    </row>
    <row r="4132" spans="1:10">
      <c r="A4132" s="558" t="s">
        <v>4197</v>
      </c>
      <c r="B4132" s="559">
        <f>VLOOKUP(A4132,'Mano Obra'!$B$3:$D$290,2,0)</f>
        <v>2090000.0000000002</v>
      </c>
      <c r="C4132" s="101">
        <v>1</v>
      </c>
      <c r="D4132" s="104">
        <f>VLOOKUP(A4132,'Mano Obra'!$B$2:$T$117,19,0)</f>
        <v>120456</v>
      </c>
      <c r="E4132" s="246">
        <f>H4094</f>
        <v>6.25E-2</v>
      </c>
      <c r="F4132" s="538">
        <f t="shared" ref="F4132:F4133" si="243">E4132*D4132*C4132</f>
        <v>7528.5</v>
      </c>
      <c r="G4132" s="557"/>
      <c r="H4132" s="121"/>
      <c r="J4132" s="136">
        <f>((('Mano Obra'!$M$5/30)*F4132)/D4132)*G4101</f>
        <v>0</v>
      </c>
    </row>
    <row r="4133" spans="1:10">
      <c r="A4133" s="558" t="s">
        <v>4186</v>
      </c>
      <c r="B4133" s="559">
        <f>VLOOKUP(A4133,'Mano Obra'!$B$3:$D$290,2,0)</f>
        <v>1100000</v>
      </c>
      <c r="C4133" s="101">
        <v>1</v>
      </c>
      <c r="D4133" s="104">
        <f>VLOOKUP(A4133,'Mano Obra'!$B$2:$T$117,19,0)</f>
        <v>72664</v>
      </c>
      <c r="E4133" s="246">
        <f>H4094</f>
        <v>6.25E-2</v>
      </c>
      <c r="F4133" s="538">
        <f t="shared" si="243"/>
        <v>4541.5</v>
      </c>
      <c r="G4133" s="557"/>
      <c r="H4133" s="120"/>
      <c r="J4133" s="136">
        <f>((('Mano Obra'!$M$6/30)*F4133)/D4133)*G4101</f>
        <v>0</v>
      </c>
    </row>
    <row r="4134" spans="1:10" ht="16.5">
      <c r="A4134" s="560" t="s">
        <v>4101</v>
      </c>
      <c r="B4134" s="560"/>
      <c r="C4134" s="560"/>
      <c r="D4134" s="560"/>
      <c r="E4134" s="560"/>
      <c r="F4134" s="560"/>
      <c r="G4134" s="560"/>
      <c r="H4134" s="105">
        <f>SUM(F4131:F4133)</f>
        <v>22484</v>
      </c>
      <c r="J4134" s="136"/>
    </row>
    <row r="4135" spans="1:10">
      <c r="A4135" s="227" t="s">
        <v>4237</v>
      </c>
      <c r="B4135" s="205"/>
      <c r="C4135" s="205"/>
      <c r="D4135" s="202"/>
      <c r="E4135" s="203"/>
      <c r="F4135" s="204"/>
      <c r="G4135" s="203"/>
      <c r="H4135" s="212"/>
    </row>
    <row r="4136" spans="1:10">
      <c r="A4136" s="561" t="s">
        <v>4224</v>
      </c>
      <c r="B4136" s="562"/>
      <c r="C4136" s="562"/>
      <c r="D4136" s="562"/>
      <c r="E4136" s="200"/>
      <c r="F4136" s="201" t="s">
        <v>4238</v>
      </c>
      <c r="G4136" s="200" t="s">
        <v>4239</v>
      </c>
      <c r="H4136" s="213"/>
    </row>
    <row r="4137" spans="1:10">
      <c r="A4137" s="223" t="s">
        <v>4097</v>
      </c>
      <c r="B4137" s="72"/>
      <c r="C4137" s="72"/>
      <c r="D4137" s="73"/>
      <c r="E4137" s="78"/>
      <c r="F4137" s="79">
        <v>0</v>
      </c>
      <c r="G4137" s="80">
        <f>F4137*H4102</f>
        <v>0</v>
      </c>
      <c r="H4137" s="212"/>
    </row>
    <row r="4138" spans="1:10">
      <c r="A4138" s="224" t="s">
        <v>4240</v>
      </c>
      <c r="B4138" s="81"/>
      <c r="C4138" s="81"/>
      <c r="D4138" s="82"/>
      <c r="E4138" s="78"/>
      <c r="F4138" s="79">
        <v>0</v>
      </c>
      <c r="G4138" s="80">
        <f>F4138*H4102</f>
        <v>0</v>
      </c>
      <c r="H4138" s="212"/>
    </row>
    <row r="4139" spans="1:10">
      <c r="A4139" s="224" t="s">
        <v>4</v>
      </c>
      <c r="B4139" s="81"/>
      <c r="C4139" s="81"/>
      <c r="D4139" s="82"/>
      <c r="E4139" s="78"/>
      <c r="F4139" s="79">
        <v>0</v>
      </c>
      <c r="G4139" s="80">
        <f>F4139*H4102</f>
        <v>0</v>
      </c>
      <c r="H4139" s="212"/>
    </row>
    <row r="4140" spans="1:10">
      <c r="A4140" s="225"/>
      <c r="B4140" s="83"/>
      <c r="C4140" s="75"/>
      <c r="D4140" s="84"/>
      <c r="E4140" s="85"/>
      <c r="F4140" s="86"/>
      <c r="G4140" s="87"/>
      <c r="H4140" s="214"/>
    </row>
    <row r="4141" spans="1:10">
      <c r="A4141" s="226"/>
      <c r="B4141" s="83"/>
      <c r="C4141" s="83"/>
      <c r="D4141" s="84"/>
      <c r="E4141" s="88"/>
      <c r="F4141" s="563" t="s">
        <v>4241</v>
      </c>
      <c r="G4141" s="564"/>
      <c r="H4141" s="233">
        <f>H4102+G4137+G4138+G4139</f>
        <v>5486044.5772500001</v>
      </c>
    </row>
    <row r="4142" spans="1:10">
      <c r="A4142" s="83"/>
      <c r="B4142" s="83"/>
      <c r="C4142" s="83"/>
      <c r="D4142" s="84"/>
      <c r="E4142" s="388"/>
      <c r="F4142" s="389"/>
      <c r="G4142" s="389"/>
      <c r="H4142" s="390"/>
    </row>
    <row r="4143" spans="1:10" ht="16.5">
      <c r="A4143" s="90"/>
      <c r="B4143" s="90"/>
      <c r="C4143" s="90"/>
      <c r="D4143" s="90"/>
      <c r="E4143" s="90"/>
      <c r="F4143" s="90"/>
      <c r="G4143" s="90"/>
      <c r="H4143" s="381"/>
    </row>
    <row r="4144" spans="1:10">
      <c r="A4144" s="579" t="s">
        <v>4225</v>
      </c>
      <c r="B4144" s="580"/>
      <c r="C4144" s="580"/>
      <c r="D4144" s="580"/>
      <c r="E4144" s="580"/>
      <c r="F4144" s="580"/>
      <c r="G4144" s="580"/>
      <c r="H4144" s="581"/>
    </row>
    <row r="4145" spans="1:15" ht="16.5">
      <c r="A4145" s="91"/>
      <c r="B4145" s="92"/>
      <c r="C4145" s="92"/>
      <c r="D4145" s="92"/>
      <c r="E4145" s="92"/>
      <c r="F4145" s="93"/>
      <c r="G4145" s="94"/>
      <c r="H4145" s="380">
        <f>ROUND((30/60)/8,4)</f>
        <v>6.25E-2</v>
      </c>
      <c r="I4145" s="115"/>
    </row>
    <row r="4146" spans="1:15">
      <c r="A4146" s="582" t="s">
        <v>4220</v>
      </c>
      <c r="B4146" s="584" t="str">
        <f>COSTOS!$C$14</f>
        <v>MODERNIZACION A TECNOLOGIA LED</v>
      </c>
      <c r="C4146" s="584"/>
      <c r="D4146" s="584"/>
      <c r="E4146" s="584"/>
      <c r="F4146" s="584"/>
      <c r="G4146" s="584"/>
      <c r="H4146" s="585" t="s">
        <v>4221</v>
      </c>
    </row>
    <row r="4147" spans="1:15">
      <c r="A4147" s="583"/>
      <c r="B4147" s="584"/>
      <c r="C4147" s="584"/>
      <c r="D4147" s="584"/>
      <c r="E4147" s="584"/>
      <c r="F4147" s="584"/>
      <c r="G4147" s="584"/>
      <c r="H4147" s="585"/>
    </row>
    <row r="4148" spans="1:15">
      <c r="A4148" s="583"/>
      <c r="B4148" s="584"/>
      <c r="C4148" s="584"/>
      <c r="D4148" s="584"/>
      <c r="E4148" s="584"/>
      <c r="F4148" s="584"/>
      <c r="G4148" s="584"/>
      <c r="H4148" s="585"/>
    </row>
    <row r="4149" spans="1:15" ht="15" customHeight="1">
      <c r="A4149" s="583"/>
      <c r="B4149" s="584"/>
      <c r="C4149" s="584"/>
      <c r="D4149" s="584"/>
      <c r="E4149" s="584"/>
      <c r="F4149" s="584"/>
      <c r="G4149" s="584"/>
      <c r="H4149" s="216">
        <f ca="1">TODAY()</f>
        <v>44889</v>
      </c>
      <c r="K4149" t="s">
        <v>4391</v>
      </c>
      <c r="L4149" t="s">
        <v>4392</v>
      </c>
      <c r="M4149" t="s">
        <v>4393</v>
      </c>
      <c r="N4149" t="s">
        <v>4394</v>
      </c>
    </row>
    <row r="4150" spans="1:15" ht="60.75" customHeight="1">
      <c r="A4150" s="228" t="s">
        <v>4222</v>
      </c>
      <c r="B4150" s="565" t="str">
        <f>COSTOS!$D$16</f>
        <v>Luminarias</v>
      </c>
      <c r="C4150" s="565"/>
      <c r="D4150" s="565"/>
      <c r="E4150" s="565"/>
      <c r="F4150" s="565"/>
      <c r="G4150" s="70" t="s">
        <v>4223</v>
      </c>
      <c r="H4150" s="387">
        <v>1.82</v>
      </c>
      <c r="K4150" s="62">
        <f>H4175</f>
        <v>1028997.0460000001</v>
      </c>
      <c r="L4150" s="62">
        <f>H4185</f>
        <v>22484</v>
      </c>
      <c r="M4150" s="62">
        <f>H4158</f>
        <v>4034.53125</v>
      </c>
      <c r="N4150" s="62">
        <f>H4179</f>
        <v>4800</v>
      </c>
    </row>
    <row r="4151" spans="1:15" ht="43.15" customHeight="1">
      <c r="A4151" s="229" t="s">
        <v>4224</v>
      </c>
      <c r="B4151" s="566" t="str">
        <f>VLOOKUP(H4150,COSTOS!C:M,2,0)</f>
        <v>Reflector Led de 70w agm</v>
      </c>
      <c r="C4151" s="567"/>
      <c r="D4151" s="567"/>
      <c r="E4151" s="568"/>
      <c r="F4151" s="71" t="s">
        <v>0</v>
      </c>
      <c r="G4151" s="356" t="str">
        <f>VLOOKUP(H4150,COSTOS!C:M,8,0)</f>
        <v>Und</v>
      </c>
      <c r="H4151" s="276"/>
      <c r="I4151" s="306"/>
      <c r="J4151" s="308"/>
      <c r="K4151" s="308"/>
      <c r="L4151" s="308"/>
    </row>
    <row r="4152" spans="1:15">
      <c r="A4152" s="230"/>
      <c r="B4152" s="112"/>
      <c r="C4152" s="112"/>
      <c r="D4152" s="112"/>
      <c r="E4152" s="113"/>
      <c r="F4152" s="114" t="s">
        <v>1</v>
      </c>
      <c r="G4152" s="356">
        <f>VLOOKUP(H4150,COSTOS!C:M,9,0)</f>
        <v>0</v>
      </c>
      <c r="H4152" s="357"/>
      <c r="I4152" s="307"/>
    </row>
    <row r="4153" spans="1:15" ht="16.5">
      <c r="A4153" s="231" t="s">
        <v>4226</v>
      </c>
      <c r="B4153" s="75"/>
      <c r="C4153" s="75"/>
      <c r="D4153" s="76"/>
      <c r="E4153" s="209"/>
      <c r="F4153" s="210"/>
      <c r="G4153" s="211" t="s">
        <v>4227</v>
      </c>
      <c r="H4153" s="217">
        <f>H4158+H4175+H4179+H4185</f>
        <v>1060315.5772500001</v>
      </c>
    </row>
    <row r="4154" spans="1:15" ht="39">
      <c r="A4154" s="569" t="s">
        <v>4224</v>
      </c>
      <c r="B4154" s="569"/>
      <c r="C4154" s="569"/>
      <c r="D4154" s="77" t="s">
        <v>0</v>
      </c>
      <c r="E4154" s="207" t="s">
        <v>4228</v>
      </c>
      <c r="F4154" s="208" t="s">
        <v>4215</v>
      </c>
      <c r="G4154" s="74" t="s">
        <v>2</v>
      </c>
      <c r="H4154" s="218" t="s">
        <v>4229</v>
      </c>
      <c r="K4154" s="309"/>
    </row>
    <row r="4155" spans="1:15">
      <c r="A4155" s="536" t="s">
        <v>3946</v>
      </c>
      <c r="B4155" s="570" t="str">
        <f>VLOOKUP(A4155,'Equip, Herr y Transp'!$B$2:$D$739,2,0)</f>
        <v>EQU</v>
      </c>
      <c r="C4155" s="570"/>
      <c r="D4155" s="95" t="str">
        <f>VLOOKUP(A4155,'Equip, Herr y Transp'!$B$2:$D$218,2,0)</f>
        <v>EQU</v>
      </c>
      <c r="E4155" s="95">
        <f>VLOOKUP(A4155,'Equip, Herr y Transp'!$B$2:$D$218,3,0)</f>
        <v>14130</v>
      </c>
      <c r="F4155" s="96">
        <f>H4145</f>
        <v>6.25E-2</v>
      </c>
      <c r="G4155" s="122">
        <f>F4155*E4155</f>
        <v>883.125</v>
      </c>
      <c r="H4155" s="118"/>
      <c r="L4155">
        <f>280/70</f>
        <v>4</v>
      </c>
    </row>
    <row r="4156" spans="1:15">
      <c r="A4156" s="536" t="s">
        <v>3904</v>
      </c>
      <c r="B4156" s="570" t="str">
        <f>VLOOKUP(A4156,'Equip, Herr y Transp'!$B$2:$D$739,2,0)</f>
        <v>EQU</v>
      </c>
      <c r="C4156" s="570"/>
      <c r="D4156" s="95" t="str">
        <f>VLOOKUP(A4156,'Equip, Herr y Transp'!$B$2:$D$218,2,0)</f>
        <v>EQU</v>
      </c>
      <c r="E4156" s="95">
        <f>VLOOKUP(A4156,'Equip, Herr y Transp'!$B$2:$D$218,3,0)</f>
        <v>26672.5</v>
      </c>
      <c r="F4156" s="96">
        <f>H4145</f>
        <v>6.25E-2</v>
      </c>
      <c r="G4156" s="122">
        <f>F4156*E4156</f>
        <v>1667.03125</v>
      </c>
      <c r="H4156" s="117"/>
    </row>
    <row r="4157" spans="1:15">
      <c r="A4157" s="536" t="s">
        <v>3937</v>
      </c>
      <c r="B4157" s="570" t="str">
        <f>VLOOKUP(A4157,'Equip, Herr y Transp'!$B$2:$D$739,2,0)</f>
        <v>EQU</v>
      </c>
      <c r="C4157" s="570"/>
      <c r="D4157" s="95" t="str">
        <f>VLOOKUP(A4157,'Equip, Herr y Transp'!$B$2:$D$218,2,0)</f>
        <v>EQU</v>
      </c>
      <c r="E4157" s="95">
        <f>VLOOKUP(A4157,'Equip, Herr y Transp'!$B$2:$D$218,3,0)</f>
        <v>23750</v>
      </c>
      <c r="F4157" s="96">
        <f>H4145</f>
        <v>6.25E-2</v>
      </c>
      <c r="G4157" s="122">
        <f>F4157*E4157</f>
        <v>1484.375</v>
      </c>
      <c r="H4157" s="117"/>
    </row>
    <row r="4158" spans="1:15" ht="16.5">
      <c r="A4158" s="540" t="s">
        <v>4100</v>
      </c>
      <c r="B4158" s="541"/>
      <c r="C4158" s="541"/>
      <c r="D4158" s="541"/>
      <c r="E4158" s="541"/>
      <c r="F4158" s="541"/>
      <c r="G4158" s="541"/>
      <c r="H4158" s="97">
        <f>SUM(G4155:G4157)</f>
        <v>4034.53125</v>
      </c>
    </row>
    <row r="4159" spans="1:15" ht="16.5">
      <c r="A4159" s="571" t="s">
        <v>4230</v>
      </c>
      <c r="B4159" s="572"/>
      <c r="C4159" s="572"/>
      <c r="D4159" s="572"/>
      <c r="E4159" s="572"/>
      <c r="F4159" s="572"/>
      <c r="G4159" s="572"/>
      <c r="H4159" s="573"/>
      <c r="K4159" s="56"/>
      <c r="L4159" s="56"/>
      <c r="M4159" s="56"/>
      <c r="N4159" s="56"/>
      <c r="O4159" s="56"/>
    </row>
    <row r="4160" spans="1:15" ht="30" customHeight="1">
      <c r="A4160" s="574" t="s">
        <v>7</v>
      </c>
      <c r="B4160" s="575"/>
      <c r="C4160" s="109" t="s">
        <v>0</v>
      </c>
      <c r="D4160" s="110" t="s">
        <v>4098</v>
      </c>
      <c r="E4160" s="111" t="s">
        <v>1</v>
      </c>
      <c r="F4160" s="576" t="s">
        <v>4218</v>
      </c>
      <c r="G4160" s="576"/>
      <c r="H4160" s="215"/>
      <c r="K4160" s="56"/>
      <c r="L4160" s="56"/>
      <c r="M4160" s="56"/>
      <c r="N4160" s="56"/>
      <c r="O4160" s="56"/>
    </row>
    <row r="4161" spans="1:15">
      <c r="A4161" s="577" t="s">
        <v>4986</v>
      </c>
      <c r="B4161" s="578"/>
      <c r="C4161" s="98" t="str">
        <f>VLOOKUP(A4161,'Materiales '!$C$2:$F$1302,3,0)</f>
        <v>Und</v>
      </c>
      <c r="D4161" s="99">
        <f>VLOOKUP(A4161,'Materiales '!$C$2:$F$1302,4,0)</f>
        <v>865903.50000000012</v>
      </c>
      <c r="E4161" s="100">
        <v>1</v>
      </c>
      <c r="F4161" s="538">
        <f>E4161*D4161</f>
        <v>865903.50000000012</v>
      </c>
      <c r="G4161" s="539"/>
      <c r="H4161" s="121"/>
      <c r="I4161">
        <f>E4161*G4152</f>
        <v>0</v>
      </c>
      <c r="J4161" s="67"/>
      <c r="K4161" s="56"/>
      <c r="L4161" s="56"/>
      <c r="M4161" s="56"/>
      <c r="N4161" s="56"/>
      <c r="O4161" s="56"/>
    </row>
    <row r="4162" spans="1:15">
      <c r="A4162" s="577" t="s">
        <v>4214</v>
      </c>
      <c r="B4162" s="578"/>
      <c r="C4162" s="98" t="str">
        <f>VLOOKUP(A4162,'Materiales '!$C$2:$F$1302,3,0)</f>
        <v>Und</v>
      </c>
      <c r="D4162" s="99">
        <f>VLOOKUP(A4162,'Materiales '!$C$2:$F$1302,4,0)</f>
        <v>22848</v>
      </c>
      <c r="E4162" s="100">
        <v>1</v>
      </c>
      <c r="F4162" s="538">
        <f t="shared" ref="F4162:F4168" si="244">E4162*D4162</f>
        <v>22848</v>
      </c>
      <c r="G4162" s="539"/>
      <c r="H4162" s="121"/>
      <c r="I4162">
        <f>E4162*G4152</f>
        <v>0</v>
      </c>
      <c r="J4162" s="67"/>
      <c r="K4162" s="56"/>
      <c r="L4162" s="56"/>
      <c r="M4162" s="56"/>
      <c r="N4162" s="56"/>
      <c r="O4162" s="56"/>
    </row>
    <row r="4163" spans="1:15">
      <c r="A4163" s="536" t="s">
        <v>4484</v>
      </c>
      <c r="B4163" s="537" t="str">
        <f>VLOOKUP(A4163,'Materiales '!$C$2:$F$1302,3,0)</f>
        <v>Und</v>
      </c>
      <c r="C4163" s="98" t="str">
        <f>VLOOKUP(A4163,'Materiales '!$C$2:$F$1302,3,0)</f>
        <v>Und</v>
      </c>
      <c r="D4163" s="99">
        <f>VLOOKUP(A4163,'Materiales '!$C$2:$F$1302,4,0)</f>
        <v>21705.599999999999</v>
      </c>
      <c r="E4163" s="100">
        <v>2</v>
      </c>
      <c r="F4163" s="538">
        <f t="shared" si="244"/>
        <v>43411.199999999997</v>
      </c>
      <c r="G4163" s="539"/>
      <c r="H4163" s="121"/>
      <c r="I4163">
        <f>E4163*G4152</f>
        <v>0</v>
      </c>
      <c r="J4163" s="68"/>
      <c r="K4163" s="56"/>
      <c r="L4163" s="56"/>
      <c r="M4163" s="56"/>
      <c r="N4163" s="56"/>
      <c r="O4163" s="56"/>
    </row>
    <row r="4164" spans="1:15">
      <c r="A4164" s="536" t="s">
        <v>4489</v>
      </c>
      <c r="B4164" s="537" t="str">
        <f>VLOOKUP(A4164,'Materiales '!$C$2:$F$1302,3,0)</f>
        <v>Und</v>
      </c>
      <c r="C4164" s="98" t="str">
        <f>VLOOKUP(A4164,'Materiales '!$C$2:$F$1302,3,0)</f>
        <v>Und</v>
      </c>
      <c r="D4164" s="99">
        <f>VLOOKUP(A4164,'Materiales '!$C$2:$F$1302,4,0)</f>
        <v>8039.6399999999994</v>
      </c>
      <c r="E4164" s="100">
        <v>3</v>
      </c>
      <c r="F4164" s="538">
        <f t="shared" si="244"/>
        <v>24118.92</v>
      </c>
      <c r="G4164" s="539"/>
      <c r="H4164" s="121"/>
      <c r="I4164">
        <f>E4164*G4152</f>
        <v>0</v>
      </c>
      <c r="J4164" s="68"/>
      <c r="K4164" s="56"/>
      <c r="L4164" s="56"/>
      <c r="M4164" s="56"/>
      <c r="N4164" s="56"/>
      <c r="O4164" s="56"/>
    </row>
    <row r="4165" spans="1:15">
      <c r="A4165" s="536" t="s">
        <v>4554</v>
      </c>
      <c r="B4165" s="537" t="str">
        <f>VLOOKUP(A4165,'Materiales '!$C$2:$F$1302,3,0)</f>
        <v>Und</v>
      </c>
      <c r="C4165" s="98" t="str">
        <f>VLOOKUP(A4165,'Materiales '!$C$2:$F$1302,3,0)</f>
        <v>Und</v>
      </c>
      <c r="D4165" s="99">
        <f>VLOOKUP(A4165,'Materiales '!$C$2:$F$1302,4,0)</f>
        <v>2535.5329999999999</v>
      </c>
      <c r="E4165" s="100">
        <v>2</v>
      </c>
      <c r="F4165" s="538">
        <f t="shared" si="244"/>
        <v>5071.0659999999998</v>
      </c>
      <c r="G4165" s="539"/>
      <c r="H4165" s="121"/>
      <c r="I4165">
        <f>E4165*G4152</f>
        <v>0</v>
      </c>
      <c r="J4165" s="68"/>
      <c r="K4165" s="56"/>
      <c r="L4165" s="56"/>
      <c r="M4165" s="56"/>
      <c r="N4165" s="56"/>
      <c r="O4165" s="56"/>
    </row>
    <row r="4166" spans="1:15">
      <c r="A4166" s="536" t="s">
        <v>4450</v>
      </c>
      <c r="B4166" s="537" t="str">
        <f>VLOOKUP(A4166,'Materiales '!$C$2:$F$1302,3,0)</f>
        <v>Ml</v>
      </c>
      <c r="C4166" s="98" t="str">
        <f>VLOOKUP(A4166,'Materiales '!$C$2:$F$1302,3,0)</f>
        <v>Ml</v>
      </c>
      <c r="D4166" s="99">
        <f>VLOOKUP(A4166,'Materiales '!$C$2:$F$1302,4,0)</f>
        <v>6791.5679999999993</v>
      </c>
      <c r="E4166" s="100">
        <v>1</v>
      </c>
      <c r="F4166" s="538">
        <f t="shared" si="244"/>
        <v>6791.5679999999993</v>
      </c>
      <c r="G4166" s="539"/>
      <c r="H4166" s="121"/>
      <c r="I4166">
        <f>E4166*G4152</f>
        <v>0</v>
      </c>
      <c r="J4166" s="68"/>
      <c r="K4166" s="56"/>
      <c r="L4166" s="56"/>
      <c r="M4166" s="56"/>
      <c r="N4166" s="56"/>
      <c r="O4166" s="56"/>
    </row>
    <row r="4167" spans="1:15">
      <c r="A4167" s="536" t="s">
        <v>4493</v>
      </c>
      <c r="B4167" s="537" t="str">
        <f>VLOOKUP(A4167,'Materiales '!$C$2:$F$1302,3,0)</f>
        <v>Und</v>
      </c>
      <c r="C4167" s="98" t="str">
        <f>VLOOKUP(A4167,'Materiales '!$C$2:$F$1302,3,0)</f>
        <v>Und</v>
      </c>
      <c r="D4167" s="99">
        <f>VLOOKUP(A4167,'Materiales '!$C$2:$F$1302,4,0)</f>
        <v>232.76399999999998</v>
      </c>
      <c r="E4167" s="100">
        <v>3</v>
      </c>
      <c r="F4167" s="538">
        <f t="shared" si="244"/>
        <v>698.29199999999992</v>
      </c>
      <c r="G4167" s="539"/>
      <c r="H4167" s="121"/>
      <c r="I4167">
        <f>E4167*G4152</f>
        <v>0</v>
      </c>
      <c r="J4167" s="68"/>
      <c r="K4167" s="56"/>
      <c r="L4167" s="56"/>
      <c r="M4167" s="56"/>
      <c r="N4167" s="56"/>
      <c r="O4167" s="56"/>
    </row>
    <row r="4168" spans="1:15" ht="21.75" customHeight="1">
      <c r="A4168" s="536" t="s">
        <v>4498</v>
      </c>
      <c r="B4168" s="537" t="str">
        <f>VLOOKUP(A4168,'Materiales '!$C$2:$F$1302,3,0)</f>
        <v>Und</v>
      </c>
      <c r="C4168" s="98" t="str">
        <f>VLOOKUP(A4168,'Materiales '!$C$2:$F$1302,3,0)</f>
        <v>Und</v>
      </c>
      <c r="D4168" s="99">
        <f>VLOOKUP(A4168,'Materiales '!$C$2:$F$1302,4,0)</f>
        <v>120309</v>
      </c>
      <c r="E4168" s="100">
        <v>0.5</v>
      </c>
      <c r="F4168" s="538">
        <f t="shared" si="244"/>
        <v>60154.5</v>
      </c>
      <c r="G4168" s="539"/>
      <c r="H4168" s="121"/>
      <c r="I4168">
        <f>E4168*G4152</f>
        <v>0</v>
      </c>
      <c r="J4168" s="68"/>
      <c r="K4168" s="56"/>
      <c r="L4168" s="56"/>
      <c r="M4168" s="56"/>
      <c r="N4168" s="56"/>
      <c r="O4168" s="56"/>
    </row>
    <row r="4169" spans="1:15">
      <c r="A4169" s="536" t="s">
        <v>8</v>
      </c>
      <c r="B4169" s="537" t="str">
        <f>VLOOKUP(A4169,'Materiales '!$C$2:$F$1302,3,0)</f>
        <v>-</v>
      </c>
      <c r="C4169" s="98" t="str">
        <f>VLOOKUP(A4169,'Materiales '!$C$2:$F$1302,3,0)</f>
        <v>-</v>
      </c>
      <c r="D4169" s="99">
        <f>VLOOKUP(A4169,'Materiales '!$C$2:$F$1302,4,0)</f>
        <v>0</v>
      </c>
      <c r="E4169" s="100"/>
      <c r="F4169" s="538">
        <f>E4169*D4169</f>
        <v>0</v>
      </c>
      <c r="G4169" s="539"/>
      <c r="H4169" s="120"/>
      <c r="I4169">
        <f>E4169*G4152</f>
        <v>0</v>
      </c>
      <c r="J4169" s="68"/>
      <c r="K4169" s="56"/>
      <c r="L4169" s="56"/>
      <c r="M4169" s="56"/>
      <c r="N4169" s="56"/>
      <c r="O4169" s="56"/>
    </row>
    <row r="4170" spans="1:15">
      <c r="A4170" s="536" t="s">
        <v>8</v>
      </c>
      <c r="B4170" s="537" t="str">
        <f>VLOOKUP(A4170,'Materiales '!$C$2:$F$1302,3,0)</f>
        <v>-</v>
      </c>
      <c r="C4170" s="98" t="str">
        <f>VLOOKUP(A4170,'Materiales '!$C$2:$F$1302,3,0)</f>
        <v>-</v>
      </c>
      <c r="D4170" s="99">
        <f>VLOOKUP(A4170,'Materiales '!$C$2:$F$1302,4,0)</f>
        <v>0</v>
      </c>
      <c r="E4170" s="100"/>
      <c r="F4170" s="538">
        <f t="shared" ref="F4170:F4173" si="245">E4170*D4170</f>
        <v>0</v>
      </c>
      <c r="G4170" s="539"/>
      <c r="H4170" s="121"/>
      <c r="I4170">
        <f>E4170*G4152</f>
        <v>0</v>
      </c>
      <c r="J4170" s="68"/>
      <c r="K4170" s="56"/>
      <c r="L4170" s="56"/>
      <c r="M4170" s="56"/>
      <c r="N4170" s="56"/>
      <c r="O4170" s="56"/>
    </row>
    <row r="4171" spans="1:15">
      <c r="A4171" s="536" t="s">
        <v>8</v>
      </c>
      <c r="B4171" s="537" t="str">
        <f>VLOOKUP(A4171,'Materiales '!$C$2:$F$1302,3,0)</f>
        <v>-</v>
      </c>
      <c r="C4171" s="98" t="str">
        <f>VLOOKUP(A4171,'Materiales '!$C$2:$F$1302,3,0)</f>
        <v>-</v>
      </c>
      <c r="D4171" s="99">
        <f>VLOOKUP(A4171,'Materiales '!$C$2:$F$1302,4,0)</f>
        <v>0</v>
      </c>
      <c r="E4171" s="100"/>
      <c r="F4171" s="538">
        <f t="shared" si="245"/>
        <v>0</v>
      </c>
      <c r="G4171" s="539"/>
      <c r="H4171" s="121"/>
      <c r="I4171">
        <f>E4171*G4152</f>
        <v>0</v>
      </c>
      <c r="J4171" s="68"/>
      <c r="K4171" s="56"/>
      <c r="L4171" s="56"/>
      <c r="M4171" s="56"/>
      <c r="N4171" s="56"/>
      <c r="O4171" s="56"/>
    </row>
    <row r="4172" spans="1:15">
      <c r="A4172" s="536" t="s">
        <v>8</v>
      </c>
      <c r="B4172" s="537" t="str">
        <f>VLOOKUP(A4172,'Materiales '!$C$2:$F$1302,3,0)</f>
        <v>-</v>
      </c>
      <c r="C4172" s="98" t="str">
        <f>VLOOKUP(A4172,'Materiales '!$C$2:$F$1302,3,0)</f>
        <v>-</v>
      </c>
      <c r="D4172" s="99">
        <f>VLOOKUP(A4172,'Materiales '!$C$2:$F$1302,4,0)</f>
        <v>0</v>
      </c>
      <c r="E4172" s="100"/>
      <c r="F4172" s="538">
        <f t="shared" si="245"/>
        <v>0</v>
      </c>
      <c r="G4172" s="539"/>
      <c r="H4172" s="121"/>
      <c r="I4172">
        <f>E4172*G4152</f>
        <v>0</v>
      </c>
      <c r="J4172" s="68"/>
      <c r="K4172" s="56"/>
      <c r="L4172" s="56"/>
      <c r="M4172" s="56"/>
      <c r="N4172" s="56"/>
      <c r="O4172" s="56"/>
    </row>
    <row r="4173" spans="1:15">
      <c r="A4173" s="536" t="s">
        <v>8</v>
      </c>
      <c r="B4173" s="537" t="str">
        <f>VLOOKUP(A4173,'Materiales '!$C$2:$F$1302,3,0)</f>
        <v>-</v>
      </c>
      <c r="C4173" s="98" t="str">
        <f>VLOOKUP(A4173,'Materiales '!$C$2:$F$1302,3,0)</f>
        <v>-</v>
      </c>
      <c r="D4173" s="99">
        <f>VLOOKUP(A4173,'Materiales '!$C$2:$F$1302,4,0)</f>
        <v>0</v>
      </c>
      <c r="E4173" s="100"/>
      <c r="F4173" s="538">
        <f t="shared" si="245"/>
        <v>0</v>
      </c>
      <c r="G4173" s="539"/>
      <c r="H4173" s="121"/>
      <c r="I4173">
        <f>E4173*G4152</f>
        <v>0</v>
      </c>
      <c r="J4173" s="68"/>
      <c r="K4173" s="56"/>
      <c r="L4173" s="56"/>
      <c r="M4173" s="56"/>
      <c r="N4173" s="56"/>
      <c r="O4173" s="56"/>
    </row>
    <row r="4174" spans="1:15">
      <c r="A4174" s="536" t="s">
        <v>8</v>
      </c>
      <c r="B4174" s="537" t="str">
        <f>VLOOKUP(A4174,'Materiales '!$C$2:$F$1302,3,0)</f>
        <v>-</v>
      </c>
      <c r="C4174" s="98" t="str">
        <f>VLOOKUP(A4174,'Materiales '!$C$2:$F$1302,3,0)</f>
        <v>-</v>
      </c>
      <c r="D4174" s="99">
        <f>VLOOKUP(A4174,'Materiales '!$C$2:$F$1302,4,0)</f>
        <v>0</v>
      </c>
      <c r="E4174" s="100"/>
      <c r="F4174" s="538">
        <f>E4174*D4174</f>
        <v>0</v>
      </c>
      <c r="G4174" s="539"/>
      <c r="H4174" s="120"/>
      <c r="I4174">
        <f>E4174*G4152</f>
        <v>0</v>
      </c>
      <c r="J4174" s="68"/>
      <c r="K4174" s="56"/>
      <c r="L4174" s="56"/>
      <c r="M4174" s="56"/>
      <c r="N4174" s="56"/>
      <c r="O4174" s="56"/>
    </row>
    <row r="4175" spans="1:15" ht="16.5">
      <c r="A4175" s="540" t="s">
        <v>4099</v>
      </c>
      <c r="B4175" s="541"/>
      <c r="C4175" s="541"/>
      <c r="D4175" s="541"/>
      <c r="E4175" s="541"/>
      <c r="F4175" s="541"/>
      <c r="G4175" s="542"/>
      <c r="H4175" s="116">
        <f>SUM(F4161:F4174)</f>
        <v>1028997.0460000001</v>
      </c>
      <c r="J4175" s="68"/>
      <c r="K4175" s="56"/>
      <c r="L4175" s="56"/>
      <c r="M4175" s="56"/>
      <c r="N4175" s="56"/>
      <c r="O4175" s="56"/>
    </row>
    <row r="4176" spans="1:15" ht="16.5">
      <c r="A4176" s="543" t="s">
        <v>4231</v>
      </c>
      <c r="B4176" s="544"/>
      <c r="C4176" s="544"/>
      <c r="D4176" s="544"/>
      <c r="E4176" s="545"/>
      <c r="F4176" s="544"/>
      <c r="G4176" s="544"/>
      <c r="H4176" s="546"/>
      <c r="J4176" s="68"/>
      <c r="K4176" s="56"/>
      <c r="L4176" s="56"/>
      <c r="M4176" s="56"/>
      <c r="N4176" s="56"/>
      <c r="O4176" s="56"/>
    </row>
    <row r="4177" spans="1:15">
      <c r="A4177" s="547" t="s">
        <v>7</v>
      </c>
      <c r="B4177" s="548"/>
      <c r="C4177" s="108" t="s">
        <v>4232</v>
      </c>
      <c r="D4177" s="107" t="s">
        <v>4233</v>
      </c>
      <c r="E4177" s="206" t="s">
        <v>4234</v>
      </c>
      <c r="F4177" s="549" t="s">
        <v>4218</v>
      </c>
      <c r="G4177" s="549"/>
      <c r="H4177" s="119"/>
      <c r="K4177" s="56"/>
      <c r="L4177" s="56"/>
      <c r="M4177" s="56"/>
      <c r="N4177" s="56"/>
      <c r="O4177" s="56"/>
    </row>
    <row r="4178" spans="1:15">
      <c r="A4178" s="550" t="s">
        <v>3928</v>
      </c>
      <c r="B4178" s="551"/>
      <c r="C4178" s="232">
        <v>1</v>
      </c>
      <c r="D4178" s="102">
        <v>0.03</v>
      </c>
      <c r="E4178" s="103">
        <f>VLOOKUP(A4178,'Equip, Herr y Transp'!$B$2:$D$218,3,0)</f>
        <v>160000</v>
      </c>
      <c r="F4178" s="552">
        <f>E4178*D4178*C4178</f>
        <v>4800</v>
      </c>
      <c r="G4178" s="553"/>
      <c r="H4178" s="117"/>
      <c r="M4178" s="56"/>
    </row>
    <row r="4179" spans="1:15" ht="16.5">
      <c r="A4179" s="554" t="s">
        <v>4216</v>
      </c>
      <c r="B4179" s="555"/>
      <c r="C4179" s="555"/>
      <c r="D4179" s="555"/>
      <c r="E4179" s="555"/>
      <c r="F4179" s="555"/>
      <c r="G4179" s="555"/>
      <c r="H4179" s="105">
        <f>F4178</f>
        <v>4800</v>
      </c>
    </row>
    <row r="4180" spans="1:15" ht="16.5">
      <c r="A4180" s="543" t="s">
        <v>4235</v>
      </c>
      <c r="B4180" s="544"/>
      <c r="C4180" s="544"/>
      <c r="D4180" s="544"/>
      <c r="E4180" s="544"/>
      <c r="F4180" s="544"/>
      <c r="G4180" s="544"/>
      <c r="H4180" s="546"/>
    </row>
    <row r="4181" spans="1:15">
      <c r="A4181" s="547" t="s">
        <v>7</v>
      </c>
      <c r="B4181" s="548"/>
      <c r="C4181" s="106" t="s">
        <v>1</v>
      </c>
      <c r="D4181" s="107" t="s">
        <v>4236</v>
      </c>
      <c r="E4181" s="108" t="s">
        <v>4215</v>
      </c>
      <c r="F4181" s="547" t="s">
        <v>5</v>
      </c>
      <c r="G4181" s="556"/>
      <c r="H4181" s="119"/>
    </row>
    <row r="4182" spans="1:15">
      <c r="A4182" s="550" t="s">
        <v>4196</v>
      </c>
      <c r="B4182" s="551"/>
      <c r="C4182" s="101">
        <v>1</v>
      </c>
      <c r="D4182" s="104">
        <f>VLOOKUP(A4182,'Mano Obra'!$B$2:$T$117,19,0)</f>
        <v>166624</v>
      </c>
      <c r="E4182" s="246">
        <f>H4145</f>
        <v>6.25E-2</v>
      </c>
      <c r="F4182" s="538">
        <f>E4182*D4182*C4182</f>
        <v>10414</v>
      </c>
      <c r="G4182" s="557"/>
      <c r="H4182" s="121"/>
      <c r="I4182" s="69"/>
      <c r="J4182" s="136">
        <f>((('Mano Obra'!$M$4/30)*F4182)/D4182)*G4152</f>
        <v>0</v>
      </c>
    </row>
    <row r="4183" spans="1:15">
      <c r="A4183" s="558" t="s">
        <v>4197</v>
      </c>
      <c r="B4183" s="559">
        <f>VLOOKUP(A4183,'Mano Obra'!$B$3:$D$290,2,0)</f>
        <v>2090000.0000000002</v>
      </c>
      <c r="C4183" s="101">
        <v>1</v>
      </c>
      <c r="D4183" s="104">
        <f>VLOOKUP(A4183,'Mano Obra'!$B$2:$T$117,19,0)</f>
        <v>120456</v>
      </c>
      <c r="E4183" s="246">
        <f>H4145</f>
        <v>6.25E-2</v>
      </c>
      <c r="F4183" s="538">
        <f t="shared" ref="F4183:F4184" si="246">E4183*D4183*C4183</f>
        <v>7528.5</v>
      </c>
      <c r="G4183" s="557"/>
      <c r="H4183" s="121"/>
      <c r="J4183" s="136">
        <f>((('Mano Obra'!$M$5/30)*F4183)/D4183)*G4152</f>
        <v>0</v>
      </c>
    </row>
    <row r="4184" spans="1:15">
      <c r="A4184" s="558" t="s">
        <v>4186</v>
      </c>
      <c r="B4184" s="559">
        <f>VLOOKUP(A4184,'Mano Obra'!$B$3:$D$290,2,0)</f>
        <v>1100000</v>
      </c>
      <c r="C4184" s="101">
        <v>1</v>
      </c>
      <c r="D4184" s="104">
        <f>VLOOKUP(A4184,'Mano Obra'!$B$2:$T$117,19,0)</f>
        <v>72664</v>
      </c>
      <c r="E4184" s="246">
        <f>H4145</f>
        <v>6.25E-2</v>
      </c>
      <c r="F4184" s="538">
        <f t="shared" si="246"/>
        <v>4541.5</v>
      </c>
      <c r="G4184" s="557"/>
      <c r="H4184" s="120"/>
      <c r="J4184" s="136">
        <f>((('Mano Obra'!$M$6/30)*F4184)/D4184)*G4152</f>
        <v>0</v>
      </c>
    </row>
    <row r="4185" spans="1:15" ht="16.5">
      <c r="A4185" s="560" t="s">
        <v>4101</v>
      </c>
      <c r="B4185" s="560"/>
      <c r="C4185" s="560"/>
      <c r="D4185" s="560"/>
      <c r="E4185" s="560"/>
      <c r="F4185" s="560"/>
      <c r="G4185" s="560"/>
      <c r="H4185" s="105">
        <f>SUM(F4182:F4184)</f>
        <v>22484</v>
      </c>
      <c r="J4185" s="136"/>
    </row>
    <row r="4186" spans="1:15">
      <c r="A4186" s="227" t="s">
        <v>4237</v>
      </c>
      <c r="B4186" s="205"/>
      <c r="C4186" s="205"/>
      <c r="D4186" s="202"/>
      <c r="E4186" s="203"/>
      <c r="F4186" s="204"/>
      <c r="G4186" s="203"/>
      <c r="H4186" s="212"/>
    </row>
    <row r="4187" spans="1:15">
      <c r="A4187" s="561" t="s">
        <v>4224</v>
      </c>
      <c r="B4187" s="562"/>
      <c r="C4187" s="562"/>
      <c r="D4187" s="562"/>
      <c r="E4187" s="200"/>
      <c r="F4187" s="201" t="s">
        <v>4238</v>
      </c>
      <c r="G4187" s="200" t="s">
        <v>4239</v>
      </c>
      <c r="H4187" s="213"/>
    </row>
    <row r="4188" spans="1:15">
      <c r="A4188" s="223" t="s">
        <v>4097</v>
      </c>
      <c r="B4188" s="72"/>
      <c r="C4188" s="72"/>
      <c r="D4188" s="73"/>
      <c r="E4188" s="78"/>
      <c r="F4188" s="79">
        <v>0</v>
      </c>
      <c r="G4188" s="80">
        <f>F4188*H4153</f>
        <v>0</v>
      </c>
      <c r="H4188" s="212"/>
    </row>
    <row r="4189" spans="1:15">
      <c r="A4189" s="224" t="s">
        <v>4240</v>
      </c>
      <c r="B4189" s="81"/>
      <c r="C4189" s="81"/>
      <c r="D4189" s="82"/>
      <c r="E4189" s="78"/>
      <c r="F4189" s="79">
        <v>0</v>
      </c>
      <c r="G4189" s="80">
        <f>F4189*H4153</f>
        <v>0</v>
      </c>
      <c r="H4189" s="212"/>
    </row>
    <row r="4190" spans="1:15">
      <c r="A4190" s="224" t="s">
        <v>4</v>
      </c>
      <c r="B4190" s="81"/>
      <c r="C4190" s="81"/>
      <c r="D4190" s="82"/>
      <c r="E4190" s="78"/>
      <c r="F4190" s="79">
        <v>0</v>
      </c>
      <c r="G4190" s="80">
        <f>F4190*H4153</f>
        <v>0</v>
      </c>
      <c r="H4190" s="212"/>
    </row>
    <row r="4191" spans="1:15">
      <c r="A4191" s="225"/>
      <c r="B4191" s="83"/>
      <c r="C4191" s="75"/>
      <c r="D4191" s="84"/>
      <c r="E4191" s="85"/>
      <c r="F4191" s="86"/>
      <c r="G4191" s="87"/>
      <c r="H4191" s="214"/>
    </row>
    <row r="4192" spans="1:15">
      <c r="A4192" s="226"/>
      <c r="B4192" s="83"/>
      <c r="C4192" s="83"/>
      <c r="D4192" s="84"/>
      <c r="E4192" s="88"/>
      <c r="F4192" s="563" t="s">
        <v>4241</v>
      </c>
      <c r="G4192" s="564"/>
      <c r="H4192" s="233">
        <f>H4153+G4188+G4189+G4190</f>
        <v>1060315.5772500001</v>
      </c>
    </row>
    <row r="4193" spans="1:14">
      <c r="A4193" s="83"/>
      <c r="B4193" s="83"/>
      <c r="C4193" s="83"/>
      <c r="D4193" s="84"/>
      <c r="E4193" s="388"/>
      <c r="F4193" s="389"/>
      <c r="G4193" s="389"/>
      <c r="H4193" s="390"/>
    </row>
    <row r="4194" spans="1:14" ht="16.5">
      <c r="A4194" s="90"/>
      <c r="B4194" s="90"/>
      <c r="C4194" s="90"/>
      <c r="D4194" s="90"/>
      <c r="E4194" s="90"/>
      <c r="F4194" s="90"/>
      <c r="G4194" s="90"/>
      <c r="H4194" s="381"/>
    </row>
    <row r="4195" spans="1:14">
      <c r="A4195" s="579" t="s">
        <v>4225</v>
      </c>
      <c r="B4195" s="580"/>
      <c r="C4195" s="580"/>
      <c r="D4195" s="580"/>
      <c r="E4195" s="580"/>
      <c r="F4195" s="580"/>
      <c r="G4195" s="580"/>
      <c r="H4195" s="581"/>
    </row>
    <row r="4196" spans="1:14" ht="16.5">
      <c r="A4196" s="91"/>
      <c r="B4196" s="92"/>
      <c r="C4196" s="92"/>
      <c r="D4196" s="92"/>
      <c r="E4196" s="92"/>
      <c r="F4196" s="93"/>
      <c r="G4196" s="94"/>
      <c r="H4196" s="380">
        <f>ROUND((30/60)/8,4)</f>
        <v>6.25E-2</v>
      </c>
      <c r="I4196" s="115"/>
    </row>
    <row r="4197" spans="1:14">
      <c r="A4197" s="582" t="s">
        <v>4220</v>
      </c>
      <c r="B4197" s="584" t="str">
        <f>COSTOS!$C$14</f>
        <v>MODERNIZACION A TECNOLOGIA LED</v>
      </c>
      <c r="C4197" s="584"/>
      <c r="D4197" s="584"/>
      <c r="E4197" s="584"/>
      <c r="F4197" s="584"/>
      <c r="G4197" s="584"/>
      <c r="H4197" s="585" t="s">
        <v>4221</v>
      </c>
    </row>
    <row r="4198" spans="1:14">
      <c r="A4198" s="583"/>
      <c r="B4198" s="584"/>
      <c r="C4198" s="584"/>
      <c r="D4198" s="584"/>
      <c r="E4198" s="584"/>
      <c r="F4198" s="584"/>
      <c r="G4198" s="584"/>
      <c r="H4198" s="585"/>
    </row>
    <row r="4199" spans="1:14">
      <c r="A4199" s="583"/>
      <c r="B4199" s="584"/>
      <c r="C4199" s="584"/>
      <c r="D4199" s="584"/>
      <c r="E4199" s="584"/>
      <c r="F4199" s="584"/>
      <c r="G4199" s="584"/>
      <c r="H4199" s="585"/>
    </row>
    <row r="4200" spans="1:14" ht="15" customHeight="1">
      <c r="A4200" s="583"/>
      <c r="B4200" s="584"/>
      <c r="C4200" s="584"/>
      <c r="D4200" s="584"/>
      <c r="E4200" s="584"/>
      <c r="F4200" s="584"/>
      <c r="G4200" s="584"/>
      <c r="H4200" s="216">
        <f ca="1">TODAY()</f>
        <v>44889</v>
      </c>
      <c r="K4200" t="s">
        <v>4391</v>
      </c>
      <c r="L4200" t="s">
        <v>4392</v>
      </c>
      <c r="M4200" t="s">
        <v>4393</v>
      </c>
      <c r="N4200" t="s">
        <v>4394</v>
      </c>
    </row>
    <row r="4201" spans="1:14" ht="60.75" customHeight="1">
      <c r="A4201" s="228" t="s">
        <v>4222</v>
      </c>
      <c r="B4201" s="565" t="str">
        <f>COSTOS!$D$16</f>
        <v>Luminarias</v>
      </c>
      <c r="C4201" s="565"/>
      <c r="D4201" s="565"/>
      <c r="E4201" s="565"/>
      <c r="F4201" s="565"/>
      <c r="G4201" s="70" t="s">
        <v>4223</v>
      </c>
      <c r="H4201" s="391">
        <v>1.83</v>
      </c>
      <c r="K4201" s="62">
        <f>H4226</f>
        <v>2087323.5460000001</v>
      </c>
      <c r="L4201" s="62">
        <f>H4236</f>
        <v>22484</v>
      </c>
      <c r="M4201" s="62">
        <f>H4209</f>
        <v>4034.53125</v>
      </c>
      <c r="N4201" s="62">
        <f>H4230</f>
        <v>4800</v>
      </c>
    </row>
    <row r="4202" spans="1:14" ht="43.15" customHeight="1">
      <c r="A4202" s="229" t="s">
        <v>4224</v>
      </c>
      <c r="B4202" s="566" t="str">
        <f>VLOOKUP(H4201,COSTOS!C:M,2,0)</f>
        <v>Reflector Led de 150w Agm</v>
      </c>
      <c r="C4202" s="567"/>
      <c r="D4202" s="567"/>
      <c r="E4202" s="568"/>
      <c r="F4202" s="71" t="s">
        <v>0</v>
      </c>
      <c r="G4202" s="356" t="str">
        <f>VLOOKUP(H4201,COSTOS!C:M,8,0)</f>
        <v>Und</v>
      </c>
      <c r="H4202" s="276"/>
      <c r="I4202" s="306"/>
      <c r="J4202" s="308"/>
      <c r="K4202" s="308"/>
      <c r="L4202" s="308"/>
    </row>
    <row r="4203" spans="1:14">
      <c r="A4203" s="230"/>
      <c r="B4203" s="112"/>
      <c r="C4203" s="112"/>
      <c r="D4203" s="112"/>
      <c r="E4203" s="113"/>
      <c r="F4203" s="114" t="s">
        <v>1</v>
      </c>
      <c r="G4203" s="356">
        <f>VLOOKUP(H4201,COSTOS!C:M,9,0)</f>
        <v>0</v>
      </c>
      <c r="H4203" s="357"/>
      <c r="I4203" s="307"/>
    </row>
    <row r="4204" spans="1:14" ht="16.5">
      <c r="A4204" s="231" t="s">
        <v>4226</v>
      </c>
      <c r="B4204" s="75"/>
      <c r="C4204" s="75"/>
      <c r="D4204" s="76"/>
      <c r="E4204" s="209"/>
      <c r="F4204" s="210"/>
      <c r="G4204" s="211" t="s">
        <v>4227</v>
      </c>
      <c r="H4204" s="217">
        <f>H4209+H4226+H4230+H4236</f>
        <v>2118642.0772500001</v>
      </c>
    </row>
    <row r="4205" spans="1:14" ht="39">
      <c r="A4205" s="569" t="s">
        <v>4224</v>
      </c>
      <c r="B4205" s="569"/>
      <c r="C4205" s="569"/>
      <c r="D4205" s="77" t="s">
        <v>0</v>
      </c>
      <c r="E4205" s="207" t="s">
        <v>4228</v>
      </c>
      <c r="F4205" s="208" t="s">
        <v>4215</v>
      </c>
      <c r="G4205" s="74" t="s">
        <v>2</v>
      </c>
      <c r="H4205" s="218" t="s">
        <v>4229</v>
      </c>
      <c r="K4205" s="309"/>
    </row>
    <row r="4206" spans="1:14">
      <c r="A4206" s="536" t="s">
        <v>3946</v>
      </c>
      <c r="B4206" s="570" t="str">
        <f>VLOOKUP(A4206,'Equip, Herr y Transp'!$B$2:$D$739,2,0)</f>
        <v>EQU</v>
      </c>
      <c r="C4206" s="570"/>
      <c r="D4206" s="95" t="str">
        <f>VLOOKUP(A4206,'Equip, Herr y Transp'!$B$2:$D$218,2,0)</f>
        <v>EQU</v>
      </c>
      <c r="E4206" s="95">
        <f>VLOOKUP(A4206,'Equip, Herr y Transp'!$B$2:$D$218,3,0)</f>
        <v>14130</v>
      </c>
      <c r="F4206" s="96">
        <f>H4196</f>
        <v>6.25E-2</v>
      </c>
      <c r="G4206" s="122">
        <f>F4206*E4206</f>
        <v>883.125</v>
      </c>
      <c r="H4206" s="118"/>
      <c r="L4206">
        <f>280/70</f>
        <v>4</v>
      </c>
    </row>
    <row r="4207" spans="1:14">
      <c r="A4207" s="536" t="s">
        <v>3904</v>
      </c>
      <c r="B4207" s="570" t="str">
        <f>VLOOKUP(A4207,'Equip, Herr y Transp'!$B$2:$D$739,2,0)</f>
        <v>EQU</v>
      </c>
      <c r="C4207" s="570"/>
      <c r="D4207" s="95" t="str">
        <f>VLOOKUP(A4207,'Equip, Herr y Transp'!$B$2:$D$218,2,0)</f>
        <v>EQU</v>
      </c>
      <c r="E4207" s="95">
        <f>VLOOKUP(A4207,'Equip, Herr y Transp'!$B$2:$D$218,3,0)</f>
        <v>26672.5</v>
      </c>
      <c r="F4207" s="96">
        <f>H4196</f>
        <v>6.25E-2</v>
      </c>
      <c r="G4207" s="122">
        <f>F4207*E4207</f>
        <v>1667.03125</v>
      </c>
      <c r="H4207" s="117"/>
    </row>
    <row r="4208" spans="1:14">
      <c r="A4208" s="536" t="s">
        <v>3937</v>
      </c>
      <c r="B4208" s="570" t="str">
        <f>VLOOKUP(A4208,'Equip, Herr y Transp'!$B$2:$D$739,2,0)</f>
        <v>EQU</v>
      </c>
      <c r="C4208" s="570"/>
      <c r="D4208" s="95" t="str">
        <f>VLOOKUP(A4208,'Equip, Herr y Transp'!$B$2:$D$218,2,0)</f>
        <v>EQU</v>
      </c>
      <c r="E4208" s="95">
        <f>VLOOKUP(A4208,'Equip, Herr y Transp'!$B$2:$D$218,3,0)</f>
        <v>23750</v>
      </c>
      <c r="F4208" s="96">
        <f>H4196</f>
        <v>6.25E-2</v>
      </c>
      <c r="G4208" s="122">
        <f>F4208*E4208</f>
        <v>1484.375</v>
      </c>
      <c r="H4208" s="117"/>
    </row>
    <row r="4209" spans="1:15" ht="16.5">
      <c r="A4209" s="540" t="s">
        <v>4100</v>
      </c>
      <c r="B4209" s="541"/>
      <c r="C4209" s="541"/>
      <c r="D4209" s="541"/>
      <c r="E4209" s="541"/>
      <c r="F4209" s="541"/>
      <c r="G4209" s="541"/>
      <c r="H4209" s="97">
        <f>SUM(G4206:G4208)</f>
        <v>4034.53125</v>
      </c>
    </row>
    <row r="4210" spans="1:15" ht="16.5">
      <c r="A4210" s="571" t="s">
        <v>4230</v>
      </c>
      <c r="B4210" s="572"/>
      <c r="C4210" s="572"/>
      <c r="D4210" s="572"/>
      <c r="E4210" s="572"/>
      <c r="F4210" s="572"/>
      <c r="G4210" s="572"/>
      <c r="H4210" s="573"/>
      <c r="K4210" s="56"/>
      <c r="L4210" s="56"/>
      <c r="M4210" s="56"/>
      <c r="N4210" s="56"/>
      <c r="O4210" s="56"/>
    </row>
    <row r="4211" spans="1:15" ht="30" customHeight="1">
      <c r="A4211" s="574" t="s">
        <v>7</v>
      </c>
      <c r="B4211" s="575"/>
      <c r="C4211" s="109" t="s">
        <v>0</v>
      </c>
      <c r="D4211" s="110" t="s">
        <v>4098</v>
      </c>
      <c r="E4211" s="111" t="s">
        <v>1</v>
      </c>
      <c r="F4211" s="576" t="s">
        <v>4218</v>
      </c>
      <c r="G4211" s="576"/>
      <c r="H4211" s="215"/>
      <c r="K4211" s="56"/>
      <c r="L4211" s="56"/>
      <c r="M4211" s="56"/>
      <c r="N4211" s="56"/>
      <c r="O4211" s="56"/>
    </row>
    <row r="4212" spans="1:15">
      <c r="A4212" s="577" t="s">
        <v>4987</v>
      </c>
      <c r="B4212" s="578"/>
      <c r="C4212" s="98" t="str">
        <f>VLOOKUP(A4212,'Materiales '!$C$2:$F$1302,3,0)</f>
        <v>Und</v>
      </c>
      <c r="D4212" s="99">
        <f>VLOOKUP(A4212,'Materiales '!$C$2:$F$1302,4,0)</f>
        <v>1924230.0000000002</v>
      </c>
      <c r="E4212" s="100">
        <v>1</v>
      </c>
      <c r="F4212" s="538">
        <f>E4212*D4212</f>
        <v>1924230.0000000002</v>
      </c>
      <c r="G4212" s="539"/>
      <c r="H4212" s="121"/>
      <c r="I4212">
        <f>E4212*G4203</f>
        <v>0</v>
      </c>
      <c r="J4212" s="67"/>
      <c r="K4212" s="56"/>
      <c r="L4212" s="56"/>
      <c r="M4212" s="56"/>
      <c r="N4212" s="56"/>
      <c r="O4212" s="56"/>
    </row>
    <row r="4213" spans="1:15">
      <c r="A4213" s="577" t="s">
        <v>4214</v>
      </c>
      <c r="B4213" s="578"/>
      <c r="C4213" s="98" t="str">
        <f>VLOOKUP(A4213,'Materiales '!$C$2:$F$1302,3,0)</f>
        <v>Und</v>
      </c>
      <c r="D4213" s="99">
        <f>VLOOKUP(A4213,'Materiales '!$C$2:$F$1302,4,0)</f>
        <v>22848</v>
      </c>
      <c r="E4213" s="100">
        <v>1</v>
      </c>
      <c r="F4213" s="538">
        <f t="shared" ref="F4213:F4219" si="247">E4213*D4213</f>
        <v>22848</v>
      </c>
      <c r="G4213" s="539"/>
      <c r="H4213" s="121"/>
      <c r="I4213">
        <f>E4213*G4203</f>
        <v>0</v>
      </c>
      <c r="J4213" s="67"/>
      <c r="K4213" s="56"/>
      <c r="L4213" s="56"/>
      <c r="M4213" s="56"/>
      <c r="N4213" s="56"/>
      <c r="O4213" s="56"/>
    </row>
    <row r="4214" spans="1:15">
      <c r="A4214" s="536" t="s">
        <v>4484</v>
      </c>
      <c r="B4214" s="537" t="str">
        <f>VLOOKUP(A4214,'Materiales '!$C$2:$F$1302,3,0)</f>
        <v>Und</v>
      </c>
      <c r="C4214" s="98" t="str">
        <f>VLOOKUP(A4214,'Materiales '!$C$2:$F$1302,3,0)</f>
        <v>Und</v>
      </c>
      <c r="D4214" s="99">
        <f>VLOOKUP(A4214,'Materiales '!$C$2:$F$1302,4,0)</f>
        <v>21705.599999999999</v>
      </c>
      <c r="E4214" s="100">
        <v>2</v>
      </c>
      <c r="F4214" s="538">
        <f t="shared" si="247"/>
        <v>43411.199999999997</v>
      </c>
      <c r="G4214" s="539"/>
      <c r="H4214" s="121"/>
      <c r="I4214">
        <f>E4214*G4203</f>
        <v>0</v>
      </c>
      <c r="J4214" s="68"/>
      <c r="K4214" s="56"/>
      <c r="L4214" s="56"/>
      <c r="M4214" s="56"/>
      <c r="N4214" s="56"/>
      <c r="O4214" s="56"/>
    </row>
    <row r="4215" spans="1:15">
      <c r="A4215" s="536" t="s">
        <v>4489</v>
      </c>
      <c r="B4215" s="537" t="str">
        <f>VLOOKUP(A4215,'Materiales '!$C$2:$F$1302,3,0)</f>
        <v>Und</v>
      </c>
      <c r="C4215" s="98" t="str">
        <f>VLOOKUP(A4215,'Materiales '!$C$2:$F$1302,3,0)</f>
        <v>Und</v>
      </c>
      <c r="D4215" s="99">
        <f>VLOOKUP(A4215,'Materiales '!$C$2:$F$1302,4,0)</f>
        <v>8039.6399999999994</v>
      </c>
      <c r="E4215" s="100">
        <v>3</v>
      </c>
      <c r="F4215" s="538">
        <f t="shared" si="247"/>
        <v>24118.92</v>
      </c>
      <c r="G4215" s="539"/>
      <c r="H4215" s="121"/>
      <c r="I4215">
        <f>E4215*G4203</f>
        <v>0</v>
      </c>
      <c r="J4215" s="68"/>
      <c r="K4215" s="56"/>
      <c r="L4215" s="56"/>
      <c r="M4215" s="56"/>
      <c r="N4215" s="56"/>
      <c r="O4215" s="56"/>
    </row>
    <row r="4216" spans="1:15">
      <c r="A4216" s="536" t="s">
        <v>4554</v>
      </c>
      <c r="B4216" s="537" t="str">
        <f>VLOOKUP(A4216,'Materiales '!$C$2:$F$1302,3,0)</f>
        <v>Und</v>
      </c>
      <c r="C4216" s="98" t="str">
        <f>VLOOKUP(A4216,'Materiales '!$C$2:$F$1302,3,0)</f>
        <v>Und</v>
      </c>
      <c r="D4216" s="99">
        <f>VLOOKUP(A4216,'Materiales '!$C$2:$F$1302,4,0)</f>
        <v>2535.5329999999999</v>
      </c>
      <c r="E4216" s="100">
        <v>2</v>
      </c>
      <c r="F4216" s="538">
        <f t="shared" si="247"/>
        <v>5071.0659999999998</v>
      </c>
      <c r="G4216" s="539"/>
      <c r="H4216" s="121"/>
      <c r="I4216">
        <f>E4216*G4203</f>
        <v>0</v>
      </c>
      <c r="J4216" s="68"/>
      <c r="K4216" s="56"/>
      <c r="L4216" s="56"/>
      <c r="M4216" s="56"/>
      <c r="N4216" s="56"/>
      <c r="O4216" s="56"/>
    </row>
    <row r="4217" spans="1:15">
      <c r="A4217" s="536" t="s">
        <v>4450</v>
      </c>
      <c r="B4217" s="537" t="str">
        <f>VLOOKUP(A4217,'Materiales '!$C$2:$F$1302,3,0)</f>
        <v>Ml</v>
      </c>
      <c r="C4217" s="98" t="str">
        <f>VLOOKUP(A4217,'Materiales '!$C$2:$F$1302,3,0)</f>
        <v>Ml</v>
      </c>
      <c r="D4217" s="99">
        <f>VLOOKUP(A4217,'Materiales '!$C$2:$F$1302,4,0)</f>
        <v>6791.5679999999993</v>
      </c>
      <c r="E4217" s="100">
        <v>1</v>
      </c>
      <c r="F4217" s="538">
        <f t="shared" si="247"/>
        <v>6791.5679999999993</v>
      </c>
      <c r="G4217" s="539"/>
      <c r="H4217" s="121"/>
      <c r="I4217">
        <f>E4217*G4203</f>
        <v>0</v>
      </c>
      <c r="J4217" s="68"/>
      <c r="K4217" s="56"/>
      <c r="L4217" s="56"/>
      <c r="M4217" s="56"/>
      <c r="N4217" s="56"/>
      <c r="O4217" s="56"/>
    </row>
    <row r="4218" spans="1:15">
      <c r="A4218" s="536" t="s">
        <v>4493</v>
      </c>
      <c r="B4218" s="537" t="str">
        <f>VLOOKUP(A4218,'Materiales '!$C$2:$F$1302,3,0)</f>
        <v>Und</v>
      </c>
      <c r="C4218" s="98" t="str">
        <f>VLOOKUP(A4218,'Materiales '!$C$2:$F$1302,3,0)</f>
        <v>Und</v>
      </c>
      <c r="D4218" s="99">
        <f>VLOOKUP(A4218,'Materiales '!$C$2:$F$1302,4,0)</f>
        <v>232.76399999999998</v>
      </c>
      <c r="E4218" s="100">
        <v>3</v>
      </c>
      <c r="F4218" s="538">
        <f t="shared" si="247"/>
        <v>698.29199999999992</v>
      </c>
      <c r="G4218" s="539"/>
      <c r="H4218" s="121"/>
      <c r="I4218">
        <f>E4218*G4203</f>
        <v>0</v>
      </c>
      <c r="J4218" s="68"/>
      <c r="K4218" s="56"/>
      <c r="L4218" s="56"/>
      <c r="M4218" s="56"/>
      <c r="N4218" s="56"/>
      <c r="O4218" s="56"/>
    </row>
    <row r="4219" spans="1:15" ht="21.75" customHeight="1">
      <c r="A4219" s="536" t="s">
        <v>4498</v>
      </c>
      <c r="B4219" s="537" t="str">
        <f>VLOOKUP(A4219,'Materiales '!$C$2:$F$1302,3,0)</f>
        <v>Und</v>
      </c>
      <c r="C4219" s="98" t="str">
        <f>VLOOKUP(A4219,'Materiales '!$C$2:$F$1302,3,0)</f>
        <v>Und</v>
      </c>
      <c r="D4219" s="99">
        <f>VLOOKUP(A4219,'Materiales '!$C$2:$F$1302,4,0)</f>
        <v>120309</v>
      </c>
      <c r="E4219" s="100">
        <v>0.5</v>
      </c>
      <c r="F4219" s="538">
        <f t="shared" si="247"/>
        <v>60154.5</v>
      </c>
      <c r="G4219" s="539"/>
      <c r="H4219" s="121"/>
      <c r="I4219">
        <f>E4219*G4203</f>
        <v>0</v>
      </c>
      <c r="J4219" s="68"/>
      <c r="K4219" s="56"/>
      <c r="L4219" s="56"/>
      <c r="M4219" s="56"/>
      <c r="N4219" s="56"/>
      <c r="O4219" s="56"/>
    </row>
    <row r="4220" spans="1:15">
      <c r="A4220" s="536" t="s">
        <v>8</v>
      </c>
      <c r="B4220" s="537" t="str">
        <f>VLOOKUP(A4220,'Materiales '!$C$2:$F$1302,3,0)</f>
        <v>-</v>
      </c>
      <c r="C4220" s="98" t="str">
        <f>VLOOKUP(A4220,'Materiales '!$C$2:$F$1302,3,0)</f>
        <v>-</v>
      </c>
      <c r="D4220" s="99">
        <f>VLOOKUP(A4220,'Materiales '!$C$2:$F$1302,4,0)</f>
        <v>0</v>
      </c>
      <c r="E4220" s="100"/>
      <c r="F4220" s="538">
        <f>E4220*D4220</f>
        <v>0</v>
      </c>
      <c r="G4220" s="539"/>
      <c r="H4220" s="120"/>
      <c r="I4220">
        <f>E4220*G4203</f>
        <v>0</v>
      </c>
      <c r="J4220" s="68"/>
      <c r="K4220" s="56"/>
      <c r="L4220" s="56"/>
      <c r="M4220" s="56"/>
      <c r="N4220" s="56"/>
      <c r="O4220" s="56"/>
    </row>
    <row r="4221" spans="1:15">
      <c r="A4221" s="536" t="s">
        <v>8</v>
      </c>
      <c r="B4221" s="537" t="str">
        <f>VLOOKUP(A4221,'Materiales '!$C$2:$F$1302,3,0)</f>
        <v>-</v>
      </c>
      <c r="C4221" s="98" t="str">
        <f>VLOOKUP(A4221,'Materiales '!$C$2:$F$1302,3,0)</f>
        <v>-</v>
      </c>
      <c r="D4221" s="99">
        <f>VLOOKUP(A4221,'Materiales '!$C$2:$F$1302,4,0)</f>
        <v>0</v>
      </c>
      <c r="E4221" s="100"/>
      <c r="F4221" s="538">
        <f t="shared" ref="F4221:F4224" si="248">E4221*D4221</f>
        <v>0</v>
      </c>
      <c r="G4221" s="539"/>
      <c r="H4221" s="121"/>
      <c r="I4221">
        <f>E4221*G4203</f>
        <v>0</v>
      </c>
      <c r="J4221" s="68"/>
      <c r="K4221" s="56"/>
      <c r="L4221" s="56"/>
      <c r="M4221" s="56"/>
      <c r="N4221" s="56"/>
      <c r="O4221" s="56"/>
    </row>
    <row r="4222" spans="1:15">
      <c r="A4222" s="536" t="s">
        <v>8</v>
      </c>
      <c r="B4222" s="537" t="str">
        <f>VLOOKUP(A4222,'Materiales '!$C$2:$F$1302,3,0)</f>
        <v>-</v>
      </c>
      <c r="C4222" s="98" t="str">
        <f>VLOOKUP(A4222,'Materiales '!$C$2:$F$1302,3,0)</f>
        <v>-</v>
      </c>
      <c r="D4222" s="99">
        <f>VLOOKUP(A4222,'Materiales '!$C$2:$F$1302,4,0)</f>
        <v>0</v>
      </c>
      <c r="E4222" s="100"/>
      <c r="F4222" s="538">
        <f t="shared" si="248"/>
        <v>0</v>
      </c>
      <c r="G4222" s="539"/>
      <c r="H4222" s="121"/>
      <c r="I4222">
        <f>E4222*G4203</f>
        <v>0</v>
      </c>
      <c r="J4222" s="68"/>
      <c r="K4222" s="56"/>
      <c r="L4222" s="56"/>
      <c r="M4222" s="56"/>
      <c r="N4222" s="56"/>
      <c r="O4222" s="56"/>
    </row>
    <row r="4223" spans="1:15">
      <c r="A4223" s="536" t="s">
        <v>8</v>
      </c>
      <c r="B4223" s="537" t="str">
        <f>VLOOKUP(A4223,'Materiales '!$C$2:$F$1302,3,0)</f>
        <v>-</v>
      </c>
      <c r="C4223" s="98" t="str">
        <f>VLOOKUP(A4223,'Materiales '!$C$2:$F$1302,3,0)</f>
        <v>-</v>
      </c>
      <c r="D4223" s="99">
        <f>VLOOKUP(A4223,'Materiales '!$C$2:$F$1302,4,0)</f>
        <v>0</v>
      </c>
      <c r="E4223" s="100"/>
      <c r="F4223" s="538">
        <f t="shared" si="248"/>
        <v>0</v>
      </c>
      <c r="G4223" s="539"/>
      <c r="H4223" s="121"/>
      <c r="I4223">
        <f>E4223*G4203</f>
        <v>0</v>
      </c>
      <c r="J4223" s="68"/>
      <c r="K4223" s="56"/>
      <c r="L4223" s="56"/>
      <c r="M4223" s="56"/>
      <c r="N4223" s="56"/>
      <c r="O4223" s="56"/>
    </row>
    <row r="4224" spans="1:15">
      <c r="A4224" s="536" t="s">
        <v>8</v>
      </c>
      <c r="B4224" s="537" t="str">
        <f>VLOOKUP(A4224,'Materiales '!$C$2:$F$1302,3,0)</f>
        <v>-</v>
      </c>
      <c r="C4224" s="98" t="str">
        <f>VLOOKUP(A4224,'Materiales '!$C$2:$F$1302,3,0)</f>
        <v>-</v>
      </c>
      <c r="D4224" s="99">
        <f>VLOOKUP(A4224,'Materiales '!$C$2:$F$1302,4,0)</f>
        <v>0</v>
      </c>
      <c r="E4224" s="100"/>
      <c r="F4224" s="538">
        <f t="shared" si="248"/>
        <v>0</v>
      </c>
      <c r="G4224" s="539"/>
      <c r="H4224" s="121"/>
      <c r="I4224">
        <f>E4224*G4203</f>
        <v>0</v>
      </c>
      <c r="J4224" s="68"/>
      <c r="K4224" s="56"/>
      <c r="L4224" s="56"/>
      <c r="M4224" s="56"/>
      <c r="N4224" s="56"/>
      <c r="O4224" s="56"/>
    </row>
    <row r="4225" spans="1:15">
      <c r="A4225" s="536" t="s">
        <v>8</v>
      </c>
      <c r="B4225" s="537" t="str">
        <f>VLOOKUP(A4225,'Materiales '!$C$2:$F$1302,3,0)</f>
        <v>-</v>
      </c>
      <c r="C4225" s="98" t="str">
        <f>VLOOKUP(A4225,'Materiales '!$C$2:$F$1302,3,0)</f>
        <v>-</v>
      </c>
      <c r="D4225" s="99">
        <f>VLOOKUP(A4225,'Materiales '!$C$2:$F$1302,4,0)</f>
        <v>0</v>
      </c>
      <c r="E4225" s="100"/>
      <c r="F4225" s="538">
        <f>E4225*D4225</f>
        <v>0</v>
      </c>
      <c r="G4225" s="539"/>
      <c r="H4225" s="120"/>
      <c r="I4225">
        <f>E4225*G4203</f>
        <v>0</v>
      </c>
      <c r="J4225" s="68"/>
      <c r="K4225" s="56"/>
      <c r="L4225" s="56"/>
      <c r="M4225" s="56"/>
      <c r="N4225" s="56"/>
      <c r="O4225" s="56"/>
    </row>
    <row r="4226" spans="1:15" ht="16.5">
      <c r="A4226" s="540" t="s">
        <v>4099</v>
      </c>
      <c r="B4226" s="541"/>
      <c r="C4226" s="541"/>
      <c r="D4226" s="541"/>
      <c r="E4226" s="541"/>
      <c r="F4226" s="541"/>
      <c r="G4226" s="542"/>
      <c r="H4226" s="116">
        <f>SUM(F4212:F4225)</f>
        <v>2087323.5460000001</v>
      </c>
      <c r="J4226" s="68"/>
      <c r="K4226" s="56"/>
      <c r="L4226" s="56"/>
      <c r="M4226" s="56"/>
      <c r="N4226" s="56"/>
      <c r="O4226" s="56"/>
    </row>
    <row r="4227" spans="1:15" ht="16.5">
      <c r="A4227" s="543" t="s">
        <v>4231</v>
      </c>
      <c r="B4227" s="544"/>
      <c r="C4227" s="544"/>
      <c r="D4227" s="544"/>
      <c r="E4227" s="545"/>
      <c r="F4227" s="544"/>
      <c r="G4227" s="544"/>
      <c r="H4227" s="546"/>
      <c r="J4227" s="68"/>
      <c r="K4227" s="56"/>
      <c r="L4227" s="56"/>
      <c r="M4227" s="56"/>
      <c r="N4227" s="56"/>
      <c r="O4227" s="56"/>
    </row>
    <row r="4228" spans="1:15">
      <c r="A4228" s="547" t="s">
        <v>7</v>
      </c>
      <c r="B4228" s="548"/>
      <c r="C4228" s="108" t="s">
        <v>4232</v>
      </c>
      <c r="D4228" s="107" t="s">
        <v>4233</v>
      </c>
      <c r="E4228" s="206" t="s">
        <v>4234</v>
      </c>
      <c r="F4228" s="549" t="s">
        <v>4218</v>
      </c>
      <c r="G4228" s="549"/>
      <c r="H4228" s="119"/>
      <c r="K4228" s="56"/>
      <c r="L4228" s="56"/>
      <c r="M4228" s="56"/>
      <c r="N4228" s="56"/>
      <c r="O4228" s="56"/>
    </row>
    <row r="4229" spans="1:15">
      <c r="A4229" s="550" t="s">
        <v>3928</v>
      </c>
      <c r="B4229" s="551"/>
      <c r="C4229" s="232">
        <v>1</v>
      </c>
      <c r="D4229" s="102">
        <v>0.03</v>
      </c>
      <c r="E4229" s="103">
        <f>VLOOKUP(A4229,'Equip, Herr y Transp'!$B$2:$D$218,3,0)</f>
        <v>160000</v>
      </c>
      <c r="F4229" s="552">
        <f>E4229*D4229*C4229</f>
        <v>4800</v>
      </c>
      <c r="G4229" s="553"/>
      <c r="H4229" s="117"/>
      <c r="M4229" s="56"/>
    </row>
    <row r="4230" spans="1:15" ht="16.5">
      <c r="A4230" s="554" t="s">
        <v>4216</v>
      </c>
      <c r="B4230" s="555"/>
      <c r="C4230" s="555"/>
      <c r="D4230" s="555"/>
      <c r="E4230" s="555"/>
      <c r="F4230" s="555"/>
      <c r="G4230" s="555"/>
      <c r="H4230" s="105">
        <f>F4229</f>
        <v>4800</v>
      </c>
    </row>
    <row r="4231" spans="1:15" ht="16.5">
      <c r="A4231" s="543" t="s">
        <v>4235</v>
      </c>
      <c r="B4231" s="544"/>
      <c r="C4231" s="544"/>
      <c r="D4231" s="544"/>
      <c r="E4231" s="544"/>
      <c r="F4231" s="544"/>
      <c r="G4231" s="544"/>
      <c r="H4231" s="546"/>
    </row>
    <row r="4232" spans="1:15">
      <c r="A4232" s="547" t="s">
        <v>7</v>
      </c>
      <c r="B4232" s="548"/>
      <c r="C4232" s="106" t="s">
        <v>1</v>
      </c>
      <c r="D4232" s="107" t="s">
        <v>4236</v>
      </c>
      <c r="E4232" s="108" t="s">
        <v>4215</v>
      </c>
      <c r="F4232" s="547" t="s">
        <v>5</v>
      </c>
      <c r="G4232" s="556"/>
      <c r="H4232" s="119"/>
    </row>
    <row r="4233" spans="1:15">
      <c r="A4233" s="550" t="s">
        <v>4196</v>
      </c>
      <c r="B4233" s="551"/>
      <c r="C4233" s="101">
        <v>1</v>
      </c>
      <c r="D4233" s="104">
        <f>VLOOKUP(A4233,'Mano Obra'!$B$2:$T$117,19,0)</f>
        <v>166624</v>
      </c>
      <c r="E4233" s="246">
        <f>H4196</f>
        <v>6.25E-2</v>
      </c>
      <c r="F4233" s="538">
        <f>E4233*D4233*C4233</f>
        <v>10414</v>
      </c>
      <c r="G4233" s="557"/>
      <c r="H4233" s="121"/>
      <c r="I4233" s="69"/>
      <c r="J4233" s="136">
        <f>((('Mano Obra'!$M$4/30)*F4233)/D4233)*G4203</f>
        <v>0</v>
      </c>
    </row>
    <row r="4234" spans="1:15">
      <c r="A4234" s="558" t="s">
        <v>4197</v>
      </c>
      <c r="B4234" s="559">
        <f>VLOOKUP(A4234,'Mano Obra'!$B$3:$D$290,2,0)</f>
        <v>2090000.0000000002</v>
      </c>
      <c r="C4234" s="101">
        <v>1</v>
      </c>
      <c r="D4234" s="104">
        <f>VLOOKUP(A4234,'Mano Obra'!$B$2:$T$117,19,0)</f>
        <v>120456</v>
      </c>
      <c r="E4234" s="246">
        <f>H4196</f>
        <v>6.25E-2</v>
      </c>
      <c r="F4234" s="538">
        <f t="shared" ref="F4234:F4235" si="249">E4234*D4234*C4234</f>
        <v>7528.5</v>
      </c>
      <c r="G4234" s="557"/>
      <c r="H4234" s="121"/>
      <c r="J4234" s="136">
        <f>((('Mano Obra'!$M$5/30)*F4234)/D4234)*G4203</f>
        <v>0</v>
      </c>
    </row>
    <row r="4235" spans="1:15">
      <c r="A4235" s="558" t="s">
        <v>4186</v>
      </c>
      <c r="B4235" s="559">
        <f>VLOOKUP(A4235,'Mano Obra'!$B$3:$D$290,2,0)</f>
        <v>1100000</v>
      </c>
      <c r="C4235" s="101">
        <v>1</v>
      </c>
      <c r="D4235" s="104">
        <f>VLOOKUP(A4235,'Mano Obra'!$B$2:$T$117,19,0)</f>
        <v>72664</v>
      </c>
      <c r="E4235" s="246">
        <f>H4196</f>
        <v>6.25E-2</v>
      </c>
      <c r="F4235" s="538">
        <f t="shared" si="249"/>
        <v>4541.5</v>
      </c>
      <c r="G4235" s="557"/>
      <c r="H4235" s="120"/>
      <c r="J4235" s="136">
        <f>((('Mano Obra'!$M$6/30)*F4235)/D4235)*G4203</f>
        <v>0</v>
      </c>
    </row>
    <row r="4236" spans="1:15" ht="16.5">
      <c r="A4236" s="560" t="s">
        <v>4101</v>
      </c>
      <c r="B4236" s="560"/>
      <c r="C4236" s="560"/>
      <c r="D4236" s="560"/>
      <c r="E4236" s="560"/>
      <c r="F4236" s="560"/>
      <c r="G4236" s="560"/>
      <c r="H4236" s="105">
        <f>SUM(F4233:F4235)</f>
        <v>22484</v>
      </c>
      <c r="J4236" s="136"/>
    </row>
    <row r="4237" spans="1:15">
      <c r="A4237" s="227" t="s">
        <v>4237</v>
      </c>
      <c r="B4237" s="205"/>
      <c r="C4237" s="205"/>
      <c r="D4237" s="202"/>
      <c r="E4237" s="203"/>
      <c r="F4237" s="204"/>
      <c r="G4237" s="203"/>
      <c r="H4237" s="212"/>
    </row>
    <row r="4238" spans="1:15">
      <c r="A4238" s="561" t="s">
        <v>4224</v>
      </c>
      <c r="B4238" s="562"/>
      <c r="C4238" s="562"/>
      <c r="D4238" s="562"/>
      <c r="E4238" s="200"/>
      <c r="F4238" s="201" t="s">
        <v>4238</v>
      </c>
      <c r="G4238" s="200" t="s">
        <v>4239</v>
      </c>
      <c r="H4238" s="213"/>
    </row>
    <row r="4239" spans="1:15">
      <c r="A4239" s="223" t="s">
        <v>4097</v>
      </c>
      <c r="B4239" s="72"/>
      <c r="C4239" s="72"/>
      <c r="D4239" s="73"/>
      <c r="E4239" s="78"/>
      <c r="F4239" s="79">
        <v>0</v>
      </c>
      <c r="G4239" s="80">
        <f>F4239*H4204</f>
        <v>0</v>
      </c>
      <c r="H4239" s="212"/>
    </row>
    <row r="4240" spans="1:15">
      <c r="A4240" s="224" t="s">
        <v>4240</v>
      </c>
      <c r="B4240" s="81"/>
      <c r="C4240" s="81"/>
      <c r="D4240" s="82"/>
      <c r="E4240" s="78"/>
      <c r="F4240" s="79">
        <v>0</v>
      </c>
      <c r="G4240" s="80">
        <f>F4240*H4204</f>
        <v>0</v>
      </c>
      <c r="H4240" s="212"/>
    </row>
    <row r="4241" spans="1:14">
      <c r="A4241" s="224" t="s">
        <v>4</v>
      </c>
      <c r="B4241" s="81"/>
      <c r="C4241" s="81"/>
      <c r="D4241" s="82"/>
      <c r="E4241" s="78"/>
      <c r="F4241" s="79">
        <v>0</v>
      </c>
      <c r="G4241" s="80">
        <f>F4241*H4204</f>
        <v>0</v>
      </c>
      <c r="H4241" s="212"/>
    </row>
    <row r="4242" spans="1:14">
      <c r="A4242" s="225"/>
      <c r="B4242" s="83"/>
      <c r="C4242" s="75"/>
      <c r="D4242" s="84"/>
      <c r="E4242" s="85"/>
      <c r="F4242" s="86"/>
      <c r="G4242" s="87"/>
      <c r="H4242" s="214"/>
    </row>
    <row r="4243" spans="1:14">
      <c r="A4243" s="226"/>
      <c r="B4243" s="83"/>
      <c r="C4243" s="83"/>
      <c r="D4243" s="84"/>
      <c r="E4243" s="88"/>
      <c r="F4243" s="563" t="s">
        <v>4241</v>
      </c>
      <c r="G4243" s="564"/>
      <c r="H4243" s="233">
        <f>H4204+G4239+G4240+G4241</f>
        <v>2118642.0772500001</v>
      </c>
    </row>
    <row r="4244" spans="1:14">
      <c r="A4244" s="83"/>
      <c r="B4244" s="83"/>
      <c r="C4244" s="83"/>
      <c r="D4244" s="84"/>
      <c r="E4244" s="388"/>
      <c r="F4244" s="389"/>
      <c r="G4244" s="389"/>
      <c r="H4244" s="390"/>
    </row>
    <row r="4245" spans="1:14" ht="16.5">
      <c r="A4245" s="90"/>
      <c r="B4245" s="90"/>
      <c r="C4245" s="90"/>
      <c r="D4245" s="90"/>
      <c r="E4245" s="90"/>
      <c r="F4245" s="90"/>
      <c r="G4245" s="90"/>
      <c r="H4245" s="381"/>
    </row>
    <row r="4246" spans="1:14">
      <c r="A4246" s="579" t="s">
        <v>4225</v>
      </c>
      <c r="B4246" s="580"/>
      <c r="C4246" s="580"/>
      <c r="D4246" s="580"/>
      <c r="E4246" s="580"/>
      <c r="F4246" s="580"/>
      <c r="G4246" s="580"/>
      <c r="H4246" s="581"/>
    </row>
    <row r="4247" spans="1:14" ht="16.5">
      <c r="A4247" s="91"/>
      <c r="B4247" s="92"/>
      <c r="C4247" s="92"/>
      <c r="D4247" s="92"/>
      <c r="E4247" s="92"/>
      <c r="F4247" s="93"/>
      <c r="G4247" s="94"/>
      <c r="H4247" s="380">
        <f>ROUND((30/60)/8,4)</f>
        <v>6.25E-2</v>
      </c>
      <c r="I4247" s="115"/>
    </row>
    <row r="4248" spans="1:14">
      <c r="A4248" s="582" t="s">
        <v>4220</v>
      </c>
      <c r="B4248" s="584" t="str">
        <f>COSTOS!$C$14</f>
        <v>MODERNIZACION A TECNOLOGIA LED</v>
      </c>
      <c r="C4248" s="584"/>
      <c r="D4248" s="584"/>
      <c r="E4248" s="584"/>
      <c r="F4248" s="584"/>
      <c r="G4248" s="584"/>
      <c r="H4248" s="585" t="s">
        <v>4221</v>
      </c>
    </row>
    <row r="4249" spans="1:14">
      <c r="A4249" s="583"/>
      <c r="B4249" s="584"/>
      <c r="C4249" s="584"/>
      <c r="D4249" s="584"/>
      <c r="E4249" s="584"/>
      <c r="F4249" s="584"/>
      <c r="G4249" s="584"/>
      <c r="H4249" s="585"/>
    </row>
    <row r="4250" spans="1:14">
      <c r="A4250" s="583"/>
      <c r="B4250" s="584"/>
      <c r="C4250" s="584"/>
      <c r="D4250" s="584"/>
      <c r="E4250" s="584"/>
      <c r="F4250" s="584"/>
      <c r="G4250" s="584"/>
      <c r="H4250" s="585"/>
    </row>
    <row r="4251" spans="1:14" ht="15" customHeight="1">
      <c r="A4251" s="583"/>
      <c r="B4251" s="584"/>
      <c r="C4251" s="584"/>
      <c r="D4251" s="584"/>
      <c r="E4251" s="584"/>
      <c r="F4251" s="584"/>
      <c r="G4251" s="584"/>
      <c r="H4251" s="216">
        <f ca="1">TODAY()</f>
        <v>44889</v>
      </c>
      <c r="K4251" t="s">
        <v>4391</v>
      </c>
      <c r="L4251" t="s">
        <v>4392</v>
      </c>
      <c r="M4251" t="s">
        <v>4393</v>
      </c>
      <c r="N4251" t="s">
        <v>4394</v>
      </c>
    </row>
    <row r="4252" spans="1:14" ht="60.75" customHeight="1">
      <c r="A4252" s="228" t="s">
        <v>4222</v>
      </c>
      <c r="B4252" s="565" t="str">
        <f>COSTOS!$D$16</f>
        <v>Luminarias</v>
      </c>
      <c r="C4252" s="565"/>
      <c r="D4252" s="565"/>
      <c r="E4252" s="565"/>
      <c r="F4252" s="565"/>
      <c r="G4252" s="70" t="s">
        <v>4223</v>
      </c>
      <c r="H4252" s="391">
        <v>1.84</v>
      </c>
      <c r="K4252" s="62">
        <f>H4277</f>
        <v>221632.64480000001</v>
      </c>
      <c r="L4252" s="62">
        <f>H4287</f>
        <v>22484</v>
      </c>
      <c r="M4252" s="62">
        <f>H4260</f>
        <v>4034.53125</v>
      </c>
      <c r="N4252" s="62">
        <f>H4281</f>
        <v>4800</v>
      </c>
    </row>
    <row r="4253" spans="1:14" ht="43.15" customHeight="1">
      <c r="A4253" s="229" t="s">
        <v>4224</v>
      </c>
      <c r="B4253" s="566" t="str">
        <f>VLOOKUP(H4252,COSTOS!C:M,2,0)</f>
        <v>Cinta led Azul 3,6W x 20mts</v>
      </c>
      <c r="C4253" s="567"/>
      <c r="D4253" s="567"/>
      <c r="E4253" s="568"/>
      <c r="F4253" s="71" t="s">
        <v>0</v>
      </c>
      <c r="G4253" s="356" t="str">
        <f>VLOOKUP(H4252,COSTOS!C:M,8,0)</f>
        <v>Und</v>
      </c>
      <c r="H4253" s="276"/>
      <c r="I4253" s="306"/>
      <c r="J4253" s="308"/>
      <c r="K4253" s="308"/>
      <c r="L4253" s="308"/>
    </row>
    <row r="4254" spans="1:14">
      <c r="A4254" s="230"/>
      <c r="B4254" s="112"/>
      <c r="C4254" s="112"/>
      <c r="D4254" s="112"/>
      <c r="E4254" s="113"/>
      <c r="F4254" s="114" t="s">
        <v>1</v>
      </c>
      <c r="G4254" s="356">
        <f>VLOOKUP(H4252,COSTOS!C:M,9,0)</f>
        <v>0</v>
      </c>
      <c r="H4254" s="357"/>
      <c r="I4254" s="307"/>
    </row>
    <row r="4255" spans="1:14" ht="16.5">
      <c r="A4255" s="231" t="s">
        <v>4226</v>
      </c>
      <c r="B4255" s="75"/>
      <c r="C4255" s="75"/>
      <c r="D4255" s="76"/>
      <c r="E4255" s="209"/>
      <c r="F4255" s="210"/>
      <c r="G4255" s="211" t="s">
        <v>4227</v>
      </c>
      <c r="H4255" s="217">
        <f>H4260+H4277+H4281+H4287</f>
        <v>252951.17605000001</v>
      </c>
    </row>
    <row r="4256" spans="1:14" ht="39">
      <c r="A4256" s="569" t="s">
        <v>4224</v>
      </c>
      <c r="B4256" s="569"/>
      <c r="C4256" s="569"/>
      <c r="D4256" s="77" t="s">
        <v>0</v>
      </c>
      <c r="E4256" s="207" t="s">
        <v>4228</v>
      </c>
      <c r="F4256" s="208" t="s">
        <v>4215</v>
      </c>
      <c r="G4256" s="74" t="s">
        <v>2</v>
      </c>
      <c r="H4256" s="218" t="s">
        <v>4229</v>
      </c>
      <c r="K4256" s="309"/>
    </row>
    <row r="4257" spans="1:15">
      <c r="A4257" s="536" t="s">
        <v>3946</v>
      </c>
      <c r="B4257" s="570" t="str">
        <f>VLOOKUP(A4257,'Equip, Herr y Transp'!$B$2:$D$739,2,0)</f>
        <v>EQU</v>
      </c>
      <c r="C4257" s="570"/>
      <c r="D4257" s="95" t="str">
        <f>VLOOKUP(A4257,'Equip, Herr y Transp'!$B$2:$D$218,2,0)</f>
        <v>EQU</v>
      </c>
      <c r="E4257" s="95">
        <f>VLOOKUP(A4257,'Equip, Herr y Transp'!$B$2:$D$218,3,0)</f>
        <v>14130</v>
      </c>
      <c r="F4257" s="96">
        <f>H4247</f>
        <v>6.25E-2</v>
      </c>
      <c r="G4257" s="122">
        <f>F4257*E4257</f>
        <v>883.125</v>
      </c>
      <c r="H4257" s="118"/>
      <c r="L4257">
        <f>280/70</f>
        <v>4</v>
      </c>
    </row>
    <row r="4258" spans="1:15">
      <c r="A4258" s="536" t="s">
        <v>3904</v>
      </c>
      <c r="B4258" s="570" t="str">
        <f>VLOOKUP(A4258,'Equip, Herr y Transp'!$B$2:$D$739,2,0)</f>
        <v>EQU</v>
      </c>
      <c r="C4258" s="570"/>
      <c r="D4258" s="95" t="str">
        <f>VLOOKUP(A4258,'Equip, Herr y Transp'!$B$2:$D$218,2,0)</f>
        <v>EQU</v>
      </c>
      <c r="E4258" s="95">
        <f>VLOOKUP(A4258,'Equip, Herr y Transp'!$B$2:$D$218,3,0)</f>
        <v>26672.5</v>
      </c>
      <c r="F4258" s="96">
        <f>H4247</f>
        <v>6.25E-2</v>
      </c>
      <c r="G4258" s="122">
        <f>F4258*E4258</f>
        <v>1667.03125</v>
      </c>
      <c r="H4258" s="117"/>
    </row>
    <row r="4259" spans="1:15">
      <c r="A4259" s="536" t="s">
        <v>3937</v>
      </c>
      <c r="B4259" s="570" t="str">
        <f>VLOOKUP(A4259,'Equip, Herr y Transp'!$B$2:$D$739,2,0)</f>
        <v>EQU</v>
      </c>
      <c r="C4259" s="570"/>
      <c r="D4259" s="95" t="str">
        <f>VLOOKUP(A4259,'Equip, Herr y Transp'!$B$2:$D$218,2,0)</f>
        <v>EQU</v>
      </c>
      <c r="E4259" s="95">
        <f>VLOOKUP(A4259,'Equip, Herr y Transp'!$B$2:$D$218,3,0)</f>
        <v>23750</v>
      </c>
      <c r="F4259" s="96">
        <f>H4247</f>
        <v>6.25E-2</v>
      </c>
      <c r="G4259" s="122">
        <f>F4259*E4259</f>
        <v>1484.375</v>
      </c>
      <c r="H4259" s="117"/>
    </row>
    <row r="4260" spans="1:15" ht="16.5">
      <c r="A4260" s="540" t="s">
        <v>4100</v>
      </c>
      <c r="B4260" s="541"/>
      <c r="C4260" s="541"/>
      <c r="D4260" s="541"/>
      <c r="E4260" s="541"/>
      <c r="F4260" s="541"/>
      <c r="G4260" s="541"/>
      <c r="H4260" s="97">
        <f>SUM(G4257:G4259)</f>
        <v>4034.53125</v>
      </c>
    </row>
    <row r="4261" spans="1:15" ht="16.5">
      <c r="A4261" s="571" t="s">
        <v>4230</v>
      </c>
      <c r="B4261" s="572"/>
      <c r="C4261" s="572"/>
      <c r="D4261" s="572"/>
      <c r="E4261" s="572"/>
      <c r="F4261" s="572"/>
      <c r="G4261" s="572"/>
      <c r="H4261" s="573"/>
      <c r="K4261" s="56"/>
      <c r="L4261" s="56"/>
      <c r="M4261" s="56"/>
      <c r="N4261" s="56"/>
      <c r="O4261" s="56"/>
    </row>
    <row r="4262" spans="1:15" ht="30" customHeight="1">
      <c r="A4262" s="574" t="s">
        <v>7</v>
      </c>
      <c r="B4262" s="575"/>
      <c r="C4262" s="109" t="s">
        <v>0</v>
      </c>
      <c r="D4262" s="110" t="s">
        <v>4098</v>
      </c>
      <c r="E4262" s="111" t="s">
        <v>1</v>
      </c>
      <c r="F4262" s="576" t="s">
        <v>4218</v>
      </c>
      <c r="G4262" s="576"/>
      <c r="H4262" s="215"/>
      <c r="K4262" s="56"/>
      <c r="L4262" s="56"/>
      <c r="M4262" s="56"/>
      <c r="N4262" s="56"/>
      <c r="O4262" s="56"/>
    </row>
    <row r="4263" spans="1:15">
      <c r="A4263" s="577" t="s">
        <v>4544</v>
      </c>
      <c r="B4263" s="578"/>
      <c r="C4263" s="98" t="str">
        <f>VLOOKUP(A4263,'Materiales '!$C$2:$F$1302,3,0)</f>
        <v>Ml</v>
      </c>
      <c r="D4263" s="99">
        <f>VLOOKUP(A4263,'Materiales '!$C$2:$F$1302,4,0)</f>
        <v>9740.2690000000002</v>
      </c>
      <c r="E4263" s="100">
        <v>20</v>
      </c>
      <c r="F4263" s="538">
        <f>E4263*D4263</f>
        <v>194805.38</v>
      </c>
      <c r="G4263" s="539"/>
      <c r="H4263" s="121"/>
      <c r="I4263">
        <f>E4263*G4254</f>
        <v>0</v>
      </c>
      <c r="J4263" s="67"/>
      <c r="K4263" s="56"/>
      <c r="L4263" s="56"/>
      <c r="M4263" s="56"/>
      <c r="N4263" s="56"/>
      <c r="O4263" s="56"/>
    </row>
    <row r="4264" spans="1:15">
      <c r="A4264" s="577" t="s">
        <v>4424</v>
      </c>
      <c r="B4264" s="578"/>
      <c r="C4264" s="98" t="str">
        <f>VLOOKUP(A4264,'Materiales '!$C$2:$F$1302,3,0)</f>
        <v>Und</v>
      </c>
      <c r="D4264" s="99">
        <f>VLOOKUP(A4264,'Materiales '!$C$2:$F$1302,4,0)</f>
        <v>66.002159999999989</v>
      </c>
      <c r="E4264" s="100">
        <v>30</v>
      </c>
      <c r="F4264" s="538">
        <f t="shared" ref="F4264:F4270" si="250">E4264*D4264</f>
        <v>1980.0647999999997</v>
      </c>
      <c r="G4264" s="539"/>
      <c r="H4264" s="121"/>
      <c r="I4264">
        <f>E4264*G4254</f>
        <v>0</v>
      </c>
      <c r="J4264" s="67"/>
      <c r="K4264" s="56"/>
      <c r="L4264" s="56"/>
      <c r="M4264" s="56"/>
      <c r="N4264" s="56"/>
      <c r="O4264" s="56"/>
    </row>
    <row r="4265" spans="1:15">
      <c r="A4265" s="536" t="s">
        <v>4523</v>
      </c>
      <c r="B4265" s="537" t="str">
        <f>VLOOKUP(A4265,'Materiales '!$C$2:$F$1302,3,0)</f>
        <v>Und</v>
      </c>
      <c r="C4265" s="98" t="str">
        <f>VLOOKUP(A4265,'Materiales '!$C$2:$F$1302,3,0)</f>
        <v>Und</v>
      </c>
      <c r="D4265" s="99">
        <f>VLOOKUP(A4265,'Materiales '!$C$2:$F$1302,4,0)</f>
        <v>9996</v>
      </c>
      <c r="E4265" s="100">
        <v>1</v>
      </c>
      <c r="F4265" s="538">
        <f t="shared" si="250"/>
        <v>9996</v>
      </c>
      <c r="G4265" s="539"/>
      <c r="H4265" s="121"/>
      <c r="I4265">
        <f>E4265*G4254</f>
        <v>0</v>
      </c>
      <c r="J4265" s="68"/>
      <c r="K4265" s="56"/>
      <c r="L4265" s="56"/>
      <c r="M4265" s="56"/>
      <c r="N4265" s="56"/>
      <c r="O4265" s="56"/>
    </row>
    <row r="4266" spans="1:15">
      <c r="A4266" s="536" t="s">
        <v>4443</v>
      </c>
      <c r="B4266" s="537" t="str">
        <f>VLOOKUP(A4266,'Materiales '!$C$2:$F$1302,3,0)</f>
        <v>Ml</v>
      </c>
      <c r="C4266" s="98" t="str">
        <f>VLOOKUP(A4266,'Materiales '!$C$2:$F$1302,3,0)</f>
        <v>Ml</v>
      </c>
      <c r="D4266" s="99">
        <f>VLOOKUP(A4266,'Materiales '!$C$2:$F$1302,4,0)</f>
        <v>14851.199999999999</v>
      </c>
      <c r="E4266" s="100">
        <v>1</v>
      </c>
      <c r="F4266" s="538">
        <f t="shared" si="250"/>
        <v>14851.199999999999</v>
      </c>
      <c r="G4266" s="539"/>
      <c r="H4266" s="121"/>
      <c r="I4266">
        <f>E4266*G4254</f>
        <v>0</v>
      </c>
      <c r="J4266" s="68"/>
      <c r="K4266" s="56"/>
      <c r="L4266" s="56"/>
      <c r="M4266" s="56"/>
      <c r="N4266" s="56"/>
      <c r="O4266" s="56"/>
    </row>
    <row r="4267" spans="1:15">
      <c r="A4267" s="536" t="s">
        <v>8</v>
      </c>
      <c r="B4267" s="537" t="str">
        <f>VLOOKUP(A4267,'Materiales '!$C$2:$F$1302,3,0)</f>
        <v>-</v>
      </c>
      <c r="C4267" s="98" t="str">
        <f>VLOOKUP(A4267,'Materiales '!$C$2:$F$1302,3,0)</f>
        <v>-</v>
      </c>
      <c r="D4267" s="99">
        <f>VLOOKUP(A4267,'Materiales '!$C$2:$F$1302,4,0)</f>
        <v>0</v>
      </c>
      <c r="E4267" s="100">
        <v>2</v>
      </c>
      <c r="F4267" s="538">
        <f t="shared" si="250"/>
        <v>0</v>
      </c>
      <c r="G4267" s="539"/>
      <c r="H4267" s="121"/>
      <c r="I4267">
        <f>E4267*G4254</f>
        <v>0</v>
      </c>
      <c r="J4267" s="68"/>
      <c r="K4267" s="56"/>
      <c r="L4267" s="56"/>
      <c r="M4267" s="56"/>
      <c r="N4267" s="56"/>
      <c r="O4267" s="56"/>
    </row>
    <row r="4268" spans="1:15">
      <c r="A4268" s="536" t="s">
        <v>8</v>
      </c>
      <c r="B4268" s="537" t="str">
        <f>VLOOKUP(A4268,'Materiales '!$C$2:$F$1302,3,0)</f>
        <v>-</v>
      </c>
      <c r="C4268" s="98" t="str">
        <f>VLOOKUP(A4268,'Materiales '!$C$2:$F$1302,3,0)</f>
        <v>-</v>
      </c>
      <c r="D4268" s="99">
        <f>VLOOKUP(A4268,'Materiales '!$C$2:$F$1302,4,0)</f>
        <v>0</v>
      </c>
      <c r="E4268" s="100">
        <v>1</v>
      </c>
      <c r="F4268" s="538">
        <f t="shared" si="250"/>
        <v>0</v>
      </c>
      <c r="G4268" s="539"/>
      <c r="H4268" s="121"/>
      <c r="I4268">
        <f>E4268*G4254</f>
        <v>0</v>
      </c>
      <c r="J4268" s="68"/>
      <c r="K4268" s="56"/>
      <c r="L4268" s="56"/>
      <c r="M4268" s="56"/>
      <c r="N4268" s="56"/>
      <c r="O4268" s="56"/>
    </row>
    <row r="4269" spans="1:15">
      <c r="A4269" s="536" t="s">
        <v>8</v>
      </c>
      <c r="B4269" s="537" t="str">
        <f>VLOOKUP(A4269,'Materiales '!$C$2:$F$1302,3,0)</f>
        <v>-</v>
      </c>
      <c r="C4269" s="98" t="str">
        <f>VLOOKUP(A4269,'Materiales '!$C$2:$F$1302,3,0)</f>
        <v>-</v>
      </c>
      <c r="D4269" s="99">
        <f>VLOOKUP(A4269,'Materiales '!$C$2:$F$1302,4,0)</f>
        <v>0</v>
      </c>
      <c r="E4269" s="100">
        <v>3</v>
      </c>
      <c r="F4269" s="538">
        <f t="shared" si="250"/>
        <v>0</v>
      </c>
      <c r="G4269" s="539"/>
      <c r="H4269" s="121"/>
      <c r="I4269">
        <f>E4269*G4254</f>
        <v>0</v>
      </c>
      <c r="J4269" s="68"/>
      <c r="K4269" s="56"/>
      <c r="L4269" s="56"/>
      <c r="M4269" s="56"/>
      <c r="N4269" s="56"/>
      <c r="O4269" s="56"/>
    </row>
    <row r="4270" spans="1:15" ht="21.75" customHeight="1">
      <c r="A4270" s="536" t="s">
        <v>8</v>
      </c>
      <c r="B4270" s="537" t="str">
        <f>VLOOKUP(A4270,'Materiales '!$C$2:$F$1302,3,0)</f>
        <v>-</v>
      </c>
      <c r="C4270" s="98" t="str">
        <f>VLOOKUP(A4270,'Materiales '!$C$2:$F$1302,3,0)</f>
        <v>-</v>
      </c>
      <c r="D4270" s="99">
        <f>VLOOKUP(A4270,'Materiales '!$C$2:$F$1302,4,0)</f>
        <v>0</v>
      </c>
      <c r="E4270" s="100">
        <v>0.5</v>
      </c>
      <c r="F4270" s="538">
        <f t="shared" si="250"/>
        <v>0</v>
      </c>
      <c r="G4270" s="539"/>
      <c r="H4270" s="121"/>
      <c r="I4270">
        <f>E4270*G4254</f>
        <v>0</v>
      </c>
      <c r="J4270" s="68"/>
      <c r="K4270" s="56"/>
      <c r="L4270" s="56"/>
      <c r="M4270" s="56"/>
      <c r="N4270" s="56"/>
      <c r="O4270" s="56"/>
    </row>
    <row r="4271" spans="1:15">
      <c r="A4271" s="536" t="s">
        <v>8</v>
      </c>
      <c r="B4271" s="537" t="str">
        <f>VLOOKUP(A4271,'Materiales '!$C$2:$F$1302,3,0)</f>
        <v>-</v>
      </c>
      <c r="C4271" s="98" t="str">
        <f>VLOOKUP(A4271,'Materiales '!$C$2:$F$1302,3,0)</f>
        <v>-</v>
      </c>
      <c r="D4271" s="99">
        <f>VLOOKUP(A4271,'Materiales '!$C$2:$F$1302,4,0)</f>
        <v>0</v>
      </c>
      <c r="E4271" s="100"/>
      <c r="F4271" s="538">
        <f>E4271*D4271</f>
        <v>0</v>
      </c>
      <c r="G4271" s="539"/>
      <c r="H4271" s="120"/>
      <c r="I4271">
        <f>E4271*G4254</f>
        <v>0</v>
      </c>
      <c r="J4271" s="68"/>
      <c r="K4271" s="56"/>
      <c r="L4271" s="56"/>
      <c r="M4271" s="56"/>
      <c r="N4271" s="56"/>
      <c r="O4271" s="56"/>
    </row>
    <row r="4272" spans="1:15">
      <c r="A4272" s="536" t="s">
        <v>8</v>
      </c>
      <c r="B4272" s="537" t="str">
        <f>VLOOKUP(A4272,'Materiales '!$C$2:$F$1302,3,0)</f>
        <v>-</v>
      </c>
      <c r="C4272" s="98" t="str">
        <f>VLOOKUP(A4272,'Materiales '!$C$2:$F$1302,3,0)</f>
        <v>-</v>
      </c>
      <c r="D4272" s="99">
        <f>VLOOKUP(A4272,'Materiales '!$C$2:$F$1302,4,0)</f>
        <v>0</v>
      </c>
      <c r="E4272" s="100"/>
      <c r="F4272" s="538">
        <f t="shared" ref="F4272:F4275" si="251">E4272*D4272</f>
        <v>0</v>
      </c>
      <c r="G4272" s="539"/>
      <c r="H4272" s="121"/>
      <c r="I4272">
        <f>E4272*G4254</f>
        <v>0</v>
      </c>
      <c r="J4272" s="68"/>
      <c r="K4272" s="56"/>
      <c r="L4272" s="56"/>
      <c r="M4272" s="56"/>
      <c r="N4272" s="56"/>
      <c r="O4272" s="56"/>
    </row>
    <row r="4273" spans="1:15">
      <c r="A4273" s="536" t="s">
        <v>8</v>
      </c>
      <c r="B4273" s="537" t="str">
        <f>VLOOKUP(A4273,'Materiales '!$C$2:$F$1302,3,0)</f>
        <v>-</v>
      </c>
      <c r="C4273" s="98" t="str">
        <f>VLOOKUP(A4273,'Materiales '!$C$2:$F$1302,3,0)</f>
        <v>-</v>
      </c>
      <c r="D4273" s="99">
        <f>VLOOKUP(A4273,'Materiales '!$C$2:$F$1302,4,0)</f>
        <v>0</v>
      </c>
      <c r="E4273" s="100"/>
      <c r="F4273" s="538">
        <f t="shared" si="251"/>
        <v>0</v>
      </c>
      <c r="G4273" s="539"/>
      <c r="H4273" s="121"/>
      <c r="I4273">
        <f>E4273*G4254</f>
        <v>0</v>
      </c>
      <c r="J4273" s="68"/>
      <c r="K4273" s="56"/>
      <c r="L4273" s="56"/>
      <c r="M4273" s="56"/>
      <c r="N4273" s="56"/>
      <c r="O4273" s="56"/>
    </row>
    <row r="4274" spans="1:15">
      <c r="A4274" s="536" t="s">
        <v>8</v>
      </c>
      <c r="B4274" s="537" t="str">
        <f>VLOOKUP(A4274,'Materiales '!$C$2:$F$1302,3,0)</f>
        <v>-</v>
      </c>
      <c r="C4274" s="98" t="str">
        <f>VLOOKUP(A4274,'Materiales '!$C$2:$F$1302,3,0)</f>
        <v>-</v>
      </c>
      <c r="D4274" s="99">
        <f>VLOOKUP(A4274,'Materiales '!$C$2:$F$1302,4,0)</f>
        <v>0</v>
      </c>
      <c r="E4274" s="100"/>
      <c r="F4274" s="538">
        <f t="shared" si="251"/>
        <v>0</v>
      </c>
      <c r="G4274" s="539"/>
      <c r="H4274" s="121"/>
      <c r="I4274">
        <f>E4274*G4254</f>
        <v>0</v>
      </c>
      <c r="J4274" s="68"/>
      <c r="K4274" s="56"/>
      <c r="L4274" s="56"/>
      <c r="M4274" s="56"/>
      <c r="N4274" s="56"/>
      <c r="O4274" s="56"/>
    </row>
    <row r="4275" spans="1:15">
      <c r="A4275" s="536" t="s">
        <v>8</v>
      </c>
      <c r="B4275" s="537" t="str">
        <f>VLOOKUP(A4275,'Materiales '!$C$2:$F$1302,3,0)</f>
        <v>-</v>
      </c>
      <c r="C4275" s="98" t="str">
        <f>VLOOKUP(A4275,'Materiales '!$C$2:$F$1302,3,0)</f>
        <v>-</v>
      </c>
      <c r="D4275" s="99">
        <f>VLOOKUP(A4275,'Materiales '!$C$2:$F$1302,4,0)</f>
        <v>0</v>
      </c>
      <c r="E4275" s="100"/>
      <c r="F4275" s="538">
        <f t="shared" si="251"/>
        <v>0</v>
      </c>
      <c r="G4275" s="539"/>
      <c r="H4275" s="121"/>
      <c r="I4275">
        <f>E4275*G4254</f>
        <v>0</v>
      </c>
      <c r="J4275" s="68"/>
      <c r="K4275" s="56"/>
      <c r="L4275" s="56"/>
      <c r="M4275" s="56"/>
      <c r="N4275" s="56"/>
      <c r="O4275" s="56"/>
    </row>
    <row r="4276" spans="1:15">
      <c r="A4276" s="536" t="s">
        <v>8</v>
      </c>
      <c r="B4276" s="537" t="str">
        <f>VLOOKUP(A4276,'Materiales '!$C$2:$F$1302,3,0)</f>
        <v>-</v>
      </c>
      <c r="C4276" s="98" t="str">
        <f>VLOOKUP(A4276,'Materiales '!$C$2:$F$1302,3,0)</f>
        <v>-</v>
      </c>
      <c r="D4276" s="99">
        <f>VLOOKUP(A4276,'Materiales '!$C$2:$F$1302,4,0)</f>
        <v>0</v>
      </c>
      <c r="E4276" s="100"/>
      <c r="F4276" s="538">
        <f>E4276*D4276</f>
        <v>0</v>
      </c>
      <c r="G4276" s="539"/>
      <c r="H4276" s="120"/>
      <c r="I4276">
        <f>E4276*G4254</f>
        <v>0</v>
      </c>
      <c r="J4276" s="68"/>
      <c r="K4276" s="56"/>
      <c r="L4276" s="56"/>
      <c r="M4276" s="56"/>
      <c r="N4276" s="56"/>
      <c r="O4276" s="56"/>
    </row>
    <row r="4277" spans="1:15" ht="16.5">
      <c r="A4277" s="540" t="s">
        <v>4099</v>
      </c>
      <c r="B4277" s="541"/>
      <c r="C4277" s="541"/>
      <c r="D4277" s="541"/>
      <c r="E4277" s="541"/>
      <c r="F4277" s="541"/>
      <c r="G4277" s="542"/>
      <c r="H4277" s="116">
        <f>SUM(F4263:F4276)</f>
        <v>221632.64480000001</v>
      </c>
      <c r="J4277" s="68"/>
      <c r="K4277" s="56"/>
      <c r="L4277" s="56"/>
      <c r="M4277" s="56"/>
      <c r="N4277" s="56"/>
      <c r="O4277" s="56"/>
    </row>
    <row r="4278" spans="1:15" ht="16.5">
      <c r="A4278" s="543" t="s">
        <v>4231</v>
      </c>
      <c r="B4278" s="544"/>
      <c r="C4278" s="544"/>
      <c r="D4278" s="544"/>
      <c r="E4278" s="545"/>
      <c r="F4278" s="544"/>
      <c r="G4278" s="544"/>
      <c r="H4278" s="546"/>
      <c r="J4278" s="68"/>
      <c r="K4278" s="56"/>
      <c r="L4278" s="56"/>
      <c r="M4278" s="56"/>
      <c r="N4278" s="56"/>
      <c r="O4278" s="56"/>
    </row>
    <row r="4279" spans="1:15">
      <c r="A4279" s="547" t="s">
        <v>7</v>
      </c>
      <c r="B4279" s="548"/>
      <c r="C4279" s="108" t="s">
        <v>4232</v>
      </c>
      <c r="D4279" s="107" t="s">
        <v>4233</v>
      </c>
      <c r="E4279" s="206" t="s">
        <v>4234</v>
      </c>
      <c r="F4279" s="549" t="s">
        <v>4218</v>
      </c>
      <c r="G4279" s="549"/>
      <c r="H4279" s="119"/>
      <c r="K4279" s="56"/>
      <c r="L4279" s="56"/>
      <c r="M4279" s="56"/>
      <c r="N4279" s="56"/>
      <c r="O4279" s="56"/>
    </row>
    <row r="4280" spans="1:15">
      <c r="A4280" s="550" t="s">
        <v>3928</v>
      </c>
      <c r="B4280" s="551"/>
      <c r="C4280" s="232">
        <v>1</v>
      </c>
      <c r="D4280" s="102">
        <v>0.03</v>
      </c>
      <c r="E4280" s="103">
        <f>VLOOKUP(A4280,'Equip, Herr y Transp'!$B$2:$D$218,3,0)</f>
        <v>160000</v>
      </c>
      <c r="F4280" s="552">
        <f>E4280*D4280*C4280</f>
        <v>4800</v>
      </c>
      <c r="G4280" s="553"/>
      <c r="H4280" s="117"/>
      <c r="M4280" s="56"/>
    </row>
    <row r="4281" spans="1:15" ht="16.5">
      <c r="A4281" s="554" t="s">
        <v>4216</v>
      </c>
      <c r="B4281" s="555"/>
      <c r="C4281" s="555"/>
      <c r="D4281" s="555"/>
      <c r="E4281" s="555"/>
      <c r="F4281" s="555"/>
      <c r="G4281" s="555"/>
      <c r="H4281" s="105">
        <f>F4280</f>
        <v>4800</v>
      </c>
    </row>
    <row r="4282" spans="1:15" ht="16.5">
      <c r="A4282" s="543" t="s">
        <v>4235</v>
      </c>
      <c r="B4282" s="544"/>
      <c r="C4282" s="544"/>
      <c r="D4282" s="544"/>
      <c r="E4282" s="544"/>
      <c r="F4282" s="544"/>
      <c r="G4282" s="544"/>
      <c r="H4282" s="546"/>
    </row>
    <row r="4283" spans="1:15">
      <c r="A4283" s="547" t="s">
        <v>7</v>
      </c>
      <c r="B4283" s="548"/>
      <c r="C4283" s="106" t="s">
        <v>1</v>
      </c>
      <c r="D4283" s="107" t="s">
        <v>4236</v>
      </c>
      <c r="E4283" s="108" t="s">
        <v>4215</v>
      </c>
      <c r="F4283" s="547" t="s">
        <v>5</v>
      </c>
      <c r="G4283" s="556"/>
      <c r="H4283" s="119"/>
    </row>
    <row r="4284" spans="1:15">
      <c r="A4284" s="550" t="s">
        <v>4196</v>
      </c>
      <c r="B4284" s="551"/>
      <c r="C4284" s="101">
        <v>1</v>
      </c>
      <c r="D4284" s="104">
        <f>VLOOKUP(A4284,'Mano Obra'!$B$2:$T$117,19,0)</f>
        <v>166624</v>
      </c>
      <c r="E4284" s="246">
        <f>H4247</f>
        <v>6.25E-2</v>
      </c>
      <c r="F4284" s="538">
        <f>E4284*D4284*C4284</f>
        <v>10414</v>
      </c>
      <c r="G4284" s="557"/>
      <c r="H4284" s="121"/>
      <c r="I4284" s="69"/>
      <c r="J4284" s="136">
        <f>((('Mano Obra'!$M$4/30)*F4284)/D4284)*G4254</f>
        <v>0</v>
      </c>
    </row>
    <row r="4285" spans="1:15">
      <c r="A4285" s="558" t="s">
        <v>4197</v>
      </c>
      <c r="B4285" s="559">
        <f>VLOOKUP(A4285,'Mano Obra'!$B$3:$D$290,2,0)</f>
        <v>2090000.0000000002</v>
      </c>
      <c r="C4285" s="101">
        <v>1</v>
      </c>
      <c r="D4285" s="104">
        <f>VLOOKUP(A4285,'Mano Obra'!$B$2:$T$117,19,0)</f>
        <v>120456</v>
      </c>
      <c r="E4285" s="246">
        <f>H4247</f>
        <v>6.25E-2</v>
      </c>
      <c r="F4285" s="538">
        <f t="shared" ref="F4285:F4286" si="252">E4285*D4285*C4285</f>
        <v>7528.5</v>
      </c>
      <c r="G4285" s="557"/>
      <c r="H4285" s="121"/>
      <c r="J4285" s="136">
        <f>((('Mano Obra'!$M$5/30)*F4285)/D4285)*G4254</f>
        <v>0</v>
      </c>
    </row>
    <row r="4286" spans="1:15">
      <c r="A4286" s="558" t="s">
        <v>4186</v>
      </c>
      <c r="B4286" s="559">
        <f>VLOOKUP(A4286,'Mano Obra'!$B$3:$D$290,2,0)</f>
        <v>1100000</v>
      </c>
      <c r="C4286" s="101">
        <v>1</v>
      </c>
      <c r="D4286" s="104">
        <f>VLOOKUP(A4286,'Mano Obra'!$B$2:$T$117,19,0)</f>
        <v>72664</v>
      </c>
      <c r="E4286" s="246">
        <f>H4247</f>
        <v>6.25E-2</v>
      </c>
      <c r="F4286" s="538">
        <f t="shared" si="252"/>
        <v>4541.5</v>
      </c>
      <c r="G4286" s="557"/>
      <c r="H4286" s="120"/>
      <c r="J4286" s="136">
        <f>((('Mano Obra'!$M$6/30)*F4286)/D4286)*G4254</f>
        <v>0</v>
      </c>
    </row>
    <row r="4287" spans="1:15" ht="16.5">
      <c r="A4287" s="560" t="s">
        <v>4101</v>
      </c>
      <c r="B4287" s="560"/>
      <c r="C4287" s="560"/>
      <c r="D4287" s="560"/>
      <c r="E4287" s="560"/>
      <c r="F4287" s="560"/>
      <c r="G4287" s="560"/>
      <c r="H4287" s="105">
        <f>SUM(F4284:F4286)</f>
        <v>22484</v>
      </c>
      <c r="J4287" s="136"/>
    </row>
    <row r="4288" spans="1:15">
      <c r="A4288" s="227" t="s">
        <v>4237</v>
      </c>
      <c r="B4288" s="205"/>
      <c r="C4288" s="205"/>
      <c r="D4288" s="202"/>
      <c r="E4288" s="203"/>
      <c r="F4288" s="204"/>
      <c r="G4288" s="203"/>
      <c r="H4288" s="212"/>
    </row>
    <row r="4289" spans="1:14">
      <c r="A4289" s="561" t="s">
        <v>4224</v>
      </c>
      <c r="B4289" s="562"/>
      <c r="C4289" s="562"/>
      <c r="D4289" s="562"/>
      <c r="E4289" s="200"/>
      <c r="F4289" s="201" t="s">
        <v>4238</v>
      </c>
      <c r="G4289" s="200" t="s">
        <v>4239</v>
      </c>
      <c r="H4289" s="213"/>
    </row>
    <row r="4290" spans="1:14">
      <c r="A4290" s="223" t="s">
        <v>4097</v>
      </c>
      <c r="B4290" s="72"/>
      <c r="C4290" s="72"/>
      <c r="D4290" s="73"/>
      <c r="E4290" s="78"/>
      <c r="F4290" s="79">
        <v>0</v>
      </c>
      <c r="G4290" s="80">
        <f>F4290*H4255</f>
        <v>0</v>
      </c>
      <c r="H4290" s="212"/>
    </row>
    <row r="4291" spans="1:14">
      <c r="A4291" s="224" t="s">
        <v>4240</v>
      </c>
      <c r="B4291" s="81"/>
      <c r="C4291" s="81"/>
      <c r="D4291" s="82"/>
      <c r="E4291" s="78"/>
      <c r="F4291" s="79">
        <v>0</v>
      </c>
      <c r="G4291" s="80">
        <f>F4291*H4255</f>
        <v>0</v>
      </c>
      <c r="H4291" s="212"/>
    </row>
    <row r="4292" spans="1:14">
      <c r="A4292" s="224" t="s">
        <v>4</v>
      </c>
      <c r="B4292" s="81"/>
      <c r="C4292" s="81"/>
      <c r="D4292" s="82"/>
      <c r="E4292" s="78"/>
      <c r="F4292" s="79">
        <v>0</v>
      </c>
      <c r="G4292" s="80">
        <f>F4292*H4255</f>
        <v>0</v>
      </c>
      <c r="H4292" s="212"/>
    </row>
    <row r="4293" spans="1:14">
      <c r="A4293" s="225"/>
      <c r="B4293" s="83"/>
      <c r="C4293" s="75"/>
      <c r="D4293" s="84"/>
      <c r="E4293" s="85"/>
      <c r="F4293" s="86"/>
      <c r="G4293" s="87"/>
      <c r="H4293" s="214"/>
    </row>
    <row r="4294" spans="1:14">
      <c r="A4294" s="226"/>
      <c r="B4294" s="83"/>
      <c r="C4294" s="83"/>
      <c r="D4294" s="84"/>
      <c r="E4294" s="88"/>
      <c r="F4294" s="563" t="s">
        <v>4241</v>
      </c>
      <c r="G4294" s="564"/>
      <c r="H4294" s="233">
        <f>H4255+G4290+G4291+G4292</f>
        <v>252951.17605000001</v>
      </c>
    </row>
    <row r="4295" spans="1:14">
      <c r="A4295" s="83"/>
      <c r="B4295" s="83"/>
      <c r="C4295" s="83"/>
      <c r="D4295" s="84"/>
      <c r="E4295" s="388"/>
      <c r="F4295" s="389"/>
      <c r="G4295" s="389"/>
      <c r="H4295" s="390"/>
    </row>
    <row r="4296" spans="1:14" ht="16.5">
      <c r="A4296" s="90"/>
      <c r="B4296" s="90"/>
      <c r="C4296" s="90"/>
      <c r="D4296" s="90"/>
      <c r="E4296" s="90"/>
      <c r="F4296" s="90"/>
      <c r="G4296" s="90"/>
      <c r="H4296" s="381"/>
    </row>
    <row r="4297" spans="1:14">
      <c r="A4297" s="579" t="s">
        <v>4225</v>
      </c>
      <c r="B4297" s="580"/>
      <c r="C4297" s="580"/>
      <c r="D4297" s="580"/>
      <c r="E4297" s="580"/>
      <c r="F4297" s="580"/>
      <c r="G4297" s="580"/>
      <c r="H4297" s="581"/>
    </row>
    <row r="4298" spans="1:14" ht="16.5">
      <c r="A4298" s="91"/>
      <c r="B4298" s="92"/>
      <c r="C4298" s="92"/>
      <c r="D4298" s="92"/>
      <c r="E4298" s="92"/>
      <c r="F4298" s="93"/>
      <c r="G4298" s="94"/>
      <c r="H4298" s="380">
        <f>ROUND((30/60)/8,4)</f>
        <v>6.25E-2</v>
      </c>
      <c r="I4298" s="115"/>
    </row>
    <row r="4299" spans="1:14">
      <c r="A4299" s="582" t="s">
        <v>4220</v>
      </c>
      <c r="B4299" s="584" t="str">
        <f>COSTOS!$C$14</f>
        <v>MODERNIZACION A TECNOLOGIA LED</v>
      </c>
      <c r="C4299" s="584"/>
      <c r="D4299" s="584"/>
      <c r="E4299" s="584"/>
      <c r="F4299" s="584"/>
      <c r="G4299" s="584"/>
      <c r="H4299" s="585" t="s">
        <v>4221</v>
      </c>
    </row>
    <row r="4300" spans="1:14">
      <c r="A4300" s="583"/>
      <c r="B4300" s="584"/>
      <c r="C4300" s="584"/>
      <c r="D4300" s="584"/>
      <c r="E4300" s="584"/>
      <c r="F4300" s="584"/>
      <c r="G4300" s="584"/>
      <c r="H4300" s="585"/>
    </row>
    <row r="4301" spans="1:14">
      <c r="A4301" s="583"/>
      <c r="B4301" s="584"/>
      <c r="C4301" s="584"/>
      <c r="D4301" s="584"/>
      <c r="E4301" s="584"/>
      <c r="F4301" s="584"/>
      <c r="G4301" s="584"/>
      <c r="H4301" s="585"/>
    </row>
    <row r="4302" spans="1:14" ht="15" customHeight="1">
      <c r="A4302" s="583"/>
      <c r="B4302" s="584"/>
      <c r="C4302" s="584"/>
      <c r="D4302" s="584"/>
      <c r="E4302" s="584"/>
      <c r="F4302" s="584"/>
      <c r="G4302" s="584"/>
      <c r="H4302" s="216">
        <f ca="1">TODAY()</f>
        <v>44889</v>
      </c>
      <c r="K4302" t="s">
        <v>4391</v>
      </c>
      <c r="L4302" t="s">
        <v>4392</v>
      </c>
      <c r="M4302" t="s">
        <v>4393</v>
      </c>
      <c r="N4302" t="s">
        <v>4394</v>
      </c>
    </row>
    <row r="4303" spans="1:14" ht="60.75" customHeight="1">
      <c r="A4303" s="228" t="s">
        <v>4222</v>
      </c>
      <c r="B4303" s="565" t="str">
        <f>COSTOS!$D$16</f>
        <v>Luminarias</v>
      </c>
      <c r="C4303" s="565"/>
      <c r="D4303" s="565"/>
      <c r="E4303" s="565"/>
      <c r="F4303" s="565"/>
      <c r="G4303" s="70" t="s">
        <v>4223</v>
      </c>
      <c r="H4303" s="391">
        <v>1.85</v>
      </c>
      <c r="K4303" s="62">
        <f>H4328</f>
        <v>1020211.8710000002</v>
      </c>
      <c r="L4303" s="62">
        <f>H4338</f>
        <v>22484</v>
      </c>
      <c r="M4303" s="62">
        <f>H4311</f>
        <v>4034.53125</v>
      </c>
      <c r="N4303" s="62">
        <f>H4332</f>
        <v>4800</v>
      </c>
    </row>
    <row r="4304" spans="1:14" ht="43.15" customHeight="1">
      <c r="A4304" s="229" t="s">
        <v>4224</v>
      </c>
      <c r="B4304" s="566" t="str">
        <f>VLOOKUP(H4303,COSTOS!C:M,2,0)</f>
        <v>Luminaria led 46 w Agm</v>
      </c>
      <c r="C4304" s="567"/>
      <c r="D4304" s="567"/>
      <c r="E4304" s="568"/>
      <c r="F4304" s="71" t="s">
        <v>0</v>
      </c>
      <c r="G4304" s="356" t="str">
        <f>VLOOKUP(H4303,COSTOS!C:M,8,0)</f>
        <v>Und</v>
      </c>
      <c r="H4304" s="276"/>
      <c r="I4304" s="306"/>
      <c r="J4304" s="308"/>
      <c r="K4304" s="308"/>
      <c r="L4304" s="308"/>
    </row>
    <row r="4305" spans="1:15">
      <c r="A4305" s="230"/>
      <c r="B4305" s="112"/>
      <c r="C4305" s="112"/>
      <c r="D4305" s="112"/>
      <c r="E4305" s="113"/>
      <c r="F4305" s="114" t="s">
        <v>1</v>
      </c>
      <c r="G4305" s="356">
        <f>VLOOKUP(H4303,COSTOS!C:M,9,0)</f>
        <v>1</v>
      </c>
      <c r="H4305" s="357"/>
      <c r="I4305" s="307"/>
    </row>
    <row r="4306" spans="1:15" ht="16.5">
      <c r="A4306" s="231" t="s">
        <v>4226</v>
      </c>
      <c r="B4306" s="75"/>
      <c r="C4306" s="75"/>
      <c r="D4306" s="76"/>
      <c r="E4306" s="209"/>
      <c r="F4306" s="210"/>
      <c r="G4306" s="211" t="s">
        <v>4227</v>
      </c>
      <c r="H4306" s="217">
        <f>H4311+H4328+H4332+H4338</f>
        <v>1051530.4022500003</v>
      </c>
    </row>
    <row r="4307" spans="1:15" ht="39">
      <c r="A4307" s="569" t="s">
        <v>4224</v>
      </c>
      <c r="B4307" s="569"/>
      <c r="C4307" s="569"/>
      <c r="D4307" s="77" t="s">
        <v>0</v>
      </c>
      <c r="E4307" s="207" t="s">
        <v>4228</v>
      </c>
      <c r="F4307" s="208" t="s">
        <v>4215</v>
      </c>
      <c r="G4307" s="74" t="s">
        <v>2</v>
      </c>
      <c r="H4307" s="218" t="s">
        <v>4229</v>
      </c>
      <c r="K4307" s="309"/>
    </row>
    <row r="4308" spans="1:15">
      <c r="A4308" s="536" t="s">
        <v>3946</v>
      </c>
      <c r="B4308" s="570" t="str">
        <f>VLOOKUP(A4308,'Equip, Herr y Transp'!$B$2:$D$739,2,0)</f>
        <v>EQU</v>
      </c>
      <c r="C4308" s="570"/>
      <c r="D4308" s="95" t="str">
        <f>VLOOKUP(A4308,'Equip, Herr y Transp'!$B$2:$D$218,2,0)</f>
        <v>EQU</v>
      </c>
      <c r="E4308" s="95">
        <f>VLOOKUP(A4308,'Equip, Herr y Transp'!$B$2:$D$218,3,0)</f>
        <v>14130</v>
      </c>
      <c r="F4308" s="96">
        <f>H4298</f>
        <v>6.25E-2</v>
      </c>
      <c r="G4308" s="122">
        <f>F4308*E4308</f>
        <v>883.125</v>
      </c>
      <c r="H4308" s="118"/>
    </row>
    <row r="4309" spans="1:15">
      <c r="A4309" s="536" t="s">
        <v>3904</v>
      </c>
      <c r="B4309" s="570" t="str">
        <f>VLOOKUP(A4309,'Equip, Herr y Transp'!$B$2:$D$739,2,0)</f>
        <v>EQU</v>
      </c>
      <c r="C4309" s="570"/>
      <c r="D4309" s="95" t="str">
        <f>VLOOKUP(A4309,'Equip, Herr y Transp'!$B$2:$D$218,2,0)</f>
        <v>EQU</v>
      </c>
      <c r="E4309" s="95">
        <f>VLOOKUP(A4309,'Equip, Herr y Transp'!$B$2:$D$218,3,0)</f>
        <v>26672.5</v>
      </c>
      <c r="F4309" s="96">
        <f>H4298</f>
        <v>6.25E-2</v>
      </c>
      <c r="G4309" s="122">
        <f>F4309*E4309</f>
        <v>1667.03125</v>
      </c>
      <c r="H4309" s="117"/>
    </row>
    <row r="4310" spans="1:15">
      <c r="A4310" s="536" t="s">
        <v>3937</v>
      </c>
      <c r="B4310" s="570" t="str">
        <f>VLOOKUP(A4310,'Equip, Herr y Transp'!$B$2:$D$739,2,0)</f>
        <v>EQU</v>
      </c>
      <c r="C4310" s="570"/>
      <c r="D4310" s="95" t="str">
        <f>VLOOKUP(A4310,'Equip, Herr y Transp'!$B$2:$D$218,2,0)</f>
        <v>EQU</v>
      </c>
      <c r="E4310" s="95">
        <f>VLOOKUP(A4310,'Equip, Herr y Transp'!$B$2:$D$218,3,0)</f>
        <v>23750</v>
      </c>
      <c r="F4310" s="96">
        <f>H4298</f>
        <v>6.25E-2</v>
      </c>
      <c r="G4310" s="122">
        <f>F4310*E4310</f>
        <v>1484.375</v>
      </c>
      <c r="H4310" s="117"/>
    </row>
    <row r="4311" spans="1:15" ht="16.5">
      <c r="A4311" s="540" t="s">
        <v>4100</v>
      </c>
      <c r="B4311" s="541"/>
      <c r="C4311" s="541"/>
      <c r="D4311" s="541"/>
      <c r="E4311" s="541"/>
      <c r="F4311" s="541"/>
      <c r="G4311" s="541"/>
      <c r="H4311" s="97">
        <f>SUM(G4308:G4310)</f>
        <v>4034.53125</v>
      </c>
    </row>
    <row r="4312" spans="1:15" ht="16.5">
      <c r="A4312" s="571" t="s">
        <v>4230</v>
      </c>
      <c r="B4312" s="572"/>
      <c r="C4312" s="572"/>
      <c r="D4312" s="572"/>
      <c r="E4312" s="572"/>
      <c r="F4312" s="572"/>
      <c r="G4312" s="572"/>
      <c r="H4312" s="573"/>
      <c r="K4312" s="56"/>
      <c r="L4312" s="56"/>
      <c r="M4312" s="56"/>
      <c r="N4312" s="56"/>
      <c r="O4312" s="56"/>
    </row>
    <row r="4313" spans="1:15" ht="30" customHeight="1">
      <c r="A4313" s="574" t="s">
        <v>7</v>
      </c>
      <c r="B4313" s="575"/>
      <c r="C4313" s="109" t="s">
        <v>0</v>
      </c>
      <c r="D4313" s="110" t="s">
        <v>4098</v>
      </c>
      <c r="E4313" s="111" t="s">
        <v>1</v>
      </c>
      <c r="F4313" s="576" t="s">
        <v>4218</v>
      </c>
      <c r="G4313" s="576"/>
      <c r="H4313" s="215"/>
      <c r="K4313" s="56"/>
      <c r="L4313" s="56"/>
      <c r="M4313" s="56"/>
      <c r="N4313" s="56"/>
      <c r="O4313" s="56"/>
    </row>
    <row r="4314" spans="1:15">
      <c r="A4314" s="577" t="s">
        <v>4982</v>
      </c>
      <c r="B4314" s="578"/>
      <c r="C4314" s="98" t="str">
        <f>VLOOKUP(A4314,'Materiales '!$C$2:$F$1302,3,0)</f>
        <v>Und</v>
      </c>
      <c r="D4314" s="99">
        <f>VLOOKUP(A4314,'Materiales '!$C$2:$F$1302,4,0)</f>
        <v>798555.45000000007</v>
      </c>
      <c r="E4314" s="100">
        <v>1</v>
      </c>
      <c r="F4314" s="538">
        <f>E4314*D4314</f>
        <v>798555.45000000007</v>
      </c>
      <c r="G4314" s="539"/>
      <c r="H4314" s="121"/>
      <c r="I4314">
        <f>E4314*G4305</f>
        <v>1</v>
      </c>
      <c r="J4314" s="67"/>
      <c r="K4314" s="56"/>
      <c r="L4314" s="56"/>
      <c r="M4314" s="56"/>
      <c r="N4314" s="56"/>
      <c r="O4314" s="56"/>
    </row>
    <row r="4315" spans="1:15">
      <c r="A4315" s="577" t="s">
        <v>4214</v>
      </c>
      <c r="B4315" s="578"/>
      <c r="C4315" s="98" t="str">
        <f>VLOOKUP(A4315,'Materiales '!$C$2:$F$1302,3,0)</f>
        <v>Und</v>
      </c>
      <c r="D4315" s="99">
        <f>VLOOKUP(A4315,'Materiales '!$C$2:$F$1302,4,0)</f>
        <v>22848</v>
      </c>
      <c r="E4315" s="100">
        <v>1</v>
      </c>
      <c r="F4315" s="538">
        <f t="shared" ref="F4315:F4321" si="253">E4315*D4315</f>
        <v>22848</v>
      </c>
      <c r="G4315" s="539"/>
      <c r="H4315" s="121"/>
      <c r="I4315">
        <f>E4315*G4305</f>
        <v>1</v>
      </c>
      <c r="J4315" s="67"/>
      <c r="K4315" s="56"/>
      <c r="L4315" s="56"/>
      <c r="M4315" s="56"/>
      <c r="N4315" s="56"/>
      <c r="O4315" s="56"/>
    </row>
    <row r="4316" spans="1:15">
      <c r="A4316" s="536" t="s">
        <v>4479</v>
      </c>
      <c r="B4316" s="537" t="str">
        <f>VLOOKUP(A4316,'Materiales '!$C$2:$F$1302,3,0)</f>
        <v>Und</v>
      </c>
      <c r="C4316" s="98" t="str">
        <f>VLOOKUP(A4316,'Materiales '!$C$2:$F$1302,3,0)</f>
        <v>Und</v>
      </c>
      <c r="D4316" s="99">
        <f>VLOOKUP(A4316,'Materiales '!$C$2:$F$1302,4,0)</f>
        <v>18421.2</v>
      </c>
      <c r="E4316" s="100">
        <v>2</v>
      </c>
      <c r="F4316" s="538">
        <f t="shared" si="253"/>
        <v>36842.400000000001</v>
      </c>
      <c r="G4316" s="539"/>
      <c r="H4316" s="121"/>
      <c r="I4316">
        <f>E4316*G4305</f>
        <v>2</v>
      </c>
      <c r="J4316" s="68"/>
      <c r="K4316" s="56"/>
      <c r="L4316" s="56"/>
      <c r="M4316" s="56"/>
      <c r="N4316" s="56"/>
      <c r="O4316" s="56"/>
    </row>
    <row r="4317" spans="1:15">
      <c r="A4317" s="536" t="s">
        <v>4489</v>
      </c>
      <c r="B4317" s="537" t="str">
        <f>VLOOKUP(A4317,'Materiales '!$C$2:$F$1302,3,0)</f>
        <v>Und</v>
      </c>
      <c r="C4317" s="98" t="str">
        <f>VLOOKUP(A4317,'Materiales '!$C$2:$F$1302,3,0)</f>
        <v>Und</v>
      </c>
      <c r="D4317" s="99">
        <f>VLOOKUP(A4317,'Materiales '!$C$2:$F$1302,4,0)</f>
        <v>8039.6399999999994</v>
      </c>
      <c r="E4317" s="100">
        <v>3</v>
      </c>
      <c r="F4317" s="538">
        <f t="shared" si="253"/>
        <v>24118.92</v>
      </c>
      <c r="G4317" s="539"/>
      <c r="H4317" s="121"/>
      <c r="I4317">
        <f>E4317*G4305</f>
        <v>3</v>
      </c>
      <c r="J4317" s="68"/>
      <c r="K4317" s="56"/>
      <c r="L4317" s="56"/>
      <c r="M4317" s="56"/>
      <c r="N4317" s="56"/>
      <c r="O4317" s="56"/>
    </row>
    <row r="4318" spans="1:15">
      <c r="A4318" s="536" t="s">
        <v>4554</v>
      </c>
      <c r="B4318" s="537" t="str">
        <f>VLOOKUP(A4318,'Materiales '!$C$2:$F$1302,3,0)</f>
        <v>Und</v>
      </c>
      <c r="C4318" s="98" t="str">
        <f>VLOOKUP(A4318,'Materiales '!$C$2:$F$1302,3,0)</f>
        <v>Und</v>
      </c>
      <c r="D4318" s="99">
        <f>VLOOKUP(A4318,'Materiales '!$C$2:$F$1302,4,0)</f>
        <v>2535.5329999999999</v>
      </c>
      <c r="E4318" s="100">
        <v>1</v>
      </c>
      <c r="F4318" s="538">
        <f t="shared" si="253"/>
        <v>2535.5329999999999</v>
      </c>
      <c r="G4318" s="539"/>
      <c r="H4318" s="121"/>
      <c r="I4318">
        <f>E4318*G4305</f>
        <v>1</v>
      </c>
      <c r="J4318" s="68"/>
      <c r="K4318" s="56"/>
      <c r="L4318" s="56"/>
      <c r="M4318" s="56"/>
      <c r="N4318" s="56"/>
      <c r="O4318" s="56"/>
    </row>
    <row r="4319" spans="1:15">
      <c r="A4319" s="536" t="s">
        <v>4450</v>
      </c>
      <c r="B4319" s="537" t="str">
        <f>VLOOKUP(A4319,'Materiales '!$C$2:$F$1302,3,0)</f>
        <v>Ml</v>
      </c>
      <c r="C4319" s="98" t="str">
        <f>VLOOKUP(A4319,'Materiales '!$C$2:$F$1302,3,0)</f>
        <v>Ml</v>
      </c>
      <c r="D4319" s="99">
        <f>VLOOKUP(A4319,'Materiales '!$C$2:$F$1302,4,0)</f>
        <v>6791.5679999999993</v>
      </c>
      <c r="E4319" s="100">
        <v>1</v>
      </c>
      <c r="F4319" s="538">
        <f t="shared" si="253"/>
        <v>6791.5679999999993</v>
      </c>
      <c r="G4319" s="539"/>
      <c r="H4319" s="121"/>
      <c r="I4319">
        <f>E4319*G4305</f>
        <v>1</v>
      </c>
      <c r="J4319" s="68"/>
      <c r="K4319" s="56"/>
      <c r="L4319" s="56"/>
      <c r="M4319" s="56"/>
      <c r="N4319" s="56"/>
      <c r="O4319" s="56"/>
    </row>
    <row r="4320" spans="1:15">
      <c r="A4320" s="536" t="s">
        <v>4436</v>
      </c>
      <c r="B4320" s="537" t="str">
        <f>VLOOKUP(A4320,'Materiales '!$C$2:$F$1302,3,0)</f>
        <v>Und</v>
      </c>
      <c r="C4320" s="98" t="str">
        <f>VLOOKUP(A4320,'Materiales '!$C$2:$F$1302,3,0)</f>
        <v>Und</v>
      </c>
      <c r="D4320" s="99">
        <f>VLOOKUP(A4320,'Materiales '!$C$2:$F$1302,4,0)</f>
        <v>92820</v>
      </c>
      <c r="E4320" s="100">
        <v>1</v>
      </c>
      <c r="F4320" s="538">
        <f t="shared" si="253"/>
        <v>92820</v>
      </c>
      <c r="G4320" s="539"/>
      <c r="H4320" s="121"/>
      <c r="I4320">
        <f>E4320*G4305</f>
        <v>1</v>
      </c>
      <c r="J4320" s="68"/>
      <c r="K4320" s="56"/>
      <c r="L4320" s="56"/>
      <c r="M4320" s="56"/>
      <c r="N4320" s="56"/>
      <c r="O4320" s="56"/>
    </row>
    <row r="4321" spans="1:15" ht="21.75" customHeight="1">
      <c r="A4321" s="536" t="s">
        <v>4639</v>
      </c>
      <c r="B4321" s="537" t="str">
        <f>VLOOKUP(A4321,'Materiales '!$C$2:$F$1302,3,0)</f>
        <v>Und</v>
      </c>
      <c r="C4321" s="98" t="str">
        <f>VLOOKUP(A4321,'Materiales '!$C$2:$F$1302,3,0)</f>
        <v>Und</v>
      </c>
      <c r="D4321" s="99">
        <f>VLOOKUP(A4321,'Materiales '!$C$2:$F$1302,4,0)</f>
        <v>35700</v>
      </c>
      <c r="E4321" s="100">
        <v>1</v>
      </c>
      <c r="F4321" s="538">
        <f t="shared" si="253"/>
        <v>35700</v>
      </c>
      <c r="G4321" s="539"/>
      <c r="H4321" s="121"/>
      <c r="I4321">
        <f>E4321*G4305</f>
        <v>1</v>
      </c>
      <c r="J4321" s="68"/>
      <c r="K4321" s="56"/>
      <c r="L4321" s="56"/>
      <c r="M4321" s="56"/>
      <c r="N4321" s="56"/>
      <c r="O4321" s="56"/>
    </row>
    <row r="4322" spans="1:15">
      <c r="A4322" s="536" t="s">
        <v>8</v>
      </c>
      <c r="B4322" s="537" t="str">
        <f>VLOOKUP(A4322,'Materiales '!$C$2:$F$1302,3,0)</f>
        <v>-</v>
      </c>
      <c r="C4322" s="98" t="str">
        <f>VLOOKUP(A4322,'Materiales '!$C$2:$F$1302,3,0)</f>
        <v>-</v>
      </c>
      <c r="D4322" s="99">
        <f>VLOOKUP(A4322,'Materiales '!$C$2:$F$1302,4,0)</f>
        <v>0</v>
      </c>
      <c r="E4322" s="100"/>
      <c r="F4322" s="538">
        <f>E4322*D4322</f>
        <v>0</v>
      </c>
      <c r="G4322" s="539"/>
      <c r="H4322" s="120"/>
      <c r="I4322">
        <f>E4322*G4305</f>
        <v>0</v>
      </c>
      <c r="J4322" s="68"/>
      <c r="K4322" s="56"/>
      <c r="L4322" s="56"/>
      <c r="M4322" s="56"/>
      <c r="N4322" s="56"/>
      <c r="O4322" s="56"/>
    </row>
    <row r="4323" spans="1:15">
      <c r="A4323" s="536" t="s">
        <v>8</v>
      </c>
      <c r="B4323" s="537" t="str">
        <f>VLOOKUP(A4323,'Materiales '!$C$2:$F$1302,3,0)</f>
        <v>-</v>
      </c>
      <c r="C4323" s="98" t="str">
        <f>VLOOKUP(A4323,'Materiales '!$C$2:$F$1302,3,0)</f>
        <v>-</v>
      </c>
      <c r="D4323" s="99">
        <f>VLOOKUP(A4323,'Materiales '!$C$2:$F$1302,4,0)</f>
        <v>0</v>
      </c>
      <c r="E4323" s="100"/>
      <c r="F4323" s="538">
        <f t="shared" ref="F4323:F4326" si="254">E4323*D4323</f>
        <v>0</v>
      </c>
      <c r="G4323" s="539"/>
      <c r="H4323" s="121"/>
      <c r="I4323">
        <f>E4323*G4305</f>
        <v>0</v>
      </c>
      <c r="J4323" s="68"/>
      <c r="K4323" s="56"/>
      <c r="L4323" s="56"/>
      <c r="M4323" s="56"/>
      <c r="N4323" s="56"/>
      <c r="O4323" s="56"/>
    </row>
    <row r="4324" spans="1:15">
      <c r="A4324" s="536" t="s">
        <v>8</v>
      </c>
      <c r="B4324" s="537" t="str">
        <f>VLOOKUP(A4324,'Materiales '!$C$2:$F$1302,3,0)</f>
        <v>-</v>
      </c>
      <c r="C4324" s="98" t="str">
        <f>VLOOKUP(A4324,'Materiales '!$C$2:$F$1302,3,0)</f>
        <v>-</v>
      </c>
      <c r="D4324" s="99">
        <f>VLOOKUP(A4324,'Materiales '!$C$2:$F$1302,4,0)</f>
        <v>0</v>
      </c>
      <c r="E4324" s="100"/>
      <c r="F4324" s="538">
        <f t="shared" si="254"/>
        <v>0</v>
      </c>
      <c r="G4324" s="539"/>
      <c r="H4324" s="121"/>
      <c r="I4324">
        <f>E4324*G4305</f>
        <v>0</v>
      </c>
      <c r="J4324" s="68"/>
      <c r="K4324" s="56"/>
      <c r="L4324" s="56"/>
      <c r="M4324" s="56"/>
      <c r="N4324" s="56"/>
      <c r="O4324" s="56"/>
    </row>
    <row r="4325" spans="1:15">
      <c r="A4325" s="536" t="s">
        <v>8</v>
      </c>
      <c r="B4325" s="537" t="str">
        <f>VLOOKUP(A4325,'Materiales '!$C$2:$F$1302,3,0)</f>
        <v>-</v>
      </c>
      <c r="C4325" s="98" t="str">
        <f>VLOOKUP(A4325,'Materiales '!$C$2:$F$1302,3,0)</f>
        <v>-</v>
      </c>
      <c r="D4325" s="99">
        <f>VLOOKUP(A4325,'Materiales '!$C$2:$F$1302,4,0)</f>
        <v>0</v>
      </c>
      <c r="E4325" s="100"/>
      <c r="F4325" s="538">
        <f t="shared" si="254"/>
        <v>0</v>
      </c>
      <c r="G4325" s="539"/>
      <c r="H4325" s="121"/>
      <c r="I4325">
        <f>E4325*G4305</f>
        <v>0</v>
      </c>
      <c r="J4325" s="68"/>
      <c r="K4325" s="56"/>
      <c r="L4325" s="56"/>
      <c r="M4325" s="56"/>
      <c r="N4325" s="56"/>
      <c r="O4325" s="56"/>
    </row>
    <row r="4326" spans="1:15">
      <c r="A4326" s="536" t="s">
        <v>8</v>
      </c>
      <c r="B4326" s="537" t="str">
        <f>VLOOKUP(A4326,'Materiales '!$C$2:$F$1302,3,0)</f>
        <v>-</v>
      </c>
      <c r="C4326" s="98" t="str">
        <f>VLOOKUP(A4326,'Materiales '!$C$2:$F$1302,3,0)</f>
        <v>-</v>
      </c>
      <c r="D4326" s="99">
        <f>VLOOKUP(A4326,'Materiales '!$C$2:$F$1302,4,0)</f>
        <v>0</v>
      </c>
      <c r="E4326" s="100"/>
      <c r="F4326" s="538">
        <f t="shared" si="254"/>
        <v>0</v>
      </c>
      <c r="G4326" s="539"/>
      <c r="H4326" s="121"/>
      <c r="I4326">
        <f>E4326*G4305</f>
        <v>0</v>
      </c>
      <c r="J4326" s="68"/>
      <c r="K4326" s="56"/>
      <c r="L4326" s="56"/>
      <c r="M4326" s="56"/>
      <c r="N4326" s="56"/>
      <c r="O4326" s="56"/>
    </row>
    <row r="4327" spans="1:15">
      <c r="A4327" s="536" t="s">
        <v>8</v>
      </c>
      <c r="B4327" s="537" t="str">
        <f>VLOOKUP(A4327,'Materiales '!$C$2:$F$1302,3,0)</f>
        <v>-</v>
      </c>
      <c r="C4327" s="98" t="str">
        <f>VLOOKUP(A4327,'Materiales '!$C$2:$F$1302,3,0)</f>
        <v>-</v>
      </c>
      <c r="D4327" s="99">
        <f>VLOOKUP(A4327,'Materiales '!$C$2:$F$1302,4,0)</f>
        <v>0</v>
      </c>
      <c r="E4327" s="100"/>
      <c r="F4327" s="538">
        <f>E4327*D4327</f>
        <v>0</v>
      </c>
      <c r="G4327" s="539"/>
      <c r="H4327" s="120"/>
      <c r="I4327">
        <f>E4327*G4305</f>
        <v>0</v>
      </c>
      <c r="J4327" s="68"/>
      <c r="K4327" s="56"/>
      <c r="L4327" s="56"/>
      <c r="M4327" s="56"/>
      <c r="N4327" s="56"/>
      <c r="O4327" s="56"/>
    </row>
    <row r="4328" spans="1:15" ht="16.5">
      <c r="A4328" s="540" t="s">
        <v>4099</v>
      </c>
      <c r="B4328" s="541"/>
      <c r="C4328" s="541"/>
      <c r="D4328" s="541"/>
      <c r="E4328" s="541"/>
      <c r="F4328" s="541"/>
      <c r="G4328" s="542"/>
      <c r="H4328" s="116">
        <f>SUM(F4314:F4327)</f>
        <v>1020211.8710000002</v>
      </c>
      <c r="J4328" s="68"/>
      <c r="K4328" s="56"/>
      <c r="L4328" s="56"/>
      <c r="M4328" s="56"/>
      <c r="N4328" s="56"/>
      <c r="O4328" s="56"/>
    </row>
    <row r="4329" spans="1:15" ht="16.5">
      <c r="A4329" s="543" t="s">
        <v>4231</v>
      </c>
      <c r="B4329" s="544"/>
      <c r="C4329" s="544"/>
      <c r="D4329" s="544"/>
      <c r="E4329" s="545"/>
      <c r="F4329" s="544"/>
      <c r="G4329" s="544"/>
      <c r="H4329" s="546"/>
      <c r="J4329" s="68"/>
      <c r="K4329" s="56"/>
      <c r="L4329" s="56"/>
      <c r="M4329" s="56"/>
      <c r="N4329" s="56"/>
      <c r="O4329" s="56"/>
    </row>
    <row r="4330" spans="1:15">
      <c r="A4330" s="547" t="s">
        <v>7</v>
      </c>
      <c r="B4330" s="548"/>
      <c r="C4330" s="108" t="s">
        <v>4232</v>
      </c>
      <c r="D4330" s="107" t="s">
        <v>4233</v>
      </c>
      <c r="E4330" s="206" t="s">
        <v>4234</v>
      </c>
      <c r="F4330" s="549" t="s">
        <v>4218</v>
      </c>
      <c r="G4330" s="549"/>
      <c r="H4330" s="119"/>
      <c r="K4330" s="56"/>
      <c r="L4330" s="56"/>
      <c r="M4330" s="56"/>
      <c r="N4330" s="56"/>
      <c r="O4330" s="56"/>
    </row>
    <row r="4331" spans="1:15">
      <c r="A4331" s="550" t="s">
        <v>3928</v>
      </c>
      <c r="B4331" s="551"/>
      <c r="C4331" s="232">
        <v>1</v>
      </c>
      <c r="D4331" s="102">
        <v>0.03</v>
      </c>
      <c r="E4331" s="103">
        <f>VLOOKUP(A4331,'Equip, Herr y Transp'!$B$2:$D$218,3,0)</f>
        <v>160000</v>
      </c>
      <c r="F4331" s="552">
        <f>E4331*D4331*C4331</f>
        <v>4800</v>
      </c>
      <c r="G4331" s="553"/>
      <c r="H4331" s="117"/>
      <c r="M4331" s="56"/>
    </row>
    <row r="4332" spans="1:15" ht="16.5">
      <c r="A4332" s="554" t="s">
        <v>4216</v>
      </c>
      <c r="B4332" s="555"/>
      <c r="C4332" s="555"/>
      <c r="D4332" s="555"/>
      <c r="E4332" s="555"/>
      <c r="F4332" s="555"/>
      <c r="G4332" s="555"/>
      <c r="H4332" s="105">
        <f>F4331</f>
        <v>4800</v>
      </c>
    </row>
    <row r="4333" spans="1:15" ht="16.5">
      <c r="A4333" s="543" t="s">
        <v>4235</v>
      </c>
      <c r="B4333" s="544"/>
      <c r="C4333" s="544"/>
      <c r="D4333" s="544"/>
      <c r="E4333" s="544"/>
      <c r="F4333" s="544"/>
      <c r="G4333" s="544"/>
      <c r="H4333" s="546"/>
    </row>
    <row r="4334" spans="1:15">
      <c r="A4334" s="547" t="s">
        <v>7</v>
      </c>
      <c r="B4334" s="548"/>
      <c r="C4334" s="106" t="s">
        <v>1</v>
      </c>
      <c r="D4334" s="107" t="s">
        <v>4236</v>
      </c>
      <c r="E4334" s="108" t="s">
        <v>4215</v>
      </c>
      <c r="F4334" s="547" t="s">
        <v>5</v>
      </c>
      <c r="G4334" s="556"/>
      <c r="H4334" s="119"/>
    </row>
    <row r="4335" spans="1:15">
      <c r="A4335" s="550" t="s">
        <v>4196</v>
      </c>
      <c r="B4335" s="551"/>
      <c r="C4335" s="101">
        <v>1</v>
      </c>
      <c r="D4335" s="104">
        <f>VLOOKUP(A4335,'Mano Obra'!$B$2:$T$117,19,0)</f>
        <v>166624</v>
      </c>
      <c r="E4335" s="246">
        <f>H4298</f>
        <v>6.25E-2</v>
      </c>
      <c r="F4335" s="538">
        <f>E4335*D4335*C4335</f>
        <v>10414</v>
      </c>
      <c r="G4335" s="557"/>
      <c r="H4335" s="121"/>
      <c r="I4335" s="69"/>
      <c r="J4335" s="136">
        <f>((('Mano Obra'!$M$4/30)*F4335)/D4335)*G4305</f>
        <v>676.29972569444442</v>
      </c>
    </row>
    <row r="4336" spans="1:15">
      <c r="A4336" s="558" t="s">
        <v>4197</v>
      </c>
      <c r="B4336" s="559">
        <f>VLOOKUP(A4336,'Mano Obra'!$B$3:$D$290,2,0)</f>
        <v>2090000.0000000002</v>
      </c>
      <c r="C4336" s="101">
        <v>1</v>
      </c>
      <c r="D4336" s="104">
        <f>VLOOKUP(A4336,'Mano Obra'!$B$2:$T$117,19,0)</f>
        <v>120456</v>
      </c>
      <c r="E4336" s="246">
        <f>H4298</f>
        <v>6.25E-2</v>
      </c>
      <c r="F4336" s="538">
        <f t="shared" ref="F4336:F4337" si="255">E4336*D4336*C4336</f>
        <v>7528.5</v>
      </c>
      <c r="G4336" s="557"/>
      <c r="H4336" s="121"/>
      <c r="J4336" s="136">
        <f>((('Mano Obra'!$M$5/30)*F4336)/D4336)*G4305</f>
        <v>676.29972569444442</v>
      </c>
    </row>
    <row r="4337" spans="1:10">
      <c r="A4337" s="558" t="s">
        <v>4186</v>
      </c>
      <c r="B4337" s="559">
        <f>VLOOKUP(A4337,'Mano Obra'!$B$3:$D$290,2,0)</f>
        <v>1100000</v>
      </c>
      <c r="C4337" s="101">
        <v>1</v>
      </c>
      <c r="D4337" s="104">
        <f>VLOOKUP(A4337,'Mano Obra'!$B$2:$T$117,19,0)</f>
        <v>72664</v>
      </c>
      <c r="E4337" s="246">
        <f>H4298</f>
        <v>6.25E-2</v>
      </c>
      <c r="F4337" s="538">
        <f t="shared" si="255"/>
        <v>4541.5</v>
      </c>
      <c r="G4337" s="557"/>
      <c r="H4337" s="120"/>
      <c r="J4337" s="136">
        <f>((('Mano Obra'!$M$6/30)*F4337)/D4337)*G4305</f>
        <v>676.29972569444442</v>
      </c>
    </row>
    <row r="4338" spans="1:10" ht="16.5">
      <c r="A4338" s="560" t="s">
        <v>4101</v>
      </c>
      <c r="B4338" s="560"/>
      <c r="C4338" s="560"/>
      <c r="D4338" s="560"/>
      <c r="E4338" s="560"/>
      <c r="F4338" s="560"/>
      <c r="G4338" s="560"/>
      <c r="H4338" s="105">
        <f>SUM(F4335:F4337)</f>
        <v>22484</v>
      </c>
      <c r="J4338" s="136"/>
    </row>
    <row r="4339" spans="1:10">
      <c r="A4339" s="227" t="s">
        <v>4237</v>
      </c>
      <c r="B4339" s="205"/>
      <c r="C4339" s="205"/>
      <c r="D4339" s="202"/>
      <c r="E4339" s="203"/>
      <c r="F4339" s="204"/>
      <c r="G4339" s="203"/>
      <c r="H4339" s="212"/>
    </row>
    <row r="4340" spans="1:10">
      <c r="A4340" s="561" t="s">
        <v>4224</v>
      </c>
      <c r="B4340" s="562"/>
      <c r="C4340" s="562"/>
      <c r="D4340" s="562"/>
      <c r="E4340" s="200"/>
      <c r="F4340" s="201" t="s">
        <v>4238</v>
      </c>
      <c r="G4340" s="200" t="s">
        <v>4239</v>
      </c>
      <c r="H4340" s="213"/>
    </row>
    <row r="4341" spans="1:10">
      <c r="A4341" s="223" t="s">
        <v>4097</v>
      </c>
      <c r="B4341" s="72"/>
      <c r="C4341" s="72"/>
      <c r="D4341" s="73"/>
      <c r="E4341" s="78"/>
      <c r="F4341" s="79">
        <v>0</v>
      </c>
      <c r="G4341" s="80">
        <f>F4341*H4306</f>
        <v>0</v>
      </c>
      <c r="H4341" s="212"/>
    </row>
    <row r="4342" spans="1:10">
      <c r="A4342" s="224" t="s">
        <v>4240</v>
      </c>
      <c r="B4342" s="81"/>
      <c r="C4342" s="81"/>
      <c r="D4342" s="82"/>
      <c r="E4342" s="78"/>
      <c r="F4342" s="79">
        <v>0</v>
      </c>
      <c r="G4342" s="80">
        <f>F4342*H4306</f>
        <v>0</v>
      </c>
      <c r="H4342" s="212"/>
    </row>
    <row r="4343" spans="1:10">
      <c r="A4343" s="224" t="s">
        <v>4</v>
      </c>
      <c r="B4343" s="81"/>
      <c r="C4343" s="81"/>
      <c r="D4343" s="82"/>
      <c r="E4343" s="78"/>
      <c r="F4343" s="79">
        <v>0</v>
      </c>
      <c r="G4343" s="80">
        <f>F4343*H4306</f>
        <v>0</v>
      </c>
      <c r="H4343" s="212"/>
    </row>
    <row r="4344" spans="1:10">
      <c r="A4344" s="225"/>
      <c r="B4344" s="83"/>
      <c r="C4344" s="75"/>
      <c r="D4344" s="84"/>
      <c r="E4344" s="85"/>
      <c r="F4344" s="86"/>
      <c r="G4344" s="87"/>
      <c r="H4344" s="214"/>
    </row>
    <row r="4345" spans="1:10">
      <c r="A4345" s="226"/>
      <c r="B4345" s="83"/>
      <c r="C4345" s="83"/>
      <c r="D4345" s="84"/>
      <c r="E4345" s="88"/>
      <c r="F4345" s="563" t="s">
        <v>4241</v>
      </c>
      <c r="G4345" s="564"/>
      <c r="H4345" s="233">
        <f>H4306+G4341+G4342+G4343</f>
        <v>1051530.4022500003</v>
      </c>
    </row>
    <row r="4346" spans="1:10">
      <c r="A4346" s="83"/>
      <c r="B4346" s="83"/>
      <c r="C4346" s="83"/>
      <c r="D4346" s="84"/>
      <c r="E4346" s="388"/>
      <c r="F4346" s="389"/>
      <c r="G4346" s="389"/>
      <c r="H4346" s="390"/>
    </row>
    <row r="4347" spans="1:10">
      <c r="A4347" s="83"/>
      <c r="B4347" s="83"/>
      <c r="C4347" s="83"/>
      <c r="D4347" s="84"/>
      <c r="E4347" s="388"/>
      <c r="F4347" s="389"/>
      <c r="G4347" s="389"/>
      <c r="H4347" s="390"/>
    </row>
    <row r="4349" spans="1:10" ht="16.5">
      <c r="A4349" s="90"/>
      <c r="B4349" s="90"/>
      <c r="C4349" s="90"/>
      <c r="D4349" s="90"/>
      <c r="E4349" s="90"/>
      <c r="F4349" s="90"/>
      <c r="G4349" s="90"/>
      <c r="H4349" s="381"/>
    </row>
    <row r="4350" spans="1:10">
      <c r="A4350" s="579" t="s">
        <v>4225</v>
      </c>
      <c r="B4350" s="580"/>
      <c r="C4350" s="580"/>
      <c r="D4350" s="580"/>
      <c r="E4350" s="580"/>
      <c r="F4350" s="580"/>
      <c r="G4350" s="580"/>
      <c r="H4350" s="581"/>
    </row>
    <row r="4351" spans="1:10" ht="16.5">
      <c r="A4351" s="91"/>
      <c r="B4351" s="92"/>
      <c r="C4351" s="92"/>
      <c r="D4351" s="92"/>
      <c r="E4351" s="92"/>
      <c r="F4351" s="93"/>
      <c r="G4351" s="94"/>
      <c r="H4351" s="380">
        <f>ROUND((110/60)/8,4)</f>
        <v>0.22919999999999999</v>
      </c>
      <c r="I4351" s="115"/>
    </row>
    <row r="4352" spans="1:10">
      <c r="A4352" s="582" t="s">
        <v>4220</v>
      </c>
      <c r="B4352" s="584" t="str">
        <f>COSTOS!$C$14</f>
        <v>MODERNIZACION A TECNOLOGIA LED</v>
      </c>
      <c r="C4352" s="584"/>
      <c r="D4352" s="584"/>
      <c r="E4352" s="584"/>
      <c r="F4352" s="584"/>
      <c r="G4352" s="584"/>
      <c r="H4352" s="585" t="s">
        <v>4221</v>
      </c>
    </row>
    <row r="4353" spans="1:15">
      <c r="A4353" s="583"/>
      <c r="B4353" s="584"/>
      <c r="C4353" s="584"/>
      <c r="D4353" s="584"/>
      <c r="E4353" s="584"/>
      <c r="F4353" s="584"/>
      <c r="G4353" s="584"/>
      <c r="H4353" s="585"/>
    </row>
    <row r="4354" spans="1:15">
      <c r="A4354" s="583"/>
      <c r="B4354" s="584"/>
      <c r="C4354" s="584"/>
      <c r="D4354" s="584"/>
      <c r="E4354" s="584"/>
      <c r="F4354" s="584"/>
      <c r="G4354" s="584"/>
      <c r="H4354" s="585"/>
    </row>
    <row r="4355" spans="1:15" ht="15" customHeight="1">
      <c r="A4355" s="583"/>
      <c r="B4355" s="584"/>
      <c r="C4355" s="584"/>
      <c r="D4355" s="584"/>
      <c r="E4355" s="584"/>
      <c r="F4355" s="584"/>
      <c r="G4355" s="584"/>
      <c r="H4355" s="216">
        <f ca="1">TODAY()</f>
        <v>44889</v>
      </c>
      <c r="K4355" t="s">
        <v>4391</v>
      </c>
      <c r="L4355" t="s">
        <v>4392</v>
      </c>
      <c r="M4355" t="s">
        <v>4393</v>
      </c>
      <c r="N4355" t="s">
        <v>4394</v>
      </c>
    </row>
    <row r="4356" spans="1:15" ht="60.75" customHeight="1">
      <c r="A4356" s="228" t="s">
        <v>4222</v>
      </c>
      <c r="B4356" s="565" t="str">
        <f>COSTOS!$D$16</f>
        <v>Luminarias</v>
      </c>
      <c r="C4356" s="565"/>
      <c r="D4356" s="565"/>
      <c r="E4356" s="565"/>
      <c r="F4356" s="565"/>
      <c r="G4356" s="70" t="s">
        <v>4223</v>
      </c>
      <c r="H4356" s="387">
        <v>2.1</v>
      </c>
      <c r="K4356" s="62">
        <f>H4381</f>
        <v>802155.20000000007</v>
      </c>
      <c r="L4356" s="62">
        <f>H4391</f>
        <v>82453.324799999988</v>
      </c>
      <c r="M4356" s="62">
        <f>H4364</f>
        <v>9351.9329999999991</v>
      </c>
      <c r="N4356" s="62">
        <f>H4385</f>
        <v>4800</v>
      </c>
    </row>
    <row r="4357" spans="1:15" ht="43.15" customHeight="1">
      <c r="A4357" s="229" t="s">
        <v>4224</v>
      </c>
      <c r="B4357" s="566" t="str">
        <f>VLOOKUP(H4356,COSTOS!C:M,2,0)</f>
        <v xml:space="preserve">Poste metalico de 3 metros </v>
      </c>
      <c r="C4357" s="567"/>
      <c r="D4357" s="567"/>
      <c r="E4357" s="568"/>
      <c r="F4357" s="71" t="s">
        <v>0</v>
      </c>
      <c r="G4357" s="356" t="str">
        <f>VLOOKUP(H4356,COSTOS!C:M,8,0)</f>
        <v>Und</v>
      </c>
      <c r="H4357" s="276"/>
      <c r="I4357" s="306"/>
      <c r="J4357" s="308"/>
      <c r="K4357" s="308"/>
      <c r="L4357" s="308"/>
    </row>
    <row r="4358" spans="1:15">
      <c r="A4358" s="230"/>
      <c r="B4358" s="112"/>
      <c r="C4358" s="112"/>
      <c r="D4358" s="112"/>
      <c r="E4358" s="113"/>
      <c r="F4358" s="114" t="s">
        <v>1</v>
      </c>
      <c r="G4358" s="356">
        <f>VLOOKUP(H4356,COSTOS!C:M,9,0)</f>
        <v>1</v>
      </c>
      <c r="H4358" s="357"/>
      <c r="I4358" s="307"/>
    </row>
    <row r="4359" spans="1:15" ht="16.5">
      <c r="A4359" s="231" t="s">
        <v>4226</v>
      </c>
      <c r="B4359" s="75"/>
      <c r="C4359" s="75"/>
      <c r="D4359" s="76"/>
      <c r="E4359" s="209"/>
      <c r="F4359" s="210"/>
      <c r="G4359" s="211" t="s">
        <v>4227</v>
      </c>
      <c r="H4359" s="217">
        <f>H4364+H4381+H4385+H4391</f>
        <v>898760.45779999997</v>
      </c>
    </row>
    <row r="4360" spans="1:15" ht="39">
      <c r="A4360" s="569" t="s">
        <v>4224</v>
      </c>
      <c r="B4360" s="569"/>
      <c r="C4360" s="569"/>
      <c r="D4360" s="77" t="s">
        <v>0</v>
      </c>
      <c r="E4360" s="207" t="s">
        <v>4228</v>
      </c>
      <c r="F4360" s="208" t="s">
        <v>4215</v>
      </c>
      <c r="G4360" s="74" t="s">
        <v>2</v>
      </c>
      <c r="H4360" s="218" t="s">
        <v>4229</v>
      </c>
      <c r="K4360" s="309"/>
    </row>
    <row r="4361" spans="1:15">
      <c r="A4361" s="536" t="s">
        <v>3946</v>
      </c>
      <c r="B4361" s="570" t="str">
        <f>VLOOKUP(A4361,'Equip, Herr y Transp'!$B$2:$D$739,2,0)</f>
        <v>EQU</v>
      </c>
      <c r="C4361" s="570"/>
      <c r="D4361" s="95" t="str">
        <f>VLOOKUP(A4361,'Equip, Herr y Transp'!$B$2:$D$218,2,0)</f>
        <v>EQU</v>
      </c>
      <c r="E4361" s="95">
        <f>VLOOKUP(A4361,'Equip, Herr y Transp'!$B$2:$D$218,3,0)</f>
        <v>14130</v>
      </c>
      <c r="F4361" s="96">
        <f>H4351</f>
        <v>0.22919999999999999</v>
      </c>
      <c r="G4361" s="122">
        <f>F4361*E4361</f>
        <v>3238.596</v>
      </c>
      <c r="H4361" s="118"/>
    </row>
    <row r="4362" spans="1:15">
      <c r="A4362" s="536" t="s">
        <v>3904</v>
      </c>
      <c r="B4362" s="570" t="str">
        <f>VLOOKUP(A4362,'Equip, Herr y Transp'!$B$2:$D$739,2,0)</f>
        <v>EQU</v>
      </c>
      <c r="C4362" s="570"/>
      <c r="D4362" s="95" t="str">
        <f>VLOOKUP(A4362,'Equip, Herr y Transp'!$B$2:$D$218,2,0)</f>
        <v>EQU</v>
      </c>
      <c r="E4362" s="95">
        <f>VLOOKUP(A4362,'Equip, Herr y Transp'!$B$2:$D$218,3,0)</f>
        <v>26672.5</v>
      </c>
      <c r="F4362" s="96">
        <f>H4351</f>
        <v>0.22919999999999999</v>
      </c>
      <c r="G4362" s="122">
        <f>F4362*E4362</f>
        <v>6113.3369999999995</v>
      </c>
      <c r="H4362" s="117"/>
    </row>
    <row r="4363" spans="1:15">
      <c r="A4363" s="536" t="s">
        <v>8</v>
      </c>
      <c r="B4363" s="570">
        <f>VLOOKUP(A4363,'Equip, Herr y Transp'!$B$2:$D$739,2,0)</f>
        <v>0</v>
      </c>
      <c r="C4363" s="570"/>
      <c r="D4363" s="95">
        <f>VLOOKUP(A4363,'Equip, Herr y Transp'!$B$2:$D$218,2,0)</f>
        <v>0</v>
      </c>
      <c r="E4363" s="95">
        <f>VLOOKUP(A4363,'Equip, Herr y Transp'!$B$2:$D$218,3,0)</f>
        <v>0</v>
      </c>
      <c r="F4363" s="96"/>
      <c r="G4363" s="122">
        <f>F4363*E4363</f>
        <v>0</v>
      </c>
      <c r="H4363" s="117"/>
    </row>
    <row r="4364" spans="1:15" ht="16.5">
      <c r="A4364" s="540" t="s">
        <v>4100</v>
      </c>
      <c r="B4364" s="541"/>
      <c r="C4364" s="541"/>
      <c r="D4364" s="541"/>
      <c r="E4364" s="541"/>
      <c r="F4364" s="541"/>
      <c r="G4364" s="541"/>
      <c r="H4364" s="97">
        <f>SUM(G4361:G4363)</f>
        <v>9351.9329999999991</v>
      </c>
    </row>
    <row r="4365" spans="1:15" ht="16.5">
      <c r="A4365" s="571" t="s">
        <v>4230</v>
      </c>
      <c r="B4365" s="572"/>
      <c r="C4365" s="572"/>
      <c r="D4365" s="572"/>
      <c r="E4365" s="572"/>
      <c r="F4365" s="572"/>
      <c r="G4365" s="572"/>
      <c r="H4365" s="573"/>
      <c r="K4365" s="56"/>
      <c r="L4365" s="56"/>
      <c r="M4365" s="56"/>
      <c r="N4365" s="56"/>
      <c r="O4365" s="56"/>
    </row>
    <row r="4366" spans="1:15" ht="30" customHeight="1">
      <c r="A4366" s="574" t="s">
        <v>7</v>
      </c>
      <c r="B4366" s="575"/>
      <c r="C4366" s="109" t="s">
        <v>0</v>
      </c>
      <c r="D4366" s="110" t="s">
        <v>4098</v>
      </c>
      <c r="E4366" s="111" t="s">
        <v>1</v>
      </c>
      <c r="F4366" s="576" t="s">
        <v>4218</v>
      </c>
      <c r="G4366" s="576"/>
      <c r="H4366" s="215"/>
      <c r="K4366" s="56"/>
      <c r="L4366" s="56"/>
      <c r="M4366" s="56"/>
      <c r="N4366" s="56"/>
      <c r="O4366" s="56"/>
    </row>
    <row r="4367" spans="1:15">
      <c r="A4367" s="577" t="s">
        <v>4627</v>
      </c>
      <c r="B4367" s="578"/>
      <c r="C4367" s="98" t="str">
        <f>VLOOKUP(A4367,'Materiales '!$C$2:$F$1302,3,0)</f>
        <v>Und</v>
      </c>
      <c r="D4367" s="99">
        <f>VLOOKUP(A4367,'Materiales '!$C$2:$F$1302,4,0)</f>
        <v>733040.00000000012</v>
      </c>
      <c r="E4367" s="100">
        <v>1</v>
      </c>
      <c r="F4367" s="538">
        <f>E4367*D4367</f>
        <v>733040.00000000012</v>
      </c>
      <c r="G4367" s="539"/>
      <c r="H4367" s="121"/>
      <c r="I4367">
        <f>E4367*G4358</f>
        <v>1</v>
      </c>
      <c r="J4367" s="67"/>
      <c r="K4367" s="56"/>
      <c r="L4367" s="56"/>
      <c r="M4367" s="56"/>
      <c r="N4367" s="56"/>
      <c r="O4367" s="56"/>
    </row>
    <row r="4368" spans="1:15">
      <c r="A4368" s="577" t="s">
        <v>4628</v>
      </c>
      <c r="B4368" s="578"/>
      <c r="C4368" s="98" t="str">
        <f>VLOOKUP(A4368,'Materiales '!$C$2:$F$1302,3,0)</f>
        <v>Rollo</v>
      </c>
      <c r="D4368" s="99">
        <f>VLOOKUP(A4368,'Materiales '!$C$2:$F$1302,4,0)</f>
        <v>138230.39999999999</v>
      </c>
      <c r="E4368" s="100">
        <v>0.5</v>
      </c>
      <c r="F4368" s="538">
        <f t="shared" ref="F4368:F4374" si="256">E4368*D4368</f>
        <v>69115.199999999997</v>
      </c>
      <c r="G4368" s="539"/>
      <c r="H4368" s="121"/>
      <c r="I4368">
        <f>E4368*G4358</f>
        <v>0.5</v>
      </c>
      <c r="J4368" s="67"/>
      <c r="K4368" s="56"/>
      <c r="L4368" s="56"/>
      <c r="M4368" s="56"/>
      <c r="N4368" s="56"/>
      <c r="O4368" s="56"/>
    </row>
    <row r="4369" spans="1:15">
      <c r="A4369" s="536" t="s">
        <v>8</v>
      </c>
      <c r="B4369" s="537" t="str">
        <f>VLOOKUP(A4369,'Materiales '!$C$2:$F$1302,3,0)</f>
        <v>-</v>
      </c>
      <c r="C4369" s="98" t="str">
        <f>VLOOKUP(A4369,'Materiales '!$C$2:$F$1302,3,0)</f>
        <v>-</v>
      </c>
      <c r="D4369" s="99">
        <f>VLOOKUP(A4369,'Materiales '!$C$2:$F$1302,4,0)</f>
        <v>0</v>
      </c>
      <c r="E4369" s="100">
        <v>1</v>
      </c>
      <c r="F4369" s="538">
        <f t="shared" si="256"/>
        <v>0</v>
      </c>
      <c r="G4369" s="539"/>
      <c r="H4369" s="121"/>
      <c r="I4369">
        <f>E4369*G4358</f>
        <v>1</v>
      </c>
      <c r="J4369" s="68"/>
      <c r="K4369" s="56"/>
      <c r="L4369" s="56"/>
      <c r="M4369" s="56"/>
      <c r="N4369" s="56"/>
      <c r="O4369" s="56"/>
    </row>
    <row r="4370" spans="1:15">
      <c r="A4370" s="536" t="s">
        <v>8</v>
      </c>
      <c r="B4370" s="537" t="str">
        <f>VLOOKUP(A4370,'Materiales '!$C$2:$F$1302,3,0)</f>
        <v>-</v>
      </c>
      <c r="C4370" s="98" t="str">
        <f>VLOOKUP(A4370,'Materiales '!$C$2:$F$1302,3,0)</f>
        <v>-</v>
      </c>
      <c r="D4370" s="99">
        <f>VLOOKUP(A4370,'Materiales '!$C$2:$F$1302,4,0)</f>
        <v>0</v>
      </c>
      <c r="E4370" s="100">
        <v>3</v>
      </c>
      <c r="F4370" s="538">
        <f t="shared" si="256"/>
        <v>0</v>
      </c>
      <c r="G4370" s="539"/>
      <c r="H4370" s="121"/>
      <c r="I4370">
        <f>E4370*G4358</f>
        <v>3</v>
      </c>
      <c r="J4370" s="68"/>
      <c r="K4370" s="56"/>
      <c r="L4370" s="56"/>
      <c r="M4370" s="56"/>
      <c r="N4370" s="56"/>
      <c r="O4370" s="56"/>
    </row>
    <row r="4371" spans="1:15">
      <c r="A4371" s="536" t="s">
        <v>8</v>
      </c>
      <c r="B4371" s="537" t="str">
        <f>VLOOKUP(A4371,'Materiales '!$C$2:$F$1302,3,0)</f>
        <v>-</v>
      </c>
      <c r="C4371" s="98" t="str">
        <f>VLOOKUP(A4371,'Materiales '!$C$2:$F$1302,3,0)</f>
        <v>-</v>
      </c>
      <c r="D4371" s="99">
        <f>VLOOKUP(A4371,'Materiales '!$C$2:$F$1302,4,0)</f>
        <v>0</v>
      </c>
      <c r="E4371" s="100">
        <v>2</v>
      </c>
      <c r="F4371" s="538">
        <f t="shared" si="256"/>
        <v>0</v>
      </c>
      <c r="G4371" s="539"/>
      <c r="H4371" s="121"/>
      <c r="I4371">
        <f>E4371*G4358</f>
        <v>2</v>
      </c>
      <c r="J4371" s="68"/>
      <c r="K4371" s="56"/>
      <c r="L4371" s="56"/>
      <c r="M4371" s="56"/>
      <c r="N4371" s="56"/>
      <c r="O4371" s="56"/>
    </row>
    <row r="4372" spans="1:15">
      <c r="A4372" s="536" t="s">
        <v>8</v>
      </c>
      <c r="B4372" s="537" t="str">
        <f>VLOOKUP(A4372,'Materiales '!$C$2:$F$1302,3,0)</f>
        <v>-</v>
      </c>
      <c r="C4372" s="98" t="str">
        <f>VLOOKUP(A4372,'Materiales '!$C$2:$F$1302,3,0)</f>
        <v>-</v>
      </c>
      <c r="D4372" s="99">
        <f>VLOOKUP(A4372,'Materiales '!$C$2:$F$1302,4,0)</f>
        <v>0</v>
      </c>
      <c r="E4372" s="100">
        <v>8</v>
      </c>
      <c r="F4372" s="538">
        <f t="shared" si="256"/>
        <v>0</v>
      </c>
      <c r="G4372" s="539"/>
      <c r="H4372" s="121"/>
      <c r="I4372">
        <f>E4372*G4358</f>
        <v>8</v>
      </c>
      <c r="J4372" s="68"/>
      <c r="K4372" s="56"/>
      <c r="L4372" s="56"/>
      <c r="M4372" s="56"/>
      <c r="N4372" s="56"/>
      <c r="O4372" s="56"/>
    </row>
    <row r="4373" spans="1:15">
      <c r="A4373" s="536" t="s">
        <v>8</v>
      </c>
      <c r="B4373" s="537" t="str">
        <f>VLOOKUP(A4373,'Materiales '!$C$2:$F$1302,3,0)</f>
        <v>-</v>
      </c>
      <c r="C4373" s="98" t="str">
        <f>VLOOKUP(A4373,'Materiales '!$C$2:$F$1302,3,0)</f>
        <v>-</v>
      </c>
      <c r="D4373" s="99">
        <f>VLOOKUP(A4373,'Materiales '!$C$2:$F$1302,4,0)</f>
        <v>0</v>
      </c>
      <c r="E4373" s="100">
        <v>3</v>
      </c>
      <c r="F4373" s="538">
        <f t="shared" si="256"/>
        <v>0</v>
      </c>
      <c r="G4373" s="539"/>
      <c r="H4373" s="121"/>
      <c r="I4373">
        <f>E4373*G4358</f>
        <v>3</v>
      </c>
      <c r="J4373" s="68"/>
      <c r="K4373" s="56"/>
      <c r="L4373" s="56"/>
      <c r="M4373" s="56"/>
      <c r="N4373" s="56"/>
      <c r="O4373" s="56"/>
    </row>
    <row r="4374" spans="1:15" ht="21.75" customHeight="1">
      <c r="A4374" s="536" t="s">
        <v>8</v>
      </c>
      <c r="B4374" s="537" t="str">
        <f>VLOOKUP(A4374,'Materiales '!$C$2:$F$1302,3,0)</f>
        <v>-</v>
      </c>
      <c r="C4374" s="98" t="str">
        <f>VLOOKUP(A4374,'Materiales '!$C$2:$F$1302,3,0)</f>
        <v>-</v>
      </c>
      <c r="D4374" s="99">
        <f>VLOOKUP(A4374,'Materiales '!$C$2:$F$1302,4,0)</f>
        <v>0</v>
      </c>
      <c r="E4374" s="100">
        <v>0.5</v>
      </c>
      <c r="F4374" s="538">
        <f t="shared" si="256"/>
        <v>0</v>
      </c>
      <c r="G4374" s="539"/>
      <c r="H4374" s="121"/>
      <c r="I4374">
        <f>E4374*G4358</f>
        <v>0.5</v>
      </c>
      <c r="J4374" s="68"/>
      <c r="K4374" s="56"/>
      <c r="L4374" s="56"/>
      <c r="M4374" s="56"/>
      <c r="N4374" s="56"/>
      <c r="O4374" s="56"/>
    </row>
    <row r="4375" spans="1:15">
      <c r="A4375" s="536" t="s">
        <v>8</v>
      </c>
      <c r="B4375" s="537" t="str">
        <f>VLOOKUP(A4375,'Materiales '!$C$2:$F$1302,3,0)</f>
        <v>-</v>
      </c>
      <c r="C4375" s="98" t="str">
        <f>VLOOKUP(A4375,'Materiales '!$C$2:$F$1302,3,0)</f>
        <v>-</v>
      </c>
      <c r="D4375" s="99">
        <f>VLOOKUP(A4375,'Materiales '!$C$2:$F$1302,4,0)</f>
        <v>0</v>
      </c>
      <c r="E4375" s="100"/>
      <c r="F4375" s="538">
        <f>E4375*D4375</f>
        <v>0</v>
      </c>
      <c r="G4375" s="539"/>
      <c r="H4375" s="120"/>
      <c r="I4375">
        <f>E4375*G4358</f>
        <v>0</v>
      </c>
      <c r="J4375" s="68"/>
      <c r="K4375" s="56"/>
      <c r="L4375" s="56"/>
      <c r="M4375" s="56"/>
      <c r="N4375" s="56"/>
      <c r="O4375" s="56"/>
    </row>
    <row r="4376" spans="1:15">
      <c r="A4376" s="536" t="s">
        <v>8</v>
      </c>
      <c r="B4376" s="537" t="str">
        <f>VLOOKUP(A4376,'Materiales '!$C$2:$F$1302,3,0)</f>
        <v>-</v>
      </c>
      <c r="C4376" s="98" t="str">
        <f>VLOOKUP(A4376,'Materiales '!$C$2:$F$1302,3,0)</f>
        <v>-</v>
      </c>
      <c r="D4376" s="99">
        <f>VLOOKUP(A4376,'Materiales '!$C$2:$F$1302,4,0)</f>
        <v>0</v>
      </c>
      <c r="E4376" s="100"/>
      <c r="F4376" s="538">
        <f t="shared" ref="F4376:F4379" si="257">E4376*D4376</f>
        <v>0</v>
      </c>
      <c r="G4376" s="539"/>
      <c r="H4376" s="121"/>
      <c r="I4376">
        <f>E4376*G4358</f>
        <v>0</v>
      </c>
      <c r="J4376" s="68"/>
      <c r="K4376" s="56"/>
      <c r="L4376" s="56"/>
      <c r="M4376" s="56"/>
      <c r="N4376" s="56"/>
      <c r="O4376" s="56"/>
    </row>
    <row r="4377" spans="1:15">
      <c r="A4377" s="536" t="s">
        <v>8</v>
      </c>
      <c r="B4377" s="537" t="str">
        <f>VLOOKUP(A4377,'Materiales '!$C$2:$F$1302,3,0)</f>
        <v>-</v>
      </c>
      <c r="C4377" s="98" t="str">
        <f>VLOOKUP(A4377,'Materiales '!$C$2:$F$1302,3,0)</f>
        <v>-</v>
      </c>
      <c r="D4377" s="99">
        <f>VLOOKUP(A4377,'Materiales '!$C$2:$F$1302,4,0)</f>
        <v>0</v>
      </c>
      <c r="E4377" s="100"/>
      <c r="F4377" s="538">
        <f t="shared" si="257"/>
        <v>0</v>
      </c>
      <c r="G4377" s="539"/>
      <c r="H4377" s="121"/>
      <c r="I4377">
        <f>E4377*G4358</f>
        <v>0</v>
      </c>
      <c r="J4377" s="68"/>
      <c r="K4377" s="56"/>
      <c r="L4377" s="56"/>
      <c r="M4377" s="56"/>
      <c r="N4377" s="56"/>
      <c r="O4377" s="56"/>
    </row>
    <row r="4378" spans="1:15">
      <c r="A4378" s="536" t="s">
        <v>8</v>
      </c>
      <c r="B4378" s="537" t="str">
        <f>VLOOKUP(A4378,'Materiales '!$C$2:$F$1302,3,0)</f>
        <v>-</v>
      </c>
      <c r="C4378" s="98" t="str">
        <f>VLOOKUP(A4378,'Materiales '!$C$2:$F$1302,3,0)</f>
        <v>-</v>
      </c>
      <c r="D4378" s="99">
        <f>VLOOKUP(A4378,'Materiales '!$C$2:$F$1302,4,0)</f>
        <v>0</v>
      </c>
      <c r="E4378" s="100"/>
      <c r="F4378" s="538">
        <f t="shared" si="257"/>
        <v>0</v>
      </c>
      <c r="G4378" s="539"/>
      <c r="H4378" s="121"/>
      <c r="I4378">
        <f>E4378*G4358</f>
        <v>0</v>
      </c>
      <c r="J4378" s="68"/>
      <c r="K4378" s="56"/>
      <c r="L4378" s="56"/>
      <c r="M4378" s="56"/>
      <c r="N4378" s="56"/>
      <c r="O4378" s="56"/>
    </row>
    <row r="4379" spans="1:15">
      <c r="A4379" s="536" t="s">
        <v>8</v>
      </c>
      <c r="B4379" s="537" t="str">
        <f>VLOOKUP(A4379,'Materiales '!$C$2:$F$1302,3,0)</f>
        <v>-</v>
      </c>
      <c r="C4379" s="98" t="str">
        <f>VLOOKUP(A4379,'Materiales '!$C$2:$F$1302,3,0)</f>
        <v>-</v>
      </c>
      <c r="D4379" s="99">
        <f>VLOOKUP(A4379,'Materiales '!$C$2:$F$1302,4,0)</f>
        <v>0</v>
      </c>
      <c r="E4379" s="100"/>
      <c r="F4379" s="538">
        <f t="shared" si="257"/>
        <v>0</v>
      </c>
      <c r="G4379" s="539"/>
      <c r="H4379" s="121"/>
      <c r="I4379">
        <f>E4379*G4358</f>
        <v>0</v>
      </c>
      <c r="J4379" s="68"/>
      <c r="K4379" s="56"/>
      <c r="L4379" s="56"/>
      <c r="M4379" s="56"/>
      <c r="N4379" s="56"/>
      <c r="O4379" s="56"/>
    </row>
    <row r="4380" spans="1:15">
      <c r="A4380" s="536" t="s">
        <v>8</v>
      </c>
      <c r="B4380" s="537" t="str">
        <f>VLOOKUP(A4380,'Materiales '!$C$2:$F$1302,3,0)</f>
        <v>-</v>
      </c>
      <c r="C4380" s="98" t="str">
        <f>VLOOKUP(A4380,'Materiales '!$C$2:$F$1302,3,0)</f>
        <v>-</v>
      </c>
      <c r="D4380" s="99">
        <f>VLOOKUP(A4380,'Materiales '!$C$2:$F$1302,4,0)</f>
        <v>0</v>
      </c>
      <c r="E4380" s="100"/>
      <c r="F4380" s="538">
        <f>E4380*D4380</f>
        <v>0</v>
      </c>
      <c r="G4380" s="539"/>
      <c r="H4380" s="120"/>
      <c r="I4380">
        <f>E4380*G4358</f>
        <v>0</v>
      </c>
      <c r="J4380" s="68"/>
      <c r="K4380" s="56"/>
      <c r="L4380" s="56"/>
      <c r="M4380" s="56"/>
      <c r="N4380" s="56"/>
      <c r="O4380" s="56"/>
    </row>
    <row r="4381" spans="1:15" ht="16.5">
      <c r="A4381" s="540" t="s">
        <v>4099</v>
      </c>
      <c r="B4381" s="541"/>
      <c r="C4381" s="541"/>
      <c r="D4381" s="541"/>
      <c r="E4381" s="541"/>
      <c r="F4381" s="541"/>
      <c r="G4381" s="542"/>
      <c r="H4381" s="116">
        <f>SUM(F4367:F4380)</f>
        <v>802155.20000000007</v>
      </c>
      <c r="J4381" s="68"/>
      <c r="K4381" s="56"/>
      <c r="L4381" s="56"/>
      <c r="M4381" s="56"/>
      <c r="N4381" s="56"/>
      <c r="O4381" s="56"/>
    </row>
    <row r="4382" spans="1:15" ht="16.5">
      <c r="A4382" s="543" t="s">
        <v>4231</v>
      </c>
      <c r="B4382" s="544"/>
      <c r="C4382" s="544"/>
      <c r="D4382" s="544"/>
      <c r="E4382" s="545"/>
      <c r="F4382" s="544"/>
      <c r="G4382" s="544"/>
      <c r="H4382" s="546"/>
      <c r="J4382" s="68"/>
      <c r="K4382" s="56"/>
      <c r="L4382" s="56"/>
      <c r="M4382" s="56"/>
      <c r="N4382" s="56"/>
      <c r="O4382" s="56"/>
    </row>
    <row r="4383" spans="1:15">
      <c r="A4383" s="547" t="s">
        <v>7</v>
      </c>
      <c r="B4383" s="548"/>
      <c r="C4383" s="108" t="s">
        <v>4232</v>
      </c>
      <c r="D4383" s="107" t="s">
        <v>4233</v>
      </c>
      <c r="E4383" s="206" t="s">
        <v>4234</v>
      </c>
      <c r="F4383" s="549" t="s">
        <v>4218</v>
      </c>
      <c r="G4383" s="549"/>
      <c r="H4383" s="119"/>
      <c r="K4383" s="56"/>
      <c r="L4383" s="56"/>
      <c r="M4383" s="56"/>
      <c r="N4383" s="56"/>
      <c r="O4383" s="56"/>
    </row>
    <row r="4384" spans="1:15">
      <c r="A4384" s="550" t="s">
        <v>3928</v>
      </c>
      <c r="B4384" s="551"/>
      <c r="C4384" s="232">
        <v>1</v>
      </c>
      <c r="D4384" s="102">
        <v>0.03</v>
      </c>
      <c r="E4384" s="103">
        <f>VLOOKUP(A4384,'Equip, Herr y Transp'!$B$2:$D$218,3,0)</f>
        <v>160000</v>
      </c>
      <c r="F4384" s="552">
        <f>E4384*D4384*C4384</f>
        <v>4800</v>
      </c>
      <c r="G4384" s="553"/>
      <c r="H4384" s="117"/>
      <c r="M4384" s="56"/>
    </row>
    <row r="4385" spans="1:10" ht="16.5">
      <c r="A4385" s="554" t="s">
        <v>4216</v>
      </c>
      <c r="B4385" s="555"/>
      <c r="C4385" s="555"/>
      <c r="D4385" s="555"/>
      <c r="E4385" s="555"/>
      <c r="F4385" s="555"/>
      <c r="G4385" s="555"/>
      <c r="H4385" s="105">
        <f>F4384</f>
        <v>4800</v>
      </c>
    </row>
    <row r="4386" spans="1:10" ht="16.5">
      <c r="A4386" s="543" t="s">
        <v>4235</v>
      </c>
      <c r="B4386" s="544"/>
      <c r="C4386" s="544"/>
      <c r="D4386" s="544"/>
      <c r="E4386" s="544"/>
      <c r="F4386" s="544"/>
      <c r="G4386" s="544"/>
      <c r="H4386" s="546"/>
    </row>
    <row r="4387" spans="1:10">
      <c r="A4387" s="547" t="s">
        <v>7</v>
      </c>
      <c r="B4387" s="548"/>
      <c r="C4387" s="106" t="s">
        <v>1</v>
      </c>
      <c r="D4387" s="107" t="s">
        <v>4236</v>
      </c>
      <c r="E4387" s="108" t="s">
        <v>4215</v>
      </c>
      <c r="F4387" s="547" t="s">
        <v>5</v>
      </c>
      <c r="G4387" s="556"/>
      <c r="H4387" s="119"/>
    </row>
    <row r="4388" spans="1:10">
      <c r="A4388" s="550" t="s">
        <v>4196</v>
      </c>
      <c r="B4388" s="551"/>
      <c r="C4388" s="101">
        <v>1</v>
      </c>
      <c r="D4388" s="104">
        <f>VLOOKUP(A4388,'Mano Obra'!$B$2:$T$117,19,0)</f>
        <v>166624</v>
      </c>
      <c r="E4388" s="246">
        <f>H4351</f>
        <v>0.22919999999999999</v>
      </c>
      <c r="F4388" s="538">
        <f>E4388*D4388*C4388</f>
        <v>38190.220799999996</v>
      </c>
      <c r="G4388" s="557"/>
      <c r="H4388" s="121"/>
      <c r="I4388" s="69"/>
      <c r="J4388" s="136">
        <f>((('Mano Obra'!$M$4/30)*F4388)/D4388)*G4358</f>
        <v>2480.126354066666</v>
      </c>
    </row>
    <row r="4389" spans="1:10">
      <c r="A4389" s="558" t="s">
        <v>4197</v>
      </c>
      <c r="B4389" s="559">
        <f>VLOOKUP(A4389,'Mano Obra'!$B$3:$D$290,2,0)</f>
        <v>2090000.0000000002</v>
      </c>
      <c r="C4389" s="101">
        <v>1</v>
      </c>
      <c r="D4389" s="104">
        <f>VLOOKUP(A4389,'Mano Obra'!$B$2:$T$117,19,0)</f>
        <v>120456</v>
      </c>
      <c r="E4389" s="246">
        <f>H4351</f>
        <v>0.22919999999999999</v>
      </c>
      <c r="F4389" s="538">
        <f t="shared" ref="F4389:F4390" si="258">E4389*D4389*C4389</f>
        <v>27608.515199999998</v>
      </c>
      <c r="G4389" s="557"/>
      <c r="H4389" s="121"/>
      <c r="J4389" s="136">
        <f>((('Mano Obra'!$M$5/30)*F4389)/D4389)*G4358</f>
        <v>2480.1263540666664</v>
      </c>
    </row>
    <row r="4390" spans="1:10">
      <c r="A4390" s="558" t="s">
        <v>4186</v>
      </c>
      <c r="B4390" s="559">
        <f>VLOOKUP(A4390,'Mano Obra'!$B$3:$D$290,2,0)</f>
        <v>1100000</v>
      </c>
      <c r="C4390" s="101">
        <v>1</v>
      </c>
      <c r="D4390" s="104">
        <f>VLOOKUP(A4390,'Mano Obra'!$B$2:$T$117,19,0)</f>
        <v>72664</v>
      </c>
      <c r="E4390" s="246">
        <f>H4351</f>
        <v>0.22919999999999999</v>
      </c>
      <c r="F4390" s="538">
        <f t="shared" si="258"/>
        <v>16654.588799999998</v>
      </c>
      <c r="G4390" s="557"/>
      <c r="H4390" s="120"/>
      <c r="J4390" s="136">
        <f>((('Mano Obra'!$M$6/30)*F4390)/D4390)*G4358</f>
        <v>2480.1263540666664</v>
      </c>
    </row>
    <row r="4391" spans="1:10" ht="16.5">
      <c r="A4391" s="560" t="s">
        <v>4101</v>
      </c>
      <c r="B4391" s="560"/>
      <c r="C4391" s="560"/>
      <c r="D4391" s="560"/>
      <c r="E4391" s="560"/>
      <c r="F4391" s="560"/>
      <c r="G4391" s="560"/>
      <c r="H4391" s="105">
        <f>SUM(F4388:F4390)</f>
        <v>82453.324799999988</v>
      </c>
      <c r="J4391" s="136"/>
    </row>
    <row r="4392" spans="1:10">
      <c r="A4392" s="227" t="s">
        <v>4237</v>
      </c>
      <c r="B4392" s="205"/>
      <c r="C4392" s="205"/>
      <c r="D4392" s="202"/>
      <c r="E4392" s="203"/>
      <c r="F4392" s="204"/>
      <c r="G4392" s="203"/>
      <c r="H4392" s="212"/>
    </row>
    <row r="4393" spans="1:10">
      <c r="A4393" s="561" t="s">
        <v>4224</v>
      </c>
      <c r="B4393" s="562"/>
      <c r="C4393" s="562"/>
      <c r="D4393" s="562"/>
      <c r="E4393" s="200"/>
      <c r="F4393" s="201" t="s">
        <v>4238</v>
      </c>
      <c r="G4393" s="200" t="s">
        <v>4239</v>
      </c>
      <c r="H4393" s="213"/>
    </row>
    <row r="4394" spans="1:10">
      <c r="A4394" s="223" t="s">
        <v>4097</v>
      </c>
      <c r="B4394" s="72"/>
      <c r="C4394" s="72"/>
      <c r="D4394" s="73"/>
      <c r="E4394" s="78"/>
      <c r="F4394" s="79">
        <v>0</v>
      </c>
      <c r="G4394" s="80">
        <f>F4394*H4359</f>
        <v>0</v>
      </c>
      <c r="H4394" s="212"/>
    </row>
    <row r="4395" spans="1:10">
      <c r="A4395" s="224" t="s">
        <v>4240</v>
      </c>
      <c r="B4395" s="81"/>
      <c r="C4395" s="81"/>
      <c r="D4395" s="82"/>
      <c r="E4395" s="78"/>
      <c r="F4395" s="79">
        <v>0</v>
      </c>
      <c r="G4395" s="80">
        <f>F4395*H4359</f>
        <v>0</v>
      </c>
      <c r="H4395" s="212"/>
    </row>
    <row r="4396" spans="1:10">
      <c r="A4396" s="224" t="s">
        <v>4</v>
      </c>
      <c r="B4396" s="81"/>
      <c r="C4396" s="81"/>
      <c r="D4396" s="82"/>
      <c r="E4396" s="78"/>
      <c r="F4396" s="79">
        <v>0</v>
      </c>
      <c r="G4396" s="80">
        <f>F4396*H4359</f>
        <v>0</v>
      </c>
      <c r="H4396" s="212"/>
    </row>
    <row r="4397" spans="1:10">
      <c r="A4397" s="225"/>
      <c r="B4397" s="83"/>
      <c r="C4397" s="75"/>
      <c r="D4397" s="84"/>
      <c r="E4397" s="85"/>
      <c r="F4397" s="86"/>
      <c r="G4397" s="87"/>
      <c r="H4397" s="214"/>
    </row>
    <row r="4398" spans="1:10">
      <c r="A4398" s="226"/>
      <c r="B4398" s="83"/>
      <c r="C4398" s="83"/>
      <c r="D4398" s="84"/>
      <c r="E4398" s="88"/>
      <c r="F4398" s="563" t="s">
        <v>4241</v>
      </c>
      <c r="G4398" s="564"/>
      <c r="H4398" s="233">
        <f>H4359+G4394+G4395+G4396</f>
        <v>898760.45779999997</v>
      </c>
    </row>
    <row r="4400" spans="1:10" ht="16.5">
      <c r="A4400" s="90"/>
      <c r="B4400" s="90"/>
      <c r="C4400" s="90"/>
      <c r="D4400" s="90"/>
      <c r="E4400" s="90"/>
      <c r="F4400" s="90"/>
      <c r="G4400" s="90"/>
      <c r="H4400" s="381"/>
    </row>
    <row r="4401" spans="1:15">
      <c r="A4401" s="579" t="s">
        <v>4225</v>
      </c>
      <c r="B4401" s="580"/>
      <c r="C4401" s="580"/>
      <c r="D4401" s="580"/>
      <c r="E4401" s="580"/>
      <c r="F4401" s="580"/>
      <c r="G4401" s="580"/>
      <c r="H4401" s="581"/>
    </row>
    <row r="4402" spans="1:15" ht="16.5">
      <c r="A4402" s="91"/>
      <c r="B4402" s="92"/>
      <c r="C4402" s="92"/>
      <c r="D4402" s="92"/>
      <c r="E4402" s="92"/>
      <c r="F4402" s="93"/>
      <c r="G4402" s="94"/>
      <c r="H4402" s="380">
        <f>ROUND((110/60)/8,4)</f>
        <v>0.22919999999999999</v>
      </c>
      <c r="I4402" s="115"/>
    </row>
    <row r="4403" spans="1:15">
      <c r="A4403" s="582" t="s">
        <v>4220</v>
      </c>
      <c r="B4403" s="584" t="str">
        <f>COSTOS!$C$14</f>
        <v>MODERNIZACION A TECNOLOGIA LED</v>
      </c>
      <c r="C4403" s="584"/>
      <c r="D4403" s="584"/>
      <c r="E4403" s="584"/>
      <c r="F4403" s="584"/>
      <c r="G4403" s="584"/>
      <c r="H4403" s="585" t="s">
        <v>4221</v>
      </c>
    </row>
    <row r="4404" spans="1:15">
      <c r="A4404" s="583"/>
      <c r="B4404" s="584"/>
      <c r="C4404" s="584"/>
      <c r="D4404" s="584"/>
      <c r="E4404" s="584"/>
      <c r="F4404" s="584"/>
      <c r="G4404" s="584"/>
      <c r="H4404" s="585"/>
    </row>
    <row r="4405" spans="1:15">
      <c r="A4405" s="583"/>
      <c r="B4405" s="584"/>
      <c r="C4405" s="584"/>
      <c r="D4405" s="584"/>
      <c r="E4405" s="584"/>
      <c r="F4405" s="584"/>
      <c r="G4405" s="584"/>
      <c r="H4405" s="585"/>
    </row>
    <row r="4406" spans="1:15" ht="15" customHeight="1">
      <c r="A4406" s="583"/>
      <c r="B4406" s="584"/>
      <c r="C4406" s="584"/>
      <c r="D4406" s="584"/>
      <c r="E4406" s="584"/>
      <c r="F4406" s="584"/>
      <c r="G4406" s="584"/>
      <c r="H4406" s="216">
        <f ca="1">TODAY()</f>
        <v>44889</v>
      </c>
      <c r="K4406" t="s">
        <v>4391</v>
      </c>
      <c r="L4406" t="s">
        <v>4392</v>
      </c>
      <c r="M4406" t="s">
        <v>4393</v>
      </c>
      <c r="N4406" t="s">
        <v>4394</v>
      </c>
    </row>
    <row r="4407" spans="1:15" ht="60.75" customHeight="1">
      <c r="A4407" s="228" t="s">
        <v>4222</v>
      </c>
      <c r="B4407" s="565" t="str">
        <f>COSTOS!$D$16</f>
        <v>Luminarias</v>
      </c>
      <c r="C4407" s="565"/>
      <c r="D4407" s="565"/>
      <c r="E4407" s="565"/>
      <c r="F4407" s="565"/>
      <c r="G4407" s="70" t="s">
        <v>4223</v>
      </c>
      <c r="H4407" s="387">
        <v>2.2000000000000002</v>
      </c>
      <c r="K4407" s="62">
        <f>H4432</f>
        <v>802155.20000000007</v>
      </c>
      <c r="L4407" s="62">
        <f>H4442</f>
        <v>82453.324799999988</v>
      </c>
      <c r="M4407" s="62">
        <f>H4415</f>
        <v>9351.9329999999991</v>
      </c>
      <c r="N4407" s="62">
        <f>H4436</f>
        <v>4800</v>
      </c>
    </row>
    <row r="4408" spans="1:15" ht="43.15" customHeight="1">
      <c r="A4408" s="229" t="s">
        <v>4224</v>
      </c>
      <c r="B4408" s="566" t="str">
        <f>VLOOKUP(H4407,COSTOS!C:M,2,0)</f>
        <v>Poste metalico de 3 metros para farol doble</v>
      </c>
      <c r="C4408" s="567"/>
      <c r="D4408" s="567"/>
      <c r="E4408" s="568"/>
      <c r="F4408" s="71" t="s">
        <v>0</v>
      </c>
      <c r="G4408" s="356" t="str">
        <f>VLOOKUP(H4407,COSTOS!C:M,8,0)</f>
        <v>Und</v>
      </c>
      <c r="H4408" s="276"/>
      <c r="I4408" s="306"/>
      <c r="J4408" s="308"/>
      <c r="K4408" s="308"/>
      <c r="L4408" s="308"/>
    </row>
    <row r="4409" spans="1:15">
      <c r="A4409" s="230"/>
      <c r="B4409" s="112"/>
      <c r="C4409" s="112"/>
      <c r="D4409" s="112"/>
      <c r="E4409" s="113"/>
      <c r="F4409" s="114" t="s">
        <v>1</v>
      </c>
      <c r="G4409" s="356">
        <f>VLOOKUP(H4407,COSTOS!C:M,9,0)</f>
        <v>0</v>
      </c>
      <c r="H4409" s="357"/>
      <c r="I4409" s="307"/>
    </row>
    <row r="4410" spans="1:15" ht="16.5">
      <c r="A4410" s="231" t="s">
        <v>4226</v>
      </c>
      <c r="B4410" s="75"/>
      <c r="C4410" s="75"/>
      <c r="D4410" s="76"/>
      <c r="E4410" s="209"/>
      <c r="F4410" s="210"/>
      <c r="G4410" s="211" t="s">
        <v>4227</v>
      </c>
      <c r="H4410" s="217">
        <f>H4415+H4432+H4436+H4442</f>
        <v>898760.45779999997</v>
      </c>
    </row>
    <row r="4411" spans="1:15" ht="39">
      <c r="A4411" s="569" t="s">
        <v>4224</v>
      </c>
      <c r="B4411" s="569"/>
      <c r="C4411" s="569"/>
      <c r="D4411" s="77" t="s">
        <v>0</v>
      </c>
      <c r="E4411" s="207" t="s">
        <v>4228</v>
      </c>
      <c r="F4411" s="208" t="s">
        <v>4215</v>
      </c>
      <c r="G4411" s="74" t="s">
        <v>2</v>
      </c>
      <c r="H4411" s="218" t="s">
        <v>4229</v>
      </c>
      <c r="K4411" s="309"/>
    </row>
    <row r="4412" spans="1:15">
      <c r="A4412" s="536" t="s">
        <v>3946</v>
      </c>
      <c r="B4412" s="570" t="str">
        <f>VLOOKUP(A4412,'Equip, Herr y Transp'!$B$2:$D$739,2,0)</f>
        <v>EQU</v>
      </c>
      <c r="C4412" s="570"/>
      <c r="D4412" s="95" t="str">
        <f>VLOOKUP(A4412,'Equip, Herr y Transp'!$B$2:$D$218,2,0)</f>
        <v>EQU</v>
      </c>
      <c r="E4412" s="95">
        <f>VLOOKUP(A4412,'Equip, Herr y Transp'!$B$2:$D$218,3,0)</f>
        <v>14130</v>
      </c>
      <c r="F4412" s="96">
        <f>H4402</f>
        <v>0.22919999999999999</v>
      </c>
      <c r="G4412" s="122">
        <f>F4412*E4412</f>
        <v>3238.596</v>
      </c>
      <c r="H4412" s="118"/>
    </row>
    <row r="4413" spans="1:15">
      <c r="A4413" s="536" t="s">
        <v>3904</v>
      </c>
      <c r="B4413" s="570" t="str">
        <f>VLOOKUP(A4413,'Equip, Herr y Transp'!$B$2:$D$739,2,0)</f>
        <v>EQU</v>
      </c>
      <c r="C4413" s="570"/>
      <c r="D4413" s="95" t="str">
        <f>VLOOKUP(A4413,'Equip, Herr y Transp'!$B$2:$D$218,2,0)</f>
        <v>EQU</v>
      </c>
      <c r="E4413" s="95">
        <f>VLOOKUP(A4413,'Equip, Herr y Transp'!$B$2:$D$218,3,0)</f>
        <v>26672.5</v>
      </c>
      <c r="F4413" s="96">
        <f>H4402</f>
        <v>0.22919999999999999</v>
      </c>
      <c r="G4413" s="122">
        <f>F4413*E4413</f>
        <v>6113.3369999999995</v>
      </c>
      <c r="H4413" s="117"/>
    </row>
    <row r="4414" spans="1:15">
      <c r="A4414" s="536" t="s">
        <v>8</v>
      </c>
      <c r="B4414" s="570">
        <f>VLOOKUP(A4414,'Equip, Herr y Transp'!$B$2:$D$739,2,0)</f>
        <v>0</v>
      </c>
      <c r="C4414" s="570"/>
      <c r="D4414" s="95">
        <f>VLOOKUP(A4414,'Equip, Herr y Transp'!$B$2:$D$218,2,0)</f>
        <v>0</v>
      </c>
      <c r="E4414" s="95">
        <f>VLOOKUP(A4414,'Equip, Herr y Transp'!$B$2:$D$218,3,0)</f>
        <v>0</v>
      </c>
      <c r="F4414" s="96"/>
      <c r="G4414" s="122">
        <f>F4414*E4414</f>
        <v>0</v>
      </c>
      <c r="H4414" s="117"/>
    </row>
    <row r="4415" spans="1:15" ht="16.5">
      <c r="A4415" s="540" t="s">
        <v>4100</v>
      </c>
      <c r="B4415" s="541"/>
      <c r="C4415" s="541"/>
      <c r="D4415" s="541"/>
      <c r="E4415" s="541"/>
      <c r="F4415" s="541"/>
      <c r="G4415" s="541"/>
      <c r="H4415" s="97">
        <f>SUM(G4412:G4414)</f>
        <v>9351.9329999999991</v>
      </c>
    </row>
    <row r="4416" spans="1:15" ht="16.5">
      <c r="A4416" s="571" t="s">
        <v>4230</v>
      </c>
      <c r="B4416" s="572"/>
      <c r="C4416" s="572"/>
      <c r="D4416" s="572"/>
      <c r="E4416" s="572"/>
      <c r="F4416" s="572"/>
      <c r="G4416" s="572"/>
      <c r="H4416" s="573"/>
      <c r="K4416" s="56"/>
      <c r="L4416" s="56"/>
      <c r="M4416" s="56"/>
      <c r="N4416" s="56"/>
      <c r="O4416" s="56"/>
    </row>
    <row r="4417" spans="1:15" ht="30" customHeight="1">
      <c r="A4417" s="574" t="s">
        <v>7</v>
      </c>
      <c r="B4417" s="575"/>
      <c r="C4417" s="109" t="s">
        <v>0</v>
      </c>
      <c r="D4417" s="110" t="s">
        <v>4098</v>
      </c>
      <c r="E4417" s="111" t="s">
        <v>1</v>
      </c>
      <c r="F4417" s="576" t="s">
        <v>4218</v>
      </c>
      <c r="G4417" s="576"/>
      <c r="H4417" s="215"/>
      <c r="K4417" s="56"/>
      <c r="L4417" s="56"/>
      <c r="M4417" s="56"/>
      <c r="N4417" s="56"/>
      <c r="O4417" s="56"/>
    </row>
    <row r="4418" spans="1:15">
      <c r="A4418" s="577" t="s">
        <v>4627</v>
      </c>
      <c r="B4418" s="578"/>
      <c r="C4418" s="98" t="str">
        <f>VLOOKUP(A4418,'Materiales '!$C$2:$F$1302,3,0)</f>
        <v>Und</v>
      </c>
      <c r="D4418" s="99">
        <f>VLOOKUP(A4418,'Materiales '!$C$2:$F$1302,4,0)</f>
        <v>733040.00000000012</v>
      </c>
      <c r="E4418" s="100">
        <v>1</v>
      </c>
      <c r="F4418" s="538">
        <f>E4418*D4418</f>
        <v>733040.00000000012</v>
      </c>
      <c r="G4418" s="539"/>
      <c r="H4418" s="121"/>
      <c r="I4418">
        <f>E4418*G4409</f>
        <v>0</v>
      </c>
      <c r="J4418" s="67"/>
      <c r="K4418" s="56"/>
      <c r="L4418" s="56"/>
      <c r="M4418" s="56"/>
      <c r="N4418" s="56"/>
      <c r="O4418" s="56"/>
    </row>
    <row r="4419" spans="1:15">
      <c r="A4419" s="577" t="s">
        <v>4628</v>
      </c>
      <c r="B4419" s="578"/>
      <c r="C4419" s="98" t="str">
        <f>VLOOKUP(A4419,'Materiales '!$C$2:$F$1302,3,0)</f>
        <v>Rollo</v>
      </c>
      <c r="D4419" s="99">
        <f>VLOOKUP(A4419,'Materiales '!$C$2:$F$1302,4,0)</f>
        <v>138230.39999999999</v>
      </c>
      <c r="E4419" s="100">
        <v>0.5</v>
      </c>
      <c r="F4419" s="538">
        <f t="shared" ref="F4419:F4425" si="259">E4419*D4419</f>
        <v>69115.199999999997</v>
      </c>
      <c r="G4419" s="539"/>
      <c r="H4419" s="121"/>
      <c r="I4419">
        <f>E4419*G4409</f>
        <v>0</v>
      </c>
      <c r="J4419" s="67"/>
      <c r="K4419" s="56"/>
      <c r="L4419" s="56"/>
      <c r="M4419" s="56"/>
      <c r="N4419" s="56"/>
      <c r="O4419" s="56"/>
    </row>
    <row r="4420" spans="1:15">
      <c r="A4420" s="536" t="s">
        <v>8</v>
      </c>
      <c r="B4420" s="537" t="str">
        <f>VLOOKUP(A4420,'Materiales '!$C$2:$F$1302,3,0)</f>
        <v>-</v>
      </c>
      <c r="C4420" s="98" t="str">
        <f>VLOOKUP(A4420,'Materiales '!$C$2:$F$1302,3,0)</f>
        <v>-</v>
      </c>
      <c r="D4420" s="99">
        <f>VLOOKUP(A4420,'Materiales '!$C$2:$F$1302,4,0)</f>
        <v>0</v>
      </c>
      <c r="E4420" s="100">
        <v>1</v>
      </c>
      <c r="F4420" s="538">
        <f t="shared" si="259"/>
        <v>0</v>
      </c>
      <c r="G4420" s="539"/>
      <c r="H4420" s="121"/>
      <c r="I4420">
        <f>E4420*G4409</f>
        <v>0</v>
      </c>
      <c r="J4420" s="68"/>
      <c r="K4420" s="56"/>
      <c r="L4420" s="56"/>
      <c r="M4420" s="56"/>
      <c r="N4420" s="56"/>
      <c r="O4420" s="56"/>
    </row>
    <row r="4421" spans="1:15">
      <c r="A4421" s="536" t="s">
        <v>8</v>
      </c>
      <c r="B4421" s="537" t="str">
        <f>VLOOKUP(A4421,'Materiales '!$C$2:$F$1302,3,0)</f>
        <v>-</v>
      </c>
      <c r="C4421" s="98" t="str">
        <f>VLOOKUP(A4421,'Materiales '!$C$2:$F$1302,3,0)</f>
        <v>-</v>
      </c>
      <c r="D4421" s="99">
        <f>VLOOKUP(A4421,'Materiales '!$C$2:$F$1302,4,0)</f>
        <v>0</v>
      </c>
      <c r="E4421" s="100">
        <v>3</v>
      </c>
      <c r="F4421" s="538">
        <f t="shared" si="259"/>
        <v>0</v>
      </c>
      <c r="G4421" s="539"/>
      <c r="H4421" s="121"/>
      <c r="I4421">
        <f>E4421*G4409</f>
        <v>0</v>
      </c>
      <c r="J4421" s="68"/>
      <c r="K4421" s="56"/>
      <c r="L4421" s="56"/>
      <c r="M4421" s="56"/>
      <c r="N4421" s="56"/>
      <c r="O4421" s="56"/>
    </row>
    <row r="4422" spans="1:15">
      <c r="A4422" s="536" t="s">
        <v>8</v>
      </c>
      <c r="B4422" s="537" t="str">
        <f>VLOOKUP(A4422,'Materiales '!$C$2:$F$1302,3,0)</f>
        <v>-</v>
      </c>
      <c r="C4422" s="98" t="str">
        <f>VLOOKUP(A4422,'Materiales '!$C$2:$F$1302,3,0)</f>
        <v>-</v>
      </c>
      <c r="D4422" s="99">
        <f>VLOOKUP(A4422,'Materiales '!$C$2:$F$1302,4,0)</f>
        <v>0</v>
      </c>
      <c r="E4422" s="100">
        <v>2</v>
      </c>
      <c r="F4422" s="538">
        <f t="shared" si="259"/>
        <v>0</v>
      </c>
      <c r="G4422" s="539"/>
      <c r="H4422" s="121"/>
      <c r="I4422">
        <f>E4422*G4409</f>
        <v>0</v>
      </c>
      <c r="J4422" s="68"/>
      <c r="K4422" s="56"/>
      <c r="L4422" s="56"/>
      <c r="M4422" s="56"/>
      <c r="N4422" s="56"/>
      <c r="O4422" s="56"/>
    </row>
    <row r="4423" spans="1:15">
      <c r="A4423" s="536" t="s">
        <v>8</v>
      </c>
      <c r="B4423" s="537" t="str">
        <f>VLOOKUP(A4423,'Materiales '!$C$2:$F$1302,3,0)</f>
        <v>-</v>
      </c>
      <c r="C4423" s="98" t="str">
        <f>VLOOKUP(A4423,'Materiales '!$C$2:$F$1302,3,0)</f>
        <v>-</v>
      </c>
      <c r="D4423" s="99">
        <f>VLOOKUP(A4423,'Materiales '!$C$2:$F$1302,4,0)</f>
        <v>0</v>
      </c>
      <c r="E4423" s="100">
        <v>8</v>
      </c>
      <c r="F4423" s="538">
        <f t="shared" si="259"/>
        <v>0</v>
      </c>
      <c r="G4423" s="539"/>
      <c r="H4423" s="121"/>
      <c r="I4423">
        <f>E4423*G4409</f>
        <v>0</v>
      </c>
      <c r="J4423" s="68"/>
      <c r="K4423" s="56"/>
      <c r="L4423" s="56"/>
      <c r="M4423" s="56"/>
      <c r="N4423" s="56"/>
      <c r="O4423" s="56"/>
    </row>
    <row r="4424" spans="1:15">
      <c r="A4424" s="536" t="s">
        <v>8</v>
      </c>
      <c r="B4424" s="537" t="str">
        <f>VLOOKUP(A4424,'Materiales '!$C$2:$F$1302,3,0)</f>
        <v>-</v>
      </c>
      <c r="C4424" s="98" t="str">
        <f>VLOOKUP(A4424,'Materiales '!$C$2:$F$1302,3,0)</f>
        <v>-</v>
      </c>
      <c r="D4424" s="99">
        <f>VLOOKUP(A4424,'Materiales '!$C$2:$F$1302,4,0)</f>
        <v>0</v>
      </c>
      <c r="E4424" s="100">
        <v>3</v>
      </c>
      <c r="F4424" s="538">
        <f t="shared" si="259"/>
        <v>0</v>
      </c>
      <c r="G4424" s="539"/>
      <c r="H4424" s="121"/>
      <c r="I4424">
        <f>E4424*G4409</f>
        <v>0</v>
      </c>
      <c r="J4424" s="68"/>
      <c r="K4424" s="56"/>
      <c r="L4424" s="56"/>
      <c r="M4424" s="56"/>
      <c r="N4424" s="56"/>
      <c r="O4424" s="56"/>
    </row>
    <row r="4425" spans="1:15" ht="21.75" customHeight="1">
      <c r="A4425" s="536" t="s">
        <v>8</v>
      </c>
      <c r="B4425" s="537" t="str">
        <f>VLOOKUP(A4425,'Materiales '!$C$2:$F$1302,3,0)</f>
        <v>-</v>
      </c>
      <c r="C4425" s="98" t="str">
        <f>VLOOKUP(A4425,'Materiales '!$C$2:$F$1302,3,0)</f>
        <v>-</v>
      </c>
      <c r="D4425" s="99">
        <f>VLOOKUP(A4425,'Materiales '!$C$2:$F$1302,4,0)</f>
        <v>0</v>
      </c>
      <c r="E4425" s="100">
        <v>0.5</v>
      </c>
      <c r="F4425" s="538">
        <f t="shared" si="259"/>
        <v>0</v>
      </c>
      <c r="G4425" s="539"/>
      <c r="H4425" s="121"/>
      <c r="I4425">
        <f>E4425*G4409</f>
        <v>0</v>
      </c>
      <c r="J4425" s="68"/>
      <c r="K4425" s="56"/>
      <c r="L4425" s="56"/>
      <c r="M4425" s="56"/>
      <c r="N4425" s="56"/>
      <c r="O4425" s="56"/>
    </row>
    <row r="4426" spans="1:15">
      <c r="A4426" s="536" t="s">
        <v>8</v>
      </c>
      <c r="B4426" s="537" t="str">
        <f>VLOOKUP(A4426,'Materiales '!$C$2:$F$1302,3,0)</f>
        <v>-</v>
      </c>
      <c r="C4426" s="98" t="str">
        <f>VLOOKUP(A4426,'Materiales '!$C$2:$F$1302,3,0)</f>
        <v>-</v>
      </c>
      <c r="D4426" s="99">
        <f>VLOOKUP(A4426,'Materiales '!$C$2:$F$1302,4,0)</f>
        <v>0</v>
      </c>
      <c r="E4426" s="100"/>
      <c r="F4426" s="538">
        <f>E4426*D4426</f>
        <v>0</v>
      </c>
      <c r="G4426" s="539"/>
      <c r="H4426" s="120"/>
      <c r="I4426">
        <f>E4426*G4409</f>
        <v>0</v>
      </c>
      <c r="J4426" s="68"/>
      <c r="K4426" s="56"/>
      <c r="L4426" s="56"/>
      <c r="M4426" s="56"/>
      <c r="N4426" s="56"/>
      <c r="O4426" s="56"/>
    </row>
    <row r="4427" spans="1:15">
      <c r="A4427" s="536" t="s">
        <v>8</v>
      </c>
      <c r="B4427" s="537" t="str">
        <f>VLOOKUP(A4427,'Materiales '!$C$2:$F$1302,3,0)</f>
        <v>-</v>
      </c>
      <c r="C4427" s="98" t="str">
        <f>VLOOKUP(A4427,'Materiales '!$C$2:$F$1302,3,0)</f>
        <v>-</v>
      </c>
      <c r="D4427" s="99">
        <f>VLOOKUP(A4427,'Materiales '!$C$2:$F$1302,4,0)</f>
        <v>0</v>
      </c>
      <c r="E4427" s="100"/>
      <c r="F4427" s="538">
        <f t="shared" ref="F4427:F4430" si="260">E4427*D4427</f>
        <v>0</v>
      </c>
      <c r="G4427" s="539"/>
      <c r="H4427" s="121"/>
      <c r="I4427">
        <f>E4427*G4409</f>
        <v>0</v>
      </c>
      <c r="J4427" s="68"/>
      <c r="K4427" s="56"/>
      <c r="L4427" s="56"/>
      <c r="M4427" s="56"/>
      <c r="N4427" s="56"/>
      <c r="O4427" s="56"/>
    </row>
    <row r="4428" spans="1:15">
      <c r="A4428" s="536" t="s">
        <v>8</v>
      </c>
      <c r="B4428" s="537" t="str">
        <f>VLOOKUP(A4428,'Materiales '!$C$2:$F$1302,3,0)</f>
        <v>-</v>
      </c>
      <c r="C4428" s="98" t="str">
        <f>VLOOKUP(A4428,'Materiales '!$C$2:$F$1302,3,0)</f>
        <v>-</v>
      </c>
      <c r="D4428" s="99">
        <f>VLOOKUP(A4428,'Materiales '!$C$2:$F$1302,4,0)</f>
        <v>0</v>
      </c>
      <c r="E4428" s="100"/>
      <c r="F4428" s="538">
        <f t="shared" si="260"/>
        <v>0</v>
      </c>
      <c r="G4428" s="539"/>
      <c r="H4428" s="121"/>
      <c r="I4428">
        <f>E4428*G4409</f>
        <v>0</v>
      </c>
      <c r="J4428" s="68"/>
      <c r="K4428" s="56"/>
      <c r="L4428" s="56"/>
      <c r="M4428" s="56"/>
      <c r="N4428" s="56"/>
      <c r="O4428" s="56"/>
    </row>
    <row r="4429" spans="1:15">
      <c r="A4429" s="536" t="s">
        <v>8</v>
      </c>
      <c r="B4429" s="537" t="str">
        <f>VLOOKUP(A4429,'Materiales '!$C$2:$F$1302,3,0)</f>
        <v>-</v>
      </c>
      <c r="C4429" s="98" t="str">
        <f>VLOOKUP(A4429,'Materiales '!$C$2:$F$1302,3,0)</f>
        <v>-</v>
      </c>
      <c r="D4429" s="99">
        <f>VLOOKUP(A4429,'Materiales '!$C$2:$F$1302,4,0)</f>
        <v>0</v>
      </c>
      <c r="E4429" s="100"/>
      <c r="F4429" s="538">
        <f t="shared" si="260"/>
        <v>0</v>
      </c>
      <c r="G4429" s="539"/>
      <c r="H4429" s="121"/>
      <c r="I4429">
        <f>E4429*G4409</f>
        <v>0</v>
      </c>
      <c r="J4429" s="68"/>
      <c r="K4429" s="56"/>
      <c r="L4429" s="56"/>
      <c r="M4429" s="56"/>
      <c r="N4429" s="56"/>
      <c r="O4429" s="56"/>
    </row>
    <row r="4430" spans="1:15">
      <c r="A4430" s="536" t="s">
        <v>8</v>
      </c>
      <c r="B4430" s="537" t="str">
        <f>VLOOKUP(A4430,'Materiales '!$C$2:$F$1302,3,0)</f>
        <v>-</v>
      </c>
      <c r="C4430" s="98" t="str">
        <f>VLOOKUP(A4430,'Materiales '!$C$2:$F$1302,3,0)</f>
        <v>-</v>
      </c>
      <c r="D4430" s="99">
        <f>VLOOKUP(A4430,'Materiales '!$C$2:$F$1302,4,0)</f>
        <v>0</v>
      </c>
      <c r="E4430" s="100"/>
      <c r="F4430" s="538">
        <f t="shared" si="260"/>
        <v>0</v>
      </c>
      <c r="G4430" s="539"/>
      <c r="H4430" s="121"/>
      <c r="I4430">
        <f>E4430*G4409</f>
        <v>0</v>
      </c>
      <c r="J4430" s="68"/>
      <c r="K4430" s="56"/>
      <c r="L4430" s="56"/>
      <c r="M4430" s="56"/>
      <c r="N4430" s="56"/>
      <c r="O4430" s="56"/>
    </row>
    <row r="4431" spans="1:15">
      <c r="A4431" s="536" t="s">
        <v>8</v>
      </c>
      <c r="B4431" s="537" t="str">
        <f>VLOOKUP(A4431,'Materiales '!$C$2:$F$1302,3,0)</f>
        <v>-</v>
      </c>
      <c r="C4431" s="98" t="str">
        <f>VLOOKUP(A4431,'Materiales '!$C$2:$F$1302,3,0)</f>
        <v>-</v>
      </c>
      <c r="D4431" s="99">
        <f>VLOOKUP(A4431,'Materiales '!$C$2:$F$1302,4,0)</f>
        <v>0</v>
      </c>
      <c r="E4431" s="100"/>
      <c r="F4431" s="538">
        <f>E4431*D4431</f>
        <v>0</v>
      </c>
      <c r="G4431" s="539"/>
      <c r="H4431" s="120"/>
      <c r="I4431">
        <f>E4431*G4409</f>
        <v>0</v>
      </c>
      <c r="J4431" s="68"/>
      <c r="K4431" s="56"/>
      <c r="L4431" s="56"/>
      <c r="M4431" s="56"/>
      <c r="N4431" s="56"/>
      <c r="O4431" s="56"/>
    </row>
    <row r="4432" spans="1:15" ht="16.5">
      <c r="A4432" s="540" t="s">
        <v>4099</v>
      </c>
      <c r="B4432" s="541"/>
      <c r="C4432" s="541"/>
      <c r="D4432" s="541"/>
      <c r="E4432" s="541"/>
      <c r="F4432" s="541"/>
      <c r="G4432" s="542"/>
      <c r="H4432" s="116">
        <f>SUM(F4418:F4431)</f>
        <v>802155.20000000007</v>
      </c>
      <c r="J4432" s="68"/>
      <c r="K4432" s="56"/>
      <c r="L4432" s="56"/>
      <c r="M4432" s="56"/>
      <c r="N4432" s="56"/>
      <c r="O4432" s="56"/>
    </row>
    <row r="4433" spans="1:15" ht="16.5">
      <c r="A4433" s="543" t="s">
        <v>4231</v>
      </c>
      <c r="B4433" s="544"/>
      <c r="C4433" s="544"/>
      <c r="D4433" s="544"/>
      <c r="E4433" s="545"/>
      <c r="F4433" s="544"/>
      <c r="G4433" s="544"/>
      <c r="H4433" s="546"/>
      <c r="J4433" s="68"/>
      <c r="K4433" s="56"/>
      <c r="L4433" s="56"/>
      <c r="M4433" s="56"/>
      <c r="N4433" s="56"/>
      <c r="O4433" s="56"/>
    </row>
    <row r="4434" spans="1:15">
      <c r="A4434" s="547" t="s">
        <v>7</v>
      </c>
      <c r="B4434" s="548"/>
      <c r="C4434" s="108" t="s">
        <v>4232</v>
      </c>
      <c r="D4434" s="107" t="s">
        <v>4233</v>
      </c>
      <c r="E4434" s="206" t="s">
        <v>4234</v>
      </c>
      <c r="F4434" s="549" t="s">
        <v>4218</v>
      </c>
      <c r="G4434" s="549"/>
      <c r="H4434" s="119"/>
      <c r="K4434" s="56"/>
      <c r="L4434" s="56"/>
      <c r="M4434" s="56"/>
      <c r="N4434" s="56"/>
      <c r="O4434" s="56"/>
    </row>
    <row r="4435" spans="1:15">
      <c r="A4435" s="550" t="s">
        <v>3928</v>
      </c>
      <c r="B4435" s="551"/>
      <c r="C4435" s="232">
        <v>1</v>
      </c>
      <c r="D4435" s="102">
        <v>0.03</v>
      </c>
      <c r="E4435" s="103">
        <f>VLOOKUP(A4435,'Equip, Herr y Transp'!$B$2:$D$218,3,0)</f>
        <v>160000</v>
      </c>
      <c r="F4435" s="552">
        <f>E4435*D4435*C4435</f>
        <v>4800</v>
      </c>
      <c r="G4435" s="553"/>
      <c r="H4435" s="117"/>
      <c r="M4435" s="56"/>
    </row>
    <row r="4436" spans="1:15" ht="16.5">
      <c r="A4436" s="554" t="s">
        <v>4216</v>
      </c>
      <c r="B4436" s="555"/>
      <c r="C4436" s="555"/>
      <c r="D4436" s="555"/>
      <c r="E4436" s="555"/>
      <c r="F4436" s="555"/>
      <c r="G4436" s="555"/>
      <c r="H4436" s="105">
        <f>F4435</f>
        <v>4800</v>
      </c>
    </row>
    <row r="4437" spans="1:15" ht="16.5">
      <c r="A4437" s="543" t="s">
        <v>4235</v>
      </c>
      <c r="B4437" s="544"/>
      <c r="C4437" s="544"/>
      <c r="D4437" s="544"/>
      <c r="E4437" s="544"/>
      <c r="F4437" s="544"/>
      <c r="G4437" s="544"/>
      <c r="H4437" s="546"/>
    </row>
    <row r="4438" spans="1:15">
      <c r="A4438" s="547" t="s">
        <v>7</v>
      </c>
      <c r="B4438" s="548"/>
      <c r="C4438" s="106" t="s">
        <v>1</v>
      </c>
      <c r="D4438" s="107" t="s">
        <v>4236</v>
      </c>
      <c r="E4438" s="108" t="s">
        <v>4215</v>
      </c>
      <c r="F4438" s="547" t="s">
        <v>5</v>
      </c>
      <c r="G4438" s="556"/>
      <c r="H4438" s="119"/>
    </row>
    <row r="4439" spans="1:15">
      <c r="A4439" s="550" t="s">
        <v>4196</v>
      </c>
      <c r="B4439" s="551"/>
      <c r="C4439" s="101">
        <v>1</v>
      </c>
      <c r="D4439" s="104">
        <f>VLOOKUP(A4439,'Mano Obra'!$B$2:$T$117,19,0)</f>
        <v>166624</v>
      </c>
      <c r="E4439" s="246">
        <f>H4402</f>
        <v>0.22919999999999999</v>
      </c>
      <c r="F4439" s="538">
        <f>E4439*D4439*C4439</f>
        <v>38190.220799999996</v>
      </c>
      <c r="G4439" s="557"/>
      <c r="H4439" s="121"/>
      <c r="I4439" s="69"/>
      <c r="J4439" s="136">
        <f>((('Mano Obra'!$M$4/30)*F4439)/D4439)*G4409</f>
        <v>0</v>
      </c>
    </row>
    <row r="4440" spans="1:15">
      <c r="A4440" s="558" t="s">
        <v>4197</v>
      </c>
      <c r="B4440" s="559">
        <f>VLOOKUP(A4440,'Mano Obra'!$B$3:$D$290,2,0)</f>
        <v>2090000.0000000002</v>
      </c>
      <c r="C4440" s="101">
        <v>1</v>
      </c>
      <c r="D4440" s="104">
        <f>VLOOKUP(A4440,'Mano Obra'!$B$2:$T$117,19,0)</f>
        <v>120456</v>
      </c>
      <c r="E4440" s="246">
        <f>H4402</f>
        <v>0.22919999999999999</v>
      </c>
      <c r="F4440" s="538">
        <f t="shared" ref="F4440:F4441" si="261">E4440*D4440*C4440</f>
        <v>27608.515199999998</v>
      </c>
      <c r="G4440" s="557"/>
      <c r="H4440" s="121"/>
      <c r="J4440" s="136">
        <f>((('Mano Obra'!$M$5/30)*F4440)/D4440)*G4409</f>
        <v>0</v>
      </c>
    </row>
    <row r="4441" spans="1:15">
      <c r="A4441" s="558" t="s">
        <v>4186</v>
      </c>
      <c r="B4441" s="559">
        <f>VLOOKUP(A4441,'Mano Obra'!$B$3:$D$290,2,0)</f>
        <v>1100000</v>
      </c>
      <c r="C4441" s="101">
        <v>1</v>
      </c>
      <c r="D4441" s="104">
        <f>VLOOKUP(A4441,'Mano Obra'!$B$2:$T$117,19,0)</f>
        <v>72664</v>
      </c>
      <c r="E4441" s="246">
        <f>H4402</f>
        <v>0.22919999999999999</v>
      </c>
      <c r="F4441" s="538">
        <f t="shared" si="261"/>
        <v>16654.588799999998</v>
      </c>
      <c r="G4441" s="557"/>
      <c r="H4441" s="120"/>
      <c r="J4441" s="136">
        <f>((('Mano Obra'!$M$6/30)*F4441)/D4441)*G4409</f>
        <v>0</v>
      </c>
    </row>
    <row r="4442" spans="1:15" ht="16.5">
      <c r="A4442" s="560" t="s">
        <v>4101</v>
      </c>
      <c r="B4442" s="560"/>
      <c r="C4442" s="560"/>
      <c r="D4442" s="560"/>
      <c r="E4442" s="560"/>
      <c r="F4442" s="560"/>
      <c r="G4442" s="560"/>
      <c r="H4442" s="105">
        <f>SUM(F4439:F4441)</f>
        <v>82453.324799999988</v>
      </c>
      <c r="J4442" s="136"/>
    </row>
    <row r="4443" spans="1:15">
      <c r="A4443" s="227" t="s">
        <v>4237</v>
      </c>
      <c r="B4443" s="205"/>
      <c r="C4443" s="205"/>
      <c r="D4443" s="202"/>
      <c r="E4443" s="203"/>
      <c r="F4443" s="204"/>
      <c r="G4443" s="203"/>
      <c r="H4443" s="212"/>
    </row>
    <row r="4444" spans="1:15">
      <c r="A4444" s="561" t="s">
        <v>4224</v>
      </c>
      <c r="B4444" s="562"/>
      <c r="C4444" s="562"/>
      <c r="D4444" s="562"/>
      <c r="E4444" s="200"/>
      <c r="F4444" s="201" t="s">
        <v>4238</v>
      </c>
      <c r="G4444" s="200" t="s">
        <v>4239</v>
      </c>
      <c r="H4444" s="213"/>
    </row>
    <row r="4445" spans="1:15">
      <c r="A4445" s="223" t="s">
        <v>4097</v>
      </c>
      <c r="B4445" s="72"/>
      <c r="C4445" s="72"/>
      <c r="D4445" s="73"/>
      <c r="E4445" s="78"/>
      <c r="F4445" s="79">
        <v>0</v>
      </c>
      <c r="G4445" s="80">
        <f>F4445*H4410</f>
        <v>0</v>
      </c>
      <c r="H4445" s="212"/>
    </row>
    <row r="4446" spans="1:15">
      <c r="A4446" s="224" t="s">
        <v>4240</v>
      </c>
      <c r="B4446" s="81"/>
      <c r="C4446" s="81"/>
      <c r="D4446" s="82"/>
      <c r="E4446" s="78"/>
      <c r="F4446" s="79">
        <v>0</v>
      </c>
      <c r="G4446" s="80">
        <f>F4446*H4410</f>
        <v>0</v>
      </c>
      <c r="H4446" s="212"/>
    </row>
    <row r="4447" spans="1:15">
      <c r="A4447" s="224" t="s">
        <v>4</v>
      </c>
      <c r="B4447" s="81"/>
      <c r="C4447" s="81"/>
      <c r="D4447" s="82"/>
      <c r="E4447" s="78"/>
      <c r="F4447" s="79">
        <v>0</v>
      </c>
      <c r="G4447" s="80">
        <f>F4447*H4410</f>
        <v>0</v>
      </c>
      <c r="H4447" s="212"/>
    </row>
    <row r="4448" spans="1:15">
      <c r="A4448" s="225"/>
      <c r="B4448" s="83"/>
      <c r="C4448" s="75"/>
      <c r="D4448" s="84"/>
      <c r="E4448" s="85"/>
      <c r="F4448" s="86"/>
      <c r="G4448" s="87"/>
      <c r="H4448" s="214"/>
    </row>
    <row r="4449" spans="1:14">
      <c r="A4449" s="226"/>
      <c r="B4449" s="83"/>
      <c r="C4449" s="83"/>
      <c r="D4449" s="84"/>
      <c r="E4449" s="88"/>
      <c r="F4449" s="563" t="s">
        <v>4241</v>
      </c>
      <c r="G4449" s="564"/>
      <c r="H4449" s="233">
        <f>H4410+G4445+G4446+G4447</f>
        <v>898760.45779999997</v>
      </c>
    </row>
    <row r="4451" spans="1:14" ht="16.5">
      <c r="A4451" s="90"/>
      <c r="B4451" s="90"/>
      <c r="C4451" s="90"/>
      <c r="D4451" s="90"/>
      <c r="E4451" s="90"/>
      <c r="F4451" s="90"/>
      <c r="G4451" s="90"/>
      <c r="H4451" s="381"/>
    </row>
    <row r="4452" spans="1:14">
      <c r="A4452" s="579" t="s">
        <v>4225</v>
      </c>
      <c r="B4452" s="580"/>
      <c r="C4452" s="580"/>
      <c r="D4452" s="580"/>
      <c r="E4452" s="580"/>
      <c r="F4452" s="580"/>
      <c r="G4452" s="580"/>
      <c r="H4452" s="581"/>
    </row>
    <row r="4453" spans="1:14" ht="16.5">
      <c r="A4453" s="91"/>
      <c r="B4453" s="92"/>
      <c r="C4453" s="92"/>
      <c r="D4453" s="92"/>
      <c r="E4453" s="92"/>
      <c r="F4453" s="93"/>
      <c r="G4453" s="94"/>
      <c r="H4453" s="380">
        <f>ROUND((90/60)/8,4)</f>
        <v>0.1875</v>
      </c>
      <c r="I4453" s="115"/>
    </row>
    <row r="4454" spans="1:14">
      <c r="A4454" s="582" t="s">
        <v>4220</v>
      </c>
      <c r="B4454" s="584" t="str">
        <f>COSTOS!$C$14</f>
        <v>MODERNIZACION A TECNOLOGIA LED</v>
      </c>
      <c r="C4454" s="584"/>
      <c r="D4454" s="584"/>
      <c r="E4454" s="584"/>
      <c r="F4454" s="584"/>
      <c r="G4454" s="584"/>
      <c r="H4454" s="585" t="s">
        <v>4221</v>
      </c>
    </row>
    <row r="4455" spans="1:14">
      <c r="A4455" s="583"/>
      <c r="B4455" s="584"/>
      <c r="C4455" s="584"/>
      <c r="D4455" s="584"/>
      <c r="E4455" s="584"/>
      <c r="F4455" s="584"/>
      <c r="G4455" s="584"/>
      <c r="H4455" s="585"/>
    </row>
    <row r="4456" spans="1:14">
      <c r="A4456" s="583"/>
      <c r="B4456" s="584"/>
      <c r="C4456" s="584"/>
      <c r="D4456" s="584"/>
      <c r="E4456" s="584"/>
      <c r="F4456" s="584"/>
      <c r="G4456" s="584"/>
      <c r="H4456" s="585"/>
    </row>
    <row r="4457" spans="1:14" ht="15" customHeight="1">
      <c r="A4457" s="583"/>
      <c r="B4457" s="584"/>
      <c r="C4457" s="584"/>
      <c r="D4457" s="584"/>
      <c r="E4457" s="584"/>
      <c r="F4457" s="584"/>
      <c r="G4457" s="584"/>
      <c r="H4457" s="216">
        <f ca="1">TODAY()</f>
        <v>44889</v>
      </c>
      <c r="K4457" t="s">
        <v>4391</v>
      </c>
      <c r="L4457" t="s">
        <v>4392</v>
      </c>
      <c r="M4457" t="s">
        <v>4393</v>
      </c>
      <c r="N4457" t="s">
        <v>4394</v>
      </c>
    </row>
    <row r="4458" spans="1:14" ht="60.75" customHeight="1">
      <c r="A4458" s="228" t="s">
        <v>4222</v>
      </c>
      <c r="B4458" s="565" t="str">
        <f>COSTOS!$D$16</f>
        <v>Luminarias</v>
      </c>
      <c r="C4458" s="565"/>
      <c r="D4458" s="565"/>
      <c r="E4458" s="565"/>
      <c r="F4458" s="565"/>
      <c r="G4458" s="70" t="s">
        <v>4223</v>
      </c>
      <c r="H4458" s="387">
        <v>2.2999999999999998</v>
      </c>
      <c r="K4458" s="62">
        <f>H4483</f>
        <v>531192.20000000007</v>
      </c>
      <c r="L4458" s="62">
        <f>H4493</f>
        <v>67452</v>
      </c>
      <c r="M4458" s="62">
        <f>H4466</f>
        <v>182649.375</v>
      </c>
      <c r="N4458" s="62">
        <f>H4487</f>
        <v>4800</v>
      </c>
    </row>
    <row r="4459" spans="1:14" ht="43.15" customHeight="1">
      <c r="A4459" s="229" t="s">
        <v>4224</v>
      </c>
      <c r="B4459" s="566" t="str">
        <f>VLOOKUP(H4458,COSTOS!C:M,2,0)</f>
        <v>Poste de concreto 8mx510kgf</v>
      </c>
      <c r="C4459" s="567"/>
      <c r="D4459" s="567"/>
      <c r="E4459" s="568"/>
      <c r="F4459" s="71" t="s">
        <v>0</v>
      </c>
      <c r="G4459" s="356" t="str">
        <f>VLOOKUP(H4458,COSTOS!C:M,8,0)</f>
        <v>Und</v>
      </c>
      <c r="H4459" s="276"/>
      <c r="I4459" s="306"/>
      <c r="J4459" s="308"/>
      <c r="K4459" s="308"/>
      <c r="L4459" s="308"/>
    </row>
    <row r="4460" spans="1:14">
      <c r="A4460" s="230"/>
      <c r="B4460" s="112"/>
      <c r="C4460" s="112"/>
      <c r="D4460" s="112"/>
      <c r="E4460" s="113"/>
      <c r="F4460" s="114" t="s">
        <v>1</v>
      </c>
      <c r="G4460" s="356">
        <f>VLOOKUP(H4458,COSTOS!C:M,9,0)</f>
        <v>1</v>
      </c>
      <c r="H4460" s="357"/>
      <c r="I4460" s="307"/>
    </row>
    <row r="4461" spans="1:14" ht="16.5">
      <c r="A4461" s="231" t="s">
        <v>4226</v>
      </c>
      <c r="B4461" s="75"/>
      <c r="C4461" s="75"/>
      <c r="D4461" s="76"/>
      <c r="E4461" s="209"/>
      <c r="F4461" s="210"/>
      <c r="G4461" s="211" t="s">
        <v>4227</v>
      </c>
      <c r="H4461" s="217">
        <f>H4466+H4483+H4487+H4493</f>
        <v>786093.57500000007</v>
      </c>
    </row>
    <row r="4462" spans="1:14" ht="39">
      <c r="A4462" s="569" t="s">
        <v>4224</v>
      </c>
      <c r="B4462" s="569"/>
      <c r="C4462" s="569"/>
      <c r="D4462" s="77" t="s">
        <v>0</v>
      </c>
      <c r="E4462" s="207" t="s">
        <v>4228</v>
      </c>
      <c r="F4462" s="208" t="s">
        <v>4215</v>
      </c>
      <c r="G4462" s="74" t="s">
        <v>2</v>
      </c>
      <c r="H4462" s="218" t="s">
        <v>4229</v>
      </c>
      <c r="K4462" s="309"/>
    </row>
    <row r="4463" spans="1:14">
      <c r="A4463" s="536" t="s">
        <v>3946</v>
      </c>
      <c r="B4463" s="570" t="str">
        <f>VLOOKUP(A4463,'Equip, Herr y Transp'!$B$2:$D$739,2,0)</f>
        <v>EQU</v>
      </c>
      <c r="C4463" s="570"/>
      <c r="D4463" s="95" t="str">
        <f>VLOOKUP(A4463,'Equip, Herr y Transp'!$B$2:$D$218,2,0)</f>
        <v>EQU</v>
      </c>
      <c r="E4463" s="95">
        <f>VLOOKUP(A4463,'Equip, Herr y Transp'!$B$2:$D$218,3,0)</f>
        <v>14130</v>
      </c>
      <c r="F4463" s="96">
        <f>H4453</f>
        <v>0.1875</v>
      </c>
      <c r="G4463" s="122">
        <f>F4463*E4463</f>
        <v>2649.375</v>
      </c>
      <c r="H4463" s="118"/>
    </row>
    <row r="4464" spans="1:14">
      <c r="A4464" s="536" t="s">
        <v>3894</v>
      </c>
      <c r="B4464" s="570" t="str">
        <f>VLOOKUP(A4464,'Equip, Herr y Transp'!$B$2:$D$739,2,0)</f>
        <v>TR</v>
      </c>
      <c r="C4464" s="570"/>
      <c r="D4464" s="95" t="str">
        <f>VLOOKUP(A4464,'Equip, Herr y Transp'!$B$2:$D$218,2,0)</f>
        <v>TR</v>
      </c>
      <c r="E4464" s="95">
        <f>VLOOKUP(A4464,'Equip, Herr y Transp'!$B$2:$D$218,3,0)</f>
        <v>960000</v>
      </c>
      <c r="F4464" s="96">
        <f>H4453</f>
        <v>0.1875</v>
      </c>
      <c r="G4464" s="122">
        <f>F4464*E4464</f>
        <v>180000</v>
      </c>
      <c r="H4464" s="117"/>
    </row>
    <row r="4465" spans="1:15">
      <c r="A4465" s="536" t="s">
        <v>8</v>
      </c>
      <c r="B4465" s="570">
        <f>VLOOKUP(A4465,'Equip, Herr y Transp'!$B$2:$D$739,2,0)</f>
        <v>0</v>
      </c>
      <c r="C4465" s="570"/>
      <c r="D4465" s="95">
        <f>VLOOKUP(A4465,'Equip, Herr y Transp'!$B$2:$D$218,2,0)</f>
        <v>0</v>
      </c>
      <c r="E4465" s="95">
        <f>VLOOKUP(A4465,'Equip, Herr y Transp'!$B$2:$D$218,3,0)</f>
        <v>0</v>
      </c>
      <c r="F4465" s="96"/>
      <c r="G4465" s="122">
        <f>F4465*E4465</f>
        <v>0</v>
      </c>
      <c r="H4465" s="117"/>
    </row>
    <row r="4466" spans="1:15" ht="16.5">
      <c r="A4466" s="540" t="s">
        <v>4100</v>
      </c>
      <c r="B4466" s="541"/>
      <c r="C4466" s="541"/>
      <c r="D4466" s="541"/>
      <c r="E4466" s="541"/>
      <c r="F4466" s="541"/>
      <c r="G4466" s="541"/>
      <c r="H4466" s="97">
        <f>SUM(G4463:G4465)</f>
        <v>182649.375</v>
      </c>
    </row>
    <row r="4467" spans="1:15" ht="16.5">
      <c r="A4467" s="571" t="s">
        <v>4230</v>
      </c>
      <c r="B4467" s="572"/>
      <c r="C4467" s="572"/>
      <c r="D4467" s="572"/>
      <c r="E4467" s="572"/>
      <c r="F4467" s="572"/>
      <c r="G4467" s="572"/>
      <c r="H4467" s="573"/>
      <c r="K4467" s="56"/>
      <c r="L4467" s="56"/>
      <c r="M4467" s="56"/>
      <c r="N4467" s="56"/>
      <c r="O4467" s="56"/>
    </row>
    <row r="4468" spans="1:15" ht="30" customHeight="1">
      <c r="A4468" s="574" t="s">
        <v>7</v>
      </c>
      <c r="B4468" s="575"/>
      <c r="C4468" s="109" t="s">
        <v>0</v>
      </c>
      <c r="D4468" s="110" t="s">
        <v>4098</v>
      </c>
      <c r="E4468" s="111" t="s">
        <v>1</v>
      </c>
      <c r="F4468" s="576" t="s">
        <v>4218</v>
      </c>
      <c r="G4468" s="576"/>
      <c r="H4468" s="215"/>
      <c r="K4468" s="56"/>
      <c r="L4468" s="56"/>
      <c r="M4468" s="56"/>
      <c r="N4468" s="56"/>
      <c r="O4468" s="56"/>
    </row>
    <row r="4469" spans="1:15">
      <c r="A4469" s="577" t="s">
        <v>4629</v>
      </c>
      <c r="B4469" s="578"/>
      <c r="C4469" s="98" t="str">
        <f>VLOOKUP(A4469,'Materiales '!$C$2:$F$1302,3,0)</f>
        <v>Und</v>
      </c>
      <c r="D4469" s="99">
        <f>VLOOKUP(A4469,'Materiales '!$C$2:$F$1302,4,0)</f>
        <v>462077.00000000006</v>
      </c>
      <c r="E4469" s="100">
        <v>1</v>
      </c>
      <c r="F4469" s="538">
        <f>E4469*D4469</f>
        <v>462077.00000000006</v>
      </c>
      <c r="G4469" s="539"/>
      <c r="H4469" s="121"/>
      <c r="I4469">
        <f>E4469*G4460</f>
        <v>1</v>
      </c>
      <c r="J4469" s="67"/>
      <c r="K4469" s="56"/>
      <c r="L4469" s="56"/>
      <c r="M4469" s="56"/>
      <c r="N4469" s="56"/>
      <c r="O4469" s="56"/>
    </row>
    <row r="4470" spans="1:15">
      <c r="A4470" s="577" t="s">
        <v>4628</v>
      </c>
      <c r="B4470" s="578"/>
      <c r="C4470" s="98" t="str">
        <f>VLOOKUP(A4470,'Materiales '!$C$2:$F$1302,3,0)</f>
        <v>Rollo</v>
      </c>
      <c r="D4470" s="99">
        <f>VLOOKUP(A4470,'Materiales '!$C$2:$F$1302,4,0)</f>
        <v>138230.39999999999</v>
      </c>
      <c r="E4470" s="100">
        <v>0.5</v>
      </c>
      <c r="F4470" s="538">
        <f t="shared" ref="F4470:F4476" si="262">E4470*D4470</f>
        <v>69115.199999999997</v>
      </c>
      <c r="G4470" s="539"/>
      <c r="H4470" s="121"/>
      <c r="I4470">
        <f>E4470*G4460</f>
        <v>0.5</v>
      </c>
      <c r="J4470" s="67"/>
      <c r="K4470" s="56"/>
      <c r="L4470" s="56"/>
      <c r="M4470" s="56"/>
      <c r="N4470" s="56"/>
      <c r="O4470" s="56"/>
    </row>
    <row r="4471" spans="1:15">
      <c r="A4471" s="536" t="s">
        <v>8</v>
      </c>
      <c r="B4471" s="537" t="str">
        <f>VLOOKUP(A4471,'Materiales '!$C$2:$F$1302,3,0)</f>
        <v>-</v>
      </c>
      <c r="C4471" s="98" t="str">
        <f>VLOOKUP(A4471,'Materiales '!$C$2:$F$1302,3,0)</f>
        <v>-</v>
      </c>
      <c r="D4471" s="99">
        <f>VLOOKUP(A4471,'Materiales '!$C$2:$F$1302,4,0)</f>
        <v>0</v>
      </c>
      <c r="E4471" s="100">
        <v>1</v>
      </c>
      <c r="F4471" s="538">
        <f t="shared" si="262"/>
        <v>0</v>
      </c>
      <c r="G4471" s="539"/>
      <c r="H4471" s="121"/>
      <c r="I4471">
        <f>E4471*G4460</f>
        <v>1</v>
      </c>
      <c r="J4471" s="68"/>
      <c r="K4471" s="56"/>
      <c r="L4471" s="56"/>
      <c r="M4471" s="56"/>
      <c r="N4471" s="56"/>
      <c r="O4471" s="56"/>
    </row>
    <row r="4472" spans="1:15">
      <c r="A4472" s="536" t="s">
        <v>8</v>
      </c>
      <c r="B4472" s="537" t="str">
        <f>VLOOKUP(A4472,'Materiales '!$C$2:$F$1302,3,0)</f>
        <v>-</v>
      </c>
      <c r="C4472" s="98" t="str">
        <f>VLOOKUP(A4472,'Materiales '!$C$2:$F$1302,3,0)</f>
        <v>-</v>
      </c>
      <c r="D4472" s="99">
        <f>VLOOKUP(A4472,'Materiales '!$C$2:$F$1302,4,0)</f>
        <v>0</v>
      </c>
      <c r="E4472" s="100">
        <v>3</v>
      </c>
      <c r="F4472" s="538">
        <f t="shared" si="262"/>
        <v>0</v>
      </c>
      <c r="G4472" s="539"/>
      <c r="H4472" s="121"/>
      <c r="I4472">
        <f>E4472*G4460</f>
        <v>3</v>
      </c>
      <c r="J4472" s="68"/>
      <c r="K4472" s="56"/>
      <c r="L4472" s="56"/>
      <c r="M4472" s="56"/>
      <c r="N4472" s="56"/>
      <c r="O4472" s="56"/>
    </row>
    <row r="4473" spans="1:15">
      <c r="A4473" s="536" t="s">
        <v>8</v>
      </c>
      <c r="B4473" s="537" t="str">
        <f>VLOOKUP(A4473,'Materiales '!$C$2:$F$1302,3,0)</f>
        <v>-</v>
      </c>
      <c r="C4473" s="98" t="str">
        <f>VLOOKUP(A4473,'Materiales '!$C$2:$F$1302,3,0)</f>
        <v>-</v>
      </c>
      <c r="D4473" s="99">
        <f>VLOOKUP(A4473,'Materiales '!$C$2:$F$1302,4,0)</f>
        <v>0</v>
      </c>
      <c r="E4473" s="100">
        <v>2</v>
      </c>
      <c r="F4473" s="538">
        <f t="shared" si="262"/>
        <v>0</v>
      </c>
      <c r="G4473" s="539"/>
      <c r="H4473" s="121"/>
      <c r="I4473">
        <f>E4473*G4460</f>
        <v>2</v>
      </c>
      <c r="J4473" s="68"/>
      <c r="K4473" s="56"/>
      <c r="L4473" s="56"/>
      <c r="M4473" s="56"/>
      <c r="N4473" s="56"/>
      <c r="O4473" s="56"/>
    </row>
    <row r="4474" spans="1:15">
      <c r="A4474" s="536" t="s">
        <v>8</v>
      </c>
      <c r="B4474" s="537" t="str">
        <f>VLOOKUP(A4474,'Materiales '!$C$2:$F$1302,3,0)</f>
        <v>-</v>
      </c>
      <c r="C4474" s="98" t="str">
        <f>VLOOKUP(A4474,'Materiales '!$C$2:$F$1302,3,0)</f>
        <v>-</v>
      </c>
      <c r="D4474" s="99">
        <f>VLOOKUP(A4474,'Materiales '!$C$2:$F$1302,4,0)</f>
        <v>0</v>
      </c>
      <c r="E4474" s="100">
        <v>8</v>
      </c>
      <c r="F4474" s="538">
        <f t="shared" si="262"/>
        <v>0</v>
      </c>
      <c r="G4474" s="539"/>
      <c r="H4474" s="121"/>
      <c r="I4474">
        <f>E4474*G4460</f>
        <v>8</v>
      </c>
      <c r="J4474" s="68"/>
      <c r="K4474" s="56"/>
      <c r="L4474" s="56"/>
      <c r="M4474" s="56"/>
      <c r="N4474" s="56"/>
      <c r="O4474" s="56"/>
    </row>
    <row r="4475" spans="1:15">
      <c r="A4475" s="536" t="s">
        <v>8</v>
      </c>
      <c r="B4475" s="537" t="str">
        <f>VLOOKUP(A4475,'Materiales '!$C$2:$F$1302,3,0)</f>
        <v>-</v>
      </c>
      <c r="C4475" s="98" t="str">
        <f>VLOOKUP(A4475,'Materiales '!$C$2:$F$1302,3,0)</f>
        <v>-</v>
      </c>
      <c r="D4475" s="99">
        <f>VLOOKUP(A4475,'Materiales '!$C$2:$F$1302,4,0)</f>
        <v>0</v>
      </c>
      <c r="E4475" s="100">
        <v>3</v>
      </c>
      <c r="F4475" s="538">
        <f t="shared" si="262"/>
        <v>0</v>
      </c>
      <c r="G4475" s="539"/>
      <c r="H4475" s="121"/>
      <c r="I4475">
        <f>E4475*G4460</f>
        <v>3</v>
      </c>
      <c r="J4475" s="68"/>
      <c r="K4475" s="56"/>
      <c r="L4475" s="56"/>
      <c r="M4475" s="56"/>
      <c r="N4475" s="56"/>
      <c r="O4475" s="56"/>
    </row>
    <row r="4476" spans="1:15" ht="21.75" customHeight="1">
      <c r="A4476" s="536" t="s">
        <v>8</v>
      </c>
      <c r="B4476" s="537" t="str">
        <f>VLOOKUP(A4476,'Materiales '!$C$2:$F$1302,3,0)</f>
        <v>-</v>
      </c>
      <c r="C4476" s="98" t="str">
        <f>VLOOKUP(A4476,'Materiales '!$C$2:$F$1302,3,0)</f>
        <v>-</v>
      </c>
      <c r="D4476" s="99">
        <f>VLOOKUP(A4476,'Materiales '!$C$2:$F$1302,4,0)</f>
        <v>0</v>
      </c>
      <c r="E4476" s="100">
        <v>0.5</v>
      </c>
      <c r="F4476" s="538">
        <f t="shared" si="262"/>
        <v>0</v>
      </c>
      <c r="G4476" s="539"/>
      <c r="H4476" s="121"/>
      <c r="I4476">
        <f>E4476*G4460</f>
        <v>0.5</v>
      </c>
      <c r="J4476" s="68"/>
      <c r="K4476" s="56"/>
      <c r="L4476" s="56"/>
      <c r="M4476" s="56"/>
      <c r="N4476" s="56"/>
      <c r="O4476" s="56"/>
    </row>
    <row r="4477" spans="1:15">
      <c r="A4477" s="536" t="s">
        <v>8</v>
      </c>
      <c r="B4477" s="537" t="str">
        <f>VLOOKUP(A4477,'Materiales '!$C$2:$F$1302,3,0)</f>
        <v>-</v>
      </c>
      <c r="C4477" s="98" t="str">
        <f>VLOOKUP(A4477,'Materiales '!$C$2:$F$1302,3,0)</f>
        <v>-</v>
      </c>
      <c r="D4477" s="99">
        <f>VLOOKUP(A4477,'Materiales '!$C$2:$F$1302,4,0)</f>
        <v>0</v>
      </c>
      <c r="E4477" s="100"/>
      <c r="F4477" s="538">
        <f>E4477*D4477</f>
        <v>0</v>
      </c>
      <c r="G4477" s="539"/>
      <c r="H4477" s="120"/>
      <c r="I4477">
        <f>E4477*G4460</f>
        <v>0</v>
      </c>
      <c r="J4477" s="68"/>
      <c r="K4477" s="56"/>
      <c r="L4477" s="56"/>
      <c r="M4477" s="56"/>
      <c r="N4477" s="56"/>
      <c r="O4477" s="56"/>
    </row>
    <row r="4478" spans="1:15">
      <c r="A4478" s="536" t="s">
        <v>8</v>
      </c>
      <c r="B4478" s="537" t="str">
        <f>VLOOKUP(A4478,'Materiales '!$C$2:$F$1302,3,0)</f>
        <v>-</v>
      </c>
      <c r="C4478" s="98" t="str">
        <f>VLOOKUP(A4478,'Materiales '!$C$2:$F$1302,3,0)</f>
        <v>-</v>
      </c>
      <c r="D4478" s="99">
        <f>VLOOKUP(A4478,'Materiales '!$C$2:$F$1302,4,0)</f>
        <v>0</v>
      </c>
      <c r="E4478" s="100"/>
      <c r="F4478" s="538">
        <f t="shared" ref="F4478:F4481" si="263">E4478*D4478</f>
        <v>0</v>
      </c>
      <c r="G4478" s="539"/>
      <c r="H4478" s="121"/>
      <c r="I4478">
        <f>E4478*G4460</f>
        <v>0</v>
      </c>
      <c r="J4478" s="68"/>
      <c r="K4478" s="56"/>
      <c r="L4478" s="56"/>
      <c r="M4478" s="56"/>
      <c r="N4478" s="56"/>
      <c r="O4478" s="56"/>
    </row>
    <row r="4479" spans="1:15">
      <c r="A4479" s="536" t="s">
        <v>8</v>
      </c>
      <c r="B4479" s="537" t="str">
        <f>VLOOKUP(A4479,'Materiales '!$C$2:$F$1302,3,0)</f>
        <v>-</v>
      </c>
      <c r="C4479" s="98" t="str">
        <f>VLOOKUP(A4479,'Materiales '!$C$2:$F$1302,3,0)</f>
        <v>-</v>
      </c>
      <c r="D4479" s="99">
        <f>VLOOKUP(A4479,'Materiales '!$C$2:$F$1302,4,0)</f>
        <v>0</v>
      </c>
      <c r="E4479" s="100"/>
      <c r="F4479" s="538">
        <f t="shared" si="263"/>
        <v>0</v>
      </c>
      <c r="G4479" s="539"/>
      <c r="H4479" s="121"/>
      <c r="I4479">
        <f>E4479*G4460</f>
        <v>0</v>
      </c>
      <c r="J4479" s="68"/>
      <c r="K4479" s="56"/>
      <c r="L4479" s="56"/>
      <c r="M4479" s="56"/>
      <c r="N4479" s="56"/>
      <c r="O4479" s="56"/>
    </row>
    <row r="4480" spans="1:15">
      <c r="A4480" s="536" t="s">
        <v>8</v>
      </c>
      <c r="B4480" s="537" t="str">
        <f>VLOOKUP(A4480,'Materiales '!$C$2:$F$1302,3,0)</f>
        <v>-</v>
      </c>
      <c r="C4480" s="98" t="str">
        <f>VLOOKUP(A4480,'Materiales '!$C$2:$F$1302,3,0)</f>
        <v>-</v>
      </c>
      <c r="D4480" s="99">
        <f>VLOOKUP(A4480,'Materiales '!$C$2:$F$1302,4,0)</f>
        <v>0</v>
      </c>
      <c r="E4480" s="100"/>
      <c r="F4480" s="538">
        <f t="shared" si="263"/>
        <v>0</v>
      </c>
      <c r="G4480" s="539"/>
      <c r="H4480" s="121"/>
      <c r="I4480">
        <f>E4480*G4460</f>
        <v>0</v>
      </c>
      <c r="J4480" s="68"/>
      <c r="K4480" s="56"/>
      <c r="L4480" s="56"/>
      <c r="M4480" s="56"/>
      <c r="N4480" s="56"/>
      <c r="O4480" s="56"/>
    </row>
    <row r="4481" spans="1:15">
      <c r="A4481" s="536" t="s">
        <v>8</v>
      </c>
      <c r="B4481" s="537" t="str">
        <f>VLOOKUP(A4481,'Materiales '!$C$2:$F$1302,3,0)</f>
        <v>-</v>
      </c>
      <c r="C4481" s="98" t="str">
        <f>VLOOKUP(A4481,'Materiales '!$C$2:$F$1302,3,0)</f>
        <v>-</v>
      </c>
      <c r="D4481" s="99">
        <f>VLOOKUP(A4481,'Materiales '!$C$2:$F$1302,4,0)</f>
        <v>0</v>
      </c>
      <c r="E4481" s="100"/>
      <c r="F4481" s="538">
        <f t="shared" si="263"/>
        <v>0</v>
      </c>
      <c r="G4481" s="539"/>
      <c r="H4481" s="121"/>
      <c r="I4481">
        <f>E4481*G4460</f>
        <v>0</v>
      </c>
      <c r="J4481" s="68"/>
      <c r="K4481" s="56"/>
      <c r="L4481" s="56"/>
      <c r="M4481" s="56"/>
      <c r="N4481" s="56"/>
      <c r="O4481" s="56"/>
    </row>
    <row r="4482" spans="1:15">
      <c r="A4482" s="536" t="s">
        <v>8</v>
      </c>
      <c r="B4482" s="537" t="str">
        <f>VLOOKUP(A4482,'Materiales '!$C$2:$F$1302,3,0)</f>
        <v>-</v>
      </c>
      <c r="C4482" s="98" t="str">
        <f>VLOOKUP(A4482,'Materiales '!$C$2:$F$1302,3,0)</f>
        <v>-</v>
      </c>
      <c r="D4482" s="99">
        <f>VLOOKUP(A4482,'Materiales '!$C$2:$F$1302,4,0)</f>
        <v>0</v>
      </c>
      <c r="E4482" s="100"/>
      <c r="F4482" s="538">
        <f>E4482*D4482</f>
        <v>0</v>
      </c>
      <c r="G4482" s="539"/>
      <c r="H4482" s="120"/>
      <c r="I4482">
        <f>E4482*G4460</f>
        <v>0</v>
      </c>
      <c r="J4482" s="68"/>
      <c r="K4482" s="56"/>
      <c r="L4482" s="56"/>
      <c r="M4482" s="56"/>
      <c r="N4482" s="56"/>
      <c r="O4482" s="56"/>
    </row>
    <row r="4483" spans="1:15" ht="16.5">
      <c r="A4483" s="540" t="s">
        <v>4099</v>
      </c>
      <c r="B4483" s="541"/>
      <c r="C4483" s="541"/>
      <c r="D4483" s="541"/>
      <c r="E4483" s="541"/>
      <c r="F4483" s="541"/>
      <c r="G4483" s="542"/>
      <c r="H4483" s="116">
        <f>SUM(F4469:F4482)</f>
        <v>531192.20000000007</v>
      </c>
      <c r="J4483" s="68"/>
      <c r="K4483" s="56"/>
      <c r="L4483" s="56"/>
      <c r="M4483" s="56"/>
      <c r="N4483" s="56"/>
      <c r="O4483" s="56"/>
    </row>
    <row r="4484" spans="1:15" ht="16.5">
      <c r="A4484" s="543" t="s">
        <v>4231</v>
      </c>
      <c r="B4484" s="544"/>
      <c r="C4484" s="544"/>
      <c r="D4484" s="544"/>
      <c r="E4484" s="545"/>
      <c r="F4484" s="544"/>
      <c r="G4484" s="544"/>
      <c r="H4484" s="546"/>
      <c r="J4484" s="68"/>
      <c r="K4484" s="56"/>
      <c r="L4484" s="56"/>
      <c r="M4484" s="56"/>
      <c r="N4484" s="56"/>
      <c r="O4484" s="56"/>
    </row>
    <row r="4485" spans="1:15">
      <c r="A4485" s="547" t="s">
        <v>7</v>
      </c>
      <c r="B4485" s="548"/>
      <c r="C4485" s="108" t="s">
        <v>4232</v>
      </c>
      <c r="D4485" s="107" t="s">
        <v>4233</v>
      </c>
      <c r="E4485" s="206" t="s">
        <v>4234</v>
      </c>
      <c r="F4485" s="549" t="s">
        <v>4218</v>
      </c>
      <c r="G4485" s="549"/>
      <c r="H4485" s="119"/>
      <c r="K4485" s="56"/>
      <c r="L4485" s="56"/>
      <c r="M4485" s="56"/>
      <c r="N4485" s="56"/>
      <c r="O4485" s="56"/>
    </row>
    <row r="4486" spans="1:15">
      <c r="A4486" s="550" t="s">
        <v>3928</v>
      </c>
      <c r="B4486" s="551"/>
      <c r="C4486" s="232">
        <v>1</v>
      </c>
      <c r="D4486" s="102">
        <v>0.03</v>
      </c>
      <c r="E4486" s="103">
        <f>VLOOKUP(A4486,'Equip, Herr y Transp'!$B$2:$D$218,3,0)</f>
        <v>160000</v>
      </c>
      <c r="F4486" s="552">
        <f>E4486*D4486*C4486</f>
        <v>4800</v>
      </c>
      <c r="G4486" s="553"/>
      <c r="H4486" s="117"/>
      <c r="M4486" s="56"/>
    </row>
    <row r="4487" spans="1:15" ht="16.5">
      <c r="A4487" s="554" t="s">
        <v>4216</v>
      </c>
      <c r="B4487" s="555"/>
      <c r="C4487" s="555"/>
      <c r="D4487" s="555"/>
      <c r="E4487" s="555"/>
      <c r="F4487" s="555"/>
      <c r="G4487" s="555"/>
      <c r="H4487" s="105">
        <f>F4486</f>
        <v>4800</v>
      </c>
    </row>
    <row r="4488" spans="1:15" ht="16.5">
      <c r="A4488" s="543" t="s">
        <v>4235</v>
      </c>
      <c r="B4488" s="544"/>
      <c r="C4488" s="544"/>
      <c r="D4488" s="544"/>
      <c r="E4488" s="544"/>
      <c r="F4488" s="544"/>
      <c r="G4488" s="544"/>
      <c r="H4488" s="546"/>
    </row>
    <row r="4489" spans="1:15">
      <c r="A4489" s="547" t="s">
        <v>7</v>
      </c>
      <c r="B4489" s="548"/>
      <c r="C4489" s="106" t="s">
        <v>1</v>
      </c>
      <c r="D4489" s="107" t="s">
        <v>4236</v>
      </c>
      <c r="E4489" s="108" t="s">
        <v>4215</v>
      </c>
      <c r="F4489" s="547" t="s">
        <v>5</v>
      </c>
      <c r="G4489" s="556"/>
      <c r="H4489" s="119"/>
    </row>
    <row r="4490" spans="1:15">
      <c r="A4490" s="550" t="s">
        <v>4196</v>
      </c>
      <c r="B4490" s="551"/>
      <c r="C4490" s="101">
        <v>1</v>
      </c>
      <c r="D4490" s="104">
        <f>VLOOKUP(A4490,'Mano Obra'!$B$2:$T$117,19,0)</f>
        <v>166624</v>
      </c>
      <c r="E4490" s="246">
        <f>H4453</f>
        <v>0.1875</v>
      </c>
      <c r="F4490" s="538">
        <f>E4490*D4490*C4490</f>
        <v>31242</v>
      </c>
      <c r="G4490" s="557"/>
      <c r="H4490" s="121"/>
      <c r="I4490" s="69"/>
      <c r="J4490" s="136">
        <f>((('Mano Obra'!$M$4/30)*F4490)/D4490)*G4460</f>
        <v>2028.8991770833331</v>
      </c>
    </row>
    <row r="4491" spans="1:15">
      <c r="A4491" s="558" t="s">
        <v>4197</v>
      </c>
      <c r="B4491" s="559">
        <f>VLOOKUP(A4491,'Mano Obra'!$B$3:$D$290,2,0)</f>
        <v>2090000.0000000002</v>
      </c>
      <c r="C4491" s="101">
        <v>1</v>
      </c>
      <c r="D4491" s="104">
        <f>VLOOKUP(A4491,'Mano Obra'!$B$2:$T$117,19,0)</f>
        <v>120456</v>
      </c>
      <c r="E4491" s="246">
        <f>H4453</f>
        <v>0.1875</v>
      </c>
      <c r="F4491" s="538">
        <f t="shared" ref="F4491:F4492" si="264">E4491*D4491*C4491</f>
        <v>22585.5</v>
      </c>
      <c r="G4491" s="557"/>
      <c r="H4491" s="121"/>
      <c r="J4491" s="136">
        <f>((('Mano Obra'!$M$5/30)*F4491)/D4491)*G4460</f>
        <v>2028.8991770833334</v>
      </c>
    </row>
    <row r="4492" spans="1:15">
      <c r="A4492" s="558" t="s">
        <v>4186</v>
      </c>
      <c r="B4492" s="559">
        <f>VLOOKUP(A4492,'Mano Obra'!$B$3:$D$290,2,0)</f>
        <v>1100000</v>
      </c>
      <c r="C4492" s="101">
        <v>1</v>
      </c>
      <c r="D4492" s="104">
        <f>VLOOKUP(A4492,'Mano Obra'!$B$2:$T$117,19,0)</f>
        <v>72664</v>
      </c>
      <c r="E4492" s="246">
        <f>H4453</f>
        <v>0.1875</v>
      </c>
      <c r="F4492" s="538">
        <f t="shared" si="264"/>
        <v>13624.5</v>
      </c>
      <c r="G4492" s="557"/>
      <c r="H4492" s="120"/>
      <c r="J4492" s="136">
        <f>((('Mano Obra'!$M$6/30)*F4492)/D4492)*G4460</f>
        <v>2028.8991770833331</v>
      </c>
    </row>
    <row r="4493" spans="1:15" ht="16.5">
      <c r="A4493" s="560" t="s">
        <v>4101</v>
      </c>
      <c r="B4493" s="560"/>
      <c r="C4493" s="560"/>
      <c r="D4493" s="560"/>
      <c r="E4493" s="560"/>
      <c r="F4493" s="560"/>
      <c r="G4493" s="560"/>
      <c r="H4493" s="105">
        <f>SUM(F4490:F4492)</f>
        <v>67452</v>
      </c>
      <c r="J4493" s="136"/>
    </row>
    <row r="4494" spans="1:15">
      <c r="A4494" s="227" t="s">
        <v>4237</v>
      </c>
      <c r="B4494" s="205"/>
      <c r="C4494" s="205"/>
      <c r="D4494" s="202"/>
      <c r="E4494" s="203"/>
      <c r="F4494" s="204"/>
      <c r="G4494" s="203"/>
      <c r="H4494" s="212"/>
    </row>
    <row r="4495" spans="1:15">
      <c r="A4495" s="561" t="s">
        <v>4224</v>
      </c>
      <c r="B4495" s="562"/>
      <c r="C4495" s="562"/>
      <c r="D4495" s="562"/>
      <c r="E4495" s="200"/>
      <c r="F4495" s="201" t="s">
        <v>4238</v>
      </c>
      <c r="G4495" s="200" t="s">
        <v>4239</v>
      </c>
      <c r="H4495" s="213"/>
    </row>
    <row r="4496" spans="1:15">
      <c r="A4496" s="223" t="s">
        <v>4097</v>
      </c>
      <c r="B4496" s="72"/>
      <c r="C4496" s="72"/>
      <c r="D4496" s="73"/>
      <c r="E4496" s="78"/>
      <c r="F4496" s="79">
        <v>0</v>
      </c>
      <c r="G4496" s="80">
        <f>F4496*H4461</f>
        <v>0</v>
      </c>
      <c r="H4496" s="212"/>
    </row>
    <row r="4497" spans="1:14">
      <c r="A4497" s="224" t="s">
        <v>4240</v>
      </c>
      <c r="B4497" s="81"/>
      <c r="C4497" s="81"/>
      <c r="D4497" s="82"/>
      <c r="E4497" s="78"/>
      <c r="F4497" s="79">
        <v>0</v>
      </c>
      <c r="G4497" s="80">
        <f>F4497*H4461</f>
        <v>0</v>
      </c>
      <c r="H4497" s="212"/>
    </row>
    <row r="4498" spans="1:14">
      <c r="A4498" s="224" t="s">
        <v>4</v>
      </c>
      <c r="B4498" s="81"/>
      <c r="C4498" s="81"/>
      <c r="D4498" s="82"/>
      <c r="E4498" s="78"/>
      <c r="F4498" s="79">
        <v>0</v>
      </c>
      <c r="G4498" s="80">
        <f>F4498*H4461</f>
        <v>0</v>
      </c>
      <c r="H4498" s="212"/>
    </row>
    <row r="4499" spans="1:14">
      <c r="A4499" s="225"/>
      <c r="B4499" s="83"/>
      <c r="C4499" s="75"/>
      <c r="D4499" s="84"/>
      <c r="E4499" s="85"/>
      <c r="F4499" s="86"/>
      <c r="G4499" s="87"/>
      <c r="H4499" s="214"/>
    </row>
    <row r="4500" spans="1:14">
      <c r="A4500" s="226"/>
      <c r="B4500" s="83"/>
      <c r="C4500" s="83"/>
      <c r="D4500" s="84"/>
      <c r="E4500" s="88"/>
      <c r="F4500" s="563" t="s">
        <v>4241</v>
      </c>
      <c r="G4500" s="564"/>
      <c r="H4500" s="233">
        <f>H4461+G4496+G4497+G4498</f>
        <v>786093.57500000007</v>
      </c>
    </row>
    <row r="4502" spans="1:14" ht="16.5">
      <c r="A4502" s="90"/>
      <c r="B4502" s="90"/>
      <c r="C4502" s="90"/>
      <c r="D4502" s="90"/>
      <c r="E4502" s="90"/>
      <c r="F4502" s="90"/>
      <c r="G4502" s="90"/>
      <c r="H4502" s="381"/>
    </row>
    <row r="4503" spans="1:14">
      <c r="A4503" s="579" t="s">
        <v>4225</v>
      </c>
      <c r="B4503" s="580"/>
      <c r="C4503" s="580"/>
      <c r="D4503" s="580"/>
      <c r="E4503" s="580"/>
      <c r="F4503" s="580"/>
      <c r="G4503" s="580"/>
      <c r="H4503" s="581"/>
    </row>
    <row r="4504" spans="1:14" ht="16.5">
      <c r="A4504" s="91"/>
      <c r="B4504" s="92"/>
      <c r="C4504" s="92"/>
      <c r="D4504" s="92"/>
      <c r="E4504" s="92"/>
      <c r="F4504" s="93"/>
      <c r="G4504" s="94"/>
      <c r="H4504" s="380">
        <f>ROUND((90/60)/8,4)</f>
        <v>0.1875</v>
      </c>
      <c r="I4504" s="115"/>
    </row>
    <row r="4505" spans="1:14">
      <c r="A4505" s="582" t="s">
        <v>4220</v>
      </c>
      <c r="B4505" s="584" t="str">
        <f>COSTOS!$C$14</f>
        <v>MODERNIZACION A TECNOLOGIA LED</v>
      </c>
      <c r="C4505" s="584"/>
      <c r="D4505" s="584"/>
      <c r="E4505" s="584"/>
      <c r="F4505" s="584"/>
      <c r="G4505" s="584"/>
      <c r="H4505" s="585" t="s">
        <v>4221</v>
      </c>
    </row>
    <row r="4506" spans="1:14">
      <c r="A4506" s="583"/>
      <c r="B4506" s="584"/>
      <c r="C4506" s="584"/>
      <c r="D4506" s="584"/>
      <c r="E4506" s="584"/>
      <c r="F4506" s="584"/>
      <c r="G4506" s="584"/>
      <c r="H4506" s="585"/>
    </row>
    <row r="4507" spans="1:14">
      <c r="A4507" s="583"/>
      <c r="B4507" s="584"/>
      <c r="C4507" s="584"/>
      <c r="D4507" s="584"/>
      <c r="E4507" s="584"/>
      <c r="F4507" s="584"/>
      <c r="G4507" s="584"/>
      <c r="H4507" s="585"/>
    </row>
    <row r="4508" spans="1:14" ht="15" customHeight="1">
      <c r="A4508" s="583"/>
      <c r="B4508" s="584"/>
      <c r="C4508" s="584"/>
      <c r="D4508" s="584"/>
      <c r="E4508" s="584"/>
      <c r="F4508" s="584"/>
      <c r="G4508" s="584"/>
      <c r="H4508" s="216">
        <f ca="1">TODAY()</f>
        <v>44889</v>
      </c>
      <c r="K4508" t="s">
        <v>4391</v>
      </c>
      <c r="L4508" t="s">
        <v>4392</v>
      </c>
      <c r="M4508" t="s">
        <v>4393</v>
      </c>
      <c r="N4508" t="s">
        <v>4394</v>
      </c>
    </row>
    <row r="4509" spans="1:14" ht="60.75" customHeight="1">
      <c r="A4509" s="228" t="s">
        <v>4222</v>
      </c>
      <c r="B4509" s="565" t="str">
        <f>COSTOS!$D$16</f>
        <v>Luminarias</v>
      </c>
      <c r="C4509" s="565"/>
      <c r="D4509" s="565"/>
      <c r="E4509" s="565"/>
      <c r="F4509" s="565"/>
      <c r="G4509" s="70" t="s">
        <v>4223</v>
      </c>
      <c r="H4509" s="387">
        <v>2.4</v>
      </c>
      <c r="K4509" s="62">
        <f>H4534</f>
        <v>531192.20000000007</v>
      </c>
      <c r="L4509" s="62">
        <f>H4544</f>
        <v>67452</v>
      </c>
      <c r="M4509" s="62">
        <f>H4517</f>
        <v>182649.375</v>
      </c>
      <c r="N4509" s="62">
        <f>H4538</f>
        <v>4800</v>
      </c>
    </row>
    <row r="4510" spans="1:14" ht="43.15" customHeight="1">
      <c r="A4510" s="229" t="s">
        <v>4224</v>
      </c>
      <c r="B4510" s="566" t="str">
        <f>VLOOKUP(H4509,COSTOS!C:M,2,0)</f>
        <v>Poste de concreto 8mx350kgf</v>
      </c>
      <c r="C4510" s="567"/>
      <c r="D4510" s="567"/>
      <c r="E4510" s="568"/>
      <c r="F4510" s="71" t="s">
        <v>0</v>
      </c>
      <c r="G4510" s="356" t="str">
        <f>VLOOKUP(H4509,COSTOS!C:M,8,0)</f>
        <v>Und</v>
      </c>
      <c r="H4510" s="276"/>
      <c r="I4510" s="306"/>
      <c r="J4510" s="308"/>
      <c r="K4510" s="308"/>
      <c r="L4510" s="308"/>
    </row>
    <row r="4511" spans="1:14">
      <c r="A4511" s="230"/>
      <c r="B4511" s="112"/>
      <c r="C4511" s="112"/>
      <c r="D4511" s="112"/>
      <c r="E4511" s="113"/>
      <c r="F4511" s="114" t="s">
        <v>1</v>
      </c>
      <c r="G4511" s="356">
        <f>VLOOKUP(H4509,COSTOS!C:M,9,0)</f>
        <v>0</v>
      </c>
      <c r="H4511" s="357"/>
      <c r="I4511" s="307"/>
    </row>
    <row r="4512" spans="1:14" ht="16.5">
      <c r="A4512" s="231" t="s">
        <v>4226</v>
      </c>
      <c r="B4512" s="75"/>
      <c r="C4512" s="75"/>
      <c r="D4512" s="76"/>
      <c r="E4512" s="209"/>
      <c r="F4512" s="210"/>
      <c r="G4512" s="211" t="s">
        <v>4227</v>
      </c>
      <c r="H4512" s="217">
        <f>H4517+H4534+H4538+H4544</f>
        <v>786093.57500000007</v>
      </c>
    </row>
    <row r="4513" spans="1:15" ht="39">
      <c r="A4513" s="569" t="s">
        <v>4224</v>
      </c>
      <c r="B4513" s="569"/>
      <c r="C4513" s="569"/>
      <c r="D4513" s="77" t="s">
        <v>0</v>
      </c>
      <c r="E4513" s="207" t="s">
        <v>4228</v>
      </c>
      <c r="F4513" s="208" t="s">
        <v>4215</v>
      </c>
      <c r="G4513" s="74" t="s">
        <v>2</v>
      </c>
      <c r="H4513" s="218" t="s">
        <v>4229</v>
      </c>
      <c r="K4513" s="309"/>
    </row>
    <row r="4514" spans="1:15">
      <c r="A4514" s="536" t="s">
        <v>3946</v>
      </c>
      <c r="B4514" s="570" t="str">
        <f>VLOOKUP(A4514,'Equip, Herr y Transp'!$B$2:$D$739,2,0)</f>
        <v>EQU</v>
      </c>
      <c r="C4514" s="570"/>
      <c r="D4514" s="95" t="str">
        <f>VLOOKUP(A4514,'Equip, Herr y Transp'!$B$2:$D$218,2,0)</f>
        <v>EQU</v>
      </c>
      <c r="E4514" s="95">
        <f>VLOOKUP(A4514,'Equip, Herr y Transp'!$B$2:$D$218,3,0)</f>
        <v>14130</v>
      </c>
      <c r="F4514" s="96">
        <f>H4504</f>
        <v>0.1875</v>
      </c>
      <c r="G4514" s="122">
        <f>F4514*E4514</f>
        <v>2649.375</v>
      </c>
      <c r="H4514" s="118"/>
    </row>
    <row r="4515" spans="1:15">
      <c r="A4515" s="536" t="s">
        <v>3894</v>
      </c>
      <c r="B4515" s="570" t="str">
        <f>VLOOKUP(A4515,'Equip, Herr y Transp'!$B$2:$D$739,2,0)</f>
        <v>TR</v>
      </c>
      <c r="C4515" s="570"/>
      <c r="D4515" s="95" t="str">
        <f>VLOOKUP(A4515,'Equip, Herr y Transp'!$B$2:$D$218,2,0)</f>
        <v>TR</v>
      </c>
      <c r="E4515" s="95">
        <f>VLOOKUP(A4515,'Equip, Herr y Transp'!$B$2:$D$218,3,0)</f>
        <v>960000</v>
      </c>
      <c r="F4515" s="96">
        <f>H4504</f>
        <v>0.1875</v>
      </c>
      <c r="G4515" s="122">
        <f>F4515*E4515</f>
        <v>180000</v>
      </c>
      <c r="H4515" s="117"/>
    </row>
    <row r="4516" spans="1:15">
      <c r="A4516" s="536" t="s">
        <v>8</v>
      </c>
      <c r="B4516" s="570">
        <f>VLOOKUP(A4516,'Equip, Herr y Transp'!$B$2:$D$739,2,0)</f>
        <v>0</v>
      </c>
      <c r="C4516" s="570"/>
      <c r="D4516" s="95">
        <f>VLOOKUP(A4516,'Equip, Herr y Transp'!$B$2:$D$218,2,0)</f>
        <v>0</v>
      </c>
      <c r="E4516" s="95">
        <f>VLOOKUP(A4516,'Equip, Herr y Transp'!$B$2:$D$218,3,0)</f>
        <v>0</v>
      </c>
      <c r="F4516" s="96"/>
      <c r="G4516" s="122">
        <f>F4516*E4516</f>
        <v>0</v>
      </c>
      <c r="H4516" s="117"/>
    </row>
    <row r="4517" spans="1:15" ht="16.5">
      <c r="A4517" s="540" t="s">
        <v>4100</v>
      </c>
      <c r="B4517" s="541"/>
      <c r="C4517" s="541"/>
      <c r="D4517" s="541"/>
      <c r="E4517" s="541"/>
      <c r="F4517" s="541"/>
      <c r="G4517" s="541"/>
      <c r="H4517" s="97">
        <f>SUM(G4514:G4516)</f>
        <v>182649.375</v>
      </c>
    </row>
    <row r="4518" spans="1:15" ht="16.5">
      <c r="A4518" s="571" t="s">
        <v>4230</v>
      </c>
      <c r="B4518" s="572"/>
      <c r="C4518" s="572"/>
      <c r="D4518" s="572"/>
      <c r="E4518" s="572"/>
      <c r="F4518" s="572"/>
      <c r="G4518" s="572"/>
      <c r="H4518" s="573"/>
      <c r="K4518" s="56"/>
      <c r="L4518" s="56"/>
      <c r="M4518" s="56"/>
      <c r="N4518" s="56"/>
      <c r="O4518" s="56"/>
    </row>
    <row r="4519" spans="1:15" ht="30" customHeight="1">
      <c r="A4519" s="574" t="s">
        <v>7</v>
      </c>
      <c r="B4519" s="575"/>
      <c r="C4519" s="109" t="s">
        <v>0</v>
      </c>
      <c r="D4519" s="110" t="s">
        <v>4098</v>
      </c>
      <c r="E4519" s="111" t="s">
        <v>1</v>
      </c>
      <c r="F4519" s="576" t="s">
        <v>4218</v>
      </c>
      <c r="G4519" s="576"/>
      <c r="H4519" s="215"/>
      <c r="K4519" s="56"/>
      <c r="L4519" s="56"/>
      <c r="M4519" s="56"/>
      <c r="N4519" s="56"/>
      <c r="O4519" s="56"/>
    </row>
    <row r="4520" spans="1:15">
      <c r="A4520" s="577" t="s">
        <v>4629</v>
      </c>
      <c r="B4520" s="578"/>
      <c r="C4520" s="98" t="str">
        <f>VLOOKUP(A4520,'Materiales '!$C$2:$F$1302,3,0)</f>
        <v>Und</v>
      </c>
      <c r="D4520" s="99">
        <f>VLOOKUP(A4520,'Materiales '!$C$2:$F$1302,4,0)</f>
        <v>462077.00000000006</v>
      </c>
      <c r="E4520" s="100">
        <v>1</v>
      </c>
      <c r="F4520" s="538">
        <f>E4520*D4520</f>
        <v>462077.00000000006</v>
      </c>
      <c r="G4520" s="539"/>
      <c r="H4520" s="121"/>
      <c r="I4520">
        <f>E4520*G4511</f>
        <v>0</v>
      </c>
      <c r="J4520" s="67"/>
      <c r="K4520" s="56"/>
      <c r="L4520" s="56"/>
      <c r="M4520" s="56"/>
      <c r="N4520" s="56"/>
      <c r="O4520" s="56"/>
    </row>
    <row r="4521" spans="1:15">
      <c r="A4521" s="577" t="s">
        <v>4628</v>
      </c>
      <c r="B4521" s="578"/>
      <c r="C4521" s="98" t="str">
        <f>VLOOKUP(A4521,'Materiales '!$C$2:$F$1302,3,0)</f>
        <v>Rollo</v>
      </c>
      <c r="D4521" s="99">
        <f>VLOOKUP(A4521,'Materiales '!$C$2:$F$1302,4,0)</f>
        <v>138230.39999999999</v>
      </c>
      <c r="E4521" s="100">
        <v>0.5</v>
      </c>
      <c r="F4521" s="538">
        <f t="shared" ref="F4521:F4527" si="265">E4521*D4521</f>
        <v>69115.199999999997</v>
      </c>
      <c r="G4521" s="539"/>
      <c r="H4521" s="121"/>
      <c r="I4521">
        <f>E4521*G4511</f>
        <v>0</v>
      </c>
      <c r="J4521" s="67"/>
      <c r="K4521" s="56"/>
      <c r="L4521" s="56"/>
      <c r="M4521" s="56"/>
      <c r="N4521" s="56"/>
      <c r="O4521" s="56"/>
    </row>
    <row r="4522" spans="1:15">
      <c r="A4522" s="536" t="s">
        <v>8</v>
      </c>
      <c r="B4522" s="537" t="str">
        <f>VLOOKUP(A4522,'Materiales '!$C$2:$F$1302,3,0)</f>
        <v>-</v>
      </c>
      <c r="C4522" s="98" t="str">
        <f>VLOOKUP(A4522,'Materiales '!$C$2:$F$1302,3,0)</f>
        <v>-</v>
      </c>
      <c r="D4522" s="99">
        <f>VLOOKUP(A4522,'Materiales '!$C$2:$F$1302,4,0)</f>
        <v>0</v>
      </c>
      <c r="E4522" s="100">
        <v>1</v>
      </c>
      <c r="F4522" s="538">
        <f t="shared" si="265"/>
        <v>0</v>
      </c>
      <c r="G4522" s="539"/>
      <c r="H4522" s="121"/>
      <c r="I4522">
        <f>E4522*G4511</f>
        <v>0</v>
      </c>
      <c r="J4522" s="68"/>
      <c r="K4522" s="56"/>
      <c r="L4522" s="56"/>
      <c r="M4522" s="56"/>
      <c r="N4522" s="56"/>
      <c r="O4522" s="56"/>
    </row>
    <row r="4523" spans="1:15">
      <c r="A4523" s="536" t="s">
        <v>8</v>
      </c>
      <c r="B4523" s="537" t="str">
        <f>VLOOKUP(A4523,'Materiales '!$C$2:$F$1302,3,0)</f>
        <v>-</v>
      </c>
      <c r="C4523" s="98" t="str">
        <f>VLOOKUP(A4523,'Materiales '!$C$2:$F$1302,3,0)</f>
        <v>-</v>
      </c>
      <c r="D4523" s="99">
        <f>VLOOKUP(A4523,'Materiales '!$C$2:$F$1302,4,0)</f>
        <v>0</v>
      </c>
      <c r="E4523" s="100">
        <v>3</v>
      </c>
      <c r="F4523" s="538">
        <f t="shared" si="265"/>
        <v>0</v>
      </c>
      <c r="G4523" s="539"/>
      <c r="H4523" s="121"/>
      <c r="I4523">
        <f>E4523*G4511</f>
        <v>0</v>
      </c>
      <c r="J4523" s="68"/>
      <c r="K4523" s="56"/>
      <c r="L4523" s="56"/>
      <c r="M4523" s="56"/>
      <c r="N4523" s="56"/>
      <c r="O4523" s="56"/>
    </row>
    <row r="4524" spans="1:15">
      <c r="A4524" s="536" t="s">
        <v>8</v>
      </c>
      <c r="B4524" s="537" t="str">
        <f>VLOOKUP(A4524,'Materiales '!$C$2:$F$1302,3,0)</f>
        <v>-</v>
      </c>
      <c r="C4524" s="98" t="str">
        <f>VLOOKUP(A4524,'Materiales '!$C$2:$F$1302,3,0)</f>
        <v>-</v>
      </c>
      <c r="D4524" s="99">
        <f>VLOOKUP(A4524,'Materiales '!$C$2:$F$1302,4,0)</f>
        <v>0</v>
      </c>
      <c r="E4524" s="100">
        <v>2</v>
      </c>
      <c r="F4524" s="538">
        <f t="shared" si="265"/>
        <v>0</v>
      </c>
      <c r="G4524" s="539"/>
      <c r="H4524" s="121"/>
      <c r="I4524">
        <f>E4524*G4511</f>
        <v>0</v>
      </c>
      <c r="J4524" s="68"/>
      <c r="K4524" s="56"/>
      <c r="L4524" s="56"/>
      <c r="M4524" s="56"/>
      <c r="N4524" s="56"/>
      <c r="O4524" s="56"/>
    </row>
    <row r="4525" spans="1:15">
      <c r="A4525" s="536" t="s">
        <v>8</v>
      </c>
      <c r="B4525" s="537" t="str">
        <f>VLOOKUP(A4525,'Materiales '!$C$2:$F$1302,3,0)</f>
        <v>-</v>
      </c>
      <c r="C4525" s="98" t="str">
        <f>VLOOKUP(A4525,'Materiales '!$C$2:$F$1302,3,0)</f>
        <v>-</v>
      </c>
      <c r="D4525" s="99">
        <f>VLOOKUP(A4525,'Materiales '!$C$2:$F$1302,4,0)</f>
        <v>0</v>
      </c>
      <c r="E4525" s="100">
        <v>8</v>
      </c>
      <c r="F4525" s="538">
        <f t="shared" si="265"/>
        <v>0</v>
      </c>
      <c r="G4525" s="539"/>
      <c r="H4525" s="121"/>
      <c r="I4525">
        <f>E4525*G4511</f>
        <v>0</v>
      </c>
      <c r="J4525" s="68"/>
      <c r="K4525" s="56"/>
      <c r="L4525" s="56"/>
      <c r="M4525" s="56"/>
      <c r="N4525" s="56"/>
      <c r="O4525" s="56"/>
    </row>
    <row r="4526" spans="1:15">
      <c r="A4526" s="536" t="s">
        <v>8</v>
      </c>
      <c r="B4526" s="537" t="str">
        <f>VLOOKUP(A4526,'Materiales '!$C$2:$F$1302,3,0)</f>
        <v>-</v>
      </c>
      <c r="C4526" s="98" t="str">
        <f>VLOOKUP(A4526,'Materiales '!$C$2:$F$1302,3,0)</f>
        <v>-</v>
      </c>
      <c r="D4526" s="99">
        <f>VLOOKUP(A4526,'Materiales '!$C$2:$F$1302,4,0)</f>
        <v>0</v>
      </c>
      <c r="E4526" s="100">
        <v>3</v>
      </c>
      <c r="F4526" s="538">
        <f t="shared" si="265"/>
        <v>0</v>
      </c>
      <c r="G4526" s="539"/>
      <c r="H4526" s="121"/>
      <c r="I4526">
        <f>E4526*G4511</f>
        <v>0</v>
      </c>
      <c r="J4526" s="68"/>
      <c r="K4526" s="56"/>
      <c r="L4526" s="56"/>
      <c r="M4526" s="56"/>
      <c r="N4526" s="56"/>
      <c r="O4526" s="56"/>
    </row>
    <row r="4527" spans="1:15" ht="21.75" customHeight="1">
      <c r="A4527" s="536" t="s">
        <v>8</v>
      </c>
      <c r="B4527" s="537" t="str">
        <f>VLOOKUP(A4527,'Materiales '!$C$2:$F$1302,3,0)</f>
        <v>-</v>
      </c>
      <c r="C4527" s="98" t="str">
        <f>VLOOKUP(A4527,'Materiales '!$C$2:$F$1302,3,0)</f>
        <v>-</v>
      </c>
      <c r="D4527" s="99">
        <f>VLOOKUP(A4527,'Materiales '!$C$2:$F$1302,4,0)</f>
        <v>0</v>
      </c>
      <c r="E4527" s="100">
        <v>0.5</v>
      </c>
      <c r="F4527" s="538">
        <f t="shared" si="265"/>
        <v>0</v>
      </c>
      <c r="G4527" s="539"/>
      <c r="H4527" s="121"/>
      <c r="I4527">
        <f>E4527*G4511</f>
        <v>0</v>
      </c>
      <c r="J4527" s="68"/>
      <c r="K4527" s="56"/>
      <c r="L4527" s="56"/>
      <c r="M4527" s="56"/>
      <c r="N4527" s="56"/>
      <c r="O4527" s="56"/>
    </row>
    <row r="4528" spans="1:15">
      <c r="A4528" s="536" t="s">
        <v>8</v>
      </c>
      <c r="B4528" s="537" t="str">
        <f>VLOOKUP(A4528,'Materiales '!$C$2:$F$1302,3,0)</f>
        <v>-</v>
      </c>
      <c r="C4528" s="98" t="str">
        <f>VLOOKUP(A4528,'Materiales '!$C$2:$F$1302,3,0)</f>
        <v>-</v>
      </c>
      <c r="D4528" s="99">
        <f>VLOOKUP(A4528,'Materiales '!$C$2:$F$1302,4,0)</f>
        <v>0</v>
      </c>
      <c r="E4528" s="100"/>
      <c r="F4528" s="538">
        <f>E4528*D4528</f>
        <v>0</v>
      </c>
      <c r="G4528" s="539"/>
      <c r="H4528" s="120"/>
      <c r="I4528">
        <f>E4528*G4511</f>
        <v>0</v>
      </c>
      <c r="J4528" s="68"/>
      <c r="K4528" s="56"/>
      <c r="L4528" s="56"/>
      <c r="M4528" s="56"/>
      <c r="N4528" s="56"/>
      <c r="O4528" s="56"/>
    </row>
    <row r="4529" spans="1:15">
      <c r="A4529" s="536" t="s">
        <v>8</v>
      </c>
      <c r="B4529" s="537" t="str">
        <f>VLOOKUP(A4529,'Materiales '!$C$2:$F$1302,3,0)</f>
        <v>-</v>
      </c>
      <c r="C4529" s="98" t="str">
        <f>VLOOKUP(A4529,'Materiales '!$C$2:$F$1302,3,0)</f>
        <v>-</v>
      </c>
      <c r="D4529" s="99">
        <f>VLOOKUP(A4529,'Materiales '!$C$2:$F$1302,4,0)</f>
        <v>0</v>
      </c>
      <c r="E4529" s="100"/>
      <c r="F4529" s="538">
        <f t="shared" ref="F4529:F4532" si="266">E4529*D4529</f>
        <v>0</v>
      </c>
      <c r="G4529" s="539"/>
      <c r="H4529" s="121"/>
      <c r="I4529">
        <f>E4529*G4511</f>
        <v>0</v>
      </c>
      <c r="J4529" s="68"/>
      <c r="K4529" s="56"/>
      <c r="L4529" s="56"/>
      <c r="M4529" s="56"/>
      <c r="N4529" s="56"/>
      <c r="O4529" s="56"/>
    </row>
    <row r="4530" spans="1:15">
      <c r="A4530" s="536" t="s">
        <v>8</v>
      </c>
      <c r="B4530" s="537" t="str">
        <f>VLOOKUP(A4530,'Materiales '!$C$2:$F$1302,3,0)</f>
        <v>-</v>
      </c>
      <c r="C4530" s="98" t="str">
        <f>VLOOKUP(A4530,'Materiales '!$C$2:$F$1302,3,0)</f>
        <v>-</v>
      </c>
      <c r="D4530" s="99">
        <f>VLOOKUP(A4530,'Materiales '!$C$2:$F$1302,4,0)</f>
        <v>0</v>
      </c>
      <c r="E4530" s="100"/>
      <c r="F4530" s="538">
        <f t="shared" si="266"/>
        <v>0</v>
      </c>
      <c r="G4530" s="539"/>
      <c r="H4530" s="121"/>
      <c r="I4530">
        <f>E4530*G4511</f>
        <v>0</v>
      </c>
      <c r="J4530" s="68"/>
      <c r="K4530" s="56"/>
      <c r="L4530" s="56"/>
      <c r="M4530" s="56"/>
      <c r="N4530" s="56"/>
      <c r="O4530" s="56"/>
    </row>
    <row r="4531" spans="1:15">
      <c r="A4531" s="536" t="s">
        <v>8</v>
      </c>
      <c r="B4531" s="537" t="str">
        <f>VLOOKUP(A4531,'Materiales '!$C$2:$F$1302,3,0)</f>
        <v>-</v>
      </c>
      <c r="C4531" s="98" t="str">
        <f>VLOOKUP(A4531,'Materiales '!$C$2:$F$1302,3,0)</f>
        <v>-</v>
      </c>
      <c r="D4531" s="99">
        <f>VLOOKUP(A4531,'Materiales '!$C$2:$F$1302,4,0)</f>
        <v>0</v>
      </c>
      <c r="E4531" s="100"/>
      <c r="F4531" s="538">
        <f t="shared" si="266"/>
        <v>0</v>
      </c>
      <c r="G4531" s="539"/>
      <c r="H4531" s="121"/>
      <c r="I4531">
        <f>E4531*G4511</f>
        <v>0</v>
      </c>
      <c r="J4531" s="68"/>
      <c r="K4531" s="56"/>
      <c r="L4531" s="56"/>
      <c r="M4531" s="56"/>
      <c r="N4531" s="56"/>
      <c r="O4531" s="56"/>
    </row>
    <row r="4532" spans="1:15">
      <c r="A4532" s="536" t="s">
        <v>8</v>
      </c>
      <c r="B4532" s="537" t="str">
        <f>VLOOKUP(A4532,'Materiales '!$C$2:$F$1302,3,0)</f>
        <v>-</v>
      </c>
      <c r="C4532" s="98" t="str">
        <f>VLOOKUP(A4532,'Materiales '!$C$2:$F$1302,3,0)</f>
        <v>-</v>
      </c>
      <c r="D4532" s="99">
        <f>VLOOKUP(A4532,'Materiales '!$C$2:$F$1302,4,0)</f>
        <v>0</v>
      </c>
      <c r="E4532" s="100"/>
      <c r="F4532" s="538">
        <f t="shared" si="266"/>
        <v>0</v>
      </c>
      <c r="G4532" s="539"/>
      <c r="H4532" s="121"/>
      <c r="I4532">
        <f>E4532*G4511</f>
        <v>0</v>
      </c>
      <c r="J4532" s="68"/>
      <c r="K4532" s="56"/>
      <c r="L4532" s="56"/>
      <c r="M4532" s="56"/>
      <c r="N4532" s="56"/>
      <c r="O4532" s="56"/>
    </row>
    <row r="4533" spans="1:15">
      <c r="A4533" s="536" t="s">
        <v>8</v>
      </c>
      <c r="B4533" s="537" t="str">
        <f>VLOOKUP(A4533,'Materiales '!$C$2:$F$1302,3,0)</f>
        <v>-</v>
      </c>
      <c r="C4533" s="98" t="str">
        <f>VLOOKUP(A4533,'Materiales '!$C$2:$F$1302,3,0)</f>
        <v>-</v>
      </c>
      <c r="D4533" s="99">
        <f>VLOOKUP(A4533,'Materiales '!$C$2:$F$1302,4,0)</f>
        <v>0</v>
      </c>
      <c r="E4533" s="100"/>
      <c r="F4533" s="538">
        <f>E4533*D4533</f>
        <v>0</v>
      </c>
      <c r="G4533" s="539"/>
      <c r="H4533" s="120"/>
      <c r="I4533">
        <f>E4533*G4511</f>
        <v>0</v>
      </c>
      <c r="J4533" s="68"/>
      <c r="K4533" s="56"/>
      <c r="L4533" s="56"/>
      <c r="M4533" s="56"/>
      <c r="N4533" s="56"/>
      <c r="O4533" s="56"/>
    </row>
    <row r="4534" spans="1:15" ht="16.5">
      <c r="A4534" s="540" t="s">
        <v>4099</v>
      </c>
      <c r="B4534" s="541"/>
      <c r="C4534" s="541"/>
      <c r="D4534" s="541"/>
      <c r="E4534" s="541"/>
      <c r="F4534" s="541"/>
      <c r="G4534" s="542"/>
      <c r="H4534" s="116">
        <f>SUM(F4520:F4533)</f>
        <v>531192.20000000007</v>
      </c>
      <c r="J4534" s="68"/>
      <c r="K4534" s="56"/>
      <c r="L4534" s="56"/>
      <c r="M4534" s="56"/>
      <c r="N4534" s="56"/>
      <c r="O4534" s="56"/>
    </row>
    <row r="4535" spans="1:15" ht="16.5">
      <c r="A4535" s="543" t="s">
        <v>4231</v>
      </c>
      <c r="B4535" s="544"/>
      <c r="C4535" s="544"/>
      <c r="D4535" s="544"/>
      <c r="E4535" s="545"/>
      <c r="F4535" s="544"/>
      <c r="G4535" s="544"/>
      <c r="H4535" s="546"/>
      <c r="J4535" s="68"/>
      <c r="K4535" s="56"/>
      <c r="L4535" s="56"/>
      <c r="M4535" s="56"/>
      <c r="N4535" s="56"/>
      <c r="O4535" s="56"/>
    </row>
    <row r="4536" spans="1:15">
      <c r="A4536" s="547" t="s">
        <v>7</v>
      </c>
      <c r="B4536" s="548"/>
      <c r="C4536" s="108" t="s">
        <v>4232</v>
      </c>
      <c r="D4536" s="107" t="s">
        <v>4233</v>
      </c>
      <c r="E4536" s="206" t="s">
        <v>4234</v>
      </c>
      <c r="F4536" s="549" t="s">
        <v>4218</v>
      </c>
      <c r="G4536" s="549"/>
      <c r="H4536" s="119"/>
      <c r="K4536" s="56"/>
      <c r="L4536" s="56"/>
      <c r="M4536" s="56"/>
      <c r="N4536" s="56"/>
      <c r="O4536" s="56"/>
    </row>
    <row r="4537" spans="1:15">
      <c r="A4537" s="550" t="s">
        <v>3928</v>
      </c>
      <c r="B4537" s="551"/>
      <c r="C4537" s="232">
        <v>1</v>
      </c>
      <c r="D4537" s="102">
        <v>0.03</v>
      </c>
      <c r="E4537" s="103">
        <f>VLOOKUP(A4537,'Equip, Herr y Transp'!$B$2:$D$218,3,0)</f>
        <v>160000</v>
      </c>
      <c r="F4537" s="552">
        <f>E4537*D4537*C4537</f>
        <v>4800</v>
      </c>
      <c r="G4537" s="553"/>
      <c r="H4537" s="117"/>
      <c r="M4537" s="56"/>
    </row>
    <row r="4538" spans="1:15" ht="16.5">
      <c r="A4538" s="554" t="s">
        <v>4216</v>
      </c>
      <c r="B4538" s="555"/>
      <c r="C4538" s="555"/>
      <c r="D4538" s="555"/>
      <c r="E4538" s="555"/>
      <c r="F4538" s="555"/>
      <c r="G4538" s="555"/>
      <c r="H4538" s="105">
        <f>F4537</f>
        <v>4800</v>
      </c>
    </row>
    <row r="4539" spans="1:15" ht="16.5">
      <c r="A4539" s="543" t="s">
        <v>4235</v>
      </c>
      <c r="B4539" s="544"/>
      <c r="C4539" s="544"/>
      <c r="D4539" s="544"/>
      <c r="E4539" s="544"/>
      <c r="F4539" s="544"/>
      <c r="G4539" s="544"/>
      <c r="H4539" s="546"/>
    </row>
    <row r="4540" spans="1:15">
      <c r="A4540" s="547" t="s">
        <v>7</v>
      </c>
      <c r="B4540" s="548"/>
      <c r="C4540" s="106" t="s">
        <v>1</v>
      </c>
      <c r="D4540" s="107" t="s">
        <v>4236</v>
      </c>
      <c r="E4540" s="108" t="s">
        <v>4215</v>
      </c>
      <c r="F4540" s="547" t="s">
        <v>5</v>
      </c>
      <c r="G4540" s="556"/>
      <c r="H4540" s="119"/>
    </row>
    <row r="4541" spans="1:15">
      <c r="A4541" s="550" t="s">
        <v>4196</v>
      </c>
      <c r="B4541" s="551"/>
      <c r="C4541" s="101">
        <v>1</v>
      </c>
      <c r="D4541" s="104">
        <f>VLOOKUP(A4541,'Mano Obra'!$B$2:$T$117,19,0)</f>
        <v>166624</v>
      </c>
      <c r="E4541" s="246">
        <f>H4504</f>
        <v>0.1875</v>
      </c>
      <c r="F4541" s="538">
        <f>E4541*D4541*C4541</f>
        <v>31242</v>
      </c>
      <c r="G4541" s="557"/>
      <c r="H4541" s="121"/>
      <c r="I4541" s="69"/>
      <c r="J4541" s="136">
        <f>((('Mano Obra'!$M$4/30)*F4541)/D4541)*G4511</f>
        <v>0</v>
      </c>
    </row>
    <row r="4542" spans="1:15">
      <c r="A4542" s="558" t="s">
        <v>4197</v>
      </c>
      <c r="B4542" s="559">
        <f>VLOOKUP(A4542,'Mano Obra'!$B$3:$D$290,2,0)</f>
        <v>2090000.0000000002</v>
      </c>
      <c r="C4542" s="101">
        <v>1</v>
      </c>
      <c r="D4542" s="104">
        <f>VLOOKUP(A4542,'Mano Obra'!$B$2:$T$117,19,0)</f>
        <v>120456</v>
      </c>
      <c r="E4542" s="246">
        <f>H4504</f>
        <v>0.1875</v>
      </c>
      <c r="F4542" s="538">
        <f t="shared" ref="F4542:F4543" si="267">E4542*D4542*C4542</f>
        <v>22585.5</v>
      </c>
      <c r="G4542" s="557"/>
      <c r="H4542" s="121"/>
      <c r="J4542" s="136">
        <f>((('Mano Obra'!$M$5/30)*F4542)/D4542)*G4511</f>
        <v>0</v>
      </c>
    </row>
    <row r="4543" spans="1:15">
      <c r="A4543" s="558" t="s">
        <v>4186</v>
      </c>
      <c r="B4543" s="559">
        <f>VLOOKUP(A4543,'Mano Obra'!$B$3:$D$290,2,0)</f>
        <v>1100000</v>
      </c>
      <c r="C4543" s="101">
        <v>1</v>
      </c>
      <c r="D4543" s="104">
        <f>VLOOKUP(A4543,'Mano Obra'!$B$2:$T$117,19,0)</f>
        <v>72664</v>
      </c>
      <c r="E4543" s="246">
        <f>H4504</f>
        <v>0.1875</v>
      </c>
      <c r="F4543" s="538">
        <f t="shared" si="267"/>
        <v>13624.5</v>
      </c>
      <c r="G4543" s="557"/>
      <c r="H4543" s="120"/>
      <c r="J4543" s="136">
        <f>((('Mano Obra'!$M$6/30)*F4543)/D4543)*G4511</f>
        <v>0</v>
      </c>
    </row>
    <row r="4544" spans="1:15" ht="16.5">
      <c r="A4544" s="560" t="s">
        <v>4101</v>
      </c>
      <c r="B4544" s="560"/>
      <c r="C4544" s="560"/>
      <c r="D4544" s="560"/>
      <c r="E4544" s="560"/>
      <c r="F4544" s="560"/>
      <c r="G4544" s="560"/>
      <c r="H4544" s="105">
        <f>SUM(F4541:F4543)</f>
        <v>67452</v>
      </c>
      <c r="J4544" s="136"/>
    </row>
    <row r="4545" spans="1:14">
      <c r="A4545" s="227" t="s">
        <v>4237</v>
      </c>
      <c r="B4545" s="205"/>
      <c r="C4545" s="205"/>
      <c r="D4545" s="202"/>
      <c r="E4545" s="203"/>
      <c r="F4545" s="204"/>
      <c r="G4545" s="203"/>
      <c r="H4545" s="212"/>
    </row>
    <row r="4546" spans="1:14">
      <c r="A4546" s="561" t="s">
        <v>4224</v>
      </c>
      <c r="B4546" s="562"/>
      <c r="C4546" s="562"/>
      <c r="D4546" s="562"/>
      <c r="E4546" s="200"/>
      <c r="F4546" s="201" t="s">
        <v>4238</v>
      </c>
      <c r="G4546" s="200" t="s">
        <v>4239</v>
      </c>
      <c r="H4546" s="213"/>
    </row>
    <row r="4547" spans="1:14">
      <c r="A4547" s="223" t="s">
        <v>4097</v>
      </c>
      <c r="B4547" s="72"/>
      <c r="C4547" s="72"/>
      <c r="D4547" s="73"/>
      <c r="E4547" s="78"/>
      <c r="F4547" s="79">
        <v>0</v>
      </c>
      <c r="G4547" s="80">
        <f>F4547*H4512</f>
        <v>0</v>
      </c>
      <c r="H4547" s="212"/>
    </row>
    <row r="4548" spans="1:14">
      <c r="A4548" s="224" t="s">
        <v>4240</v>
      </c>
      <c r="B4548" s="81"/>
      <c r="C4548" s="81"/>
      <c r="D4548" s="82"/>
      <c r="E4548" s="78"/>
      <c r="F4548" s="79">
        <v>0</v>
      </c>
      <c r="G4548" s="80">
        <f>F4548*H4512</f>
        <v>0</v>
      </c>
      <c r="H4548" s="212"/>
    </row>
    <row r="4549" spans="1:14">
      <c r="A4549" s="224" t="s">
        <v>4</v>
      </c>
      <c r="B4549" s="81"/>
      <c r="C4549" s="81"/>
      <c r="D4549" s="82"/>
      <c r="E4549" s="78"/>
      <c r="F4549" s="79">
        <v>0</v>
      </c>
      <c r="G4549" s="80">
        <f>F4549*H4512</f>
        <v>0</v>
      </c>
      <c r="H4549" s="212"/>
    </row>
    <row r="4550" spans="1:14">
      <c r="A4550" s="225"/>
      <c r="B4550" s="83"/>
      <c r="C4550" s="75"/>
      <c r="D4550" s="84"/>
      <c r="E4550" s="85"/>
      <c r="F4550" s="86"/>
      <c r="G4550" s="87"/>
      <c r="H4550" s="214"/>
    </row>
    <row r="4551" spans="1:14">
      <c r="A4551" s="226"/>
      <c r="B4551" s="83"/>
      <c r="C4551" s="83"/>
      <c r="D4551" s="84"/>
      <c r="E4551" s="88"/>
      <c r="F4551" s="563" t="s">
        <v>4241</v>
      </c>
      <c r="G4551" s="564"/>
      <c r="H4551" s="233">
        <f>H4512+G4547+G4548+G4549</f>
        <v>786093.57500000007</v>
      </c>
    </row>
    <row r="4553" spans="1:14" ht="16.5">
      <c r="A4553" s="90"/>
      <c r="B4553" s="90"/>
      <c r="C4553" s="90"/>
      <c r="D4553" s="90"/>
      <c r="E4553" s="90"/>
      <c r="F4553" s="90"/>
      <c r="G4553" s="90"/>
      <c r="H4553" s="381"/>
    </row>
    <row r="4554" spans="1:14">
      <c r="A4554" s="579" t="s">
        <v>4225</v>
      </c>
      <c r="B4554" s="580"/>
      <c r="C4554" s="580"/>
      <c r="D4554" s="580"/>
      <c r="E4554" s="580"/>
      <c r="F4554" s="580"/>
      <c r="G4554" s="580"/>
      <c r="H4554" s="581"/>
    </row>
    <row r="4555" spans="1:14" ht="16.5">
      <c r="A4555" s="91"/>
      <c r="B4555" s="92"/>
      <c r="C4555" s="92"/>
      <c r="D4555" s="92"/>
      <c r="E4555" s="92"/>
      <c r="F4555" s="93"/>
      <c r="G4555" s="94"/>
      <c r="H4555" s="380">
        <f>ROUND((90/60)/8,4)</f>
        <v>0.1875</v>
      </c>
      <c r="I4555" s="115"/>
    </row>
    <row r="4556" spans="1:14">
      <c r="A4556" s="582" t="s">
        <v>4220</v>
      </c>
      <c r="B4556" s="584" t="str">
        <f>COSTOS!$C$14</f>
        <v>MODERNIZACION A TECNOLOGIA LED</v>
      </c>
      <c r="C4556" s="584"/>
      <c r="D4556" s="584"/>
      <c r="E4556" s="584"/>
      <c r="F4556" s="584"/>
      <c r="G4556" s="584"/>
      <c r="H4556" s="585" t="s">
        <v>4221</v>
      </c>
    </row>
    <row r="4557" spans="1:14">
      <c r="A4557" s="583"/>
      <c r="B4557" s="584"/>
      <c r="C4557" s="584"/>
      <c r="D4557" s="584"/>
      <c r="E4557" s="584"/>
      <c r="F4557" s="584"/>
      <c r="G4557" s="584"/>
      <c r="H4557" s="585"/>
    </row>
    <row r="4558" spans="1:14">
      <c r="A4558" s="583"/>
      <c r="B4558" s="584"/>
      <c r="C4558" s="584"/>
      <c r="D4558" s="584"/>
      <c r="E4558" s="584"/>
      <c r="F4558" s="584"/>
      <c r="G4558" s="584"/>
      <c r="H4558" s="585"/>
    </row>
    <row r="4559" spans="1:14" ht="15" customHeight="1">
      <c r="A4559" s="583"/>
      <c r="B4559" s="584"/>
      <c r="C4559" s="584"/>
      <c r="D4559" s="584"/>
      <c r="E4559" s="584"/>
      <c r="F4559" s="584"/>
      <c r="G4559" s="584"/>
      <c r="H4559" s="216">
        <f ca="1">TODAY()</f>
        <v>44889</v>
      </c>
      <c r="K4559" t="s">
        <v>4391</v>
      </c>
      <c r="L4559" t="s">
        <v>4392</v>
      </c>
      <c r="M4559" t="s">
        <v>4393</v>
      </c>
      <c r="N4559" t="s">
        <v>4394</v>
      </c>
    </row>
    <row r="4560" spans="1:14" ht="60.75" customHeight="1">
      <c r="A4560" s="228" t="s">
        <v>4222</v>
      </c>
      <c r="B4560" s="565" t="str">
        <f>COSTOS!$D$16</f>
        <v>Luminarias</v>
      </c>
      <c r="C4560" s="565"/>
      <c r="D4560" s="565"/>
      <c r="E4560" s="565"/>
      <c r="F4560" s="565"/>
      <c r="G4560" s="70" t="s">
        <v>4223</v>
      </c>
      <c r="H4560" s="387">
        <v>2.5</v>
      </c>
      <c r="K4560" s="62">
        <f>H4585</f>
        <v>605805.19999999995</v>
      </c>
      <c r="L4560" s="62">
        <f>H4595</f>
        <v>67452</v>
      </c>
      <c r="M4560" s="62">
        <f>H4568</f>
        <v>182649.375</v>
      </c>
      <c r="N4560" s="62">
        <f>H4589</f>
        <v>4800</v>
      </c>
    </row>
    <row r="4561" spans="1:15" ht="43.15" customHeight="1">
      <c r="A4561" s="229" t="s">
        <v>4224</v>
      </c>
      <c r="B4561" s="566" t="str">
        <f>VLOOKUP(H4560,COSTOS!C:M,2,0)</f>
        <v>Poste de concreto 8mx750kgf</v>
      </c>
      <c r="C4561" s="567"/>
      <c r="D4561" s="567"/>
      <c r="E4561" s="568"/>
      <c r="F4561" s="71" t="s">
        <v>0</v>
      </c>
      <c r="G4561" s="356" t="str">
        <f>VLOOKUP(H4560,COSTOS!C:M,8,0)</f>
        <v>Und</v>
      </c>
      <c r="H4561" s="276"/>
      <c r="I4561" s="306"/>
      <c r="J4561" s="308"/>
      <c r="K4561" s="308"/>
      <c r="L4561" s="308"/>
    </row>
    <row r="4562" spans="1:15">
      <c r="A4562" s="230"/>
      <c r="B4562" s="112"/>
      <c r="C4562" s="112"/>
      <c r="D4562" s="112"/>
      <c r="E4562" s="113"/>
      <c r="F4562" s="114" t="s">
        <v>1</v>
      </c>
      <c r="G4562" s="356">
        <f>VLOOKUP(H4560,COSTOS!C:M,9,0)</f>
        <v>0</v>
      </c>
      <c r="H4562" s="357"/>
      <c r="I4562" s="307"/>
    </row>
    <row r="4563" spans="1:15" ht="16.5">
      <c r="A4563" s="231" t="s">
        <v>4226</v>
      </c>
      <c r="B4563" s="75"/>
      <c r="C4563" s="75"/>
      <c r="D4563" s="76"/>
      <c r="E4563" s="209"/>
      <c r="F4563" s="210"/>
      <c r="G4563" s="211" t="s">
        <v>4227</v>
      </c>
      <c r="H4563" s="217">
        <f>H4568+H4585+H4589+H4595</f>
        <v>860706.57499999995</v>
      </c>
    </row>
    <row r="4564" spans="1:15" ht="39">
      <c r="A4564" s="569" t="s">
        <v>4224</v>
      </c>
      <c r="B4564" s="569"/>
      <c r="C4564" s="569"/>
      <c r="D4564" s="77" t="s">
        <v>0</v>
      </c>
      <c r="E4564" s="207" t="s">
        <v>4228</v>
      </c>
      <c r="F4564" s="208" t="s">
        <v>4215</v>
      </c>
      <c r="G4564" s="74" t="s">
        <v>2</v>
      </c>
      <c r="H4564" s="218" t="s">
        <v>4229</v>
      </c>
      <c r="K4564" s="309"/>
    </row>
    <row r="4565" spans="1:15">
      <c r="A4565" s="536" t="s">
        <v>3946</v>
      </c>
      <c r="B4565" s="570" t="str">
        <f>VLOOKUP(A4565,'Equip, Herr y Transp'!$B$2:$D$739,2,0)</f>
        <v>EQU</v>
      </c>
      <c r="C4565" s="570"/>
      <c r="D4565" s="95" t="str">
        <f>VLOOKUP(A4565,'Equip, Herr y Transp'!$B$2:$D$218,2,0)</f>
        <v>EQU</v>
      </c>
      <c r="E4565" s="95">
        <f>VLOOKUP(A4565,'Equip, Herr y Transp'!$B$2:$D$218,3,0)</f>
        <v>14130</v>
      </c>
      <c r="F4565" s="96">
        <f>H4555</f>
        <v>0.1875</v>
      </c>
      <c r="G4565" s="122">
        <f>F4565*E4565</f>
        <v>2649.375</v>
      </c>
      <c r="H4565" s="118"/>
    </row>
    <row r="4566" spans="1:15">
      <c r="A4566" s="536" t="s">
        <v>3894</v>
      </c>
      <c r="B4566" s="570" t="str">
        <f>VLOOKUP(A4566,'Equip, Herr y Transp'!$B$2:$D$739,2,0)</f>
        <v>TR</v>
      </c>
      <c r="C4566" s="570"/>
      <c r="D4566" s="95" t="str">
        <f>VLOOKUP(A4566,'Equip, Herr y Transp'!$B$2:$D$218,2,0)</f>
        <v>TR</v>
      </c>
      <c r="E4566" s="95">
        <f>VLOOKUP(A4566,'Equip, Herr y Transp'!$B$2:$D$218,3,0)</f>
        <v>960000</v>
      </c>
      <c r="F4566" s="96">
        <f>H4555</f>
        <v>0.1875</v>
      </c>
      <c r="G4566" s="122">
        <f>F4566*E4566</f>
        <v>180000</v>
      </c>
      <c r="H4566" s="117"/>
    </row>
    <row r="4567" spans="1:15">
      <c r="A4567" s="536" t="s">
        <v>8</v>
      </c>
      <c r="B4567" s="570">
        <f>VLOOKUP(A4567,'Equip, Herr y Transp'!$B$2:$D$739,2,0)</f>
        <v>0</v>
      </c>
      <c r="C4567" s="570"/>
      <c r="D4567" s="95">
        <f>VLOOKUP(A4567,'Equip, Herr y Transp'!$B$2:$D$218,2,0)</f>
        <v>0</v>
      </c>
      <c r="E4567" s="95">
        <f>VLOOKUP(A4567,'Equip, Herr y Transp'!$B$2:$D$218,3,0)</f>
        <v>0</v>
      </c>
      <c r="F4567" s="96"/>
      <c r="G4567" s="122">
        <f>F4567*E4567</f>
        <v>0</v>
      </c>
      <c r="H4567" s="117"/>
    </row>
    <row r="4568" spans="1:15" ht="16.5">
      <c r="A4568" s="540" t="s">
        <v>4100</v>
      </c>
      <c r="B4568" s="541"/>
      <c r="C4568" s="541"/>
      <c r="D4568" s="541"/>
      <c r="E4568" s="541"/>
      <c r="F4568" s="541"/>
      <c r="G4568" s="541"/>
      <c r="H4568" s="97">
        <f>SUM(G4565:G4567)</f>
        <v>182649.375</v>
      </c>
    </row>
    <row r="4569" spans="1:15" ht="16.5">
      <c r="A4569" s="571" t="s">
        <v>4230</v>
      </c>
      <c r="B4569" s="572"/>
      <c r="C4569" s="572"/>
      <c r="D4569" s="572"/>
      <c r="E4569" s="572"/>
      <c r="F4569" s="572"/>
      <c r="G4569" s="572"/>
      <c r="H4569" s="573"/>
      <c r="K4569" s="56"/>
      <c r="L4569" s="56"/>
      <c r="M4569" s="56"/>
      <c r="N4569" s="56"/>
      <c r="O4569" s="56"/>
    </row>
    <row r="4570" spans="1:15" ht="30" customHeight="1">
      <c r="A4570" s="574" t="s">
        <v>7</v>
      </c>
      <c r="B4570" s="575"/>
      <c r="C4570" s="109" t="s">
        <v>0</v>
      </c>
      <c r="D4570" s="110" t="s">
        <v>4098</v>
      </c>
      <c r="E4570" s="111" t="s">
        <v>1</v>
      </c>
      <c r="F4570" s="576" t="s">
        <v>4218</v>
      </c>
      <c r="G4570" s="576"/>
      <c r="H4570" s="215"/>
      <c r="K4570" s="56"/>
      <c r="L4570" s="56"/>
      <c r="M4570" s="56"/>
      <c r="N4570" s="56"/>
      <c r="O4570" s="56"/>
    </row>
    <row r="4571" spans="1:15">
      <c r="A4571" s="577" t="s">
        <v>4642</v>
      </c>
      <c r="B4571" s="578"/>
      <c r="C4571" s="98" t="str">
        <f>VLOOKUP(A4571,'Materiales '!$C$2:$F$1302,3,0)</f>
        <v>Und</v>
      </c>
      <c r="D4571" s="99">
        <f>VLOOKUP(A4571,'Materiales '!$C$2:$F$1302,4,0)</f>
        <v>536690</v>
      </c>
      <c r="E4571" s="100">
        <v>1</v>
      </c>
      <c r="F4571" s="538">
        <f>E4571*D4571</f>
        <v>536690</v>
      </c>
      <c r="G4571" s="539"/>
      <c r="H4571" s="121"/>
      <c r="I4571">
        <f>E4571*G4562</f>
        <v>0</v>
      </c>
      <c r="J4571" s="67"/>
      <c r="K4571" s="56"/>
      <c r="L4571" s="56"/>
      <c r="M4571" s="56"/>
      <c r="N4571" s="56"/>
      <c r="O4571" s="56"/>
    </row>
    <row r="4572" spans="1:15">
      <c r="A4572" s="577" t="s">
        <v>4628</v>
      </c>
      <c r="B4572" s="578"/>
      <c r="C4572" s="98" t="str">
        <f>VLOOKUP(A4572,'Materiales '!$C$2:$F$1302,3,0)</f>
        <v>Rollo</v>
      </c>
      <c r="D4572" s="99">
        <f>VLOOKUP(A4572,'Materiales '!$C$2:$F$1302,4,0)</f>
        <v>138230.39999999999</v>
      </c>
      <c r="E4572" s="100">
        <v>0.5</v>
      </c>
      <c r="F4572" s="538">
        <f t="shared" ref="F4572:F4578" si="268">E4572*D4572</f>
        <v>69115.199999999997</v>
      </c>
      <c r="G4572" s="539"/>
      <c r="H4572" s="121"/>
      <c r="I4572">
        <f>E4572*G4562</f>
        <v>0</v>
      </c>
      <c r="J4572" s="67"/>
      <c r="K4572" s="56"/>
      <c r="L4572" s="56"/>
      <c r="M4572" s="56"/>
      <c r="N4572" s="56"/>
      <c r="O4572" s="56"/>
    </row>
    <row r="4573" spans="1:15">
      <c r="A4573" s="536" t="s">
        <v>8</v>
      </c>
      <c r="B4573" s="537" t="str">
        <f>VLOOKUP(A4573,'Materiales '!$C$2:$F$1302,3,0)</f>
        <v>-</v>
      </c>
      <c r="C4573" s="98" t="str">
        <f>VLOOKUP(A4573,'Materiales '!$C$2:$F$1302,3,0)</f>
        <v>-</v>
      </c>
      <c r="D4573" s="99">
        <f>VLOOKUP(A4573,'Materiales '!$C$2:$F$1302,4,0)</f>
        <v>0</v>
      </c>
      <c r="E4573" s="100">
        <v>1</v>
      </c>
      <c r="F4573" s="538">
        <f t="shared" si="268"/>
        <v>0</v>
      </c>
      <c r="G4573" s="539"/>
      <c r="H4573" s="121"/>
      <c r="I4573">
        <f>E4573*G4562</f>
        <v>0</v>
      </c>
      <c r="J4573" s="68"/>
      <c r="K4573" s="56"/>
      <c r="L4573" s="56"/>
      <c r="M4573" s="56"/>
      <c r="N4573" s="56"/>
      <c r="O4573" s="56"/>
    </row>
    <row r="4574" spans="1:15">
      <c r="A4574" s="536" t="s">
        <v>8</v>
      </c>
      <c r="B4574" s="537" t="str">
        <f>VLOOKUP(A4574,'Materiales '!$C$2:$F$1302,3,0)</f>
        <v>-</v>
      </c>
      <c r="C4574" s="98" t="str">
        <f>VLOOKUP(A4574,'Materiales '!$C$2:$F$1302,3,0)</f>
        <v>-</v>
      </c>
      <c r="D4574" s="99">
        <f>VLOOKUP(A4574,'Materiales '!$C$2:$F$1302,4,0)</f>
        <v>0</v>
      </c>
      <c r="E4574" s="100">
        <v>3</v>
      </c>
      <c r="F4574" s="538">
        <f t="shared" si="268"/>
        <v>0</v>
      </c>
      <c r="G4574" s="539"/>
      <c r="H4574" s="121"/>
      <c r="I4574">
        <f>E4574*G4562</f>
        <v>0</v>
      </c>
      <c r="J4574" s="68"/>
      <c r="K4574" s="56"/>
      <c r="L4574" s="56"/>
      <c r="M4574" s="56"/>
      <c r="N4574" s="56"/>
      <c r="O4574" s="56"/>
    </row>
    <row r="4575" spans="1:15">
      <c r="A4575" s="536" t="s">
        <v>8</v>
      </c>
      <c r="B4575" s="537" t="str">
        <f>VLOOKUP(A4575,'Materiales '!$C$2:$F$1302,3,0)</f>
        <v>-</v>
      </c>
      <c r="C4575" s="98" t="str">
        <f>VLOOKUP(A4575,'Materiales '!$C$2:$F$1302,3,0)</f>
        <v>-</v>
      </c>
      <c r="D4575" s="99">
        <f>VLOOKUP(A4575,'Materiales '!$C$2:$F$1302,4,0)</f>
        <v>0</v>
      </c>
      <c r="E4575" s="100">
        <v>2</v>
      </c>
      <c r="F4575" s="538">
        <f t="shared" si="268"/>
        <v>0</v>
      </c>
      <c r="G4575" s="539"/>
      <c r="H4575" s="121"/>
      <c r="I4575">
        <f>E4575*G4562</f>
        <v>0</v>
      </c>
      <c r="J4575" s="68"/>
      <c r="K4575" s="56"/>
      <c r="L4575" s="56"/>
      <c r="M4575" s="56"/>
      <c r="N4575" s="56"/>
      <c r="O4575" s="56"/>
    </row>
    <row r="4576" spans="1:15">
      <c r="A4576" s="536" t="s">
        <v>8</v>
      </c>
      <c r="B4576" s="537" t="str">
        <f>VLOOKUP(A4576,'Materiales '!$C$2:$F$1302,3,0)</f>
        <v>-</v>
      </c>
      <c r="C4576" s="98" t="str">
        <f>VLOOKUP(A4576,'Materiales '!$C$2:$F$1302,3,0)</f>
        <v>-</v>
      </c>
      <c r="D4576" s="99">
        <f>VLOOKUP(A4576,'Materiales '!$C$2:$F$1302,4,0)</f>
        <v>0</v>
      </c>
      <c r="E4576" s="100">
        <v>8</v>
      </c>
      <c r="F4576" s="538">
        <f t="shared" si="268"/>
        <v>0</v>
      </c>
      <c r="G4576" s="539"/>
      <c r="H4576" s="121"/>
      <c r="I4576">
        <f>E4576*G4562</f>
        <v>0</v>
      </c>
      <c r="J4576" s="68"/>
      <c r="K4576" s="56"/>
      <c r="L4576" s="56"/>
      <c r="M4576" s="56"/>
      <c r="N4576" s="56"/>
      <c r="O4576" s="56"/>
    </row>
    <row r="4577" spans="1:15">
      <c r="A4577" s="536" t="s">
        <v>8</v>
      </c>
      <c r="B4577" s="537" t="str">
        <f>VLOOKUP(A4577,'Materiales '!$C$2:$F$1302,3,0)</f>
        <v>-</v>
      </c>
      <c r="C4577" s="98" t="str">
        <f>VLOOKUP(A4577,'Materiales '!$C$2:$F$1302,3,0)</f>
        <v>-</v>
      </c>
      <c r="D4577" s="99">
        <f>VLOOKUP(A4577,'Materiales '!$C$2:$F$1302,4,0)</f>
        <v>0</v>
      </c>
      <c r="E4577" s="100">
        <v>3</v>
      </c>
      <c r="F4577" s="538">
        <f t="shared" si="268"/>
        <v>0</v>
      </c>
      <c r="G4577" s="539"/>
      <c r="H4577" s="121"/>
      <c r="I4577">
        <f>E4577*G4562</f>
        <v>0</v>
      </c>
      <c r="J4577" s="68"/>
      <c r="K4577" s="56"/>
      <c r="L4577" s="56"/>
      <c r="M4577" s="56"/>
      <c r="N4577" s="56"/>
      <c r="O4577" s="56"/>
    </row>
    <row r="4578" spans="1:15" ht="21.75" customHeight="1">
      <c r="A4578" s="536" t="s">
        <v>8</v>
      </c>
      <c r="B4578" s="537" t="str">
        <f>VLOOKUP(A4578,'Materiales '!$C$2:$F$1302,3,0)</f>
        <v>-</v>
      </c>
      <c r="C4578" s="98" t="str">
        <f>VLOOKUP(A4578,'Materiales '!$C$2:$F$1302,3,0)</f>
        <v>-</v>
      </c>
      <c r="D4578" s="99">
        <f>VLOOKUP(A4578,'Materiales '!$C$2:$F$1302,4,0)</f>
        <v>0</v>
      </c>
      <c r="E4578" s="100">
        <v>0.5</v>
      </c>
      <c r="F4578" s="538">
        <f t="shared" si="268"/>
        <v>0</v>
      </c>
      <c r="G4578" s="539"/>
      <c r="H4578" s="121"/>
      <c r="I4578">
        <f>E4578*G4562</f>
        <v>0</v>
      </c>
      <c r="J4578" s="68"/>
      <c r="K4578" s="56"/>
      <c r="L4578" s="56"/>
      <c r="M4578" s="56"/>
      <c r="N4578" s="56"/>
      <c r="O4578" s="56"/>
    </row>
    <row r="4579" spans="1:15">
      <c r="A4579" s="536" t="s">
        <v>8</v>
      </c>
      <c r="B4579" s="537" t="str">
        <f>VLOOKUP(A4579,'Materiales '!$C$2:$F$1302,3,0)</f>
        <v>-</v>
      </c>
      <c r="C4579" s="98" t="str">
        <f>VLOOKUP(A4579,'Materiales '!$C$2:$F$1302,3,0)</f>
        <v>-</v>
      </c>
      <c r="D4579" s="99">
        <f>VLOOKUP(A4579,'Materiales '!$C$2:$F$1302,4,0)</f>
        <v>0</v>
      </c>
      <c r="E4579" s="100"/>
      <c r="F4579" s="538">
        <f>E4579*D4579</f>
        <v>0</v>
      </c>
      <c r="G4579" s="539"/>
      <c r="H4579" s="120"/>
      <c r="I4579">
        <f>E4579*G4562</f>
        <v>0</v>
      </c>
      <c r="J4579" s="68"/>
      <c r="K4579" s="56"/>
      <c r="L4579" s="56"/>
      <c r="M4579" s="56"/>
      <c r="N4579" s="56"/>
      <c r="O4579" s="56"/>
    </row>
    <row r="4580" spans="1:15">
      <c r="A4580" s="536" t="s">
        <v>8</v>
      </c>
      <c r="B4580" s="537" t="str">
        <f>VLOOKUP(A4580,'Materiales '!$C$2:$F$1302,3,0)</f>
        <v>-</v>
      </c>
      <c r="C4580" s="98" t="str">
        <f>VLOOKUP(A4580,'Materiales '!$C$2:$F$1302,3,0)</f>
        <v>-</v>
      </c>
      <c r="D4580" s="99">
        <f>VLOOKUP(A4580,'Materiales '!$C$2:$F$1302,4,0)</f>
        <v>0</v>
      </c>
      <c r="E4580" s="100"/>
      <c r="F4580" s="538">
        <f t="shared" ref="F4580:F4583" si="269">E4580*D4580</f>
        <v>0</v>
      </c>
      <c r="G4580" s="539"/>
      <c r="H4580" s="121"/>
      <c r="I4580">
        <f>E4580*G4562</f>
        <v>0</v>
      </c>
      <c r="J4580" s="68"/>
      <c r="K4580" s="56"/>
      <c r="L4580" s="56"/>
      <c r="M4580" s="56"/>
      <c r="N4580" s="56"/>
      <c r="O4580" s="56"/>
    </row>
    <row r="4581" spans="1:15">
      <c r="A4581" s="536" t="s">
        <v>8</v>
      </c>
      <c r="B4581" s="537" t="str">
        <f>VLOOKUP(A4581,'Materiales '!$C$2:$F$1302,3,0)</f>
        <v>-</v>
      </c>
      <c r="C4581" s="98" t="str">
        <f>VLOOKUP(A4581,'Materiales '!$C$2:$F$1302,3,0)</f>
        <v>-</v>
      </c>
      <c r="D4581" s="99">
        <f>VLOOKUP(A4581,'Materiales '!$C$2:$F$1302,4,0)</f>
        <v>0</v>
      </c>
      <c r="E4581" s="100"/>
      <c r="F4581" s="538">
        <f t="shared" si="269"/>
        <v>0</v>
      </c>
      <c r="G4581" s="539"/>
      <c r="H4581" s="121"/>
      <c r="I4581">
        <f>E4581*G4562</f>
        <v>0</v>
      </c>
      <c r="J4581" s="68"/>
      <c r="K4581" s="56"/>
      <c r="L4581" s="56"/>
      <c r="M4581" s="56"/>
      <c r="N4581" s="56"/>
      <c r="O4581" s="56"/>
    </row>
    <row r="4582" spans="1:15">
      <c r="A4582" s="536" t="s">
        <v>8</v>
      </c>
      <c r="B4582" s="537" t="str">
        <f>VLOOKUP(A4582,'Materiales '!$C$2:$F$1302,3,0)</f>
        <v>-</v>
      </c>
      <c r="C4582" s="98" t="str">
        <f>VLOOKUP(A4582,'Materiales '!$C$2:$F$1302,3,0)</f>
        <v>-</v>
      </c>
      <c r="D4582" s="99">
        <f>VLOOKUP(A4582,'Materiales '!$C$2:$F$1302,4,0)</f>
        <v>0</v>
      </c>
      <c r="E4582" s="100"/>
      <c r="F4582" s="538">
        <f t="shared" si="269"/>
        <v>0</v>
      </c>
      <c r="G4582" s="539"/>
      <c r="H4582" s="121"/>
      <c r="I4582">
        <f>E4582*G4562</f>
        <v>0</v>
      </c>
      <c r="J4582" s="68"/>
      <c r="K4582" s="56"/>
      <c r="L4582" s="56"/>
      <c r="M4582" s="56"/>
      <c r="N4582" s="56"/>
      <c r="O4582" s="56"/>
    </row>
    <row r="4583" spans="1:15">
      <c r="A4583" s="536" t="s">
        <v>8</v>
      </c>
      <c r="B4583" s="537" t="str">
        <f>VLOOKUP(A4583,'Materiales '!$C$2:$F$1302,3,0)</f>
        <v>-</v>
      </c>
      <c r="C4583" s="98" t="str">
        <f>VLOOKUP(A4583,'Materiales '!$C$2:$F$1302,3,0)</f>
        <v>-</v>
      </c>
      <c r="D4583" s="99">
        <f>VLOOKUP(A4583,'Materiales '!$C$2:$F$1302,4,0)</f>
        <v>0</v>
      </c>
      <c r="E4583" s="100"/>
      <c r="F4583" s="538">
        <f t="shared" si="269"/>
        <v>0</v>
      </c>
      <c r="G4583" s="539"/>
      <c r="H4583" s="121"/>
      <c r="I4583">
        <f>E4583*G4562</f>
        <v>0</v>
      </c>
      <c r="J4583" s="68"/>
      <c r="K4583" s="56"/>
      <c r="L4583" s="56"/>
      <c r="M4583" s="56"/>
      <c r="N4583" s="56"/>
      <c r="O4583" s="56"/>
    </row>
    <row r="4584" spans="1:15">
      <c r="A4584" s="536" t="s">
        <v>8</v>
      </c>
      <c r="B4584" s="537" t="str">
        <f>VLOOKUP(A4584,'Materiales '!$C$2:$F$1302,3,0)</f>
        <v>-</v>
      </c>
      <c r="C4584" s="98" t="str">
        <f>VLOOKUP(A4584,'Materiales '!$C$2:$F$1302,3,0)</f>
        <v>-</v>
      </c>
      <c r="D4584" s="99">
        <f>VLOOKUP(A4584,'Materiales '!$C$2:$F$1302,4,0)</f>
        <v>0</v>
      </c>
      <c r="E4584" s="100"/>
      <c r="F4584" s="538">
        <f>E4584*D4584</f>
        <v>0</v>
      </c>
      <c r="G4584" s="539"/>
      <c r="H4584" s="120"/>
      <c r="I4584">
        <f>E4584*G4562</f>
        <v>0</v>
      </c>
      <c r="J4584" s="68"/>
      <c r="K4584" s="56"/>
      <c r="L4584" s="56"/>
      <c r="M4584" s="56"/>
      <c r="N4584" s="56"/>
      <c r="O4584" s="56"/>
    </row>
    <row r="4585" spans="1:15" ht="16.5">
      <c r="A4585" s="540" t="s">
        <v>4099</v>
      </c>
      <c r="B4585" s="541"/>
      <c r="C4585" s="541"/>
      <c r="D4585" s="541"/>
      <c r="E4585" s="541"/>
      <c r="F4585" s="541"/>
      <c r="G4585" s="542"/>
      <c r="H4585" s="116">
        <f>SUM(F4571:F4584)</f>
        <v>605805.19999999995</v>
      </c>
      <c r="J4585" s="68"/>
      <c r="K4585" s="56"/>
      <c r="L4585" s="56"/>
      <c r="M4585" s="56"/>
      <c r="N4585" s="56"/>
      <c r="O4585" s="56"/>
    </row>
    <row r="4586" spans="1:15" ht="16.5">
      <c r="A4586" s="543" t="s">
        <v>4231</v>
      </c>
      <c r="B4586" s="544"/>
      <c r="C4586" s="544"/>
      <c r="D4586" s="544"/>
      <c r="E4586" s="545"/>
      <c r="F4586" s="544"/>
      <c r="G4586" s="544"/>
      <c r="H4586" s="546"/>
      <c r="J4586" s="68"/>
      <c r="K4586" s="56"/>
      <c r="L4586" s="56"/>
      <c r="M4586" s="56"/>
      <c r="N4586" s="56"/>
      <c r="O4586" s="56"/>
    </row>
    <row r="4587" spans="1:15">
      <c r="A4587" s="547" t="s">
        <v>7</v>
      </c>
      <c r="B4587" s="548"/>
      <c r="C4587" s="108" t="s">
        <v>4232</v>
      </c>
      <c r="D4587" s="107" t="s">
        <v>4233</v>
      </c>
      <c r="E4587" s="206" t="s">
        <v>4234</v>
      </c>
      <c r="F4587" s="549" t="s">
        <v>4218</v>
      </c>
      <c r="G4587" s="549"/>
      <c r="H4587" s="119"/>
      <c r="K4587" s="56"/>
      <c r="L4587" s="56"/>
      <c r="M4587" s="56"/>
      <c r="N4587" s="56"/>
      <c r="O4587" s="56"/>
    </row>
    <row r="4588" spans="1:15">
      <c r="A4588" s="550" t="s">
        <v>3928</v>
      </c>
      <c r="B4588" s="551"/>
      <c r="C4588" s="232">
        <v>1</v>
      </c>
      <c r="D4588" s="102">
        <v>0.03</v>
      </c>
      <c r="E4588" s="103">
        <f>VLOOKUP(A4588,'Equip, Herr y Transp'!$B$2:$D$218,3,0)</f>
        <v>160000</v>
      </c>
      <c r="F4588" s="552">
        <f>E4588*D4588*C4588</f>
        <v>4800</v>
      </c>
      <c r="G4588" s="553"/>
      <c r="H4588" s="117"/>
      <c r="M4588" s="56"/>
    </row>
    <row r="4589" spans="1:15" ht="16.5">
      <c r="A4589" s="554" t="s">
        <v>4216</v>
      </c>
      <c r="B4589" s="555"/>
      <c r="C4589" s="555"/>
      <c r="D4589" s="555"/>
      <c r="E4589" s="555"/>
      <c r="F4589" s="555"/>
      <c r="G4589" s="555"/>
      <c r="H4589" s="105">
        <f>F4588</f>
        <v>4800</v>
      </c>
    </row>
    <row r="4590" spans="1:15" ht="16.5">
      <c r="A4590" s="543" t="s">
        <v>4235</v>
      </c>
      <c r="B4590" s="544"/>
      <c r="C4590" s="544"/>
      <c r="D4590" s="544"/>
      <c r="E4590" s="544"/>
      <c r="F4590" s="544"/>
      <c r="G4590" s="544"/>
      <c r="H4590" s="546"/>
    </row>
    <row r="4591" spans="1:15">
      <c r="A4591" s="547" t="s">
        <v>7</v>
      </c>
      <c r="B4591" s="548"/>
      <c r="C4591" s="106" t="s">
        <v>1</v>
      </c>
      <c r="D4591" s="107" t="s">
        <v>4236</v>
      </c>
      <c r="E4591" s="108" t="s">
        <v>4215</v>
      </c>
      <c r="F4591" s="547" t="s">
        <v>5</v>
      </c>
      <c r="G4591" s="556"/>
      <c r="H4591" s="119"/>
    </row>
    <row r="4592" spans="1:15">
      <c r="A4592" s="550" t="s">
        <v>4196</v>
      </c>
      <c r="B4592" s="551"/>
      <c r="C4592" s="101">
        <v>1</v>
      </c>
      <c r="D4592" s="104">
        <f>VLOOKUP(A4592,'Mano Obra'!$B$2:$T$117,19,0)</f>
        <v>166624</v>
      </c>
      <c r="E4592" s="246">
        <f>H4555</f>
        <v>0.1875</v>
      </c>
      <c r="F4592" s="538">
        <f>E4592*D4592*C4592</f>
        <v>31242</v>
      </c>
      <c r="G4592" s="557"/>
      <c r="H4592" s="121"/>
      <c r="I4592" s="69"/>
      <c r="J4592" s="136">
        <f>((('Mano Obra'!$M$4/30)*F4592)/D4592)*G4562</f>
        <v>0</v>
      </c>
    </row>
    <row r="4593" spans="1:10">
      <c r="A4593" s="558" t="s">
        <v>4197</v>
      </c>
      <c r="B4593" s="559">
        <f>VLOOKUP(A4593,'Mano Obra'!$B$3:$D$290,2,0)</f>
        <v>2090000.0000000002</v>
      </c>
      <c r="C4593" s="101">
        <v>1</v>
      </c>
      <c r="D4593" s="104">
        <f>VLOOKUP(A4593,'Mano Obra'!$B$2:$T$117,19,0)</f>
        <v>120456</v>
      </c>
      <c r="E4593" s="246">
        <f>H4555</f>
        <v>0.1875</v>
      </c>
      <c r="F4593" s="538">
        <f t="shared" ref="F4593:F4594" si="270">E4593*D4593*C4593</f>
        <v>22585.5</v>
      </c>
      <c r="G4593" s="557"/>
      <c r="H4593" s="121"/>
      <c r="J4593" s="136">
        <f>((('Mano Obra'!$M$5/30)*F4593)/D4593)*G4562</f>
        <v>0</v>
      </c>
    </row>
    <row r="4594" spans="1:10">
      <c r="A4594" s="558" t="s">
        <v>4186</v>
      </c>
      <c r="B4594" s="559">
        <f>VLOOKUP(A4594,'Mano Obra'!$B$3:$D$290,2,0)</f>
        <v>1100000</v>
      </c>
      <c r="C4594" s="101">
        <v>1</v>
      </c>
      <c r="D4594" s="104">
        <f>VLOOKUP(A4594,'Mano Obra'!$B$2:$T$117,19,0)</f>
        <v>72664</v>
      </c>
      <c r="E4594" s="246">
        <f>H4555</f>
        <v>0.1875</v>
      </c>
      <c r="F4594" s="538">
        <f t="shared" si="270"/>
        <v>13624.5</v>
      </c>
      <c r="G4594" s="557"/>
      <c r="H4594" s="120"/>
      <c r="J4594" s="136">
        <f>((('Mano Obra'!$M$6/30)*F4594)/D4594)*G4562</f>
        <v>0</v>
      </c>
    </row>
    <row r="4595" spans="1:10" ht="16.5">
      <c r="A4595" s="560" t="s">
        <v>4101</v>
      </c>
      <c r="B4595" s="560"/>
      <c r="C4595" s="560"/>
      <c r="D4595" s="560"/>
      <c r="E4595" s="560"/>
      <c r="F4595" s="560"/>
      <c r="G4595" s="560"/>
      <c r="H4595" s="105">
        <f>SUM(F4592:F4594)</f>
        <v>67452</v>
      </c>
      <c r="J4595" s="136"/>
    </row>
    <row r="4596" spans="1:10">
      <c r="A4596" s="227" t="s">
        <v>4237</v>
      </c>
      <c r="B4596" s="205"/>
      <c r="C4596" s="205"/>
      <c r="D4596" s="202"/>
      <c r="E4596" s="203"/>
      <c r="F4596" s="204"/>
      <c r="G4596" s="203"/>
      <c r="H4596" s="212"/>
    </row>
    <row r="4597" spans="1:10">
      <c r="A4597" s="561" t="s">
        <v>4224</v>
      </c>
      <c r="B4597" s="562"/>
      <c r="C4597" s="562"/>
      <c r="D4597" s="562"/>
      <c r="E4597" s="200"/>
      <c r="F4597" s="201" t="s">
        <v>4238</v>
      </c>
      <c r="G4597" s="200" t="s">
        <v>4239</v>
      </c>
      <c r="H4597" s="213"/>
    </row>
    <row r="4598" spans="1:10">
      <c r="A4598" s="223" t="s">
        <v>4097</v>
      </c>
      <c r="B4598" s="72"/>
      <c r="C4598" s="72"/>
      <c r="D4598" s="73"/>
      <c r="E4598" s="78"/>
      <c r="F4598" s="79">
        <v>0</v>
      </c>
      <c r="G4598" s="80">
        <f>F4598*H4563</f>
        <v>0</v>
      </c>
      <c r="H4598" s="212"/>
    </row>
    <row r="4599" spans="1:10">
      <c r="A4599" s="224" t="s">
        <v>4240</v>
      </c>
      <c r="B4599" s="81"/>
      <c r="C4599" s="81"/>
      <c r="D4599" s="82"/>
      <c r="E4599" s="78"/>
      <c r="F4599" s="79">
        <v>0</v>
      </c>
      <c r="G4599" s="80">
        <f>F4599*H4563</f>
        <v>0</v>
      </c>
      <c r="H4599" s="212"/>
    </row>
    <row r="4600" spans="1:10">
      <c r="A4600" s="224" t="s">
        <v>4</v>
      </c>
      <c r="B4600" s="81"/>
      <c r="C4600" s="81"/>
      <c r="D4600" s="82"/>
      <c r="E4600" s="78"/>
      <c r="F4600" s="79">
        <v>0</v>
      </c>
      <c r="G4600" s="80">
        <f>F4600*H4563</f>
        <v>0</v>
      </c>
      <c r="H4600" s="212"/>
    </row>
    <row r="4601" spans="1:10">
      <c r="A4601" s="225"/>
      <c r="B4601" s="83"/>
      <c r="C4601" s="75"/>
      <c r="D4601" s="84"/>
      <c r="E4601" s="85"/>
      <c r="F4601" s="86"/>
      <c r="G4601" s="87"/>
      <c r="H4601" s="214"/>
    </row>
    <row r="4602" spans="1:10">
      <c r="A4602" s="226"/>
      <c r="B4602" s="83"/>
      <c r="C4602" s="83"/>
      <c r="D4602" s="84"/>
      <c r="E4602" s="88"/>
      <c r="F4602" s="563" t="s">
        <v>4241</v>
      </c>
      <c r="G4602" s="564"/>
      <c r="H4602" s="233">
        <f>H4563+G4598+G4599+G4600</f>
        <v>860706.57499999995</v>
      </c>
    </row>
    <row r="4605" spans="1:10" ht="16.5">
      <c r="A4605" s="90"/>
      <c r="B4605" s="90"/>
      <c r="C4605" s="90"/>
      <c r="D4605" s="90"/>
      <c r="E4605" s="90"/>
      <c r="F4605" s="90"/>
      <c r="G4605" s="90"/>
      <c r="H4605" s="381"/>
    </row>
    <row r="4606" spans="1:10">
      <c r="A4606" s="579" t="s">
        <v>4225</v>
      </c>
      <c r="B4606" s="580"/>
      <c r="C4606" s="580"/>
      <c r="D4606" s="580"/>
      <c r="E4606" s="580"/>
      <c r="F4606" s="580"/>
      <c r="G4606" s="580"/>
      <c r="H4606" s="581"/>
    </row>
    <row r="4607" spans="1:10" ht="16.5">
      <c r="A4607" s="91"/>
      <c r="B4607" s="92"/>
      <c r="C4607" s="92"/>
      <c r="D4607" s="92"/>
      <c r="E4607" s="92"/>
      <c r="F4607" s="93"/>
      <c r="G4607" s="94"/>
      <c r="H4607" s="380">
        <f>ROUND((110/60)/8,4)</f>
        <v>0.22919999999999999</v>
      </c>
      <c r="I4607" s="115"/>
    </row>
    <row r="4608" spans="1:10">
      <c r="A4608" s="582" t="s">
        <v>4220</v>
      </c>
      <c r="B4608" s="584" t="str">
        <f>COSTOS!$C$14</f>
        <v>MODERNIZACION A TECNOLOGIA LED</v>
      </c>
      <c r="C4608" s="584"/>
      <c r="D4608" s="584"/>
      <c r="E4608" s="584"/>
      <c r="F4608" s="584"/>
      <c r="G4608" s="584"/>
      <c r="H4608" s="585" t="s">
        <v>4221</v>
      </c>
    </row>
    <row r="4609" spans="1:15">
      <c r="A4609" s="583"/>
      <c r="B4609" s="584"/>
      <c r="C4609" s="584"/>
      <c r="D4609" s="584"/>
      <c r="E4609" s="584"/>
      <c r="F4609" s="584"/>
      <c r="G4609" s="584"/>
      <c r="H4609" s="585"/>
    </row>
    <row r="4610" spans="1:15">
      <c r="A4610" s="583"/>
      <c r="B4610" s="584"/>
      <c r="C4610" s="584"/>
      <c r="D4610" s="584"/>
      <c r="E4610" s="584"/>
      <c r="F4610" s="584"/>
      <c r="G4610" s="584"/>
      <c r="H4610" s="585"/>
    </row>
    <row r="4611" spans="1:15" ht="15" customHeight="1">
      <c r="A4611" s="583"/>
      <c r="B4611" s="584"/>
      <c r="C4611" s="584"/>
      <c r="D4611" s="584"/>
      <c r="E4611" s="584"/>
      <c r="F4611" s="584"/>
      <c r="G4611" s="584"/>
      <c r="H4611" s="216">
        <f ca="1">TODAY()</f>
        <v>44889</v>
      </c>
      <c r="K4611" t="s">
        <v>4391</v>
      </c>
      <c r="L4611" t="s">
        <v>4392</v>
      </c>
      <c r="M4611" t="s">
        <v>4393</v>
      </c>
      <c r="N4611" t="s">
        <v>4394</v>
      </c>
    </row>
    <row r="4612" spans="1:15" ht="60.75" customHeight="1">
      <c r="A4612" s="228" t="s">
        <v>4222</v>
      </c>
      <c r="B4612" s="565" t="str">
        <f>COSTOS!$D$16</f>
        <v>Luminarias</v>
      </c>
      <c r="C4612" s="565"/>
      <c r="D4612" s="565"/>
      <c r="E4612" s="565"/>
      <c r="F4612" s="565"/>
      <c r="G4612" s="70" t="s">
        <v>4223</v>
      </c>
      <c r="H4612" s="387">
        <v>2.6</v>
      </c>
      <c r="K4612" s="62">
        <f>H4637</f>
        <v>1050865.2000000002</v>
      </c>
      <c r="L4612" s="62">
        <f>H4647</f>
        <v>82453.324799999988</v>
      </c>
      <c r="M4612" s="62">
        <f>H4620</f>
        <v>9351.9329999999991</v>
      </c>
      <c r="N4612" s="62">
        <f>H4641</f>
        <v>4800</v>
      </c>
    </row>
    <row r="4613" spans="1:15" ht="43.15" customHeight="1">
      <c r="A4613" s="229" t="s">
        <v>4224</v>
      </c>
      <c r="B4613" s="566" t="str">
        <f>VLOOKUP(H4612,COSTOS!C:M,2,0)</f>
        <v>Poste metalico de 4 metros para reflectores</v>
      </c>
      <c r="C4613" s="567"/>
      <c r="D4613" s="567"/>
      <c r="E4613" s="568"/>
      <c r="F4613" s="71" t="s">
        <v>0</v>
      </c>
      <c r="G4613" s="356" t="str">
        <f>VLOOKUP(H4612,COSTOS!C:M,8,0)</f>
        <v>Und</v>
      </c>
      <c r="H4613" s="276"/>
      <c r="I4613" s="306"/>
      <c r="J4613" s="308"/>
      <c r="K4613" s="308"/>
      <c r="L4613" s="308"/>
    </row>
    <row r="4614" spans="1:15">
      <c r="A4614" s="230"/>
      <c r="B4614" s="112"/>
      <c r="C4614" s="112"/>
      <c r="D4614" s="112"/>
      <c r="E4614" s="113"/>
      <c r="F4614" s="114" t="s">
        <v>1</v>
      </c>
      <c r="G4614" s="356">
        <f>VLOOKUP(H4612,COSTOS!C:M,9,0)</f>
        <v>0</v>
      </c>
      <c r="H4614" s="357"/>
      <c r="I4614" s="307"/>
    </row>
    <row r="4615" spans="1:15" ht="16.5">
      <c r="A4615" s="231" t="s">
        <v>4226</v>
      </c>
      <c r="B4615" s="75"/>
      <c r="C4615" s="75"/>
      <c r="D4615" s="76"/>
      <c r="E4615" s="209"/>
      <c r="F4615" s="210"/>
      <c r="G4615" s="211" t="s">
        <v>4227</v>
      </c>
      <c r="H4615" s="217">
        <f>H4620+H4637+H4641+H4647</f>
        <v>1147470.4578000002</v>
      </c>
    </row>
    <row r="4616" spans="1:15" ht="39">
      <c r="A4616" s="569" t="s">
        <v>4224</v>
      </c>
      <c r="B4616" s="569"/>
      <c r="C4616" s="569"/>
      <c r="D4616" s="77" t="s">
        <v>0</v>
      </c>
      <c r="E4616" s="207" t="s">
        <v>4228</v>
      </c>
      <c r="F4616" s="208" t="s">
        <v>4215</v>
      </c>
      <c r="G4616" s="74" t="s">
        <v>2</v>
      </c>
      <c r="H4616" s="218" t="s">
        <v>4229</v>
      </c>
      <c r="K4616" s="309"/>
    </row>
    <row r="4617" spans="1:15">
      <c r="A4617" s="536" t="s">
        <v>3946</v>
      </c>
      <c r="B4617" s="570" t="str">
        <f>VLOOKUP(A4617,'Equip, Herr y Transp'!$B$2:$D$739,2,0)</f>
        <v>EQU</v>
      </c>
      <c r="C4617" s="570"/>
      <c r="D4617" s="95" t="str">
        <f>VLOOKUP(A4617,'Equip, Herr y Transp'!$B$2:$D$218,2,0)</f>
        <v>EQU</v>
      </c>
      <c r="E4617" s="95">
        <f>VLOOKUP(A4617,'Equip, Herr y Transp'!$B$2:$D$218,3,0)</f>
        <v>14130</v>
      </c>
      <c r="F4617" s="96">
        <f>H4607</f>
        <v>0.22919999999999999</v>
      </c>
      <c r="G4617" s="122">
        <f>F4617*E4617</f>
        <v>3238.596</v>
      </c>
      <c r="H4617" s="118"/>
    </row>
    <row r="4618" spans="1:15">
      <c r="A4618" s="536" t="s">
        <v>3904</v>
      </c>
      <c r="B4618" s="570" t="str">
        <f>VLOOKUP(A4618,'Equip, Herr y Transp'!$B$2:$D$739,2,0)</f>
        <v>EQU</v>
      </c>
      <c r="C4618" s="570"/>
      <c r="D4618" s="95" t="str">
        <f>VLOOKUP(A4618,'Equip, Herr y Transp'!$B$2:$D$218,2,0)</f>
        <v>EQU</v>
      </c>
      <c r="E4618" s="95">
        <f>VLOOKUP(A4618,'Equip, Herr y Transp'!$B$2:$D$218,3,0)</f>
        <v>26672.5</v>
      </c>
      <c r="F4618" s="96">
        <f>H4607</f>
        <v>0.22919999999999999</v>
      </c>
      <c r="G4618" s="122">
        <f>F4618*E4618</f>
        <v>6113.3369999999995</v>
      </c>
      <c r="H4618" s="117"/>
    </row>
    <row r="4619" spans="1:15">
      <c r="A4619" s="536" t="s">
        <v>8</v>
      </c>
      <c r="B4619" s="570">
        <f>VLOOKUP(A4619,'Equip, Herr y Transp'!$B$2:$D$739,2,0)</f>
        <v>0</v>
      </c>
      <c r="C4619" s="570"/>
      <c r="D4619" s="95">
        <f>VLOOKUP(A4619,'Equip, Herr y Transp'!$B$2:$D$218,2,0)</f>
        <v>0</v>
      </c>
      <c r="E4619" s="95">
        <f>VLOOKUP(A4619,'Equip, Herr y Transp'!$B$2:$D$218,3,0)</f>
        <v>0</v>
      </c>
      <c r="F4619" s="96"/>
      <c r="G4619" s="122">
        <f>F4619*E4619</f>
        <v>0</v>
      </c>
      <c r="H4619" s="117"/>
    </row>
    <row r="4620" spans="1:15" ht="16.5">
      <c r="A4620" s="540" t="s">
        <v>4100</v>
      </c>
      <c r="B4620" s="541"/>
      <c r="C4620" s="541"/>
      <c r="D4620" s="541"/>
      <c r="E4620" s="541"/>
      <c r="F4620" s="541"/>
      <c r="G4620" s="541"/>
      <c r="H4620" s="97">
        <f>SUM(G4617:G4619)</f>
        <v>9351.9329999999991</v>
      </c>
    </row>
    <row r="4621" spans="1:15" ht="16.5">
      <c r="A4621" s="571" t="s">
        <v>4230</v>
      </c>
      <c r="B4621" s="572"/>
      <c r="C4621" s="572"/>
      <c r="D4621" s="572"/>
      <c r="E4621" s="572"/>
      <c r="F4621" s="572"/>
      <c r="G4621" s="572"/>
      <c r="H4621" s="573"/>
      <c r="K4621" s="56"/>
      <c r="L4621" s="56"/>
      <c r="M4621" s="56"/>
      <c r="N4621" s="56"/>
      <c r="O4621" s="56"/>
    </row>
    <row r="4622" spans="1:15" ht="30" customHeight="1">
      <c r="A4622" s="574" t="s">
        <v>7</v>
      </c>
      <c r="B4622" s="575"/>
      <c r="C4622" s="109" t="s">
        <v>0</v>
      </c>
      <c r="D4622" s="110" t="s">
        <v>4098</v>
      </c>
      <c r="E4622" s="111" t="s">
        <v>1</v>
      </c>
      <c r="F4622" s="576" t="s">
        <v>4218</v>
      </c>
      <c r="G4622" s="576"/>
      <c r="H4622" s="215"/>
      <c r="K4622" s="56"/>
      <c r="L4622" s="56"/>
      <c r="M4622" s="56"/>
      <c r="N4622" s="56"/>
      <c r="O4622" s="56"/>
    </row>
    <row r="4623" spans="1:15">
      <c r="A4623" s="577" t="s">
        <v>4643</v>
      </c>
      <c r="B4623" s="578"/>
      <c r="C4623" s="98" t="str">
        <f>VLOOKUP(A4623,'Materiales '!$C$2:$F$1302,3,0)</f>
        <v>Und</v>
      </c>
      <c r="D4623" s="99">
        <f>VLOOKUP(A4623,'Materiales '!$C$2:$F$1302,4,0)</f>
        <v>981750.00000000012</v>
      </c>
      <c r="E4623" s="100">
        <v>1</v>
      </c>
      <c r="F4623" s="538">
        <f>E4623*D4623</f>
        <v>981750.00000000012</v>
      </c>
      <c r="G4623" s="539"/>
      <c r="H4623" s="121"/>
      <c r="I4623">
        <f>E4623*G4614</f>
        <v>0</v>
      </c>
      <c r="J4623" s="67"/>
      <c r="K4623" s="56"/>
      <c r="L4623" s="56"/>
      <c r="M4623" s="56"/>
      <c r="N4623" s="56"/>
      <c r="O4623" s="56"/>
    </row>
    <row r="4624" spans="1:15">
      <c r="A4624" s="577" t="s">
        <v>4628</v>
      </c>
      <c r="B4624" s="578"/>
      <c r="C4624" s="98" t="str">
        <f>VLOOKUP(A4624,'Materiales '!$C$2:$F$1302,3,0)</f>
        <v>Rollo</v>
      </c>
      <c r="D4624" s="99">
        <f>VLOOKUP(A4624,'Materiales '!$C$2:$F$1302,4,0)</f>
        <v>138230.39999999999</v>
      </c>
      <c r="E4624" s="100">
        <v>0.5</v>
      </c>
      <c r="F4624" s="538">
        <f t="shared" ref="F4624:F4630" si="271">E4624*D4624</f>
        <v>69115.199999999997</v>
      </c>
      <c r="G4624" s="539"/>
      <c r="H4624" s="121"/>
      <c r="I4624">
        <f>E4624*G4614</f>
        <v>0</v>
      </c>
      <c r="J4624" s="67"/>
      <c r="K4624" s="56"/>
      <c r="L4624" s="56"/>
      <c r="M4624" s="56"/>
      <c r="N4624" s="56"/>
      <c r="O4624" s="56"/>
    </row>
    <row r="4625" spans="1:15">
      <c r="A4625" s="536" t="s">
        <v>8</v>
      </c>
      <c r="B4625" s="537" t="str">
        <f>VLOOKUP(A4625,'Materiales '!$C$2:$F$1302,3,0)</f>
        <v>-</v>
      </c>
      <c r="C4625" s="98" t="str">
        <f>VLOOKUP(A4625,'Materiales '!$C$2:$F$1302,3,0)</f>
        <v>-</v>
      </c>
      <c r="D4625" s="99">
        <f>VLOOKUP(A4625,'Materiales '!$C$2:$F$1302,4,0)</f>
        <v>0</v>
      </c>
      <c r="E4625" s="100">
        <v>1</v>
      </c>
      <c r="F4625" s="538">
        <f t="shared" si="271"/>
        <v>0</v>
      </c>
      <c r="G4625" s="539"/>
      <c r="H4625" s="121"/>
      <c r="I4625">
        <f>E4625*G4614</f>
        <v>0</v>
      </c>
      <c r="J4625" s="68"/>
      <c r="K4625" s="56"/>
      <c r="L4625" s="56"/>
      <c r="M4625" s="56"/>
      <c r="N4625" s="56"/>
      <c r="O4625" s="56"/>
    </row>
    <row r="4626" spans="1:15">
      <c r="A4626" s="536" t="s">
        <v>8</v>
      </c>
      <c r="B4626" s="537" t="str">
        <f>VLOOKUP(A4626,'Materiales '!$C$2:$F$1302,3,0)</f>
        <v>-</v>
      </c>
      <c r="C4626" s="98" t="str">
        <f>VLOOKUP(A4626,'Materiales '!$C$2:$F$1302,3,0)</f>
        <v>-</v>
      </c>
      <c r="D4626" s="99">
        <f>VLOOKUP(A4626,'Materiales '!$C$2:$F$1302,4,0)</f>
        <v>0</v>
      </c>
      <c r="E4626" s="100">
        <v>3</v>
      </c>
      <c r="F4626" s="538">
        <f t="shared" si="271"/>
        <v>0</v>
      </c>
      <c r="G4626" s="539"/>
      <c r="H4626" s="121"/>
      <c r="I4626">
        <f>E4626*G4614</f>
        <v>0</v>
      </c>
      <c r="J4626" s="68"/>
      <c r="K4626" s="56"/>
      <c r="L4626" s="56"/>
      <c r="M4626" s="56"/>
      <c r="N4626" s="56"/>
      <c r="O4626" s="56"/>
    </row>
    <row r="4627" spans="1:15">
      <c r="A4627" s="536" t="s">
        <v>8</v>
      </c>
      <c r="B4627" s="537" t="str">
        <f>VLOOKUP(A4627,'Materiales '!$C$2:$F$1302,3,0)</f>
        <v>-</v>
      </c>
      <c r="C4627" s="98" t="str">
        <f>VLOOKUP(A4627,'Materiales '!$C$2:$F$1302,3,0)</f>
        <v>-</v>
      </c>
      <c r="D4627" s="99">
        <f>VLOOKUP(A4627,'Materiales '!$C$2:$F$1302,4,0)</f>
        <v>0</v>
      </c>
      <c r="E4627" s="100">
        <v>2</v>
      </c>
      <c r="F4627" s="538">
        <f t="shared" si="271"/>
        <v>0</v>
      </c>
      <c r="G4627" s="539"/>
      <c r="H4627" s="121"/>
      <c r="I4627">
        <f>E4627*G4614</f>
        <v>0</v>
      </c>
      <c r="J4627" s="68"/>
      <c r="K4627" s="56"/>
      <c r="L4627" s="56"/>
      <c r="M4627" s="56"/>
      <c r="N4627" s="56"/>
      <c r="O4627" s="56"/>
    </row>
    <row r="4628" spans="1:15">
      <c r="A4628" s="536" t="s">
        <v>8</v>
      </c>
      <c r="B4628" s="537" t="str">
        <f>VLOOKUP(A4628,'Materiales '!$C$2:$F$1302,3,0)</f>
        <v>-</v>
      </c>
      <c r="C4628" s="98" t="str">
        <f>VLOOKUP(A4628,'Materiales '!$C$2:$F$1302,3,0)</f>
        <v>-</v>
      </c>
      <c r="D4628" s="99">
        <f>VLOOKUP(A4628,'Materiales '!$C$2:$F$1302,4,0)</f>
        <v>0</v>
      </c>
      <c r="E4628" s="100">
        <v>8</v>
      </c>
      <c r="F4628" s="538">
        <f t="shared" si="271"/>
        <v>0</v>
      </c>
      <c r="G4628" s="539"/>
      <c r="H4628" s="121"/>
      <c r="I4628">
        <f>E4628*G4614</f>
        <v>0</v>
      </c>
      <c r="J4628" s="68"/>
      <c r="K4628" s="56"/>
      <c r="L4628" s="56"/>
      <c r="M4628" s="56"/>
      <c r="N4628" s="56"/>
      <c r="O4628" s="56"/>
    </row>
    <row r="4629" spans="1:15">
      <c r="A4629" s="536" t="s">
        <v>8</v>
      </c>
      <c r="B4629" s="537" t="str">
        <f>VLOOKUP(A4629,'Materiales '!$C$2:$F$1302,3,0)</f>
        <v>-</v>
      </c>
      <c r="C4629" s="98" t="str">
        <f>VLOOKUP(A4629,'Materiales '!$C$2:$F$1302,3,0)</f>
        <v>-</v>
      </c>
      <c r="D4629" s="99">
        <f>VLOOKUP(A4629,'Materiales '!$C$2:$F$1302,4,0)</f>
        <v>0</v>
      </c>
      <c r="E4629" s="100">
        <v>3</v>
      </c>
      <c r="F4629" s="538">
        <f t="shared" si="271"/>
        <v>0</v>
      </c>
      <c r="G4629" s="539"/>
      <c r="H4629" s="121"/>
      <c r="I4629">
        <f>E4629*G4614</f>
        <v>0</v>
      </c>
      <c r="J4629" s="68"/>
      <c r="K4629" s="56"/>
      <c r="L4629" s="56"/>
      <c r="M4629" s="56"/>
      <c r="N4629" s="56"/>
      <c r="O4629" s="56"/>
    </row>
    <row r="4630" spans="1:15" ht="21.75" customHeight="1">
      <c r="A4630" s="536" t="s">
        <v>8</v>
      </c>
      <c r="B4630" s="537" t="str">
        <f>VLOOKUP(A4630,'Materiales '!$C$2:$F$1302,3,0)</f>
        <v>-</v>
      </c>
      <c r="C4630" s="98" t="str">
        <f>VLOOKUP(A4630,'Materiales '!$C$2:$F$1302,3,0)</f>
        <v>-</v>
      </c>
      <c r="D4630" s="99">
        <f>VLOOKUP(A4630,'Materiales '!$C$2:$F$1302,4,0)</f>
        <v>0</v>
      </c>
      <c r="E4630" s="100">
        <v>0.5</v>
      </c>
      <c r="F4630" s="538">
        <f t="shared" si="271"/>
        <v>0</v>
      </c>
      <c r="G4630" s="539"/>
      <c r="H4630" s="121"/>
      <c r="I4630">
        <f>E4630*G4614</f>
        <v>0</v>
      </c>
      <c r="J4630" s="68"/>
      <c r="K4630" s="56"/>
      <c r="L4630" s="56"/>
      <c r="M4630" s="56"/>
      <c r="N4630" s="56"/>
      <c r="O4630" s="56"/>
    </row>
    <row r="4631" spans="1:15">
      <c r="A4631" s="536" t="s">
        <v>8</v>
      </c>
      <c r="B4631" s="537" t="str">
        <f>VLOOKUP(A4631,'Materiales '!$C$2:$F$1302,3,0)</f>
        <v>-</v>
      </c>
      <c r="C4631" s="98" t="str">
        <f>VLOOKUP(A4631,'Materiales '!$C$2:$F$1302,3,0)</f>
        <v>-</v>
      </c>
      <c r="D4631" s="99">
        <f>VLOOKUP(A4631,'Materiales '!$C$2:$F$1302,4,0)</f>
        <v>0</v>
      </c>
      <c r="E4631" s="100"/>
      <c r="F4631" s="538">
        <f>E4631*D4631</f>
        <v>0</v>
      </c>
      <c r="G4631" s="539"/>
      <c r="H4631" s="120"/>
      <c r="I4631">
        <f>E4631*G4614</f>
        <v>0</v>
      </c>
      <c r="J4631" s="68"/>
      <c r="K4631" s="56"/>
      <c r="L4631" s="56"/>
      <c r="M4631" s="56"/>
      <c r="N4631" s="56"/>
      <c r="O4631" s="56"/>
    </row>
    <row r="4632" spans="1:15">
      <c r="A4632" s="536" t="s">
        <v>8</v>
      </c>
      <c r="B4632" s="537" t="str">
        <f>VLOOKUP(A4632,'Materiales '!$C$2:$F$1302,3,0)</f>
        <v>-</v>
      </c>
      <c r="C4632" s="98" t="str">
        <f>VLOOKUP(A4632,'Materiales '!$C$2:$F$1302,3,0)</f>
        <v>-</v>
      </c>
      <c r="D4632" s="99">
        <f>VLOOKUP(A4632,'Materiales '!$C$2:$F$1302,4,0)</f>
        <v>0</v>
      </c>
      <c r="E4632" s="100"/>
      <c r="F4632" s="538">
        <f t="shared" ref="F4632:F4635" si="272">E4632*D4632</f>
        <v>0</v>
      </c>
      <c r="G4632" s="539"/>
      <c r="H4632" s="121"/>
      <c r="I4632">
        <f>E4632*G4614</f>
        <v>0</v>
      </c>
      <c r="J4632" s="68"/>
      <c r="K4632" s="56"/>
      <c r="L4632" s="56"/>
      <c r="M4632" s="56"/>
      <c r="N4632" s="56"/>
      <c r="O4632" s="56"/>
    </row>
    <row r="4633" spans="1:15">
      <c r="A4633" s="536" t="s">
        <v>8</v>
      </c>
      <c r="B4633" s="537" t="str">
        <f>VLOOKUP(A4633,'Materiales '!$C$2:$F$1302,3,0)</f>
        <v>-</v>
      </c>
      <c r="C4633" s="98" t="str">
        <f>VLOOKUP(A4633,'Materiales '!$C$2:$F$1302,3,0)</f>
        <v>-</v>
      </c>
      <c r="D4633" s="99">
        <f>VLOOKUP(A4633,'Materiales '!$C$2:$F$1302,4,0)</f>
        <v>0</v>
      </c>
      <c r="E4633" s="100"/>
      <c r="F4633" s="538">
        <f t="shared" si="272"/>
        <v>0</v>
      </c>
      <c r="G4633" s="539"/>
      <c r="H4633" s="121"/>
      <c r="I4633">
        <f>E4633*G4614</f>
        <v>0</v>
      </c>
      <c r="J4633" s="68"/>
      <c r="K4633" s="56"/>
      <c r="L4633" s="56"/>
      <c r="M4633" s="56"/>
      <c r="N4633" s="56"/>
      <c r="O4633" s="56"/>
    </row>
    <row r="4634" spans="1:15">
      <c r="A4634" s="536" t="s">
        <v>8</v>
      </c>
      <c r="B4634" s="537" t="str">
        <f>VLOOKUP(A4634,'Materiales '!$C$2:$F$1302,3,0)</f>
        <v>-</v>
      </c>
      <c r="C4634" s="98" t="str">
        <f>VLOOKUP(A4634,'Materiales '!$C$2:$F$1302,3,0)</f>
        <v>-</v>
      </c>
      <c r="D4634" s="99">
        <f>VLOOKUP(A4634,'Materiales '!$C$2:$F$1302,4,0)</f>
        <v>0</v>
      </c>
      <c r="E4634" s="100"/>
      <c r="F4634" s="538">
        <f t="shared" si="272"/>
        <v>0</v>
      </c>
      <c r="G4634" s="539"/>
      <c r="H4634" s="121"/>
      <c r="I4634">
        <f>E4634*G4614</f>
        <v>0</v>
      </c>
      <c r="J4634" s="68"/>
      <c r="K4634" s="56"/>
      <c r="L4634" s="56"/>
      <c r="M4634" s="56"/>
      <c r="N4634" s="56"/>
      <c r="O4634" s="56"/>
    </row>
    <row r="4635" spans="1:15">
      <c r="A4635" s="536" t="s">
        <v>8</v>
      </c>
      <c r="B4635" s="537" t="str">
        <f>VLOOKUP(A4635,'Materiales '!$C$2:$F$1302,3,0)</f>
        <v>-</v>
      </c>
      <c r="C4635" s="98" t="str">
        <f>VLOOKUP(A4635,'Materiales '!$C$2:$F$1302,3,0)</f>
        <v>-</v>
      </c>
      <c r="D4635" s="99">
        <f>VLOOKUP(A4635,'Materiales '!$C$2:$F$1302,4,0)</f>
        <v>0</v>
      </c>
      <c r="E4635" s="100"/>
      <c r="F4635" s="538">
        <f t="shared" si="272"/>
        <v>0</v>
      </c>
      <c r="G4635" s="539"/>
      <c r="H4635" s="121"/>
      <c r="I4635">
        <f>E4635*G4614</f>
        <v>0</v>
      </c>
      <c r="J4635" s="68"/>
      <c r="K4635" s="56"/>
      <c r="L4635" s="56"/>
      <c r="M4635" s="56"/>
      <c r="N4635" s="56"/>
      <c r="O4635" s="56"/>
    </row>
    <row r="4636" spans="1:15">
      <c r="A4636" s="536" t="s">
        <v>8</v>
      </c>
      <c r="B4636" s="537" t="str">
        <f>VLOOKUP(A4636,'Materiales '!$C$2:$F$1302,3,0)</f>
        <v>-</v>
      </c>
      <c r="C4636" s="98" t="str">
        <f>VLOOKUP(A4636,'Materiales '!$C$2:$F$1302,3,0)</f>
        <v>-</v>
      </c>
      <c r="D4636" s="99">
        <f>VLOOKUP(A4636,'Materiales '!$C$2:$F$1302,4,0)</f>
        <v>0</v>
      </c>
      <c r="E4636" s="100"/>
      <c r="F4636" s="538">
        <f>E4636*D4636</f>
        <v>0</v>
      </c>
      <c r="G4636" s="539"/>
      <c r="H4636" s="120"/>
      <c r="I4636">
        <f>E4636*G4614</f>
        <v>0</v>
      </c>
      <c r="J4636" s="68"/>
      <c r="K4636" s="56"/>
      <c r="L4636" s="56"/>
      <c r="M4636" s="56"/>
      <c r="N4636" s="56"/>
      <c r="O4636" s="56"/>
    </row>
    <row r="4637" spans="1:15" ht="16.5">
      <c r="A4637" s="540" t="s">
        <v>4099</v>
      </c>
      <c r="B4637" s="541"/>
      <c r="C4637" s="541"/>
      <c r="D4637" s="541"/>
      <c r="E4637" s="541"/>
      <c r="F4637" s="541"/>
      <c r="G4637" s="542"/>
      <c r="H4637" s="116">
        <f>SUM(F4623:F4636)</f>
        <v>1050865.2000000002</v>
      </c>
      <c r="J4637" s="68"/>
      <c r="K4637" s="56"/>
      <c r="L4637" s="56"/>
      <c r="M4637" s="56"/>
      <c r="N4637" s="56"/>
      <c r="O4637" s="56"/>
    </row>
    <row r="4638" spans="1:15" ht="16.5">
      <c r="A4638" s="543" t="s">
        <v>4231</v>
      </c>
      <c r="B4638" s="544"/>
      <c r="C4638" s="544"/>
      <c r="D4638" s="544"/>
      <c r="E4638" s="545"/>
      <c r="F4638" s="544"/>
      <c r="G4638" s="544"/>
      <c r="H4638" s="546"/>
      <c r="J4638" s="68"/>
      <c r="K4638" s="56"/>
      <c r="L4638" s="56"/>
      <c r="M4638" s="56"/>
      <c r="N4638" s="56"/>
      <c r="O4638" s="56"/>
    </row>
    <row r="4639" spans="1:15">
      <c r="A4639" s="547" t="s">
        <v>7</v>
      </c>
      <c r="B4639" s="548"/>
      <c r="C4639" s="108" t="s">
        <v>4232</v>
      </c>
      <c r="D4639" s="107" t="s">
        <v>4233</v>
      </c>
      <c r="E4639" s="206" t="s">
        <v>4234</v>
      </c>
      <c r="F4639" s="549" t="s">
        <v>4218</v>
      </c>
      <c r="G4639" s="549"/>
      <c r="H4639" s="119"/>
      <c r="K4639" s="56"/>
      <c r="L4639" s="56"/>
      <c r="M4639" s="56"/>
      <c r="N4639" s="56"/>
      <c r="O4639" s="56"/>
    </row>
    <row r="4640" spans="1:15">
      <c r="A4640" s="550" t="s">
        <v>3928</v>
      </c>
      <c r="B4640" s="551"/>
      <c r="C4640" s="232">
        <v>1</v>
      </c>
      <c r="D4640" s="102">
        <v>0.03</v>
      </c>
      <c r="E4640" s="103">
        <f>VLOOKUP(A4640,'Equip, Herr y Transp'!$B$2:$D$218,3,0)</f>
        <v>160000</v>
      </c>
      <c r="F4640" s="552">
        <f>E4640*D4640*C4640</f>
        <v>4800</v>
      </c>
      <c r="G4640" s="553"/>
      <c r="H4640" s="117"/>
      <c r="M4640" s="56"/>
    </row>
    <row r="4641" spans="1:10" ht="16.5">
      <c r="A4641" s="554" t="s">
        <v>4216</v>
      </c>
      <c r="B4641" s="555"/>
      <c r="C4641" s="555"/>
      <c r="D4641" s="555"/>
      <c r="E4641" s="555"/>
      <c r="F4641" s="555"/>
      <c r="G4641" s="555"/>
      <c r="H4641" s="105">
        <f>F4640</f>
        <v>4800</v>
      </c>
    </row>
    <row r="4642" spans="1:10" ht="16.5">
      <c r="A4642" s="543" t="s">
        <v>4235</v>
      </c>
      <c r="B4642" s="544"/>
      <c r="C4642" s="544"/>
      <c r="D4642" s="544"/>
      <c r="E4642" s="544"/>
      <c r="F4642" s="544"/>
      <c r="G4642" s="544"/>
      <c r="H4642" s="546"/>
    </row>
    <row r="4643" spans="1:10">
      <c r="A4643" s="547" t="s">
        <v>7</v>
      </c>
      <c r="B4643" s="548"/>
      <c r="C4643" s="106" t="s">
        <v>1</v>
      </c>
      <c r="D4643" s="107" t="s">
        <v>4236</v>
      </c>
      <c r="E4643" s="108" t="s">
        <v>4215</v>
      </c>
      <c r="F4643" s="547" t="s">
        <v>5</v>
      </c>
      <c r="G4643" s="556"/>
      <c r="H4643" s="119"/>
    </row>
    <row r="4644" spans="1:10">
      <c r="A4644" s="550" t="s">
        <v>4196</v>
      </c>
      <c r="B4644" s="551"/>
      <c r="C4644" s="101">
        <v>1</v>
      </c>
      <c r="D4644" s="104">
        <f>VLOOKUP(A4644,'Mano Obra'!$B$2:$T$117,19,0)</f>
        <v>166624</v>
      </c>
      <c r="E4644" s="246">
        <f>H4607</f>
        <v>0.22919999999999999</v>
      </c>
      <c r="F4644" s="538">
        <f>E4644*D4644*C4644</f>
        <v>38190.220799999996</v>
      </c>
      <c r="G4644" s="557"/>
      <c r="H4644" s="121"/>
      <c r="I4644" s="69"/>
      <c r="J4644" s="136">
        <f>((('Mano Obra'!$M$4/30)*F4644)/D4644)*G4614</f>
        <v>0</v>
      </c>
    </row>
    <row r="4645" spans="1:10">
      <c r="A4645" s="558" t="s">
        <v>4197</v>
      </c>
      <c r="B4645" s="559">
        <f>VLOOKUP(A4645,'Mano Obra'!$B$3:$D$290,2,0)</f>
        <v>2090000.0000000002</v>
      </c>
      <c r="C4645" s="101">
        <v>1</v>
      </c>
      <c r="D4645" s="104">
        <f>VLOOKUP(A4645,'Mano Obra'!$B$2:$T$117,19,0)</f>
        <v>120456</v>
      </c>
      <c r="E4645" s="246">
        <f>H4607</f>
        <v>0.22919999999999999</v>
      </c>
      <c r="F4645" s="538">
        <f t="shared" ref="F4645:F4646" si="273">E4645*D4645*C4645</f>
        <v>27608.515199999998</v>
      </c>
      <c r="G4645" s="557"/>
      <c r="H4645" s="121"/>
      <c r="J4645" s="136">
        <f>((('Mano Obra'!$M$5/30)*F4645)/D4645)*G4614</f>
        <v>0</v>
      </c>
    </row>
    <row r="4646" spans="1:10">
      <c r="A4646" s="558" t="s">
        <v>4186</v>
      </c>
      <c r="B4646" s="559">
        <f>VLOOKUP(A4646,'Mano Obra'!$B$3:$D$290,2,0)</f>
        <v>1100000</v>
      </c>
      <c r="C4646" s="101">
        <v>1</v>
      </c>
      <c r="D4646" s="104">
        <f>VLOOKUP(A4646,'Mano Obra'!$B$2:$T$117,19,0)</f>
        <v>72664</v>
      </c>
      <c r="E4646" s="246">
        <f>H4607</f>
        <v>0.22919999999999999</v>
      </c>
      <c r="F4646" s="538">
        <f t="shared" si="273"/>
        <v>16654.588799999998</v>
      </c>
      <c r="G4646" s="557"/>
      <c r="H4646" s="120"/>
      <c r="J4646" s="136">
        <f>((('Mano Obra'!$M$6/30)*F4646)/D4646)*G4614</f>
        <v>0</v>
      </c>
    </row>
    <row r="4647" spans="1:10" ht="16.5">
      <c r="A4647" s="560" t="s">
        <v>4101</v>
      </c>
      <c r="B4647" s="560"/>
      <c r="C4647" s="560"/>
      <c r="D4647" s="560"/>
      <c r="E4647" s="560"/>
      <c r="F4647" s="560"/>
      <c r="G4647" s="560"/>
      <c r="H4647" s="105">
        <f>SUM(F4644:F4646)</f>
        <v>82453.324799999988</v>
      </c>
      <c r="J4647" s="136"/>
    </row>
    <row r="4648" spans="1:10">
      <c r="A4648" s="227" t="s">
        <v>4237</v>
      </c>
      <c r="B4648" s="205"/>
      <c r="C4648" s="205"/>
      <c r="D4648" s="202"/>
      <c r="E4648" s="203"/>
      <c r="F4648" s="204"/>
      <c r="G4648" s="203"/>
      <c r="H4648" s="212"/>
    </row>
    <row r="4649" spans="1:10">
      <c r="A4649" s="561" t="s">
        <v>4224</v>
      </c>
      <c r="B4649" s="562"/>
      <c r="C4649" s="562"/>
      <c r="D4649" s="562"/>
      <c r="E4649" s="200"/>
      <c r="F4649" s="201" t="s">
        <v>4238</v>
      </c>
      <c r="G4649" s="200" t="s">
        <v>4239</v>
      </c>
      <c r="H4649" s="213"/>
    </row>
    <row r="4650" spans="1:10">
      <c r="A4650" s="223" t="s">
        <v>4097</v>
      </c>
      <c r="B4650" s="72"/>
      <c r="C4650" s="72"/>
      <c r="D4650" s="73"/>
      <c r="E4650" s="78"/>
      <c r="F4650" s="79">
        <v>0</v>
      </c>
      <c r="G4650" s="80">
        <f>F4650*H4615</f>
        <v>0</v>
      </c>
      <c r="H4650" s="212"/>
    </row>
    <row r="4651" spans="1:10">
      <c r="A4651" s="224" t="s">
        <v>4240</v>
      </c>
      <c r="B4651" s="81"/>
      <c r="C4651" s="81"/>
      <c r="D4651" s="82"/>
      <c r="E4651" s="78"/>
      <c r="F4651" s="79">
        <v>0</v>
      </c>
      <c r="G4651" s="80">
        <f>F4651*H4615</f>
        <v>0</v>
      </c>
      <c r="H4651" s="212"/>
    </row>
    <row r="4652" spans="1:10">
      <c r="A4652" s="224" t="s">
        <v>4</v>
      </c>
      <c r="B4652" s="81"/>
      <c r="C4652" s="81"/>
      <c r="D4652" s="82"/>
      <c r="E4652" s="78"/>
      <c r="F4652" s="79">
        <v>0</v>
      </c>
      <c r="G4652" s="80">
        <f>F4652*H4615</f>
        <v>0</v>
      </c>
      <c r="H4652" s="212"/>
    </row>
    <row r="4653" spans="1:10">
      <c r="A4653" s="225"/>
      <c r="B4653" s="83"/>
      <c r="C4653" s="75"/>
      <c r="D4653" s="84"/>
      <c r="E4653" s="85"/>
      <c r="F4653" s="86"/>
      <c r="G4653" s="87"/>
      <c r="H4653" s="214"/>
    </row>
    <row r="4654" spans="1:10">
      <c r="A4654" s="226"/>
      <c r="B4654" s="83"/>
      <c r="C4654" s="83"/>
      <c r="D4654" s="84"/>
      <c r="E4654" s="88"/>
      <c r="F4654" s="563" t="s">
        <v>4241</v>
      </c>
      <c r="G4654" s="564"/>
      <c r="H4654" s="233">
        <f>H4615+G4650+G4651+G4652</f>
        <v>1147470.4578000002</v>
      </c>
    </row>
    <row r="4655" spans="1:10">
      <c r="A4655" s="83"/>
      <c r="B4655" s="83"/>
      <c r="C4655" s="83"/>
      <c r="D4655" s="84"/>
      <c r="E4655" s="388"/>
      <c r="F4655" s="389"/>
      <c r="G4655" s="389"/>
      <c r="H4655" s="390"/>
    </row>
    <row r="4656" spans="1:10" ht="16.5">
      <c r="A4656" s="90"/>
      <c r="B4656" s="90"/>
      <c r="C4656" s="90"/>
      <c r="D4656" s="90"/>
      <c r="E4656" s="90"/>
      <c r="F4656" s="90"/>
      <c r="G4656" s="90"/>
      <c r="H4656" s="381"/>
    </row>
    <row r="4657" spans="1:15">
      <c r="A4657" s="579" t="s">
        <v>4225</v>
      </c>
      <c r="B4657" s="580"/>
      <c r="C4657" s="580"/>
      <c r="D4657" s="580"/>
      <c r="E4657" s="580"/>
      <c r="F4657" s="580"/>
      <c r="G4657" s="580"/>
      <c r="H4657" s="581"/>
    </row>
    <row r="4658" spans="1:15" ht="16.5">
      <c r="A4658" s="91"/>
      <c r="B4658" s="92"/>
      <c r="C4658" s="92"/>
      <c r="D4658" s="92"/>
      <c r="E4658" s="92"/>
      <c r="F4658" s="93"/>
      <c r="G4658" s="94"/>
      <c r="H4658" s="380">
        <f>ROUND((110/60)/8,4)</f>
        <v>0.22919999999999999</v>
      </c>
      <c r="I4658" s="115"/>
    </row>
    <row r="4659" spans="1:15">
      <c r="A4659" s="582" t="s">
        <v>4220</v>
      </c>
      <c r="B4659" s="584" t="str">
        <f>COSTOS!$C$14</f>
        <v>MODERNIZACION A TECNOLOGIA LED</v>
      </c>
      <c r="C4659" s="584"/>
      <c r="D4659" s="584"/>
      <c r="E4659" s="584"/>
      <c r="F4659" s="584"/>
      <c r="G4659" s="584"/>
      <c r="H4659" s="585" t="s">
        <v>4221</v>
      </c>
    </row>
    <row r="4660" spans="1:15">
      <c r="A4660" s="583"/>
      <c r="B4660" s="584"/>
      <c r="C4660" s="584"/>
      <c r="D4660" s="584"/>
      <c r="E4660" s="584"/>
      <c r="F4660" s="584"/>
      <c r="G4660" s="584"/>
      <c r="H4660" s="585"/>
    </row>
    <row r="4661" spans="1:15">
      <c r="A4661" s="583"/>
      <c r="B4661" s="584"/>
      <c r="C4661" s="584"/>
      <c r="D4661" s="584"/>
      <c r="E4661" s="584"/>
      <c r="F4661" s="584"/>
      <c r="G4661" s="584"/>
      <c r="H4661" s="585"/>
    </row>
    <row r="4662" spans="1:15" ht="15" customHeight="1">
      <c r="A4662" s="583"/>
      <c r="B4662" s="584"/>
      <c r="C4662" s="584"/>
      <c r="D4662" s="584"/>
      <c r="E4662" s="584"/>
      <c r="F4662" s="584"/>
      <c r="G4662" s="584"/>
      <c r="H4662" s="216">
        <f ca="1">TODAY()</f>
        <v>44889</v>
      </c>
      <c r="K4662" t="s">
        <v>4391</v>
      </c>
      <c r="L4662" t="s">
        <v>4392</v>
      </c>
      <c r="M4662" t="s">
        <v>4393</v>
      </c>
      <c r="N4662" t="s">
        <v>4394</v>
      </c>
    </row>
    <row r="4663" spans="1:15" ht="60.75" customHeight="1">
      <c r="A4663" s="228" t="s">
        <v>4222</v>
      </c>
      <c r="B4663" s="565" t="str">
        <f>COSTOS!$D$16</f>
        <v>Luminarias</v>
      </c>
      <c r="C4663" s="565"/>
      <c r="D4663" s="565"/>
      <c r="E4663" s="565"/>
      <c r="F4663" s="565"/>
      <c r="G4663" s="70" t="s">
        <v>4223</v>
      </c>
      <c r="H4663" s="387">
        <v>2.7</v>
      </c>
      <c r="K4663" s="62">
        <f>H4688</f>
        <v>1116315.2000000002</v>
      </c>
      <c r="L4663" s="62">
        <f>H4698</f>
        <v>82453.324799999988</v>
      </c>
      <c r="M4663" s="62">
        <f>H4671</f>
        <v>9351.9329999999991</v>
      </c>
      <c r="N4663" s="62">
        <f>H4692</f>
        <v>4800</v>
      </c>
    </row>
    <row r="4664" spans="1:15" ht="43.15" customHeight="1">
      <c r="A4664" s="229" t="s">
        <v>4224</v>
      </c>
      <c r="B4664" s="566" t="str">
        <f>VLOOKUP(H4663,COSTOS!C:M,2,0)</f>
        <v>Poste metalico 5 metros para reflector</v>
      </c>
      <c r="C4664" s="567"/>
      <c r="D4664" s="567"/>
      <c r="E4664" s="568"/>
      <c r="F4664" s="71" t="s">
        <v>0</v>
      </c>
      <c r="G4664" s="356" t="str">
        <f>VLOOKUP(H4663,COSTOS!C:M,8,0)</f>
        <v>Und</v>
      </c>
      <c r="H4664" s="276"/>
      <c r="I4664" s="306"/>
      <c r="J4664" s="308"/>
      <c r="K4664" s="308"/>
      <c r="L4664" s="308"/>
    </row>
    <row r="4665" spans="1:15">
      <c r="A4665" s="230"/>
      <c r="B4665" s="112"/>
      <c r="C4665" s="112"/>
      <c r="D4665" s="112"/>
      <c r="E4665" s="113"/>
      <c r="F4665" s="114" t="s">
        <v>1</v>
      </c>
      <c r="G4665" s="356">
        <f>VLOOKUP(H4663,COSTOS!C:M,9,0)</f>
        <v>0</v>
      </c>
      <c r="H4665" s="357"/>
      <c r="I4665" s="307"/>
    </row>
    <row r="4666" spans="1:15" ht="16.5">
      <c r="A4666" s="231" t="s">
        <v>4226</v>
      </c>
      <c r="B4666" s="75"/>
      <c r="C4666" s="75"/>
      <c r="D4666" s="76"/>
      <c r="E4666" s="209"/>
      <c r="F4666" s="210"/>
      <c r="G4666" s="211" t="s">
        <v>4227</v>
      </c>
      <c r="H4666" s="217">
        <f>H4671+H4688+H4692+H4698</f>
        <v>1212920.4578000002</v>
      </c>
    </row>
    <row r="4667" spans="1:15" ht="39">
      <c r="A4667" s="569" t="s">
        <v>4224</v>
      </c>
      <c r="B4667" s="569"/>
      <c r="C4667" s="569"/>
      <c r="D4667" s="77" t="s">
        <v>0</v>
      </c>
      <c r="E4667" s="207" t="s">
        <v>4228</v>
      </c>
      <c r="F4667" s="208" t="s">
        <v>4215</v>
      </c>
      <c r="G4667" s="74" t="s">
        <v>2</v>
      </c>
      <c r="H4667" s="218" t="s">
        <v>4229</v>
      </c>
      <c r="K4667" s="309"/>
    </row>
    <row r="4668" spans="1:15">
      <c r="A4668" s="536" t="s">
        <v>3946</v>
      </c>
      <c r="B4668" s="570" t="str">
        <f>VLOOKUP(A4668,'Equip, Herr y Transp'!$B$2:$D$739,2,0)</f>
        <v>EQU</v>
      </c>
      <c r="C4668" s="570"/>
      <c r="D4668" s="95" t="str">
        <f>VLOOKUP(A4668,'Equip, Herr y Transp'!$B$2:$D$218,2,0)</f>
        <v>EQU</v>
      </c>
      <c r="E4668" s="95">
        <f>VLOOKUP(A4668,'Equip, Herr y Transp'!$B$2:$D$218,3,0)</f>
        <v>14130</v>
      </c>
      <c r="F4668" s="96">
        <f>H4658</f>
        <v>0.22919999999999999</v>
      </c>
      <c r="G4668" s="122">
        <f>F4668*E4668</f>
        <v>3238.596</v>
      </c>
      <c r="H4668" s="118"/>
    </row>
    <row r="4669" spans="1:15">
      <c r="A4669" s="536" t="s">
        <v>3904</v>
      </c>
      <c r="B4669" s="570" t="str">
        <f>VLOOKUP(A4669,'Equip, Herr y Transp'!$B$2:$D$739,2,0)</f>
        <v>EQU</v>
      </c>
      <c r="C4669" s="570"/>
      <c r="D4669" s="95" t="str">
        <f>VLOOKUP(A4669,'Equip, Herr y Transp'!$B$2:$D$218,2,0)</f>
        <v>EQU</v>
      </c>
      <c r="E4669" s="95">
        <f>VLOOKUP(A4669,'Equip, Herr y Transp'!$B$2:$D$218,3,0)</f>
        <v>26672.5</v>
      </c>
      <c r="F4669" s="96">
        <f>H4658</f>
        <v>0.22919999999999999</v>
      </c>
      <c r="G4669" s="122">
        <f>F4669*E4669</f>
        <v>6113.3369999999995</v>
      </c>
      <c r="H4669" s="117"/>
    </row>
    <row r="4670" spans="1:15">
      <c r="A4670" s="536" t="s">
        <v>8</v>
      </c>
      <c r="B4670" s="570">
        <f>VLOOKUP(A4670,'Equip, Herr y Transp'!$B$2:$D$739,2,0)</f>
        <v>0</v>
      </c>
      <c r="C4670" s="570"/>
      <c r="D4670" s="95">
        <f>VLOOKUP(A4670,'Equip, Herr y Transp'!$B$2:$D$218,2,0)</f>
        <v>0</v>
      </c>
      <c r="E4670" s="95">
        <f>VLOOKUP(A4670,'Equip, Herr y Transp'!$B$2:$D$218,3,0)</f>
        <v>0</v>
      </c>
      <c r="F4670" s="96"/>
      <c r="G4670" s="122">
        <f>F4670*E4670</f>
        <v>0</v>
      </c>
      <c r="H4670" s="117"/>
    </row>
    <row r="4671" spans="1:15" ht="16.5">
      <c r="A4671" s="540" t="s">
        <v>4100</v>
      </c>
      <c r="B4671" s="541"/>
      <c r="C4671" s="541"/>
      <c r="D4671" s="541"/>
      <c r="E4671" s="541"/>
      <c r="F4671" s="541"/>
      <c r="G4671" s="541"/>
      <c r="H4671" s="97">
        <f>SUM(G4668:G4670)</f>
        <v>9351.9329999999991</v>
      </c>
    </row>
    <row r="4672" spans="1:15" ht="16.5">
      <c r="A4672" s="571" t="s">
        <v>4230</v>
      </c>
      <c r="B4672" s="572"/>
      <c r="C4672" s="572"/>
      <c r="D4672" s="572"/>
      <c r="E4672" s="572"/>
      <c r="F4672" s="572"/>
      <c r="G4672" s="572"/>
      <c r="H4672" s="573"/>
      <c r="K4672" s="56"/>
      <c r="L4672" s="56"/>
      <c r="M4672" s="56"/>
      <c r="N4672" s="56"/>
      <c r="O4672" s="56"/>
    </row>
    <row r="4673" spans="1:15" ht="30" customHeight="1">
      <c r="A4673" s="574" t="s">
        <v>7</v>
      </c>
      <c r="B4673" s="575"/>
      <c r="C4673" s="109" t="s">
        <v>0</v>
      </c>
      <c r="D4673" s="110" t="s">
        <v>4098</v>
      </c>
      <c r="E4673" s="111" t="s">
        <v>1</v>
      </c>
      <c r="F4673" s="576" t="s">
        <v>4218</v>
      </c>
      <c r="G4673" s="576"/>
      <c r="H4673" s="215"/>
      <c r="K4673" s="56"/>
      <c r="L4673" s="56"/>
      <c r="M4673" s="56"/>
      <c r="N4673" s="56"/>
      <c r="O4673" s="56"/>
    </row>
    <row r="4674" spans="1:15">
      <c r="A4674" s="577" t="s">
        <v>4693</v>
      </c>
      <c r="B4674" s="578"/>
      <c r="C4674" s="98" t="str">
        <f>VLOOKUP(A4674,'Materiales '!$C$2:$F$1302,3,0)</f>
        <v>Und</v>
      </c>
      <c r="D4674" s="99">
        <f>VLOOKUP(A4674,'Materiales '!$C$2:$F$1302,4,0)</f>
        <v>1047200.0000000001</v>
      </c>
      <c r="E4674" s="100">
        <v>1</v>
      </c>
      <c r="F4674" s="538">
        <f>E4674*D4674</f>
        <v>1047200.0000000001</v>
      </c>
      <c r="G4674" s="539"/>
      <c r="H4674" s="121"/>
      <c r="I4674">
        <f>E4674*G4665</f>
        <v>0</v>
      </c>
      <c r="J4674" s="67"/>
      <c r="K4674" s="56"/>
      <c r="L4674" s="56"/>
      <c r="M4674" s="56"/>
      <c r="N4674" s="56"/>
      <c r="O4674" s="56"/>
    </row>
    <row r="4675" spans="1:15">
      <c r="A4675" s="577" t="s">
        <v>4628</v>
      </c>
      <c r="B4675" s="578"/>
      <c r="C4675" s="98" t="str">
        <f>VLOOKUP(A4675,'Materiales '!$C$2:$F$1302,3,0)</f>
        <v>Rollo</v>
      </c>
      <c r="D4675" s="99">
        <f>VLOOKUP(A4675,'Materiales '!$C$2:$F$1302,4,0)</f>
        <v>138230.39999999999</v>
      </c>
      <c r="E4675" s="100">
        <v>0.5</v>
      </c>
      <c r="F4675" s="538">
        <f t="shared" ref="F4675:F4681" si="274">E4675*D4675</f>
        <v>69115.199999999997</v>
      </c>
      <c r="G4675" s="539"/>
      <c r="H4675" s="121"/>
      <c r="I4675">
        <f>E4675*G4665</f>
        <v>0</v>
      </c>
      <c r="J4675" s="67"/>
      <c r="K4675" s="56"/>
      <c r="L4675" s="56"/>
      <c r="M4675" s="56"/>
      <c r="N4675" s="56"/>
      <c r="O4675" s="56"/>
    </row>
    <row r="4676" spans="1:15">
      <c r="A4676" s="536" t="s">
        <v>8</v>
      </c>
      <c r="B4676" s="537" t="str">
        <f>VLOOKUP(A4676,'Materiales '!$C$2:$F$1302,3,0)</f>
        <v>-</v>
      </c>
      <c r="C4676" s="98" t="str">
        <f>VLOOKUP(A4676,'Materiales '!$C$2:$F$1302,3,0)</f>
        <v>-</v>
      </c>
      <c r="D4676" s="99">
        <f>VLOOKUP(A4676,'Materiales '!$C$2:$F$1302,4,0)</f>
        <v>0</v>
      </c>
      <c r="E4676" s="100">
        <v>1</v>
      </c>
      <c r="F4676" s="538">
        <f t="shared" si="274"/>
        <v>0</v>
      </c>
      <c r="G4676" s="539"/>
      <c r="H4676" s="121"/>
      <c r="I4676">
        <f>E4676*G4665</f>
        <v>0</v>
      </c>
      <c r="J4676" s="68"/>
      <c r="K4676" s="56"/>
      <c r="L4676" s="56"/>
      <c r="M4676" s="56"/>
      <c r="N4676" s="56"/>
      <c r="O4676" s="56"/>
    </row>
    <row r="4677" spans="1:15">
      <c r="A4677" s="536" t="s">
        <v>8</v>
      </c>
      <c r="B4677" s="537" t="str">
        <f>VLOOKUP(A4677,'Materiales '!$C$2:$F$1302,3,0)</f>
        <v>-</v>
      </c>
      <c r="C4677" s="98" t="str">
        <f>VLOOKUP(A4677,'Materiales '!$C$2:$F$1302,3,0)</f>
        <v>-</v>
      </c>
      <c r="D4677" s="99">
        <f>VLOOKUP(A4677,'Materiales '!$C$2:$F$1302,4,0)</f>
        <v>0</v>
      </c>
      <c r="E4677" s="100">
        <v>3</v>
      </c>
      <c r="F4677" s="538">
        <f t="shared" si="274"/>
        <v>0</v>
      </c>
      <c r="G4677" s="539"/>
      <c r="H4677" s="121"/>
      <c r="I4677">
        <f>E4677*G4665</f>
        <v>0</v>
      </c>
      <c r="J4677" s="68"/>
      <c r="K4677" s="56"/>
      <c r="L4677" s="56"/>
      <c r="M4677" s="56"/>
      <c r="N4677" s="56"/>
      <c r="O4677" s="56"/>
    </row>
    <row r="4678" spans="1:15">
      <c r="A4678" s="536" t="s">
        <v>8</v>
      </c>
      <c r="B4678" s="537" t="str">
        <f>VLOOKUP(A4678,'Materiales '!$C$2:$F$1302,3,0)</f>
        <v>-</v>
      </c>
      <c r="C4678" s="98" t="str">
        <f>VLOOKUP(A4678,'Materiales '!$C$2:$F$1302,3,0)</f>
        <v>-</v>
      </c>
      <c r="D4678" s="99">
        <f>VLOOKUP(A4678,'Materiales '!$C$2:$F$1302,4,0)</f>
        <v>0</v>
      </c>
      <c r="E4678" s="100">
        <v>2</v>
      </c>
      <c r="F4678" s="538">
        <f t="shared" si="274"/>
        <v>0</v>
      </c>
      <c r="G4678" s="539"/>
      <c r="H4678" s="121"/>
      <c r="I4678">
        <f>E4678*G4665</f>
        <v>0</v>
      </c>
      <c r="J4678" s="68"/>
      <c r="K4678" s="56"/>
      <c r="L4678" s="56"/>
      <c r="M4678" s="56"/>
      <c r="N4678" s="56"/>
      <c r="O4678" s="56"/>
    </row>
    <row r="4679" spans="1:15">
      <c r="A4679" s="536" t="s">
        <v>8</v>
      </c>
      <c r="B4679" s="537" t="str">
        <f>VLOOKUP(A4679,'Materiales '!$C$2:$F$1302,3,0)</f>
        <v>-</v>
      </c>
      <c r="C4679" s="98" t="str">
        <f>VLOOKUP(A4679,'Materiales '!$C$2:$F$1302,3,0)</f>
        <v>-</v>
      </c>
      <c r="D4679" s="99">
        <f>VLOOKUP(A4679,'Materiales '!$C$2:$F$1302,4,0)</f>
        <v>0</v>
      </c>
      <c r="E4679" s="100">
        <v>8</v>
      </c>
      <c r="F4679" s="538">
        <f t="shared" si="274"/>
        <v>0</v>
      </c>
      <c r="G4679" s="539"/>
      <c r="H4679" s="121"/>
      <c r="I4679">
        <f>E4679*G4665</f>
        <v>0</v>
      </c>
      <c r="J4679" s="68"/>
      <c r="K4679" s="56"/>
      <c r="L4679" s="56"/>
      <c r="M4679" s="56"/>
      <c r="N4679" s="56"/>
      <c r="O4679" s="56"/>
    </row>
    <row r="4680" spans="1:15">
      <c r="A4680" s="536" t="s">
        <v>8</v>
      </c>
      <c r="B4680" s="537" t="str">
        <f>VLOOKUP(A4680,'Materiales '!$C$2:$F$1302,3,0)</f>
        <v>-</v>
      </c>
      <c r="C4680" s="98" t="str">
        <f>VLOOKUP(A4680,'Materiales '!$C$2:$F$1302,3,0)</f>
        <v>-</v>
      </c>
      <c r="D4680" s="99">
        <f>VLOOKUP(A4680,'Materiales '!$C$2:$F$1302,4,0)</f>
        <v>0</v>
      </c>
      <c r="E4680" s="100">
        <v>3</v>
      </c>
      <c r="F4680" s="538">
        <f t="shared" si="274"/>
        <v>0</v>
      </c>
      <c r="G4680" s="539"/>
      <c r="H4680" s="121"/>
      <c r="I4680">
        <f>E4680*G4665</f>
        <v>0</v>
      </c>
      <c r="J4680" s="68"/>
      <c r="K4680" s="56"/>
      <c r="L4680" s="56"/>
      <c r="M4680" s="56"/>
      <c r="N4680" s="56"/>
      <c r="O4680" s="56"/>
    </row>
    <row r="4681" spans="1:15" ht="21.75" customHeight="1">
      <c r="A4681" s="536" t="s">
        <v>8</v>
      </c>
      <c r="B4681" s="537" t="str">
        <f>VLOOKUP(A4681,'Materiales '!$C$2:$F$1302,3,0)</f>
        <v>-</v>
      </c>
      <c r="C4681" s="98" t="str">
        <f>VLOOKUP(A4681,'Materiales '!$C$2:$F$1302,3,0)</f>
        <v>-</v>
      </c>
      <c r="D4681" s="99">
        <f>VLOOKUP(A4681,'Materiales '!$C$2:$F$1302,4,0)</f>
        <v>0</v>
      </c>
      <c r="E4681" s="100">
        <v>0.5</v>
      </c>
      <c r="F4681" s="538">
        <f t="shared" si="274"/>
        <v>0</v>
      </c>
      <c r="G4681" s="539"/>
      <c r="H4681" s="121"/>
      <c r="I4681">
        <f>E4681*G4665</f>
        <v>0</v>
      </c>
      <c r="J4681" s="68"/>
      <c r="K4681" s="56"/>
      <c r="L4681" s="56"/>
      <c r="M4681" s="56"/>
      <c r="N4681" s="56"/>
      <c r="O4681" s="56"/>
    </row>
    <row r="4682" spans="1:15">
      <c r="A4682" s="536" t="s">
        <v>8</v>
      </c>
      <c r="B4682" s="537" t="str">
        <f>VLOOKUP(A4682,'Materiales '!$C$2:$F$1302,3,0)</f>
        <v>-</v>
      </c>
      <c r="C4682" s="98" t="str">
        <f>VLOOKUP(A4682,'Materiales '!$C$2:$F$1302,3,0)</f>
        <v>-</v>
      </c>
      <c r="D4682" s="99">
        <f>VLOOKUP(A4682,'Materiales '!$C$2:$F$1302,4,0)</f>
        <v>0</v>
      </c>
      <c r="E4682" s="100"/>
      <c r="F4682" s="538">
        <f>E4682*D4682</f>
        <v>0</v>
      </c>
      <c r="G4682" s="539"/>
      <c r="H4682" s="120"/>
      <c r="I4682">
        <f>E4682*G4665</f>
        <v>0</v>
      </c>
      <c r="J4682" s="68"/>
      <c r="K4682" s="56"/>
      <c r="L4682" s="56"/>
      <c r="M4682" s="56"/>
      <c r="N4682" s="56"/>
      <c r="O4682" s="56"/>
    </row>
    <row r="4683" spans="1:15">
      <c r="A4683" s="536" t="s">
        <v>8</v>
      </c>
      <c r="B4683" s="537" t="str">
        <f>VLOOKUP(A4683,'Materiales '!$C$2:$F$1302,3,0)</f>
        <v>-</v>
      </c>
      <c r="C4683" s="98" t="str">
        <f>VLOOKUP(A4683,'Materiales '!$C$2:$F$1302,3,0)</f>
        <v>-</v>
      </c>
      <c r="D4683" s="99">
        <f>VLOOKUP(A4683,'Materiales '!$C$2:$F$1302,4,0)</f>
        <v>0</v>
      </c>
      <c r="E4683" s="100"/>
      <c r="F4683" s="538">
        <f t="shared" ref="F4683:F4686" si="275">E4683*D4683</f>
        <v>0</v>
      </c>
      <c r="G4683" s="539"/>
      <c r="H4683" s="121"/>
      <c r="I4683">
        <f>E4683*G4665</f>
        <v>0</v>
      </c>
      <c r="J4683" s="68"/>
      <c r="K4683" s="56"/>
      <c r="L4683" s="56"/>
      <c r="M4683" s="56"/>
      <c r="N4683" s="56"/>
      <c r="O4683" s="56"/>
    </row>
    <row r="4684" spans="1:15">
      <c r="A4684" s="536" t="s">
        <v>8</v>
      </c>
      <c r="B4684" s="537" t="str">
        <f>VLOOKUP(A4684,'Materiales '!$C$2:$F$1302,3,0)</f>
        <v>-</v>
      </c>
      <c r="C4684" s="98" t="str">
        <f>VLOOKUP(A4684,'Materiales '!$C$2:$F$1302,3,0)</f>
        <v>-</v>
      </c>
      <c r="D4684" s="99">
        <f>VLOOKUP(A4684,'Materiales '!$C$2:$F$1302,4,0)</f>
        <v>0</v>
      </c>
      <c r="E4684" s="100"/>
      <c r="F4684" s="538">
        <f t="shared" si="275"/>
        <v>0</v>
      </c>
      <c r="G4684" s="539"/>
      <c r="H4684" s="121"/>
      <c r="I4684">
        <f>E4684*G4665</f>
        <v>0</v>
      </c>
      <c r="J4684" s="68"/>
      <c r="K4684" s="56"/>
      <c r="L4684" s="56"/>
      <c r="M4684" s="56"/>
      <c r="N4684" s="56"/>
      <c r="O4684" s="56"/>
    </row>
    <row r="4685" spans="1:15">
      <c r="A4685" s="536" t="s">
        <v>8</v>
      </c>
      <c r="B4685" s="537" t="str">
        <f>VLOOKUP(A4685,'Materiales '!$C$2:$F$1302,3,0)</f>
        <v>-</v>
      </c>
      <c r="C4685" s="98" t="str">
        <f>VLOOKUP(A4685,'Materiales '!$C$2:$F$1302,3,0)</f>
        <v>-</v>
      </c>
      <c r="D4685" s="99">
        <f>VLOOKUP(A4685,'Materiales '!$C$2:$F$1302,4,0)</f>
        <v>0</v>
      </c>
      <c r="E4685" s="100"/>
      <c r="F4685" s="538">
        <f t="shared" si="275"/>
        <v>0</v>
      </c>
      <c r="G4685" s="539"/>
      <c r="H4685" s="121"/>
      <c r="I4685">
        <f>E4685*G4665</f>
        <v>0</v>
      </c>
      <c r="J4685" s="68"/>
      <c r="K4685" s="56"/>
      <c r="L4685" s="56"/>
      <c r="M4685" s="56"/>
      <c r="N4685" s="56"/>
      <c r="O4685" s="56"/>
    </row>
    <row r="4686" spans="1:15">
      <c r="A4686" s="536" t="s">
        <v>8</v>
      </c>
      <c r="B4686" s="537" t="str">
        <f>VLOOKUP(A4686,'Materiales '!$C$2:$F$1302,3,0)</f>
        <v>-</v>
      </c>
      <c r="C4686" s="98" t="str">
        <f>VLOOKUP(A4686,'Materiales '!$C$2:$F$1302,3,0)</f>
        <v>-</v>
      </c>
      <c r="D4686" s="99">
        <f>VLOOKUP(A4686,'Materiales '!$C$2:$F$1302,4,0)</f>
        <v>0</v>
      </c>
      <c r="E4686" s="100"/>
      <c r="F4686" s="538">
        <f t="shared" si="275"/>
        <v>0</v>
      </c>
      <c r="G4686" s="539"/>
      <c r="H4686" s="121"/>
      <c r="I4686">
        <f>E4686*G4665</f>
        <v>0</v>
      </c>
      <c r="J4686" s="68"/>
      <c r="K4686" s="56"/>
      <c r="L4686" s="56"/>
      <c r="M4686" s="56"/>
      <c r="N4686" s="56"/>
      <c r="O4686" s="56"/>
    </row>
    <row r="4687" spans="1:15">
      <c r="A4687" s="536" t="s">
        <v>8</v>
      </c>
      <c r="B4687" s="537" t="str">
        <f>VLOOKUP(A4687,'Materiales '!$C$2:$F$1302,3,0)</f>
        <v>-</v>
      </c>
      <c r="C4687" s="98" t="str">
        <f>VLOOKUP(A4687,'Materiales '!$C$2:$F$1302,3,0)</f>
        <v>-</v>
      </c>
      <c r="D4687" s="99">
        <f>VLOOKUP(A4687,'Materiales '!$C$2:$F$1302,4,0)</f>
        <v>0</v>
      </c>
      <c r="E4687" s="100"/>
      <c r="F4687" s="538">
        <f>E4687*D4687</f>
        <v>0</v>
      </c>
      <c r="G4687" s="539"/>
      <c r="H4687" s="120"/>
      <c r="I4687">
        <f>E4687*G4665</f>
        <v>0</v>
      </c>
      <c r="J4687" s="68"/>
      <c r="K4687" s="56"/>
      <c r="L4687" s="56"/>
      <c r="M4687" s="56"/>
      <c r="N4687" s="56"/>
      <c r="O4687" s="56"/>
    </row>
    <row r="4688" spans="1:15" ht="16.5">
      <c r="A4688" s="540" t="s">
        <v>4099</v>
      </c>
      <c r="B4688" s="541"/>
      <c r="C4688" s="541"/>
      <c r="D4688" s="541"/>
      <c r="E4688" s="541"/>
      <c r="F4688" s="541"/>
      <c r="G4688" s="542"/>
      <c r="H4688" s="116">
        <f>SUM(F4674:F4687)</f>
        <v>1116315.2000000002</v>
      </c>
      <c r="J4688" s="68"/>
      <c r="K4688" s="56"/>
      <c r="L4688" s="56"/>
      <c r="M4688" s="56"/>
      <c r="N4688" s="56"/>
      <c r="O4688" s="56"/>
    </row>
    <row r="4689" spans="1:15" ht="16.5">
      <c r="A4689" s="543" t="s">
        <v>4231</v>
      </c>
      <c r="B4689" s="544"/>
      <c r="C4689" s="544"/>
      <c r="D4689" s="544"/>
      <c r="E4689" s="545"/>
      <c r="F4689" s="544"/>
      <c r="G4689" s="544"/>
      <c r="H4689" s="546"/>
      <c r="J4689" s="68"/>
      <c r="K4689" s="56"/>
      <c r="L4689" s="56"/>
      <c r="M4689" s="56"/>
      <c r="N4689" s="56"/>
      <c r="O4689" s="56"/>
    </row>
    <row r="4690" spans="1:15">
      <c r="A4690" s="547" t="s">
        <v>7</v>
      </c>
      <c r="B4690" s="548"/>
      <c r="C4690" s="108" t="s">
        <v>4232</v>
      </c>
      <c r="D4690" s="107" t="s">
        <v>4233</v>
      </c>
      <c r="E4690" s="206" t="s">
        <v>4234</v>
      </c>
      <c r="F4690" s="549" t="s">
        <v>4218</v>
      </c>
      <c r="G4690" s="549"/>
      <c r="H4690" s="119"/>
      <c r="K4690" s="56"/>
      <c r="L4690" s="56"/>
      <c r="M4690" s="56"/>
      <c r="N4690" s="56"/>
      <c r="O4690" s="56"/>
    </row>
    <row r="4691" spans="1:15">
      <c r="A4691" s="550" t="s">
        <v>3928</v>
      </c>
      <c r="B4691" s="551"/>
      <c r="C4691" s="232">
        <v>1</v>
      </c>
      <c r="D4691" s="102">
        <v>0.03</v>
      </c>
      <c r="E4691" s="103">
        <f>VLOOKUP(A4691,'Equip, Herr y Transp'!$B$2:$D$218,3,0)</f>
        <v>160000</v>
      </c>
      <c r="F4691" s="552">
        <f>E4691*D4691*C4691</f>
        <v>4800</v>
      </c>
      <c r="G4691" s="553"/>
      <c r="H4691" s="117"/>
      <c r="M4691" s="56"/>
    </row>
    <row r="4692" spans="1:15" ht="16.5">
      <c r="A4692" s="554" t="s">
        <v>4216</v>
      </c>
      <c r="B4692" s="555"/>
      <c r="C4692" s="555"/>
      <c r="D4692" s="555"/>
      <c r="E4692" s="555"/>
      <c r="F4692" s="555"/>
      <c r="G4692" s="555"/>
      <c r="H4692" s="105">
        <f>F4691</f>
        <v>4800</v>
      </c>
    </row>
    <row r="4693" spans="1:15" ht="16.5">
      <c r="A4693" s="543" t="s">
        <v>4235</v>
      </c>
      <c r="B4693" s="544"/>
      <c r="C4693" s="544"/>
      <c r="D4693" s="544"/>
      <c r="E4693" s="544"/>
      <c r="F4693" s="544"/>
      <c r="G4693" s="544"/>
      <c r="H4693" s="546"/>
    </row>
    <row r="4694" spans="1:15">
      <c r="A4694" s="547" t="s">
        <v>7</v>
      </c>
      <c r="B4694" s="548"/>
      <c r="C4694" s="106" t="s">
        <v>1</v>
      </c>
      <c r="D4694" s="107" t="s">
        <v>4236</v>
      </c>
      <c r="E4694" s="108" t="s">
        <v>4215</v>
      </c>
      <c r="F4694" s="547" t="s">
        <v>5</v>
      </c>
      <c r="G4694" s="556"/>
      <c r="H4694" s="119"/>
    </row>
    <row r="4695" spans="1:15">
      <c r="A4695" s="550" t="s">
        <v>4196</v>
      </c>
      <c r="B4695" s="551"/>
      <c r="C4695" s="101">
        <v>1</v>
      </c>
      <c r="D4695" s="104">
        <f>VLOOKUP(A4695,'Mano Obra'!$B$2:$T$117,19,0)</f>
        <v>166624</v>
      </c>
      <c r="E4695" s="246">
        <f>H4658</f>
        <v>0.22919999999999999</v>
      </c>
      <c r="F4695" s="538">
        <f>E4695*D4695*C4695</f>
        <v>38190.220799999996</v>
      </c>
      <c r="G4695" s="557"/>
      <c r="H4695" s="121"/>
      <c r="I4695" s="69"/>
      <c r="J4695" s="136">
        <f>((('Mano Obra'!$M$4/30)*F4695)/D4695)*G4665</f>
        <v>0</v>
      </c>
    </row>
    <row r="4696" spans="1:15">
      <c r="A4696" s="558" t="s">
        <v>4197</v>
      </c>
      <c r="B4696" s="559">
        <f>VLOOKUP(A4696,'Mano Obra'!$B$3:$D$290,2,0)</f>
        <v>2090000.0000000002</v>
      </c>
      <c r="C4696" s="101">
        <v>1</v>
      </c>
      <c r="D4696" s="104">
        <f>VLOOKUP(A4696,'Mano Obra'!$B$2:$T$117,19,0)</f>
        <v>120456</v>
      </c>
      <c r="E4696" s="246">
        <f>H4658</f>
        <v>0.22919999999999999</v>
      </c>
      <c r="F4696" s="538">
        <f t="shared" ref="F4696:F4697" si="276">E4696*D4696*C4696</f>
        <v>27608.515199999998</v>
      </c>
      <c r="G4696" s="557"/>
      <c r="H4696" s="121"/>
      <c r="J4696" s="136">
        <f>((('Mano Obra'!$M$5/30)*F4696)/D4696)*G4665</f>
        <v>0</v>
      </c>
    </row>
    <row r="4697" spans="1:15">
      <c r="A4697" s="558" t="s">
        <v>4186</v>
      </c>
      <c r="B4697" s="559">
        <f>VLOOKUP(A4697,'Mano Obra'!$B$3:$D$290,2,0)</f>
        <v>1100000</v>
      </c>
      <c r="C4697" s="101">
        <v>1</v>
      </c>
      <c r="D4697" s="104">
        <f>VLOOKUP(A4697,'Mano Obra'!$B$2:$T$117,19,0)</f>
        <v>72664</v>
      </c>
      <c r="E4697" s="246">
        <f>H4658</f>
        <v>0.22919999999999999</v>
      </c>
      <c r="F4697" s="538">
        <f t="shared" si="276"/>
        <v>16654.588799999998</v>
      </c>
      <c r="G4697" s="557"/>
      <c r="H4697" s="120"/>
      <c r="J4697" s="136">
        <f>((('Mano Obra'!$M$6/30)*F4697)/D4697)*G4665</f>
        <v>0</v>
      </c>
    </row>
    <row r="4698" spans="1:15" ht="16.5">
      <c r="A4698" s="560" t="s">
        <v>4101</v>
      </c>
      <c r="B4698" s="560"/>
      <c r="C4698" s="560"/>
      <c r="D4698" s="560"/>
      <c r="E4698" s="560"/>
      <c r="F4698" s="560"/>
      <c r="G4698" s="560"/>
      <c r="H4698" s="105">
        <f>SUM(F4695:F4697)</f>
        <v>82453.324799999988</v>
      </c>
      <c r="J4698" s="136"/>
    </row>
    <row r="4699" spans="1:15">
      <c r="A4699" s="227" t="s">
        <v>4237</v>
      </c>
      <c r="B4699" s="205"/>
      <c r="C4699" s="205"/>
      <c r="D4699" s="202"/>
      <c r="E4699" s="203"/>
      <c r="F4699" s="204"/>
      <c r="G4699" s="203"/>
      <c r="H4699" s="212"/>
    </row>
    <row r="4700" spans="1:15">
      <c r="A4700" s="561" t="s">
        <v>4224</v>
      </c>
      <c r="B4700" s="562"/>
      <c r="C4700" s="562"/>
      <c r="D4700" s="562"/>
      <c r="E4700" s="200"/>
      <c r="F4700" s="201" t="s">
        <v>4238</v>
      </c>
      <c r="G4700" s="200" t="s">
        <v>4239</v>
      </c>
      <c r="H4700" s="213"/>
    </row>
    <row r="4701" spans="1:15">
      <c r="A4701" s="223" t="s">
        <v>4097</v>
      </c>
      <c r="B4701" s="72"/>
      <c r="C4701" s="72"/>
      <c r="D4701" s="73"/>
      <c r="E4701" s="78"/>
      <c r="F4701" s="79">
        <v>0</v>
      </c>
      <c r="G4701" s="80">
        <f>F4701*H4666</f>
        <v>0</v>
      </c>
      <c r="H4701" s="212"/>
    </row>
    <row r="4702" spans="1:15">
      <c r="A4702" s="224" t="s">
        <v>4240</v>
      </c>
      <c r="B4702" s="81"/>
      <c r="C4702" s="81"/>
      <c r="D4702" s="82"/>
      <c r="E4702" s="78"/>
      <c r="F4702" s="79">
        <v>0</v>
      </c>
      <c r="G4702" s="80">
        <f>F4702*H4666</f>
        <v>0</v>
      </c>
      <c r="H4702" s="212"/>
    </row>
    <row r="4703" spans="1:15">
      <c r="A4703" s="224" t="s">
        <v>4</v>
      </c>
      <c r="B4703" s="81"/>
      <c r="C4703" s="81"/>
      <c r="D4703" s="82"/>
      <c r="E4703" s="78"/>
      <c r="F4703" s="79">
        <v>0</v>
      </c>
      <c r="G4703" s="80">
        <f>F4703*H4666</f>
        <v>0</v>
      </c>
      <c r="H4703" s="212"/>
    </row>
    <row r="4704" spans="1:15">
      <c r="A4704" s="225"/>
      <c r="B4704" s="83"/>
      <c r="C4704" s="75"/>
      <c r="D4704" s="84"/>
      <c r="E4704" s="85"/>
      <c r="F4704" s="86"/>
      <c r="G4704" s="87"/>
      <c r="H4704" s="214"/>
    </row>
    <row r="4705" spans="1:14">
      <c r="A4705" s="226"/>
      <c r="B4705" s="83"/>
      <c r="C4705" s="83"/>
      <c r="D4705" s="84"/>
      <c r="E4705" s="88"/>
      <c r="F4705" s="563" t="s">
        <v>4241</v>
      </c>
      <c r="G4705" s="564"/>
      <c r="H4705" s="233">
        <f>H4666+G4701+G4702+G4703</f>
        <v>1212920.4578000002</v>
      </c>
    </row>
    <row r="4706" spans="1:14">
      <c r="A4706" s="83"/>
      <c r="B4706" s="83"/>
      <c r="C4706" s="83"/>
      <c r="D4706" s="84"/>
      <c r="E4706" s="388"/>
      <c r="F4706" s="389"/>
      <c r="G4706" s="389"/>
      <c r="H4706" s="390"/>
    </row>
    <row r="4707" spans="1:14" ht="16.5">
      <c r="A4707" s="90"/>
      <c r="B4707" s="90"/>
      <c r="C4707" s="90"/>
      <c r="D4707" s="90"/>
      <c r="E4707" s="90"/>
      <c r="F4707" s="90"/>
      <c r="G4707" s="90"/>
      <c r="H4707" s="381"/>
    </row>
    <row r="4708" spans="1:14">
      <c r="A4708" s="579" t="s">
        <v>4225</v>
      </c>
      <c r="B4708" s="580"/>
      <c r="C4708" s="580"/>
      <c r="D4708" s="580"/>
      <c r="E4708" s="580"/>
      <c r="F4708" s="580"/>
      <c r="G4708" s="580"/>
      <c r="H4708" s="581"/>
    </row>
    <row r="4709" spans="1:14" ht="16.5">
      <c r="A4709" s="91"/>
      <c r="B4709" s="92"/>
      <c r="C4709" s="92"/>
      <c r="D4709" s="92"/>
      <c r="E4709" s="92"/>
      <c r="F4709" s="93"/>
      <c r="G4709" s="94"/>
      <c r="H4709" s="380">
        <f>ROUND((150/60)/8,4)</f>
        <v>0.3125</v>
      </c>
      <c r="I4709" s="115"/>
    </row>
    <row r="4710" spans="1:14">
      <c r="A4710" s="582" t="s">
        <v>4220</v>
      </c>
      <c r="B4710" s="584" t="str">
        <f>COSTOS!$C$14</f>
        <v>MODERNIZACION A TECNOLOGIA LED</v>
      </c>
      <c r="C4710" s="584"/>
      <c r="D4710" s="584"/>
      <c r="E4710" s="584"/>
      <c r="F4710" s="584"/>
      <c r="G4710" s="584"/>
      <c r="H4710" s="585" t="s">
        <v>4221</v>
      </c>
    </row>
    <row r="4711" spans="1:14">
      <c r="A4711" s="583"/>
      <c r="B4711" s="584"/>
      <c r="C4711" s="584"/>
      <c r="D4711" s="584"/>
      <c r="E4711" s="584"/>
      <c r="F4711" s="584"/>
      <c r="G4711" s="584"/>
      <c r="H4711" s="585"/>
    </row>
    <row r="4712" spans="1:14">
      <c r="A4712" s="583"/>
      <c r="B4712" s="584"/>
      <c r="C4712" s="584"/>
      <c r="D4712" s="584"/>
      <c r="E4712" s="584"/>
      <c r="F4712" s="584"/>
      <c r="G4712" s="584"/>
      <c r="H4712" s="585"/>
    </row>
    <row r="4713" spans="1:14" ht="15" customHeight="1">
      <c r="A4713" s="583"/>
      <c r="B4713" s="584"/>
      <c r="C4713" s="584"/>
      <c r="D4713" s="584"/>
      <c r="E4713" s="584"/>
      <c r="F4713" s="584"/>
      <c r="G4713" s="584"/>
      <c r="H4713" s="216">
        <f ca="1">TODAY()</f>
        <v>44889</v>
      </c>
      <c r="K4713" t="s">
        <v>4391</v>
      </c>
      <c r="L4713" t="s">
        <v>4392</v>
      </c>
      <c r="M4713" t="s">
        <v>4393</v>
      </c>
      <c r="N4713" t="s">
        <v>4394</v>
      </c>
    </row>
    <row r="4714" spans="1:14" ht="60.75" customHeight="1">
      <c r="A4714" s="228" t="s">
        <v>4222</v>
      </c>
      <c r="B4714" s="565" t="str">
        <f>COSTOS!$D$16</f>
        <v>Luminarias</v>
      </c>
      <c r="C4714" s="565"/>
      <c r="D4714" s="565"/>
      <c r="E4714" s="565"/>
      <c r="F4714" s="565"/>
      <c r="G4714" s="70" t="s">
        <v>4223</v>
      </c>
      <c r="H4714" s="387">
        <v>2.8</v>
      </c>
      <c r="K4714" s="62">
        <f>H4739</f>
        <v>1967165.2000000002</v>
      </c>
      <c r="L4714" s="62">
        <f>H4749</f>
        <v>112420</v>
      </c>
      <c r="M4714" s="62">
        <f>H4722</f>
        <v>304415.625</v>
      </c>
      <c r="N4714" s="62">
        <f>H4743</f>
        <v>4800</v>
      </c>
    </row>
    <row r="4715" spans="1:14" ht="43.15" customHeight="1">
      <c r="A4715" s="229" t="s">
        <v>4224</v>
      </c>
      <c r="B4715" s="566" t="str">
        <f>VLOOKUP(H4714,COSTOS!C:M,2,0)</f>
        <v>Poste metalico 8 metros para luminaria cuadruple</v>
      </c>
      <c r="C4715" s="567"/>
      <c r="D4715" s="567"/>
      <c r="E4715" s="568"/>
      <c r="F4715" s="71" t="s">
        <v>0</v>
      </c>
      <c r="G4715" s="356" t="str">
        <f>VLOOKUP(H4714,COSTOS!C:M,8,0)</f>
        <v>Und</v>
      </c>
      <c r="H4715" s="276"/>
      <c r="I4715" s="306"/>
      <c r="J4715" s="308"/>
      <c r="K4715" s="308"/>
      <c r="L4715" s="308"/>
    </row>
    <row r="4716" spans="1:14">
      <c r="A4716" s="230"/>
      <c r="B4716" s="112"/>
      <c r="C4716" s="112"/>
      <c r="D4716" s="112"/>
      <c r="E4716" s="113"/>
      <c r="F4716" s="114" t="s">
        <v>1</v>
      </c>
      <c r="G4716" s="356">
        <f>VLOOKUP(H4714,COSTOS!C:M,9,0)</f>
        <v>0</v>
      </c>
      <c r="H4716" s="357"/>
      <c r="I4716" s="307"/>
    </row>
    <row r="4717" spans="1:14" ht="16.5">
      <c r="A4717" s="231" t="s">
        <v>4226</v>
      </c>
      <c r="B4717" s="75"/>
      <c r="C4717" s="75"/>
      <c r="D4717" s="76"/>
      <c r="E4717" s="209"/>
      <c r="F4717" s="210"/>
      <c r="G4717" s="211" t="s">
        <v>4227</v>
      </c>
      <c r="H4717" s="217">
        <f>H4722+H4739+H4743+H4749</f>
        <v>2388800.8250000002</v>
      </c>
    </row>
    <row r="4718" spans="1:14" ht="39">
      <c r="A4718" s="569" t="s">
        <v>4224</v>
      </c>
      <c r="B4718" s="569"/>
      <c r="C4718" s="569"/>
      <c r="D4718" s="77" t="s">
        <v>0</v>
      </c>
      <c r="E4718" s="207" t="s">
        <v>4228</v>
      </c>
      <c r="F4718" s="208" t="s">
        <v>4215</v>
      </c>
      <c r="G4718" s="74" t="s">
        <v>2</v>
      </c>
      <c r="H4718" s="218" t="s">
        <v>4229</v>
      </c>
      <c r="K4718" s="309"/>
    </row>
    <row r="4719" spans="1:14">
      <c r="A4719" s="536" t="s">
        <v>3946</v>
      </c>
      <c r="B4719" s="570" t="str">
        <f>VLOOKUP(A4719,'Equip, Herr y Transp'!$B$2:$D$739,2,0)</f>
        <v>EQU</v>
      </c>
      <c r="C4719" s="570"/>
      <c r="D4719" s="95" t="str">
        <f>VLOOKUP(A4719,'Equip, Herr y Transp'!$B$2:$D$218,2,0)</f>
        <v>EQU</v>
      </c>
      <c r="E4719" s="95">
        <f>VLOOKUP(A4719,'Equip, Herr y Transp'!$B$2:$D$218,3,0)</f>
        <v>14130</v>
      </c>
      <c r="F4719" s="96">
        <f>H4709</f>
        <v>0.3125</v>
      </c>
      <c r="G4719" s="122">
        <f>F4719*E4719</f>
        <v>4415.625</v>
      </c>
      <c r="H4719" s="118"/>
    </row>
    <row r="4720" spans="1:14">
      <c r="A4720" s="536" t="s">
        <v>3894</v>
      </c>
      <c r="B4720" s="570" t="str">
        <f>VLOOKUP(A4720,'Equip, Herr y Transp'!$B$2:$D$739,2,0)</f>
        <v>TR</v>
      </c>
      <c r="C4720" s="570"/>
      <c r="D4720" s="95" t="str">
        <f>VLOOKUP(A4720,'Equip, Herr y Transp'!$B$2:$D$218,2,0)</f>
        <v>TR</v>
      </c>
      <c r="E4720" s="95">
        <f>VLOOKUP(A4720,'Equip, Herr y Transp'!$B$2:$D$218,3,0)</f>
        <v>960000</v>
      </c>
      <c r="F4720" s="96">
        <f>H4709</f>
        <v>0.3125</v>
      </c>
      <c r="G4720" s="122">
        <f>F4720*E4720</f>
        <v>300000</v>
      </c>
      <c r="H4720" s="117"/>
    </row>
    <row r="4721" spans="1:15">
      <c r="A4721" s="536" t="s">
        <v>8</v>
      </c>
      <c r="B4721" s="570">
        <f>VLOOKUP(A4721,'Equip, Herr y Transp'!$B$2:$D$739,2,0)</f>
        <v>0</v>
      </c>
      <c r="C4721" s="570"/>
      <c r="D4721" s="95">
        <f>VLOOKUP(A4721,'Equip, Herr y Transp'!$B$2:$D$218,2,0)</f>
        <v>0</v>
      </c>
      <c r="E4721" s="95">
        <f>VLOOKUP(A4721,'Equip, Herr y Transp'!$B$2:$D$218,3,0)</f>
        <v>0</v>
      </c>
      <c r="F4721" s="96"/>
      <c r="G4721" s="122">
        <f>F4721*E4721</f>
        <v>0</v>
      </c>
      <c r="H4721" s="117"/>
    </row>
    <row r="4722" spans="1:15" ht="16.5">
      <c r="A4722" s="540" t="s">
        <v>4100</v>
      </c>
      <c r="B4722" s="541"/>
      <c r="C4722" s="541"/>
      <c r="D4722" s="541"/>
      <c r="E4722" s="541"/>
      <c r="F4722" s="541"/>
      <c r="G4722" s="541"/>
      <c r="H4722" s="97">
        <f>SUM(G4719:G4721)</f>
        <v>304415.625</v>
      </c>
    </row>
    <row r="4723" spans="1:15" ht="16.5">
      <c r="A4723" s="571" t="s">
        <v>4230</v>
      </c>
      <c r="B4723" s="572"/>
      <c r="C4723" s="572"/>
      <c r="D4723" s="572"/>
      <c r="E4723" s="572"/>
      <c r="F4723" s="572"/>
      <c r="G4723" s="572"/>
      <c r="H4723" s="573"/>
      <c r="K4723" s="56"/>
      <c r="L4723" s="56"/>
      <c r="M4723" s="56"/>
      <c r="N4723" s="56"/>
      <c r="O4723" s="56"/>
    </row>
    <row r="4724" spans="1:15" ht="30" customHeight="1">
      <c r="A4724" s="574" t="s">
        <v>7</v>
      </c>
      <c r="B4724" s="575"/>
      <c r="C4724" s="109" t="s">
        <v>0</v>
      </c>
      <c r="D4724" s="110" t="s">
        <v>4098</v>
      </c>
      <c r="E4724" s="111" t="s">
        <v>1</v>
      </c>
      <c r="F4724" s="576" t="s">
        <v>4218</v>
      </c>
      <c r="G4724" s="576"/>
      <c r="H4724" s="215"/>
      <c r="K4724" s="56"/>
      <c r="L4724" s="56"/>
      <c r="M4724" s="56"/>
      <c r="N4724" s="56"/>
      <c r="O4724" s="56"/>
    </row>
    <row r="4725" spans="1:15">
      <c r="A4725" s="577" t="s">
        <v>4694</v>
      </c>
      <c r="B4725" s="578"/>
      <c r="C4725" s="98" t="str">
        <f>VLOOKUP(A4725,'Materiales '!$C$2:$F$1302,3,0)</f>
        <v>Und</v>
      </c>
      <c r="D4725" s="99">
        <f>VLOOKUP(A4725,'Materiales '!$C$2:$F$1302,4,0)</f>
        <v>1898050.0000000002</v>
      </c>
      <c r="E4725" s="100">
        <v>1</v>
      </c>
      <c r="F4725" s="538">
        <f>E4725*D4725</f>
        <v>1898050.0000000002</v>
      </c>
      <c r="G4725" s="539"/>
      <c r="H4725" s="121"/>
      <c r="I4725">
        <f>E4725*G4716</f>
        <v>0</v>
      </c>
      <c r="J4725" s="67"/>
      <c r="K4725" s="56"/>
      <c r="L4725" s="56"/>
      <c r="M4725" s="56"/>
      <c r="N4725" s="56"/>
      <c r="O4725" s="56"/>
    </row>
    <row r="4726" spans="1:15">
      <c r="A4726" s="577" t="s">
        <v>4628</v>
      </c>
      <c r="B4726" s="578"/>
      <c r="C4726" s="98" t="str">
        <f>VLOOKUP(A4726,'Materiales '!$C$2:$F$1302,3,0)</f>
        <v>Rollo</v>
      </c>
      <c r="D4726" s="99">
        <f>VLOOKUP(A4726,'Materiales '!$C$2:$F$1302,4,0)</f>
        <v>138230.39999999999</v>
      </c>
      <c r="E4726" s="100">
        <v>0.5</v>
      </c>
      <c r="F4726" s="538">
        <f t="shared" ref="F4726:F4732" si="277">E4726*D4726</f>
        <v>69115.199999999997</v>
      </c>
      <c r="G4726" s="539"/>
      <c r="H4726" s="121"/>
      <c r="I4726">
        <f>E4726*G4716</f>
        <v>0</v>
      </c>
      <c r="J4726" s="67"/>
      <c r="K4726" s="56"/>
      <c r="L4726" s="56"/>
      <c r="M4726" s="56"/>
      <c r="N4726" s="56"/>
      <c r="O4726" s="56"/>
    </row>
    <row r="4727" spans="1:15">
      <c r="A4727" s="536" t="s">
        <v>8</v>
      </c>
      <c r="B4727" s="537" t="str">
        <f>VLOOKUP(A4727,'Materiales '!$C$2:$F$1302,3,0)</f>
        <v>-</v>
      </c>
      <c r="C4727" s="98" t="str">
        <f>VLOOKUP(A4727,'Materiales '!$C$2:$F$1302,3,0)</f>
        <v>-</v>
      </c>
      <c r="D4727" s="99">
        <f>VLOOKUP(A4727,'Materiales '!$C$2:$F$1302,4,0)</f>
        <v>0</v>
      </c>
      <c r="E4727" s="100">
        <v>1</v>
      </c>
      <c r="F4727" s="538">
        <f t="shared" si="277"/>
        <v>0</v>
      </c>
      <c r="G4727" s="539"/>
      <c r="H4727" s="121"/>
      <c r="I4727">
        <f>E4727*G4716</f>
        <v>0</v>
      </c>
      <c r="J4727" s="68"/>
      <c r="K4727" s="56"/>
      <c r="L4727" s="56"/>
      <c r="M4727" s="56"/>
      <c r="N4727" s="56"/>
      <c r="O4727" s="56"/>
    </row>
    <row r="4728" spans="1:15">
      <c r="A4728" s="536" t="s">
        <v>8</v>
      </c>
      <c r="B4728" s="537" t="str">
        <f>VLOOKUP(A4728,'Materiales '!$C$2:$F$1302,3,0)</f>
        <v>-</v>
      </c>
      <c r="C4728" s="98" t="str">
        <f>VLOOKUP(A4728,'Materiales '!$C$2:$F$1302,3,0)</f>
        <v>-</v>
      </c>
      <c r="D4728" s="99">
        <f>VLOOKUP(A4728,'Materiales '!$C$2:$F$1302,4,0)</f>
        <v>0</v>
      </c>
      <c r="E4728" s="100">
        <v>3</v>
      </c>
      <c r="F4728" s="538">
        <f t="shared" si="277"/>
        <v>0</v>
      </c>
      <c r="G4728" s="539"/>
      <c r="H4728" s="121"/>
      <c r="I4728">
        <f>E4728*G4716</f>
        <v>0</v>
      </c>
      <c r="J4728" s="68"/>
      <c r="K4728" s="56"/>
      <c r="L4728" s="56"/>
      <c r="M4728" s="56"/>
      <c r="N4728" s="56"/>
      <c r="O4728" s="56"/>
    </row>
    <row r="4729" spans="1:15">
      <c r="A4729" s="536" t="s">
        <v>8</v>
      </c>
      <c r="B4729" s="537" t="str">
        <f>VLOOKUP(A4729,'Materiales '!$C$2:$F$1302,3,0)</f>
        <v>-</v>
      </c>
      <c r="C4729" s="98" t="str">
        <f>VLOOKUP(A4729,'Materiales '!$C$2:$F$1302,3,0)</f>
        <v>-</v>
      </c>
      <c r="D4729" s="99">
        <f>VLOOKUP(A4729,'Materiales '!$C$2:$F$1302,4,0)</f>
        <v>0</v>
      </c>
      <c r="E4729" s="100">
        <v>2</v>
      </c>
      <c r="F4729" s="538">
        <f t="shared" si="277"/>
        <v>0</v>
      </c>
      <c r="G4729" s="539"/>
      <c r="H4729" s="121"/>
      <c r="I4729">
        <f>E4729*G4716</f>
        <v>0</v>
      </c>
      <c r="J4729" s="68"/>
      <c r="K4729" s="56"/>
      <c r="L4729" s="56"/>
      <c r="M4729" s="56"/>
      <c r="N4729" s="56"/>
      <c r="O4729" s="56"/>
    </row>
    <row r="4730" spans="1:15">
      <c r="A4730" s="536" t="s">
        <v>8</v>
      </c>
      <c r="B4730" s="537" t="str">
        <f>VLOOKUP(A4730,'Materiales '!$C$2:$F$1302,3,0)</f>
        <v>-</v>
      </c>
      <c r="C4730" s="98" t="str">
        <f>VLOOKUP(A4730,'Materiales '!$C$2:$F$1302,3,0)</f>
        <v>-</v>
      </c>
      <c r="D4730" s="99">
        <f>VLOOKUP(A4730,'Materiales '!$C$2:$F$1302,4,0)</f>
        <v>0</v>
      </c>
      <c r="E4730" s="100">
        <v>8</v>
      </c>
      <c r="F4730" s="538">
        <f t="shared" si="277"/>
        <v>0</v>
      </c>
      <c r="G4730" s="539"/>
      <c r="H4730" s="121"/>
      <c r="I4730">
        <f>E4730*G4716</f>
        <v>0</v>
      </c>
      <c r="J4730" s="68"/>
      <c r="K4730" s="56"/>
      <c r="L4730" s="56"/>
      <c r="M4730" s="56"/>
      <c r="N4730" s="56"/>
      <c r="O4730" s="56"/>
    </row>
    <row r="4731" spans="1:15">
      <c r="A4731" s="536" t="s">
        <v>8</v>
      </c>
      <c r="B4731" s="537" t="str">
        <f>VLOOKUP(A4731,'Materiales '!$C$2:$F$1302,3,0)</f>
        <v>-</v>
      </c>
      <c r="C4731" s="98" t="str">
        <f>VLOOKUP(A4731,'Materiales '!$C$2:$F$1302,3,0)</f>
        <v>-</v>
      </c>
      <c r="D4731" s="99">
        <f>VLOOKUP(A4731,'Materiales '!$C$2:$F$1302,4,0)</f>
        <v>0</v>
      </c>
      <c r="E4731" s="100">
        <v>3</v>
      </c>
      <c r="F4731" s="538">
        <f t="shared" si="277"/>
        <v>0</v>
      </c>
      <c r="G4731" s="539"/>
      <c r="H4731" s="121"/>
      <c r="I4731">
        <f>E4731*G4716</f>
        <v>0</v>
      </c>
      <c r="J4731" s="68"/>
      <c r="K4731" s="56"/>
      <c r="L4731" s="56"/>
      <c r="M4731" s="56"/>
      <c r="N4731" s="56"/>
      <c r="O4731" s="56"/>
    </row>
    <row r="4732" spans="1:15" ht="21.75" customHeight="1">
      <c r="A4732" s="536" t="s">
        <v>8</v>
      </c>
      <c r="B4732" s="537" t="str">
        <f>VLOOKUP(A4732,'Materiales '!$C$2:$F$1302,3,0)</f>
        <v>-</v>
      </c>
      <c r="C4732" s="98" t="str">
        <f>VLOOKUP(A4732,'Materiales '!$C$2:$F$1302,3,0)</f>
        <v>-</v>
      </c>
      <c r="D4732" s="99">
        <f>VLOOKUP(A4732,'Materiales '!$C$2:$F$1302,4,0)</f>
        <v>0</v>
      </c>
      <c r="E4732" s="100">
        <v>0.5</v>
      </c>
      <c r="F4732" s="538">
        <f t="shared" si="277"/>
        <v>0</v>
      </c>
      <c r="G4732" s="539"/>
      <c r="H4732" s="121"/>
      <c r="I4732">
        <f>E4732*G4716</f>
        <v>0</v>
      </c>
      <c r="J4732" s="68"/>
      <c r="K4732" s="56"/>
      <c r="L4732" s="56"/>
      <c r="M4732" s="56"/>
      <c r="N4732" s="56"/>
      <c r="O4732" s="56"/>
    </row>
    <row r="4733" spans="1:15">
      <c r="A4733" s="536" t="s">
        <v>8</v>
      </c>
      <c r="B4733" s="537" t="str">
        <f>VLOOKUP(A4733,'Materiales '!$C$2:$F$1302,3,0)</f>
        <v>-</v>
      </c>
      <c r="C4733" s="98" t="str">
        <f>VLOOKUP(A4733,'Materiales '!$C$2:$F$1302,3,0)</f>
        <v>-</v>
      </c>
      <c r="D4733" s="99">
        <f>VLOOKUP(A4733,'Materiales '!$C$2:$F$1302,4,0)</f>
        <v>0</v>
      </c>
      <c r="E4733" s="100"/>
      <c r="F4733" s="538">
        <f>E4733*D4733</f>
        <v>0</v>
      </c>
      <c r="G4733" s="539"/>
      <c r="H4733" s="120"/>
      <c r="I4733">
        <f>E4733*G4716</f>
        <v>0</v>
      </c>
      <c r="J4733" s="68"/>
      <c r="K4733" s="56"/>
      <c r="L4733" s="56"/>
      <c r="M4733" s="56"/>
      <c r="N4733" s="56"/>
      <c r="O4733" s="56"/>
    </row>
    <row r="4734" spans="1:15">
      <c r="A4734" s="536" t="s">
        <v>8</v>
      </c>
      <c r="B4734" s="537" t="str">
        <f>VLOOKUP(A4734,'Materiales '!$C$2:$F$1302,3,0)</f>
        <v>-</v>
      </c>
      <c r="C4734" s="98" t="str">
        <f>VLOOKUP(A4734,'Materiales '!$C$2:$F$1302,3,0)</f>
        <v>-</v>
      </c>
      <c r="D4734" s="99">
        <f>VLOOKUP(A4734,'Materiales '!$C$2:$F$1302,4,0)</f>
        <v>0</v>
      </c>
      <c r="E4734" s="100"/>
      <c r="F4734" s="538">
        <f t="shared" ref="F4734:F4737" si="278">E4734*D4734</f>
        <v>0</v>
      </c>
      <c r="G4734" s="539"/>
      <c r="H4734" s="121"/>
      <c r="I4734">
        <f>E4734*G4716</f>
        <v>0</v>
      </c>
      <c r="J4734" s="68"/>
      <c r="K4734" s="56"/>
      <c r="L4734" s="56"/>
      <c r="M4734" s="56"/>
      <c r="N4734" s="56"/>
      <c r="O4734" s="56"/>
    </row>
    <row r="4735" spans="1:15">
      <c r="A4735" s="536" t="s">
        <v>8</v>
      </c>
      <c r="B4735" s="537" t="str">
        <f>VLOOKUP(A4735,'Materiales '!$C$2:$F$1302,3,0)</f>
        <v>-</v>
      </c>
      <c r="C4735" s="98" t="str">
        <f>VLOOKUP(A4735,'Materiales '!$C$2:$F$1302,3,0)</f>
        <v>-</v>
      </c>
      <c r="D4735" s="99">
        <f>VLOOKUP(A4735,'Materiales '!$C$2:$F$1302,4,0)</f>
        <v>0</v>
      </c>
      <c r="E4735" s="100"/>
      <c r="F4735" s="538">
        <f t="shared" si="278"/>
        <v>0</v>
      </c>
      <c r="G4735" s="539"/>
      <c r="H4735" s="121"/>
      <c r="I4735">
        <f>E4735*G4716</f>
        <v>0</v>
      </c>
      <c r="J4735" s="68"/>
      <c r="K4735" s="56"/>
      <c r="L4735" s="56"/>
      <c r="M4735" s="56"/>
      <c r="N4735" s="56"/>
      <c r="O4735" s="56"/>
    </row>
    <row r="4736" spans="1:15">
      <c r="A4736" s="536" t="s">
        <v>8</v>
      </c>
      <c r="B4736" s="537" t="str">
        <f>VLOOKUP(A4736,'Materiales '!$C$2:$F$1302,3,0)</f>
        <v>-</v>
      </c>
      <c r="C4736" s="98" t="str">
        <f>VLOOKUP(A4736,'Materiales '!$C$2:$F$1302,3,0)</f>
        <v>-</v>
      </c>
      <c r="D4736" s="99">
        <f>VLOOKUP(A4736,'Materiales '!$C$2:$F$1302,4,0)</f>
        <v>0</v>
      </c>
      <c r="E4736" s="100"/>
      <c r="F4736" s="538">
        <f t="shared" si="278"/>
        <v>0</v>
      </c>
      <c r="G4736" s="539"/>
      <c r="H4736" s="121"/>
      <c r="I4736">
        <f>E4736*G4716</f>
        <v>0</v>
      </c>
      <c r="J4736" s="68"/>
      <c r="K4736" s="56"/>
      <c r="L4736" s="56"/>
      <c r="M4736" s="56"/>
      <c r="N4736" s="56"/>
      <c r="O4736" s="56"/>
    </row>
    <row r="4737" spans="1:15">
      <c r="A4737" s="536" t="s">
        <v>8</v>
      </c>
      <c r="B4737" s="537" t="str">
        <f>VLOOKUP(A4737,'Materiales '!$C$2:$F$1302,3,0)</f>
        <v>-</v>
      </c>
      <c r="C4737" s="98" t="str">
        <f>VLOOKUP(A4737,'Materiales '!$C$2:$F$1302,3,0)</f>
        <v>-</v>
      </c>
      <c r="D4737" s="99">
        <f>VLOOKUP(A4737,'Materiales '!$C$2:$F$1302,4,0)</f>
        <v>0</v>
      </c>
      <c r="E4737" s="100"/>
      <c r="F4737" s="538">
        <f t="shared" si="278"/>
        <v>0</v>
      </c>
      <c r="G4737" s="539"/>
      <c r="H4737" s="121"/>
      <c r="I4737">
        <f>E4737*G4716</f>
        <v>0</v>
      </c>
      <c r="J4737" s="68"/>
      <c r="K4737" s="56"/>
      <c r="L4737" s="56"/>
      <c r="M4737" s="56"/>
      <c r="N4737" s="56"/>
      <c r="O4737" s="56"/>
    </row>
    <row r="4738" spans="1:15">
      <c r="A4738" s="536" t="s">
        <v>8</v>
      </c>
      <c r="B4738" s="537" t="str">
        <f>VLOOKUP(A4738,'Materiales '!$C$2:$F$1302,3,0)</f>
        <v>-</v>
      </c>
      <c r="C4738" s="98" t="str">
        <f>VLOOKUP(A4738,'Materiales '!$C$2:$F$1302,3,0)</f>
        <v>-</v>
      </c>
      <c r="D4738" s="99">
        <f>VLOOKUP(A4738,'Materiales '!$C$2:$F$1302,4,0)</f>
        <v>0</v>
      </c>
      <c r="E4738" s="100"/>
      <c r="F4738" s="538">
        <f>E4738*D4738</f>
        <v>0</v>
      </c>
      <c r="G4738" s="539"/>
      <c r="H4738" s="120"/>
      <c r="I4738">
        <f>E4738*G4716</f>
        <v>0</v>
      </c>
      <c r="J4738" s="68"/>
      <c r="K4738" s="56"/>
      <c r="L4738" s="56"/>
      <c r="M4738" s="56"/>
      <c r="N4738" s="56"/>
      <c r="O4738" s="56"/>
    </row>
    <row r="4739" spans="1:15" ht="16.5">
      <c r="A4739" s="540" t="s">
        <v>4099</v>
      </c>
      <c r="B4739" s="541"/>
      <c r="C4739" s="541"/>
      <c r="D4739" s="541"/>
      <c r="E4739" s="541"/>
      <c r="F4739" s="541"/>
      <c r="G4739" s="542"/>
      <c r="H4739" s="116">
        <f>SUM(F4725:F4738)</f>
        <v>1967165.2000000002</v>
      </c>
      <c r="J4739" s="68"/>
      <c r="K4739" s="56"/>
      <c r="L4739" s="56"/>
      <c r="M4739" s="56"/>
      <c r="N4739" s="56"/>
      <c r="O4739" s="56"/>
    </row>
    <row r="4740" spans="1:15" ht="16.5">
      <c r="A4740" s="543" t="s">
        <v>4231</v>
      </c>
      <c r="B4740" s="544"/>
      <c r="C4740" s="544"/>
      <c r="D4740" s="544"/>
      <c r="E4740" s="545"/>
      <c r="F4740" s="544"/>
      <c r="G4740" s="544"/>
      <c r="H4740" s="546"/>
      <c r="J4740" s="68"/>
      <c r="K4740" s="56"/>
      <c r="L4740" s="56"/>
      <c r="M4740" s="56"/>
      <c r="N4740" s="56"/>
      <c r="O4740" s="56"/>
    </row>
    <row r="4741" spans="1:15">
      <c r="A4741" s="547" t="s">
        <v>7</v>
      </c>
      <c r="B4741" s="548"/>
      <c r="C4741" s="108" t="s">
        <v>4232</v>
      </c>
      <c r="D4741" s="107" t="s">
        <v>4233</v>
      </c>
      <c r="E4741" s="206" t="s">
        <v>4234</v>
      </c>
      <c r="F4741" s="549" t="s">
        <v>4218</v>
      </c>
      <c r="G4741" s="549"/>
      <c r="H4741" s="119"/>
      <c r="K4741" s="56"/>
      <c r="L4741" s="56"/>
      <c r="M4741" s="56"/>
      <c r="N4741" s="56"/>
      <c r="O4741" s="56"/>
    </row>
    <row r="4742" spans="1:15">
      <c r="A4742" s="550" t="s">
        <v>3928</v>
      </c>
      <c r="B4742" s="551"/>
      <c r="C4742" s="232">
        <v>1</v>
      </c>
      <c r="D4742" s="102">
        <v>0.03</v>
      </c>
      <c r="E4742" s="103">
        <f>VLOOKUP(A4742,'Equip, Herr y Transp'!$B$2:$D$218,3,0)</f>
        <v>160000</v>
      </c>
      <c r="F4742" s="552">
        <f>E4742*D4742*C4742</f>
        <v>4800</v>
      </c>
      <c r="G4742" s="553"/>
      <c r="H4742" s="117"/>
      <c r="M4742" s="56"/>
    </row>
    <row r="4743" spans="1:15" ht="16.5">
      <c r="A4743" s="554" t="s">
        <v>4216</v>
      </c>
      <c r="B4743" s="555"/>
      <c r="C4743" s="555"/>
      <c r="D4743" s="555"/>
      <c r="E4743" s="555"/>
      <c r="F4743" s="555"/>
      <c r="G4743" s="555"/>
      <c r="H4743" s="105">
        <f>F4742</f>
        <v>4800</v>
      </c>
    </row>
    <row r="4744" spans="1:15" ht="16.5">
      <c r="A4744" s="543" t="s">
        <v>4235</v>
      </c>
      <c r="B4744" s="544"/>
      <c r="C4744" s="544"/>
      <c r="D4744" s="544"/>
      <c r="E4744" s="544"/>
      <c r="F4744" s="544"/>
      <c r="G4744" s="544"/>
      <c r="H4744" s="546"/>
    </row>
    <row r="4745" spans="1:15">
      <c r="A4745" s="547" t="s">
        <v>7</v>
      </c>
      <c r="B4745" s="548"/>
      <c r="C4745" s="106" t="s">
        <v>1</v>
      </c>
      <c r="D4745" s="107" t="s">
        <v>4236</v>
      </c>
      <c r="E4745" s="108" t="s">
        <v>4215</v>
      </c>
      <c r="F4745" s="547" t="s">
        <v>5</v>
      </c>
      <c r="G4745" s="556"/>
      <c r="H4745" s="119"/>
    </row>
    <row r="4746" spans="1:15">
      <c r="A4746" s="550" t="s">
        <v>4196</v>
      </c>
      <c r="B4746" s="551"/>
      <c r="C4746" s="101">
        <v>1</v>
      </c>
      <c r="D4746" s="104">
        <f>VLOOKUP(A4746,'Mano Obra'!$B$2:$T$117,19,0)</f>
        <v>166624</v>
      </c>
      <c r="E4746" s="246">
        <f>H4709</f>
        <v>0.3125</v>
      </c>
      <c r="F4746" s="538">
        <f>E4746*D4746*C4746</f>
        <v>52070</v>
      </c>
      <c r="G4746" s="557"/>
      <c r="H4746" s="121"/>
      <c r="I4746" s="69"/>
      <c r="J4746" s="136">
        <f>((('Mano Obra'!$M$4/30)*F4746)/D4746)*G4716</f>
        <v>0</v>
      </c>
    </row>
    <row r="4747" spans="1:15">
      <c r="A4747" s="558" t="s">
        <v>4197</v>
      </c>
      <c r="B4747" s="559">
        <f>VLOOKUP(A4747,'Mano Obra'!$B$3:$D$290,2,0)</f>
        <v>2090000.0000000002</v>
      </c>
      <c r="C4747" s="101">
        <v>1</v>
      </c>
      <c r="D4747" s="104">
        <f>VLOOKUP(A4747,'Mano Obra'!$B$2:$T$117,19,0)</f>
        <v>120456</v>
      </c>
      <c r="E4747" s="246">
        <f>H4709</f>
        <v>0.3125</v>
      </c>
      <c r="F4747" s="538">
        <f t="shared" ref="F4747:F4748" si="279">E4747*D4747*C4747</f>
        <v>37642.5</v>
      </c>
      <c r="G4747" s="557"/>
      <c r="H4747" s="121"/>
      <c r="J4747" s="136">
        <f>((('Mano Obra'!$M$5/30)*F4747)/D4747)*G4716</f>
        <v>0</v>
      </c>
    </row>
    <row r="4748" spans="1:15">
      <c r="A4748" s="558" t="s">
        <v>4186</v>
      </c>
      <c r="B4748" s="559">
        <f>VLOOKUP(A4748,'Mano Obra'!$B$3:$D$290,2,0)</f>
        <v>1100000</v>
      </c>
      <c r="C4748" s="101">
        <v>1</v>
      </c>
      <c r="D4748" s="104">
        <f>VLOOKUP(A4748,'Mano Obra'!$B$2:$T$117,19,0)</f>
        <v>72664</v>
      </c>
      <c r="E4748" s="246">
        <f>H4709</f>
        <v>0.3125</v>
      </c>
      <c r="F4748" s="538">
        <f t="shared" si="279"/>
        <v>22707.5</v>
      </c>
      <c r="G4748" s="557"/>
      <c r="H4748" s="120"/>
      <c r="J4748" s="136">
        <f>((('Mano Obra'!$M$6/30)*F4748)/D4748)*G4716</f>
        <v>0</v>
      </c>
    </row>
    <row r="4749" spans="1:15" ht="16.5">
      <c r="A4749" s="560" t="s">
        <v>4101</v>
      </c>
      <c r="B4749" s="560"/>
      <c r="C4749" s="560"/>
      <c r="D4749" s="560"/>
      <c r="E4749" s="560"/>
      <c r="F4749" s="560"/>
      <c r="G4749" s="560"/>
      <c r="H4749" s="105">
        <f>SUM(F4746:F4748)</f>
        <v>112420</v>
      </c>
      <c r="J4749" s="136"/>
    </row>
    <row r="4750" spans="1:15">
      <c r="A4750" s="227" t="s">
        <v>4237</v>
      </c>
      <c r="B4750" s="205"/>
      <c r="C4750" s="205"/>
      <c r="D4750" s="202"/>
      <c r="E4750" s="203"/>
      <c r="F4750" s="204"/>
      <c r="G4750" s="203"/>
      <c r="H4750" s="212"/>
    </row>
    <row r="4751" spans="1:15">
      <c r="A4751" s="561" t="s">
        <v>4224</v>
      </c>
      <c r="B4751" s="562"/>
      <c r="C4751" s="562"/>
      <c r="D4751" s="562"/>
      <c r="E4751" s="200"/>
      <c r="F4751" s="201" t="s">
        <v>4238</v>
      </c>
      <c r="G4751" s="200" t="s">
        <v>4239</v>
      </c>
      <c r="H4751" s="213"/>
    </row>
    <row r="4752" spans="1:15">
      <c r="A4752" s="223" t="s">
        <v>4097</v>
      </c>
      <c r="B4752" s="72"/>
      <c r="C4752" s="72"/>
      <c r="D4752" s="73"/>
      <c r="E4752" s="78"/>
      <c r="F4752" s="79">
        <v>0</v>
      </c>
      <c r="G4752" s="80">
        <f>F4752*H4717</f>
        <v>0</v>
      </c>
      <c r="H4752" s="212"/>
    </row>
    <row r="4753" spans="1:14">
      <c r="A4753" s="224" t="s">
        <v>4240</v>
      </c>
      <c r="B4753" s="81"/>
      <c r="C4753" s="81"/>
      <c r="D4753" s="82"/>
      <c r="E4753" s="78"/>
      <c r="F4753" s="79">
        <v>0</v>
      </c>
      <c r="G4753" s="80">
        <f>F4753*H4717</f>
        <v>0</v>
      </c>
      <c r="H4753" s="212"/>
    </row>
    <row r="4754" spans="1:14">
      <c r="A4754" s="224" t="s">
        <v>4</v>
      </c>
      <c r="B4754" s="81"/>
      <c r="C4754" s="81"/>
      <c r="D4754" s="82"/>
      <c r="E4754" s="78"/>
      <c r="F4754" s="79">
        <v>0</v>
      </c>
      <c r="G4754" s="80">
        <f>F4754*H4717</f>
        <v>0</v>
      </c>
      <c r="H4754" s="212"/>
    </row>
    <row r="4755" spans="1:14">
      <c r="A4755" s="225"/>
      <c r="B4755" s="83"/>
      <c r="C4755" s="75"/>
      <c r="D4755" s="84"/>
      <c r="E4755" s="85"/>
      <c r="F4755" s="86"/>
      <c r="G4755" s="87"/>
      <c r="H4755" s="214"/>
    </row>
    <row r="4756" spans="1:14">
      <c r="A4756" s="226"/>
      <c r="B4756" s="83"/>
      <c r="C4756" s="83"/>
      <c r="D4756" s="84"/>
      <c r="E4756" s="88"/>
      <c r="F4756" s="563" t="s">
        <v>4241</v>
      </c>
      <c r="G4756" s="564"/>
      <c r="H4756" s="233">
        <f>H4717+G4752+G4753+G4754</f>
        <v>2388800.8250000002</v>
      </c>
    </row>
    <row r="4757" spans="1:14">
      <c r="A4757" s="83"/>
      <c r="B4757" s="83"/>
      <c r="C4757" s="83"/>
      <c r="D4757" s="84"/>
      <c r="E4757" s="388"/>
      <c r="F4757" s="389"/>
      <c r="G4757" s="389"/>
      <c r="H4757" s="390"/>
    </row>
    <row r="4758" spans="1:14" ht="16.5">
      <c r="A4758" s="90"/>
      <c r="B4758" s="90"/>
      <c r="C4758" s="90"/>
      <c r="D4758" s="90"/>
      <c r="E4758" s="90"/>
      <c r="F4758" s="90"/>
      <c r="G4758" s="90"/>
      <c r="H4758" s="381"/>
    </row>
    <row r="4759" spans="1:14">
      <c r="A4759" s="579" t="s">
        <v>4225</v>
      </c>
      <c r="B4759" s="580"/>
      <c r="C4759" s="580"/>
      <c r="D4759" s="580"/>
      <c r="E4759" s="580"/>
      <c r="F4759" s="580"/>
      <c r="G4759" s="580"/>
      <c r="H4759" s="581"/>
    </row>
    <row r="4760" spans="1:14" ht="16.5">
      <c r="A4760" s="91"/>
      <c r="B4760" s="92"/>
      <c r="C4760" s="92"/>
      <c r="D4760" s="92"/>
      <c r="E4760" s="92"/>
      <c r="F4760" s="93"/>
      <c r="G4760" s="94"/>
      <c r="H4760" s="380">
        <f>ROUND((90/60)/8,4)</f>
        <v>0.1875</v>
      </c>
      <c r="I4760" s="115"/>
    </row>
    <row r="4761" spans="1:14">
      <c r="A4761" s="582" t="s">
        <v>4220</v>
      </c>
      <c r="B4761" s="584" t="str">
        <f>COSTOS!$C$14</f>
        <v>MODERNIZACION A TECNOLOGIA LED</v>
      </c>
      <c r="C4761" s="584"/>
      <c r="D4761" s="584"/>
      <c r="E4761" s="584"/>
      <c r="F4761" s="584"/>
      <c r="G4761" s="584"/>
      <c r="H4761" s="585" t="s">
        <v>4221</v>
      </c>
    </row>
    <row r="4762" spans="1:14">
      <c r="A4762" s="583"/>
      <c r="B4762" s="584"/>
      <c r="C4762" s="584"/>
      <c r="D4762" s="584"/>
      <c r="E4762" s="584"/>
      <c r="F4762" s="584"/>
      <c r="G4762" s="584"/>
      <c r="H4762" s="585"/>
    </row>
    <row r="4763" spans="1:14">
      <c r="A4763" s="583"/>
      <c r="B4763" s="584"/>
      <c r="C4763" s="584"/>
      <c r="D4763" s="584"/>
      <c r="E4763" s="584"/>
      <c r="F4763" s="584"/>
      <c r="G4763" s="584"/>
      <c r="H4763" s="585"/>
    </row>
    <row r="4764" spans="1:14" ht="15" customHeight="1">
      <c r="A4764" s="583"/>
      <c r="B4764" s="584"/>
      <c r="C4764" s="584"/>
      <c r="D4764" s="584"/>
      <c r="E4764" s="584"/>
      <c r="F4764" s="584"/>
      <c r="G4764" s="584"/>
      <c r="H4764" s="216">
        <f ca="1">TODAY()</f>
        <v>44889</v>
      </c>
      <c r="K4764" t="s">
        <v>4391</v>
      </c>
      <c r="L4764" t="s">
        <v>4392</v>
      </c>
      <c r="M4764" t="s">
        <v>4393</v>
      </c>
      <c r="N4764" t="s">
        <v>4394</v>
      </c>
    </row>
    <row r="4765" spans="1:14" ht="60.75" customHeight="1">
      <c r="A4765" s="228" t="s">
        <v>4222</v>
      </c>
      <c r="B4765" s="565" t="str">
        <f>COSTOS!$D$16</f>
        <v>Luminarias</v>
      </c>
      <c r="C4765" s="565"/>
      <c r="D4765" s="565"/>
      <c r="E4765" s="565"/>
      <c r="F4765" s="565"/>
      <c r="G4765" s="70" t="s">
        <v>4223</v>
      </c>
      <c r="H4765" s="387">
        <v>2.9</v>
      </c>
      <c r="K4765" s="62">
        <f>H4790</f>
        <v>2751256.2</v>
      </c>
      <c r="L4765" s="62">
        <f>H4800</f>
        <v>67452</v>
      </c>
      <c r="M4765" s="62">
        <f>H4773</f>
        <v>182649.375</v>
      </c>
      <c r="N4765" s="62">
        <f>H4794</f>
        <v>4800</v>
      </c>
    </row>
    <row r="4766" spans="1:14" ht="43.15" customHeight="1">
      <c r="A4766" s="229" t="s">
        <v>4224</v>
      </c>
      <c r="B4766" s="566" t="str">
        <f>VLOOKUP(H4765,COSTOS!C:M,2,0)</f>
        <v>Poste metalico 12 metros para reflector</v>
      </c>
      <c r="C4766" s="567"/>
      <c r="D4766" s="567"/>
      <c r="E4766" s="568"/>
      <c r="F4766" s="71" t="s">
        <v>0</v>
      </c>
      <c r="G4766" s="356" t="str">
        <f>VLOOKUP(H4765,COSTOS!C:M,8,0)</f>
        <v>Und</v>
      </c>
      <c r="H4766" s="276"/>
      <c r="I4766" s="306"/>
      <c r="J4766" s="308"/>
      <c r="K4766" s="308"/>
      <c r="L4766" s="308"/>
    </row>
    <row r="4767" spans="1:14">
      <c r="A4767" s="230"/>
      <c r="B4767" s="112"/>
      <c r="C4767" s="112"/>
      <c r="D4767" s="112"/>
      <c r="E4767" s="113"/>
      <c r="F4767" s="114" t="s">
        <v>1</v>
      </c>
      <c r="G4767" s="356">
        <f>VLOOKUP(H4765,COSTOS!C:M,9,0)</f>
        <v>0</v>
      </c>
      <c r="H4767" s="357"/>
      <c r="I4767" s="307"/>
    </row>
    <row r="4768" spans="1:14" ht="16.5">
      <c r="A4768" s="231" t="s">
        <v>4226</v>
      </c>
      <c r="B4768" s="75"/>
      <c r="C4768" s="75"/>
      <c r="D4768" s="76"/>
      <c r="E4768" s="209"/>
      <c r="F4768" s="210"/>
      <c r="G4768" s="211" t="s">
        <v>4227</v>
      </c>
      <c r="H4768" s="217">
        <f>H4773+H4790+H4794+H4800</f>
        <v>3006157.5750000002</v>
      </c>
    </row>
    <row r="4769" spans="1:15" ht="39">
      <c r="A4769" s="569" t="s">
        <v>4224</v>
      </c>
      <c r="B4769" s="569"/>
      <c r="C4769" s="569"/>
      <c r="D4769" s="77" t="s">
        <v>0</v>
      </c>
      <c r="E4769" s="207" t="s">
        <v>4228</v>
      </c>
      <c r="F4769" s="208" t="s">
        <v>4215</v>
      </c>
      <c r="G4769" s="74" t="s">
        <v>2</v>
      </c>
      <c r="H4769" s="218" t="s">
        <v>4229</v>
      </c>
      <c r="K4769" s="309"/>
    </row>
    <row r="4770" spans="1:15">
      <c r="A4770" s="536" t="s">
        <v>3946</v>
      </c>
      <c r="B4770" s="570" t="str">
        <f>VLOOKUP(A4770,'Equip, Herr y Transp'!$B$2:$D$739,2,0)</f>
        <v>EQU</v>
      </c>
      <c r="C4770" s="570"/>
      <c r="D4770" s="95" t="str">
        <f>VLOOKUP(A4770,'Equip, Herr y Transp'!$B$2:$D$218,2,0)</f>
        <v>EQU</v>
      </c>
      <c r="E4770" s="95">
        <f>VLOOKUP(A4770,'Equip, Herr y Transp'!$B$2:$D$218,3,0)</f>
        <v>14130</v>
      </c>
      <c r="F4770" s="96">
        <f>H4760</f>
        <v>0.1875</v>
      </c>
      <c r="G4770" s="122">
        <f>F4770*E4770</f>
        <v>2649.375</v>
      </c>
      <c r="H4770" s="118"/>
    </row>
    <row r="4771" spans="1:15">
      <c r="A4771" s="536" t="s">
        <v>3894</v>
      </c>
      <c r="B4771" s="570" t="str">
        <f>VLOOKUP(A4771,'Equip, Herr y Transp'!$B$2:$D$739,2,0)</f>
        <v>TR</v>
      </c>
      <c r="C4771" s="570"/>
      <c r="D4771" s="95" t="str">
        <f>VLOOKUP(A4771,'Equip, Herr y Transp'!$B$2:$D$218,2,0)</f>
        <v>TR</v>
      </c>
      <c r="E4771" s="95">
        <f>VLOOKUP(A4771,'Equip, Herr y Transp'!$B$2:$D$218,3,0)</f>
        <v>960000</v>
      </c>
      <c r="F4771" s="96">
        <f>H4760</f>
        <v>0.1875</v>
      </c>
      <c r="G4771" s="122">
        <f>F4771*E4771</f>
        <v>180000</v>
      </c>
      <c r="H4771" s="117"/>
    </row>
    <row r="4772" spans="1:15">
      <c r="A4772" s="536" t="s">
        <v>8</v>
      </c>
      <c r="B4772" s="570">
        <f>VLOOKUP(A4772,'Equip, Herr y Transp'!$B$2:$D$739,2,0)</f>
        <v>0</v>
      </c>
      <c r="C4772" s="570"/>
      <c r="D4772" s="95">
        <f>VLOOKUP(A4772,'Equip, Herr y Transp'!$B$2:$D$218,2,0)</f>
        <v>0</v>
      </c>
      <c r="E4772" s="95">
        <f>VLOOKUP(A4772,'Equip, Herr y Transp'!$B$2:$D$218,3,0)</f>
        <v>0</v>
      </c>
      <c r="F4772" s="96"/>
      <c r="G4772" s="122">
        <f>F4772*E4772</f>
        <v>0</v>
      </c>
      <c r="H4772" s="117"/>
    </row>
    <row r="4773" spans="1:15" ht="16.5">
      <c r="A4773" s="540" t="s">
        <v>4100</v>
      </c>
      <c r="B4773" s="541"/>
      <c r="C4773" s="541"/>
      <c r="D4773" s="541"/>
      <c r="E4773" s="541"/>
      <c r="F4773" s="541"/>
      <c r="G4773" s="541"/>
      <c r="H4773" s="97">
        <f>SUM(G4770:G4772)</f>
        <v>182649.375</v>
      </c>
    </row>
    <row r="4774" spans="1:15" ht="16.5">
      <c r="A4774" s="571" t="s">
        <v>4230</v>
      </c>
      <c r="B4774" s="572"/>
      <c r="C4774" s="572"/>
      <c r="D4774" s="572"/>
      <c r="E4774" s="572"/>
      <c r="F4774" s="572"/>
      <c r="G4774" s="572"/>
      <c r="H4774" s="573"/>
      <c r="K4774" s="56"/>
      <c r="L4774" s="56"/>
      <c r="M4774" s="56"/>
      <c r="N4774" s="56"/>
      <c r="O4774" s="56"/>
    </row>
    <row r="4775" spans="1:15" ht="30" customHeight="1">
      <c r="A4775" s="574" t="s">
        <v>7</v>
      </c>
      <c r="B4775" s="575"/>
      <c r="C4775" s="109" t="s">
        <v>0</v>
      </c>
      <c r="D4775" s="110" t="s">
        <v>4098</v>
      </c>
      <c r="E4775" s="111" t="s">
        <v>1</v>
      </c>
      <c r="F4775" s="576" t="s">
        <v>4218</v>
      </c>
      <c r="G4775" s="576"/>
      <c r="H4775" s="215"/>
      <c r="K4775" s="56"/>
      <c r="L4775" s="56"/>
      <c r="M4775" s="56"/>
      <c r="N4775" s="56"/>
      <c r="O4775" s="56"/>
    </row>
    <row r="4776" spans="1:15">
      <c r="A4776" s="577" t="s">
        <v>4695</v>
      </c>
      <c r="B4776" s="578"/>
      <c r="C4776" s="98" t="str">
        <f>VLOOKUP(A4776,'Materiales '!$C$2:$F$1302,3,0)</f>
        <v>Und</v>
      </c>
      <c r="D4776" s="99">
        <f>VLOOKUP(A4776,'Materiales '!$C$2:$F$1302,4,0)</f>
        <v>2682141</v>
      </c>
      <c r="E4776" s="100">
        <v>1</v>
      </c>
      <c r="F4776" s="538">
        <f>E4776*D4776</f>
        <v>2682141</v>
      </c>
      <c r="G4776" s="539"/>
      <c r="H4776" s="121"/>
      <c r="I4776">
        <f>E4776*G4767</f>
        <v>0</v>
      </c>
      <c r="J4776" s="67"/>
      <c r="K4776" s="56"/>
      <c r="L4776" s="56"/>
      <c r="M4776" s="56"/>
      <c r="N4776" s="56"/>
      <c r="O4776" s="56"/>
    </row>
    <row r="4777" spans="1:15">
      <c r="A4777" s="577" t="s">
        <v>4628</v>
      </c>
      <c r="B4777" s="578"/>
      <c r="C4777" s="98" t="str">
        <f>VLOOKUP(A4777,'Materiales '!$C$2:$F$1302,3,0)</f>
        <v>Rollo</v>
      </c>
      <c r="D4777" s="99">
        <f>VLOOKUP(A4777,'Materiales '!$C$2:$F$1302,4,0)</f>
        <v>138230.39999999999</v>
      </c>
      <c r="E4777" s="100">
        <v>0.5</v>
      </c>
      <c r="F4777" s="538">
        <f t="shared" ref="F4777:F4783" si="280">E4777*D4777</f>
        <v>69115.199999999997</v>
      </c>
      <c r="G4777" s="539"/>
      <c r="H4777" s="121"/>
      <c r="I4777">
        <f>E4777*G4767</f>
        <v>0</v>
      </c>
      <c r="J4777" s="67"/>
      <c r="K4777" s="56"/>
      <c r="L4777" s="56"/>
      <c r="M4777" s="56"/>
      <c r="N4777" s="56"/>
      <c r="O4777" s="56"/>
    </row>
    <row r="4778" spans="1:15">
      <c r="A4778" s="536" t="s">
        <v>8</v>
      </c>
      <c r="B4778" s="537" t="str">
        <f>VLOOKUP(A4778,'Materiales '!$C$2:$F$1302,3,0)</f>
        <v>-</v>
      </c>
      <c r="C4778" s="98" t="str">
        <f>VLOOKUP(A4778,'Materiales '!$C$2:$F$1302,3,0)</f>
        <v>-</v>
      </c>
      <c r="D4778" s="99">
        <f>VLOOKUP(A4778,'Materiales '!$C$2:$F$1302,4,0)</f>
        <v>0</v>
      </c>
      <c r="E4778" s="100">
        <v>1</v>
      </c>
      <c r="F4778" s="538">
        <f t="shared" si="280"/>
        <v>0</v>
      </c>
      <c r="G4778" s="539"/>
      <c r="H4778" s="121"/>
      <c r="I4778">
        <f>E4778*G4767</f>
        <v>0</v>
      </c>
      <c r="J4778" s="68"/>
      <c r="K4778" s="56"/>
      <c r="L4778" s="56"/>
      <c r="M4778" s="56"/>
      <c r="N4778" s="56"/>
      <c r="O4778" s="56"/>
    </row>
    <row r="4779" spans="1:15">
      <c r="A4779" s="536" t="s">
        <v>8</v>
      </c>
      <c r="B4779" s="537" t="str">
        <f>VLOOKUP(A4779,'Materiales '!$C$2:$F$1302,3,0)</f>
        <v>-</v>
      </c>
      <c r="C4779" s="98" t="str">
        <f>VLOOKUP(A4779,'Materiales '!$C$2:$F$1302,3,0)</f>
        <v>-</v>
      </c>
      <c r="D4779" s="99">
        <f>VLOOKUP(A4779,'Materiales '!$C$2:$F$1302,4,0)</f>
        <v>0</v>
      </c>
      <c r="E4779" s="100">
        <v>3</v>
      </c>
      <c r="F4779" s="538">
        <f t="shared" si="280"/>
        <v>0</v>
      </c>
      <c r="G4779" s="539"/>
      <c r="H4779" s="121"/>
      <c r="I4779">
        <f>E4779*G4767</f>
        <v>0</v>
      </c>
      <c r="J4779" s="68"/>
      <c r="K4779" s="56"/>
      <c r="L4779" s="56"/>
      <c r="M4779" s="56"/>
      <c r="N4779" s="56"/>
      <c r="O4779" s="56"/>
    </row>
    <row r="4780" spans="1:15">
      <c r="A4780" s="536" t="s">
        <v>8</v>
      </c>
      <c r="B4780" s="537" t="str">
        <f>VLOOKUP(A4780,'Materiales '!$C$2:$F$1302,3,0)</f>
        <v>-</v>
      </c>
      <c r="C4780" s="98" t="str">
        <f>VLOOKUP(A4780,'Materiales '!$C$2:$F$1302,3,0)</f>
        <v>-</v>
      </c>
      <c r="D4780" s="99">
        <f>VLOOKUP(A4780,'Materiales '!$C$2:$F$1302,4,0)</f>
        <v>0</v>
      </c>
      <c r="E4780" s="100">
        <v>2</v>
      </c>
      <c r="F4780" s="538">
        <f t="shared" si="280"/>
        <v>0</v>
      </c>
      <c r="G4780" s="539"/>
      <c r="H4780" s="121"/>
      <c r="I4780">
        <f>E4780*G4767</f>
        <v>0</v>
      </c>
      <c r="J4780" s="68"/>
      <c r="K4780" s="56"/>
      <c r="L4780" s="56"/>
      <c r="M4780" s="56"/>
      <c r="N4780" s="56"/>
      <c r="O4780" s="56"/>
    </row>
    <row r="4781" spans="1:15">
      <c r="A4781" s="536" t="s">
        <v>8</v>
      </c>
      <c r="B4781" s="537" t="str">
        <f>VLOOKUP(A4781,'Materiales '!$C$2:$F$1302,3,0)</f>
        <v>-</v>
      </c>
      <c r="C4781" s="98" t="str">
        <f>VLOOKUP(A4781,'Materiales '!$C$2:$F$1302,3,0)</f>
        <v>-</v>
      </c>
      <c r="D4781" s="99">
        <f>VLOOKUP(A4781,'Materiales '!$C$2:$F$1302,4,0)</f>
        <v>0</v>
      </c>
      <c r="E4781" s="100">
        <v>8</v>
      </c>
      <c r="F4781" s="538">
        <f t="shared" si="280"/>
        <v>0</v>
      </c>
      <c r="G4781" s="539"/>
      <c r="H4781" s="121"/>
      <c r="I4781">
        <f>E4781*G4767</f>
        <v>0</v>
      </c>
      <c r="J4781" s="68"/>
      <c r="K4781" s="56"/>
      <c r="L4781" s="56"/>
      <c r="M4781" s="56"/>
      <c r="N4781" s="56"/>
      <c r="O4781" s="56"/>
    </row>
    <row r="4782" spans="1:15">
      <c r="A4782" s="536" t="s">
        <v>8</v>
      </c>
      <c r="B4782" s="537" t="str">
        <f>VLOOKUP(A4782,'Materiales '!$C$2:$F$1302,3,0)</f>
        <v>-</v>
      </c>
      <c r="C4782" s="98" t="str">
        <f>VLOOKUP(A4782,'Materiales '!$C$2:$F$1302,3,0)</f>
        <v>-</v>
      </c>
      <c r="D4782" s="99">
        <f>VLOOKUP(A4782,'Materiales '!$C$2:$F$1302,4,0)</f>
        <v>0</v>
      </c>
      <c r="E4782" s="100">
        <v>3</v>
      </c>
      <c r="F4782" s="538">
        <f t="shared" si="280"/>
        <v>0</v>
      </c>
      <c r="G4782" s="539"/>
      <c r="H4782" s="121"/>
      <c r="I4782">
        <f>E4782*G4767</f>
        <v>0</v>
      </c>
      <c r="J4782" s="68"/>
      <c r="K4782" s="56"/>
      <c r="L4782" s="56"/>
      <c r="M4782" s="56"/>
      <c r="N4782" s="56"/>
      <c r="O4782" s="56"/>
    </row>
    <row r="4783" spans="1:15" ht="21.75" customHeight="1">
      <c r="A4783" s="536" t="s">
        <v>8</v>
      </c>
      <c r="B4783" s="537" t="str">
        <f>VLOOKUP(A4783,'Materiales '!$C$2:$F$1302,3,0)</f>
        <v>-</v>
      </c>
      <c r="C4783" s="98" t="str">
        <f>VLOOKUP(A4783,'Materiales '!$C$2:$F$1302,3,0)</f>
        <v>-</v>
      </c>
      <c r="D4783" s="99">
        <f>VLOOKUP(A4783,'Materiales '!$C$2:$F$1302,4,0)</f>
        <v>0</v>
      </c>
      <c r="E4783" s="100">
        <v>0.5</v>
      </c>
      <c r="F4783" s="538">
        <f t="shared" si="280"/>
        <v>0</v>
      </c>
      <c r="G4783" s="539"/>
      <c r="H4783" s="121"/>
      <c r="I4783">
        <f>E4783*G4767</f>
        <v>0</v>
      </c>
      <c r="J4783" s="68"/>
      <c r="K4783" s="56"/>
      <c r="L4783" s="56"/>
      <c r="M4783" s="56"/>
      <c r="N4783" s="56"/>
      <c r="O4783" s="56"/>
    </row>
    <row r="4784" spans="1:15">
      <c r="A4784" s="536" t="s">
        <v>8</v>
      </c>
      <c r="B4784" s="537" t="str">
        <f>VLOOKUP(A4784,'Materiales '!$C$2:$F$1302,3,0)</f>
        <v>-</v>
      </c>
      <c r="C4784" s="98" t="str">
        <f>VLOOKUP(A4784,'Materiales '!$C$2:$F$1302,3,0)</f>
        <v>-</v>
      </c>
      <c r="D4784" s="99">
        <f>VLOOKUP(A4784,'Materiales '!$C$2:$F$1302,4,0)</f>
        <v>0</v>
      </c>
      <c r="E4784" s="100"/>
      <c r="F4784" s="538">
        <f>E4784*D4784</f>
        <v>0</v>
      </c>
      <c r="G4784" s="539"/>
      <c r="H4784" s="120"/>
      <c r="I4784">
        <f>E4784*G4767</f>
        <v>0</v>
      </c>
      <c r="J4784" s="68"/>
      <c r="K4784" s="56"/>
      <c r="L4784" s="56"/>
      <c r="M4784" s="56"/>
      <c r="N4784" s="56"/>
      <c r="O4784" s="56"/>
    </row>
    <row r="4785" spans="1:15">
      <c r="A4785" s="536" t="s">
        <v>8</v>
      </c>
      <c r="B4785" s="537" t="str">
        <f>VLOOKUP(A4785,'Materiales '!$C$2:$F$1302,3,0)</f>
        <v>-</v>
      </c>
      <c r="C4785" s="98" t="str">
        <f>VLOOKUP(A4785,'Materiales '!$C$2:$F$1302,3,0)</f>
        <v>-</v>
      </c>
      <c r="D4785" s="99">
        <f>VLOOKUP(A4785,'Materiales '!$C$2:$F$1302,4,0)</f>
        <v>0</v>
      </c>
      <c r="E4785" s="100"/>
      <c r="F4785" s="538">
        <f t="shared" ref="F4785:F4788" si="281">E4785*D4785</f>
        <v>0</v>
      </c>
      <c r="G4785" s="539"/>
      <c r="H4785" s="121"/>
      <c r="I4785">
        <f>E4785*G4767</f>
        <v>0</v>
      </c>
      <c r="J4785" s="68"/>
      <c r="K4785" s="56"/>
      <c r="L4785" s="56"/>
      <c r="M4785" s="56"/>
      <c r="N4785" s="56"/>
      <c r="O4785" s="56"/>
    </row>
    <row r="4786" spans="1:15">
      <c r="A4786" s="536" t="s">
        <v>8</v>
      </c>
      <c r="B4786" s="537" t="str">
        <f>VLOOKUP(A4786,'Materiales '!$C$2:$F$1302,3,0)</f>
        <v>-</v>
      </c>
      <c r="C4786" s="98" t="str">
        <f>VLOOKUP(A4786,'Materiales '!$C$2:$F$1302,3,0)</f>
        <v>-</v>
      </c>
      <c r="D4786" s="99">
        <f>VLOOKUP(A4786,'Materiales '!$C$2:$F$1302,4,0)</f>
        <v>0</v>
      </c>
      <c r="E4786" s="100"/>
      <c r="F4786" s="538">
        <f t="shared" si="281"/>
        <v>0</v>
      </c>
      <c r="G4786" s="539"/>
      <c r="H4786" s="121"/>
      <c r="I4786">
        <f>E4786*G4767</f>
        <v>0</v>
      </c>
      <c r="J4786" s="68"/>
      <c r="K4786" s="56"/>
      <c r="L4786" s="56"/>
      <c r="M4786" s="56"/>
      <c r="N4786" s="56"/>
      <c r="O4786" s="56"/>
    </row>
    <row r="4787" spans="1:15">
      <c r="A4787" s="536" t="s">
        <v>8</v>
      </c>
      <c r="B4787" s="537" t="str">
        <f>VLOOKUP(A4787,'Materiales '!$C$2:$F$1302,3,0)</f>
        <v>-</v>
      </c>
      <c r="C4787" s="98" t="str">
        <f>VLOOKUP(A4787,'Materiales '!$C$2:$F$1302,3,0)</f>
        <v>-</v>
      </c>
      <c r="D4787" s="99">
        <f>VLOOKUP(A4787,'Materiales '!$C$2:$F$1302,4,0)</f>
        <v>0</v>
      </c>
      <c r="E4787" s="100"/>
      <c r="F4787" s="538">
        <f t="shared" si="281"/>
        <v>0</v>
      </c>
      <c r="G4787" s="539"/>
      <c r="H4787" s="121"/>
      <c r="I4787">
        <f>E4787*G4767</f>
        <v>0</v>
      </c>
      <c r="J4787" s="68"/>
      <c r="K4787" s="56"/>
      <c r="L4787" s="56"/>
      <c r="M4787" s="56"/>
      <c r="N4787" s="56"/>
      <c r="O4787" s="56"/>
    </row>
    <row r="4788" spans="1:15">
      <c r="A4788" s="536" t="s">
        <v>8</v>
      </c>
      <c r="B4788" s="537" t="str">
        <f>VLOOKUP(A4788,'Materiales '!$C$2:$F$1302,3,0)</f>
        <v>-</v>
      </c>
      <c r="C4788" s="98" t="str">
        <f>VLOOKUP(A4788,'Materiales '!$C$2:$F$1302,3,0)</f>
        <v>-</v>
      </c>
      <c r="D4788" s="99">
        <f>VLOOKUP(A4788,'Materiales '!$C$2:$F$1302,4,0)</f>
        <v>0</v>
      </c>
      <c r="E4788" s="100"/>
      <c r="F4788" s="538">
        <f t="shared" si="281"/>
        <v>0</v>
      </c>
      <c r="G4788" s="539"/>
      <c r="H4788" s="121"/>
      <c r="I4788">
        <f>E4788*G4767</f>
        <v>0</v>
      </c>
      <c r="J4788" s="68"/>
      <c r="K4788" s="56"/>
      <c r="L4788" s="56"/>
      <c r="M4788" s="56"/>
      <c r="N4788" s="56"/>
      <c r="O4788" s="56"/>
    </row>
    <row r="4789" spans="1:15">
      <c r="A4789" s="536" t="s">
        <v>8</v>
      </c>
      <c r="B4789" s="537" t="str">
        <f>VLOOKUP(A4789,'Materiales '!$C$2:$F$1302,3,0)</f>
        <v>-</v>
      </c>
      <c r="C4789" s="98" t="str">
        <f>VLOOKUP(A4789,'Materiales '!$C$2:$F$1302,3,0)</f>
        <v>-</v>
      </c>
      <c r="D4789" s="99">
        <f>VLOOKUP(A4789,'Materiales '!$C$2:$F$1302,4,0)</f>
        <v>0</v>
      </c>
      <c r="E4789" s="100"/>
      <c r="F4789" s="538">
        <f>E4789*D4789</f>
        <v>0</v>
      </c>
      <c r="G4789" s="539"/>
      <c r="H4789" s="120"/>
      <c r="I4789">
        <f>E4789*G4767</f>
        <v>0</v>
      </c>
      <c r="J4789" s="68"/>
      <c r="K4789" s="56"/>
      <c r="L4789" s="56"/>
      <c r="M4789" s="56"/>
      <c r="N4789" s="56"/>
      <c r="O4789" s="56"/>
    </row>
    <row r="4790" spans="1:15" ht="16.5">
      <c r="A4790" s="540" t="s">
        <v>4099</v>
      </c>
      <c r="B4790" s="541"/>
      <c r="C4790" s="541"/>
      <c r="D4790" s="541"/>
      <c r="E4790" s="541"/>
      <c r="F4790" s="541"/>
      <c r="G4790" s="542"/>
      <c r="H4790" s="116">
        <f>SUM(F4776:F4789)</f>
        <v>2751256.2</v>
      </c>
      <c r="J4790" s="68"/>
      <c r="K4790" s="56"/>
      <c r="L4790" s="56"/>
      <c r="M4790" s="56"/>
      <c r="N4790" s="56"/>
      <c r="O4790" s="56"/>
    </row>
    <row r="4791" spans="1:15" ht="16.5">
      <c r="A4791" s="543" t="s">
        <v>4231</v>
      </c>
      <c r="B4791" s="544"/>
      <c r="C4791" s="544"/>
      <c r="D4791" s="544"/>
      <c r="E4791" s="545"/>
      <c r="F4791" s="544"/>
      <c r="G4791" s="544"/>
      <c r="H4791" s="546"/>
      <c r="J4791" s="68"/>
      <c r="K4791" s="56"/>
      <c r="L4791" s="56"/>
      <c r="M4791" s="56"/>
      <c r="N4791" s="56"/>
      <c r="O4791" s="56"/>
    </row>
    <row r="4792" spans="1:15">
      <c r="A4792" s="547" t="s">
        <v>7</v>
      </c>
      <c r="B4792" s="548"/>
      <c r="C4792" s="108" t="s">
        <v>4232</v>
      </c>
      <c r="D4792" s="107" t="s">
        <v>4233</v>
      </c>
      <c r="E4792" s="206" t="s">
        <v>4234</v>
      </c>
      <c r="F4792" s="549" t="s">
        <v>4218</v>
      </c>
      <c r="G4792" s="549"/>
      <c r="H4792" s="119"/>
      <c r="K4792" s="56"/>
      <c r="L4792" s="56"/>
      <c r="M4792" s="56"/>
      <c r="N4792" s="56"/>
      <c r="O4792" s="56"/>
    </row>
    <row r="4793" spans="1:15">
      <c r="A4793" s="550" t="s">
        <v>3928</v>
      </c>
      <c r="B4793" s="551"/>
      <c r="C4793" s="232">
        <v>1</v>
      </c>
      <c r="D4793" s="102">
        <v>0.03</v>
      </c>
      <c r="E4793" s="103">
        <f>VLOOKUP(A4793,'Equip, Herr y Transp'!$B$2:$D$218,3,0)</f>
        <v>160000</v>
      </c>
      <c r="F4793" s="552">
        <f>E4793*D4793*C4793</f>
        <v>4800</v>
      </c>
      <c r="G4793" s="553"/>
      <c r="H4793" s="117"/>
      <c r="M4793" s="56"/>
    </row>
    <row r="4794" spans="1:15" ht="16.5">
      <c r="A4794" s="554" t="s">
        <v>4216</v>
      </c>
      <c r="B4794" s="555"/>
      <c r="C4794" s="555"/>
      <c r="D4794" s="555"/>
      <c r="E4794" s="555"/>
      <c r="F4794" s="555"/>
      <c r="G4794" s="555"/>
      <c r="H4794" s="105">
        <f>F4793</f>
        <v>4800</v>
      </c>
    </row>
    <row r="4795" spans="1:15" ht="16.5">
      <c r="A4795" s="543" t="s">
        <v>4235</v>
      </c>
      <c r="B4795" s="544"/>
      <c r="C4795" s="544"/>
      <c r="D4795" s="544"/>
      <c r="E4795" s="544"/>
      <c r="F4795" s="544"/>
      <c r="G4795" s="544"/>
      <c r="H4795" s="546"/>
    </row>
    <row r="4796" spans="1:15">
      <c r="A4796" s="547" t="s">
        <v>7</v>
      </c>
      <c r="B4796" s="548"/>
      <c r="C4796" s="106" t="s">
        <v>1</v>
      </c>
      <c r="D4796" s="107" t="s">
        <v>4236</v>
      </c>
      <c r="E4796" s="108" t="s">
        <v>4215</v>
      </c>
      <c r="F4796" s="547" t="s">
        <v>5</v>
      </c>
      <c r="G4796" s="556"/>
      <c r="H4796" s="119"/>
    </row>
    <row r="4797" spans="1:15">
      <c r="A4797" s="550" t="s">
        <v>4196</v>
      </c>
      <c r="B4797" s="551"/>
      <c r="C4797" s="101">
        <v>1</v>
      </c>
      <c r="D4797" s="104">
        <f>VLOOKUP(A4797,'Mano Obra'!$B$2:$T$117,19,0)</f>
        <v>166624</v>
      </c>
      <c r="E4797" s="246">
        <f>H4760</f>
        <v>0.1875</v>
      </c>
      <c r="F4797" s="538">
        <f>E4797*D4797*C4797</f>
        <v>31242</v>
      </c>
      <c r="G4797" s="557"/>
      <c r="H4797" s="121"/>
      <c r="I4797" s="69"/>
      <c r="J4797" s="136">
        <f>((('Mano Obra'!$M$4/30)*F4797)/D4797)*G4767</f>
        <v>0</v>
      </c>
    </row>
    <row r="4798" spans="1:15">
      <c r="A4798" s="558" t="s">
        <v>4197</v>
      </c>
      <c r="B4798" s="559">
        <f>VLOOKUP(A4798,'Mano Obra'!$B$3:$D$290,2,0)</f>
        <v>2090000.0000000002</v>
      </c>
      <c r="C4798" s="101">
        <v>1</v>
      </c>
      <c r="D4798" s="104">
        <f>VLOOKUP(A4798,'Mano Obra'!$B$2:$T$117,19,0)</f>
        <v>120456</v>
      </c>
      <c r="E4798" s="246">
        <f>H4760</f>
        <v>0.1875</v>
      </c>
      <c r="F4798" s="538">
        <f t="shared" ref="F4798:F4799" si="282">E4798*D4798*C4798</f>
        <v>22585.5</v>
      </c>
      <c r="G4798" s="557"/>
      <c r="H4798" s="121"/>
      <c r="J4798" s="136">
        <f>((('Mano Obra'!$M$5/30)*F4798)/D4798)*G4767</f>
        <v>0</v>
      </c>
    </row>
    <row r="4799" spans="1:15">
      <c r="A4799" s="558" t="s">
        <v>4186</v>
      </c>
      <c r="B4799" s="559">
        <f>VLOOKUP(A4799,'Mano Obra'!$B$3:$D$290,2,0)</f>
        <v>1100000</v>
      </c>
      <c r="C4799" s="101">
        <v>1</v>
      </c>
      <c r="D4799" s="104">
        <f>VLOOKUP(A4799,'Mano Obra'!$B$2:$T$117,19,0)</f>
        <v>72664</v>
      </c>
      <c r="E4799" s="246">
        <f>H4760</f>
        <v>0.1875</v>
      </c>
      <c r="F4799" s="538">
        <f t="shared" si="282"/>
        <v>13624.5</v>
      </c>
      <c r="G4799" s="557"/>
      <c r="H4799" s="120"/>
      <c r="J4799" s="136">
        <f>((('Mano Obra'!$M$6/30)*F4799)/D4799)*G4767</f>
        <v>0</v>
      </c>
    </row>
    <row r="4800" spans="1:15" ht="16.5">
      <c r="A4800" s="560" t="s">
        <v>4101</v>
      </c>
      <c r="B4800" s="560"/>
      <c r="C4800" s="560"/>
      <c r="D4800" s="560"/>
      <c r="E4800" s="560"/>
      <c r="F4800" s="560"/>
      <c r="G4800" s="560"/>
      <c r="H4800" s="105">
        <f>SUM(F4797:F4799)</f>
        <v>67452</v>
      </c>
      <c r="J4800" s="136"/>
    </row>
    <row r="4801" spans="1:14">
      <c r="A4801" s="227" t="s">
        <v>4237</v>
      </c>
      <c r="B4801" s="205"/>
      <c r="C4801" s="205"/>
      <c r="D4801" s="202"/>
      <c r="E4801" s="203"/>
      <c r="F4801" s="204"/>
      <c r="G4801" s="203"/>
      <c r="H4801" s="212"/>
    </row>
    <row r="4802" spans="1:14">
      <c r="A4802" s="561" t="s">
        <v>4224</v>
      </c>
      <c r="B4802" s="562"/>
      <c r="C4802" s="562"/>
      <c r="D4802" s="562"/>
      <c r="E4802" s="200"/>
      <c r="F4802" s="201" t="s">
        <v>4238</v>
      </c>
      <c r="G4802" s="200" t="s">
        <v>4239</v>
      </c>
      <c r="H4802" s="213"/>
    </row>
    <row r="4803" spans="1:14">
      <c r="A4803" s="223" t="s">
        <v>4097</v>
      </c>
      <c r="B4803" s="72"/>
      <c r="C4803" s="72"/>
      <c r="D4803" s="73"/>
      <c r="E4803" s="78"/>
      <c r="F4803" s="79">
        <v>0</v>
      </c>
      <c r="G4803" s="80">
        <f>F4803*H4768</f>
        <v>0</v>
      </c>
      <c r="H4803" s="212"/>
    </row>
    <row r="4804" spans="1:14">
      <c r="A4804" s="224" t="s">
        <v>4240</v>
      </c>
      <c r="B4804" s="81"/>
      <c r="C4804" s="81"/>
      <c r="D4804" s="82"/>
      <c r="E4804" s="78"/>
      <c r="F4804" s="79">
        <v>0</v>
      </c>
      <c r="G4804" s="80">
        <f>F4804*H4768</f>
        <v>0</v>
      </c>
      <c r="H4804" s="212"/>
    </row>
    <row r="4805" spans="1:14">
      <c r="A4805" s="224" t="s">
        <v>4</v>
      </c>
      <c r="B4805" s="81"/>
      <c r="C4805" s="81"/>
      <c r="D4805" s="82"/>
      <c r="E4805" s="78"/>
      <c r="F4805" s="79">
        <v>0</v>
      </c>
      <c r="G4805" s="80">
        <f>F4805*H4768</f>
        <v>0</v>
      </c>
      <c r="H4805" s="212"/>
    </row>
    <row r="4806" spans="1:14">
      <c r="A4806" s="225"/>
      <c r="B4806" s="83"/>
      <c r="C4806" s="75"/>
      <c r="D4806" s="84"/>
      <c r="E4806" s="85"/>
      <c r="F4806" s="86"/>
      <c r="G4806" s="87"/>
      <c r="H4806" s="214"/>
    </row>
    <row r="4807" spans="1:14">
      <c r="A4807" s="226"/>
      <c r="B4807" s="83"/>
      <c r="C4807" s="83"/>
      <c r="D4807" s="84"/>
      <c r="E4807" s="88"/>
      <c r="F4807" s="563" t="s">
        <v>4241</v>
      </c>
      <c r="G4807" s="564"/>
      <c r="H4807" s="233">
        <f>H4768+G4803+G4804+G4805</f>
        <v>3006157.5750000002</v>
      </c>
    </row>
    <row r="4808" spans="1:14">
      <c r="A4808" s="83"/>
      <c r="B4808" s="83"/>
      <c r="C4808" s="83"/>
      <c r="D4808" s="84"/>
      <c r="E4808" s="388"/>
      <c r="F4808" s="389"/>
      <c r="G4808" s="389"/>
      <c r="H4808" s="390"/>
    </row>
    <row r="4809" spans="1:14" ht="16.5">
      <c r="A4809" s="90"/>
      <c r="B4809" s="90"/>
      <c r="C4809" s="90"/>
      <c r="D4809" s="90"/>
      <c r="E4809" s="90"/>
      <c r="F4809" s="90"/>
      <c r="G4809" s="90"/>
      <c r="H4809" s="381"/>
    </row>
    <row r="4810" spans="1:14">
      <c r="A4810" s="579" t="s">
        <v>4225</v>
      </c>
      <c r="B4810" s="580"/>
      <c r="C4810" s="580"/>
      <c r="D4810" s="580"/>
      <c r="E4810" s="580"/>
      <c r="F4810" s="580"/>
      <c r="G4810" s="580"/>
      <c r="H4810" s="581"/>
    </row>
    <row r="4811" spans="1:14" ht="16.5">
      <c r="A4811" s="91"/>
      <c r="B4811" s="92"/>
      <c r="C4811" s="92"/>
      <c r="D4811" s="92"/>
      <c r="E4811" s="92"/>
      <c r="F4811" s="93"/>
      <c r="G4811" s="94"/>
      <c r="H4811" s="380">
        <f>ROUND((80/60)/8,4)</f>
        <v>0.16669999999999999</v>
      </c>
      <c r="I4811" s="115"/>
    </row>
    <row r="4812" spans="1:14">
      <c r="A4812" s="582" t="s">
        <v>4220</v>
      </c>
      <c r="B4812" s="584" t="str">
        <f>COSTOS!$C$14</f>
        <v>MODERNIZACION A TECNOLOGIA LED</v>
      </c>
      <c r="C4812" s="584"/>
      <c r="D4812" s="584"/>
      <c r="E4812" s="584"/>
      <c r="F4812" s="584"/>
      <c r="G4812" s="584"/>
      <c r="H4812" s="585" t="s">
        <v>4221</v>
      </c>
    </row>
    <row r="4813" spans="1:14">
      <c r="A4813" s="583"/>
      <c r="B4813" s="584"/>
      <c r="C4813" s="584"/>
      <c r="D4813" s="584"/>
      <c r="E4813" s="584"/>
      <c r="F4813" s="584"/>
      <c r="G4813" s="584"/>
      <c r="H4813" s="585"/>
    </row>
    <row r="4814" spans="1:14">
      <c r="A4814" s="583"/>
      <c r="B4814" s="584"/>
      <c r="C4814" s="584"/>
      <c r="D4814" s="584"/>
      <c r="E4814" s="584"/>
      <c r="F4814" s="584"/>
      <c r="G4814" s="584"/>
      <c r="H4814" s="585"/>
    </row>
    <row r="4815" spans="1:14" ht="15" customHeight="1">
      <c r="A4815" s="583"/>
      <c r="B4815" s="584"/>
      <c r="C4815" s="584"/>
      <c r="D4815" s="584"/>
      <c r="E4815" s="584"/>
      <c r="F4815" s="584"/>
      <c r="G4815" s="584"/>
      <c r="H4815" s="216">
        <f ca="1">TODAY()</f>
        <v>44889</v>
      </c>
      <c r="K4815" t="s">
        <v>4391</v>
      </c>
      <c r="L4815" t="s">
        <v>4392</v>
      </c>
      <c r="M4815" t="s">
        <v>4393</v>
      </c>
      <c r="N4815" t="s">
        <v>4394</v>
      </c>
    </row>
    <row r="4816" spans="1:14" ht="60.75" customHeight="1">
      <c r="A4816" s="228" t="s">
        <v>4222</v>
      </c>
      <c r="B4816" s="565" t="str">
        <f>COSTOS!$D$16</f>
        <v>Luminarias</v>
      </c>
      <c r="C4816" s="565"/>
      <c r="D4816" s="565"/>
      <c r="E4816" s="565"/>
      <c r="F4816" s="565"/>
      <c r="G4816" s="70" t="s">
        <v>4223</v>
      </c>
      <c r="H4816" s="391">
        <v>2.11</v>
      </c>
      <c r="K4816" s="62">
        <f>H4841</f>
        <v>1175220.2</v>
      </c>
      <c r="L4816" s="62">
        <f>H4851</f>
        <v>59969.324799999995</v>
      </c>
      <c r="M4816" s="62">
        <f>H4824</f>
        <v>162387.47099999999</v>
      </c>
      <c r="N4816" s="62">
        <f>H4845</f>
        <v>4800</v>
      </c>
    </row>
    <row r="4817" spans="1:15" ht="43.15" customHeight="1">
      <c r="A4817" s="229" t="s">
        <v>4224</v>
      </c>
      <c r="B4817" s="566" t="str">
        <f>VLOOKUP(H4816,COSTOS!C:M,2,0)</f>
        <v>Poste metalico 6 metros para luminaria</v>
      </c>
      <c r="C4817" s="567"/>
      <c r="D4817" s="567"/>
      <c r="E4817" s="568"/>
      <c r="F4817" s="71" t="s">
        <v>0</v>
      </c>
      <c r="G4817" s="356" t="str">
        <f>VLOOKUP(H4816,COSTOS!C:M,8,0)</f>
        <v>Und</v>
      </c>
      <c r="H4817" s="276"/>
      <c r="I4817" s="306"/>
      <c r="J4817" s="308"/>
      <c r="K4817" s="308"/>
      <c r="L4817" s="308"/>
    </row>
    <row r="4818" spans="1:15">
      <c r="A4818" s="230"/>
      <c r="B4818" s="112"/>
      <c r="C4818" s="112"/>
      <c r="D4818" s="112"/>
      <c r="E4818" s="113"/>
      <c r="F4818" s="114" t="s">
        <v>1</v>
      </c>
      <c r="G4818" s="356">
        <f>VLOOKUP(H4816,COSTOS!C:M,9,0)</f>
        <v>1</v>
      </c>
      <c r="H4818" s="357"/>
      <c r="I4818" s="307"/>
    </row>
    <row r="4819" spans="1:15" ht="16.5">
      <c r="A4819" s="231" t="s">
        <v>4226</v>
      </c>
      <c r="B4819" s="75"/>
      <c r="C4819" s="75"/>
      <c r="D4819" s="76"/>
      <c r="E4819" s="209"/>
      <c r="F4819" s="210"/>
      <c r="G4819" s="211" t="s">
        <v>4227</v>
      </c>
      <c r="H4819" s="217">
        <f>H4824+H4841+H4845+H4851</f>
        <v>1402376.9957999999</v>
      </c>
    </row>
    <row r="4820" spans="1:15" ht="39">
      <c r="A4820" s="569" t="s">
        <v>4224</v>
      </c>
      <c r="B4820" s="569"/>
      <c r="C4820" s="569"/>
      <c r="D4820" s="77" t="s">
        <v>0</v>
      </c>
      <c r="E4820" s="207" t="s">
        <v>4228</v>
      </c>
      <c r="F4820" s="208" t="s">
        <v>4215</v>
      </c>
      <c r="G4820" s="74" t="s">
        <v>2</v>
      </c>
      <c r="H4820" s="218" t="s">
        <v>4229</v>
      </c>
      <c r="K4820" s="309"/>
    </row>
    <row r="4821" spans="1:15">
      <c r="A4821" s="536" t="s">
        <v>3946</v>
      </c>
      <c r="B4821" s="570" t="str">
        <f>VLOOKUP(A4821,'Equip, Herr y Transp'!$B$2:$D$739,2,0)</f>
        <v>EQU</v>
      </c>
      <c r="C4821" s="570"/>
      <c r="D4821" s="95" t="str">
        <f>VLOOKUP(A4821,'Equip, Herr y Transp'!$B$2:$D$218,2,0)</f>
        <v>EQU</v>
      </c>
      <c r="E4821" s="95">
        <f>VLOOKUP(A4821,'Equip, Herr y Transp'!$B$2:$D$218,3,0)</f>
        <v>14130</v>
      </c>
      <c r="F4821" s="96">
        <f>H4811</f>
        <v>0.16669999999999999</v>
      </c>
      <c r="G4821" s="122">
        <f>F4821*E4821</f>
        <v>2355.471</v>
      </c>
      <c r="H4821" s="118"/>
    </row>
    <row r="4822" spans="1:15">
      <c r="A4822" s="536" t="s">
        <v>3894</v>
      </c>
      <c r="B4822" s="570" t="str">
        <f>VLOOKUP(A4822,'Equip, Herr y Transp'!$B$2:$D$739,2,0)</f>
        <v>TR</v>
      </c>
      <c r="C4822" s="570"/>
      <c r="D4822" s="95" t="str">
        <f>VLOOKUP(A4822,'Equip, Herr y Transp'!$B$2:$D$218,2,0)</f>
        <v>TR</v>
      </c>
      <c r="E4822" s="95">
        <f>VLOOKUP(A4822,'Equip, Herr y Transp'!$B$2:$D$218,3,0)</f>
        <v>960000</v>
      </c>
      <c r="F4822" s="96">
        <f>H4811</f>
        <v>0.16669999999999999</v>
      </c>
      <c r="G4822" s="122">
        <f>F4822*E4822</f>
        <v>160032</v>
      </c>
      <c r="H4822" s="117"/>
    </row>
    <row r="4823" spans="1:15">
      <c r="A4823" s="536" t="s">
        <v>8</v>
      </c>
      <c r="B4823" s="570">
        <f>VLOOKUP(A4823,'Equip, Herr y Transp'!$B$2:$D$739,2,0)</f>
        <v>0</v>
      </c>
      <c r="C4823" s="570"/>
      <c r="D4823" s="95">
        <f>VLOOKUP(A4823,'Equip, Herr y Transp'!$B$2:$D$218,2,0)</f>
        <v>0</v>
      </c>
      <c r="E4823" s="95">
        <f>VLOOKUP(A4823,'Equip, Herr y Transp'!$B$2:$D$218,3,0)</f>
        <v>0</v>
      </c>
      <c r="F4823" s="96"/>
      <c r="G4823" s="122">
        <f>F4823*E4823</f>
        <v>0</v>
      </c>
      <c r="H4823" s="117"/>
    </row>
    <row r="4824" spans="1:15" ht="16.5">
      <c r="A4824" s="540" t="s">
        <v>4100</v>
      </c>
      <c r="B4824" s="541"/>
      <c r="C4824" s="541"/>
      <c r="D4824" s="541"/>
      <c r="E4824" s="541"/>
      <c r="F4824" s="541"/>
      <c r="G4824" s="541"/>
      <c r="H4824" s="97">
        <f>SUM(G4821:G4823)</f>
        <v>162387.47099999999</v>
      </c>
    </row>
    <row r="4825" spans="1:15" ht="16.5">
      <c r="A4825" s="571" t="s">
        <v>4230</v>
      </c>
      <c r="B4825" s="572"/>
      <c r="C4825" s="572"/>
      <c r="D4825" s="572"/>
      <c r="E4825" s="572"/>
      <c r="F4825" s="572"/>
      <c r="G4825" s="572"/>
      <c r="H4825" s="573"/>
      <c r="K4825" s="56"/>
      <c r="L4825" s="56"/>
      <c r="M4825" s="56"/>
      <c r="N4825" s="56"/>
      <c r="O4825" s="56"/>
    </row>
    <row r="4826" spans="1:15" ht="30" customHeight="1">
      <c r="A4826" s="574" t="s">
        <v>7</v>
      </c>
      <c r="B4826" s="575"/>
      <c r="C4826" s="109" t="s">
        <v>0</v>
      </c>
      <c r="D4826" s="110" t="s">
        <v>4098</v>
      </c>
      <c r="E4826" s="111" t="s">
        <v>1</v>
      </c>
      <c r="F4826" s="576" t="s">
        <v>4218</v>
      </c>
      <c r="G4826" s="576"/>
      <c r="H4826" s="215"/>
      <c r="K4826" s="56"/>
      <c r="L4826" s="56"/>
      <c r="M4826" s="56"/>
      <c r="N4826" s="56"/>
      <c r="O4826" s="56"/>
    </row>
    <row r="4827" spans="1:15">
      <c r="A4827" s="577" t="s">
        <v>4737</v>
      </c>
      <c r="B4827" s="578"/>
      <c r="C4827" s="98" t="str">
        <f>VLOOKUP(A4827,'Materiales '!$C$2:$F$1302,3,0)</f>
        <v>Und</v>
      </c>
      <c r="D4827" s="99">
        <f>VLOOKUP(A4827,'Materiales '!$C$2:$F$1302,4,0)</f>
        <v>1106105</v>
      </c>
      <c r="E4827" s="100">
        <v>1</v>
      </c>
      <c r="F4827" s="538">
        <f>E4827*D4827</f>
        <v>1106105</v>
      </c>
      <c r="G4827" s="539"/>
      <c r="H4827" s="121"/>
      <c r="I4827">
        <f>E4827*G4818</f>
        <v>1</v>
      </c>
      <c r="J4827" s="67"/>
      <c r="K4827" s="56"/>
      <c r="L4827" s="56"/>
      <c r="M4827" s="56"/>
      <c r="N4827" s="56"/>
      <c r="O4827" s="56"/>
    </row>
    <row r="4828" spans="1:15">
      <c r="A4828" s="577" t="s">
        <v>4628</v>
      </c>
      <c r="B4828" s="578"/>
      <c r="C4828" s="98" t="str">
        <f>VLOOKUP(A4828,'Materiales '!$C$2:$F$1302,3,0)</f>
        <v>Rollo</v>
      </c>
      <c r="D4828" s="99">
        <f>VLOOKUP(A4828,'Materiales '!$C$2:$F$1302,4,0)</f>
        <v>138230.39999999999</v>
      </c>
      <c r="E4828" s="100">
        <v>0.5</v>
      </c>
      <c r="F4828" s="538">
        <f t="shared" ref="F4828:F4834" si="283">E4828*D4828</f>
        <v>69115.199999999997</v>
      </c>
      <c r="G4828" s="539"/>
      <c r="H4828" s="121"/>
      <c r="I4828">
        <f>E4828*G4818</f>
        <v>0.5</v>
      </c>
      <c r="J4828" s="67"/>
      <c r="K4828" s="56"/>
      <c r="L4828" s="56"/>
      <c r="M4828" s="56"/>
      <c r="N4828" s="56"/>
      <c r="O4828" s="56"/>
    </row>
    <row r="4829" spans="1:15">
      <c r="A4829" s="536" t="s">
        <v>8</v>
      </c>
      <c r="B4829" s="537" t="str">
        <f>VLOOKUP(A4829,'Materiales '!$C$2:$F$1302,3,0)</f>
        <v>-</v>
      </c>
      <c r="C4829" s="98" t="str">
        <f>VLOOKUP(A4829,'Materiales '!$C$2:$F$1302,3,0)</f>
        <v>-</v>
      </c>
      <c r="D4829" s="99">
        <f>VLOOKUP(A4829,'Materiales '!$C$2:$F$1302,4,0)</f>
        <v>0</v>
      </c>
      <c r="E4829" s="100">
        <v>1</v>
      </c>
      <c r="F4829" s="538">
        <f t="shared" si="283"/>
        <v>0</v>
      </c>
      <c r="G4829" s="539"/>
      <c r="H4829" s="121"/>
      <c r="I4829">
        <f>E4829*G4818</f>
        <v>1</v>
      </c>
      <c r="J4829" s="68"/>
      <c r="K4829" s="56"/>
      <c r="L4829" s="56"/>
      <c r="M4829" s="56"/>
      <c r="N4829" s="56"/>
      <c r="O4829" s="56"/>
    </row>
    <row r="4830" spans="1:15">
      <c r="A4830" s="536" t="s">
        <v>8</v>
      </c>
      <c r="B4830" s="537" t="str">
        <f>VLOOKUP(A4830,'Materiales '!$C$2:$F$1302,3,0)</f>
        <v>-</v>
      </c>
      <c r="C4830" s="98" t="str">
        <f>VLOOKUP(A4830,'Materiales '!$C$2:$F$1302,3,0)</f>
        <v>-</v>
      </c>
      <c r="D4830" s="99">
        <f>VLOOKUP(A4830,'Materiales '!$C$2:$F$1302,4,0)</f>
        <v>0</v>
      </c>
      <c r="E4830" s="100">
        <v>3</v>
      </c>
      <c r="F4830" s="538">
        <f t="shared" si="283"/>
        <v>0</v>
      </c>
      <c r="G4830" s="539"/>
      <c r="H4830" s="121"/>
      <c r="I4830">
        <f>E4830*G4818</f>
        <v>3</v>
      </c>
      <c r="J4830" s="68"/>
      <c r="K4830" s="56"/>
      <c r="L4830" s="56"/>
      <c r="M4830" s="56"/>
      <c r="N4830" s="56"/>
      <c r="O4830" s="56"/>
    </row>
    <row r="4831" spans="1:15">
      <c r="A4831" s="536" t="s">
        <v>8</v>
      </c>
      <c r="B4831" s="537" t="str">
        <f>VLOOKUP(A4831,'Materiales '!$C$2:$F$1302,3,0)</f>
        <v>-</v>
      </c>
      <c r="C4831" s="98" t="str">
        <f>VLOOKUP(A4831,'Materiales '!$C$2:$F$1302,3,0)</f>
        <v>-</v>
      </c>
      <c r="D4831" s="99">
        <f>VLOOKUP(A4831,'Materiales '!$C$2:$F$1302,4,0)</f>
        <v>0</v>
      </c>
      <c r="E4831" s="100">
        <v>2</v>
      </c>
      <c r="F4831" s="538">
        <f t="shared" si="283"/>
        <v>0</v>
      </c>
      <c r="G4831" s="539"/>
      <c r="H4831" s="121"/>
      <c r="I4831">
        <f>E4831*G4818</f>
        <v>2</v>
      </c>
      <c r="J4831" s="68"/>
      <c r="K4831" s="56"/>
      <c r="L4831" s="56"/>
      <c r="M4831" s="56"/>
      <c r="N4831" s="56"/>
      <c r="O4831" s="56"/>
    </row>
    <row r="4832" spans="1:15">
      <c r="A4832" s="536" t="s">
        <v>8</v>
      </c>
      <c r="B4832" s="537" t="str">
        <f>VLOOKUP(A4832,'Materiales '!$C$2:$F$1302,3,0)</f>
        <v>-</v>
      </c>
      <c r="C4832" s="98" t="str">
        <f>VLOOKUP(A4832,'Materiales '!$C$2:$F$1302,3,0)</f>
        <v>-</v>
      </c>
      <c r="D4832" s="99">
        <f>VLOOKUP(A4832,'Materiales '!$C$2:$F$1302,4,0)</f>
        <v>0</v>
      </c>
      <c r="E4832" s="100">
        <v>8</v>
      </c>
      <c r="F4832" s="538">
        <f t="shared" si="283"/>
        <v>0</v>
      </c>
      <c r="G4832" s="539"/>
      <c r="H4832" s="121"/>
      <c r="I4832">
        <f>E4832*G4818</f>
        <v>8</v>
      </c>
      <c r="J4832" s="68"/>
      <c r="K4832" s="56"/>
      <c r="L4832" s="56"/>
      <c r="M4832" s="56"/>
      <c r="N4832" s="56"/>
      <c r="O4832" s="56"/>
    </row>
    <row r="4833" spans="1:15">
      <c r="A4833" s="536" t="s">
        <v>8</v>
      </c>
      <c r="B4833" s="537" t="str">
        <f>VLOOKUP(A4833,'Materiales '!$C$2:$F$1302,3,0)</f>
        <v>-</v>
      </c>
      <c r="C4833" s="98" t="str">
        <f>VLOOKUP(A4833,'Materiales '!$C$2:$F$1302,3,0)</f>
        <v>-</v>
      </c>
      <c r="D4833" s="99">
        <f>VLOOKUP(A4833,'Materiales '!$C$2:$F$1302,4,0)</f>
        <v>0</v>
      </c>
      <c r="E4833" s="100">
        <v>3</v>
      </c>
      <c r="F4833" s="538">
        <f t="shared" si="283"/>
        <v>0</v>
      </c>
      <c r="G4833" s="539"/>
      <c r="H4833" s="121"/>
      <c r="I4833">
        <f>E4833*G4818</f>
        <v>3</v>
      </c>
      <c r="J4833" s="68"/>
      <c r="K4833" s="56"/>
      <c r="L4833" s="56"/>
      <c r="M4833" s="56"/>
      <c r="N4833" s="56"/>
      <c r="O4833" s="56"/>
    </row>
    <row r="4834" spans="1:15" ht="21.75" customHeight="1">
      <c r="A4834" s="536" t="s">
        <v>8</v>
      </c>
      <c r="B4834" s="537" t="str">
        <f>VLOOKUP(A4834,'Materiales '!$C$2:$F$1302,3,0)</f>
        <v>-</v>
      </c>
      <c r="C4834" s="98" t="str">
        <f>VLOOKUP(A4834,'Materiales '!$C$2:$F$1302,3,0)</f>
        <v>-</v>
      </c>
      <c r="D4834" s="99">
        <f>VLOOKUP(A4834,'Materiales '!$C$2:$F$1302,4,0)</f>
        <v>0</v>
      </c>
      <c r="E4834" s="100">
        <v>0.5</v>
      </c>
      <c r="F4834" s="538">
        <f t="shared" si="283"/>
        <v>0</v>
      </c>
      <c r="G4834" s="539"/>
      <c r="H4834" s="121"/>
      <c r="I4834">
        <f>E4834*G4818</f>
        <v>0.5</v>
      </c>
      <c r="J4834" s="68"/>
      <c r="K4834" s="56"/>
      <c r="L4834" s="56"/>
      <c r="M4834" s="56"/>
      <c r="N4834" s="56"/>
      <c r="O4834" s="56"/>
    </row>
    <row r="4835" spans="1:15">
      <c r="A4835" s="536" t="s">
        <v>8</v>
      </c>
      <c r="B4835" s="537" t="str">
        <f>VLOOKUP(A4835,'Materiales '!$C$2:$F$1302,3,0)</f>
        <v>-</v>
      </c>
      <c r="C4835" s="98" t="str">
        <f>VLOOKUP(A4835,'Materiales '!$C$2:$F$1302,3,0)</f>
        <v>-</v>
      </c>
      <c r="D4835" s="99">
        <f>VLOOKUP(A4835,'Materiales '!$C$2:$F$1302,4,0)</f>
        <v>0</v>
      </c>
      <c r="E4835" s="100"/>
      <c r="F4835" s="538">
        <f>E4835*D4835</f>
        <v>0</v>
      </c>
      <c r="G4835" s="539"/>
      <c r="H4835" s="120"/>
      <c r="I4835">
        <f>E4835*G4818</f>
        <v>0</v>
      </c>
      <c r="J4835" s="68"/>
      <c r="K4835" s="56"/>
      <c r="L4835" s="56"/>
      <c r="M4835" s="56"/>
      <c r="N4835" s="56"/>
      <c r="O4835" s="56"/>
    </row>
    <row r="4836" spans="1:15">
      <c r="A4836" s="536" t="s">
        <v>8</v>
      </c>
      <c r="B4836" s="537" t="str">
        <f>VLOOKUP(A4836,'Materiales '!$C$2:$F$1302,3,0)</f>
        <v>-</v>
      </c>
      <c r="C4836" s="98" t="str">
        <f>VLOOKUP(A4836,'Materiales '!$C$2:$F$1302,3,0)</f>
        <v>-</v>
      </c>
      <c r="D4836" s="99">
        <f>VLOOKUP(A4836,'Materiales '!$C$2:$F$1302,4,0)</f>
        <v>0</v>
      </c>
      <c r="E4836" s="100"/>
      <c r="F4836" s="538">
        <f t="shared" ref="F4836:F4839" si="284">E4836*D4836</f>
        <v>0</v>
      </c>
      <c r="G4836" s="539"/>
      <c r="H4836" s="121"/>
      <c r="I4836">
        <f>E4836*G4818</f>
        <v>0</v>
      </c>
      <c r="J4836" s="68"/>
      <c r="K4836" s="56"/>
      <c r="L4836" s="56"/>
      <c r="M4836" s="56"/>
      <c r="N4836" s="56"/>
      <c r="O4836" s="56"/>
    </row>
    <row r="4837" spans="1:15">
      <c r="A4837" s="536" t="s">
        <v>8</v>
      </c>
      <c r="B4837" s="537" t="str">
        <f>VLOOKUP(A4837,'Materiales '!$C$2:$F$1302,3,0)</f>
        <v>-</v>
      </c>
      <c r="C4837" s="98" t="str">
        <f>VLOOKUP(A4837,'Materiales '!$C$2:$F$1302,3,0)</f>
        <v>-</v>
      </c>
      <c r="D4837" s="99">
        <f>VLOOKUP(A4837,'Materiales '!$C$2:$F$1302,4,0)</f>
        <v>0</v>
      </c>
      <c r="E4837" s="100"/>
      <c r="F4837" s="538">
        <f t="shared" si="284"/>
        <v>0</v>
      </c>
      <c r="G4837" s="539"/>
      <c r="H4837" s="121"/>
      <c r="I4837">
        <f>E4837*G4818</f>
        <v>0</v>
      </c>
      <c r="J4837" s="68"/>
      <c r="K4837" s="56"/>
      <c r="L4837" s="56"/>
      <c r="M4837" s="56"/>
      <c r="N4837" s="56"/>
      <c r="O4837" s="56"/>
    </row>
    <row r="4838" spans="1:15">
      <c r="A4838" s="536" t="s">
        <v>8</v>
      </c>
      <c r="B4838" s="537" t="str">
        <f>VLOOKUP(A4838,'Materiales '!$C$2:$F$1302,3,0)</f>
        <v>-</v>
      </c>
      <c r="C4838" s="98" t="str">
        <f>VLOOKUP(A4838,'Materiales '!$C$2:$F$1302,3,0)</f>
        <v>-</v>
      </c>
      <c r="D4838" s="99">
        <f>VLOOKUP(A4838,'Materiales '!$C$2:$F$1302,4,0)</f>
        <v>0</v>
      </c>
      <c r="E4838" s="100"/>
      <c r="F4838" s="538">
        <f t="shared" si="284"/>
        <v>0</v>
      </c>
      <c r="G4838" s="539"/>
      <c r="H4838" s="121"/>
      <c r="I4838">
        <f>E4838*G4818</f>
        <v>0</v>
      </c>
      <c r="J4838" s="68"/>
      <c r="K4838" s="56"/>
      <c r="L4838" s="56"/>
      <c r="M4838" s="56"/>
      <c r="N4838" s="56"/>
      <c r="O4838" s="56"/>
    </row>
    <row r="4839" spans="1:15">
      <c r="A4839" s="536" t="s">
        <v>8</v>
      </c>
      <c r="B4839" s="537" t="str">
        <f>VLOOKUP(A4839,'Materiales '!$C$2:$F$1302,3,0)</f>
        <v>-</v>
      </c>
      <c r="C4839" s="98" t="str">
        <f>VLOOKUP(A4839,'Materiales '!$C$2:$F$1302,3,0)</f>
        <v>-</v>
      </c>
      <c r="D4839" s="99">
        <f>VLOOKUP(A4839,'Materiales '!$C$2:$F$1302,4,0)</f>
        <v>0</v>
      </c>
      <c r="E4839" s="100"/>
      <c r="F4839" s="538">
        <f t="shared" si="284"/>
        <v>0</v>
      </c>
      <c r="G4839" s="539"/>
      <c r="H4839" s="121"/>
      <c r="I4839">
        <f>E4839*G4818</f>
        <v>0</v>
      </c>
      <c r="J4839" s="68"/>
      <c r="K4839" s="56"/>
      <c r="L4839" s="56"/>
      <c r="M4839" s="56"/>
      <c r="N4839" s="56"/>
      <c r="O4839" s="56"/>
    </row>
    <row r="4840" spans="1:15">
      <c r="A4840" s="536" t="s">
        <v>8</v>
      </c>
      <c r="B4840" s="537" t="str">
        <f>VLOOKUP(A4840,'Materiales '!$C$2:$F$1302,3,0)</f>
        <v>-</v>
      </c>
      <c r="C4840" s="98" t="str">
        <f>VLOOKUP(A4840,'Materiales '!$C$2:$F$1302,3,0)</f>
        <v>-</v>
      </c>
      <c r="D4840" s="99">
        <f>VLOOKUP(A4840,'Materiales '!$C$2:$F$1302,4,0)</f>
        <v>0</v>
      </c>
      <c r="E4840" s="100"/>
      <c r="F4840" s="538">
        <f>E4840*D4840</f>
        <v>0</v>
      </c>
      <c r="G4840" s="539"/>
      <c r="H4840" s="120"/>
      <c r="I4840">
        <f>E4840*G4818</f>
        <v>0</v>
      </c>
      <c r="J4840" s="68"/>
      <c r="K4840" s="56"/>
      <c r="L4840" s="56"/>
      <c r="M4840" s="56"/>
      <c r="N4840" s="56"/>
      <c r="O4840" s="56"/>
    </row>
    <row r="4841" spans="1:15" ht="16.5">
      <c r="A4841" s="540" t="s">
        <v>4099</v>
      </c>
      <c r="B4841" s="541"/>
      <c r="C4841" s="541"/>
      <c r="D4841" s="541"/>
      <c r="E4841" s="541"/>
      <c r="F4841" s="541"/>
      <c r="G4841" s="542"/>
      <c r="H4841" s="116">
        <f>SUM(F4827:F4840)</f>
        <v>1175220.2</v>
      </c>
      <c r="J4841" s="68"/>
      <c r="K4841" s="56"/>
      <c r="L4841" s="56"/>
      <c r="M4841" s="56"/>
      <c r="N4841" s="56"/>
      <c r="O4841" s="56"/>
    </row>
    <row r="4842" spans="1:15" ht="16.5">
      <c r="A4842" s="543" t="s">
        <v>4231</v>
      </c>
      <c r="B4842" s="544"/>
      <c r="C4842" s="544"/>
      <c r="D4842" s="544"/>
      <c r="E4842" s="545"/>
      <c r="F4842" s="544"/>
      <c r="G4842" s="544"/>
      <c r="H4842" s="546"/>
      <c r="J4842" s="68"/>
      <c r="K4842" s="56"/>
      <c r="L4842" s="56"/>
      <c r="M4842" s="56"/>
      <c r="N4842" s="56"/>
      <c r="O4842" s="56"/>
    </row>
    <row r="4843" spans="1:15">
      <c r="A4843" s="547" t="s">
        <v>7</v>
      </c>
      <c r="B4843" s="548"/>
      <c r="C4843" s="108" t="s">
        <v>4232</v>
      </c>
      <c r="D4843" s="107" t="s">
        <v>4233</v>
      </c>
      <c r="E4843" s="206" t="s">
        <v>4234</v>
      </c>
      <c r="F4843" s="549" t="s">
        <v>4218</v>
      </c>
      <c r="G4843" s="549"/>
      <c r="H4843" s="119"/>
      <c r="K4843" s="56"/>
      <c r="L4843" s="56"/>
      <c r="M4843" s="56"/>
      <c r="N4843" s="56"/>
      <c r="O4843" s="56"/>
    </row>
    <row r="4844" spans="1:15">
      <c r="A4844" s="550" t="s">
        <v>3928</v>
      </c>
      <c r="B4844" s="551"/>
      <c r="C4844" s="232">
        <v>1</v>
      </c>
      <c r="D4844" s="102">
        <v>0.03</v>
      </c>
      <c r="E4844" s="103">
        <f>VLOOKUP(A4844,'Equip, Herr y Transp'!$B$2:$D$218,3,0)</f>
        <v>160000</v>
      </c>
      <c r="F4844" s="552">
        <f>E4844*D4844*C4844</f>
        <v>4800</v>
      </c>
      <c r="G4844" s="553"/>
      <c r="H4844" s="117"/>
      <c r="M4844" s="56"/>
    </row>
    <row r="4845" spans="1:15" ht="16.5">
      <c r="A4845" s="554" t="s">
        <v>4216</v>
      </c>
      <c r="B4845" s="555"/>
      <c r="C4845" s="555"/>
      <c r="D4845" s="555"/>
      <c r="E4845" s="555"/>
      <c r="F4845" s="555"/>
      <c r="G4845" s="555"/>
      <c r="H4845" s="105">
        <f>F4844</f>
        <v>4800</v>
      </c>
    </row>
    <row r="4846" spans="1:15" ht="16.5">
      <c r="A4846" s="543" t="s">
        <v>4235</v>
      </c>
      <c r="B4846" s="544"/>
      <c r="C4846" s="544"/>
      <c r="D4846" s="544"/>
      <c r="E4846" s="544"/>
      <c r="F4846" s="544"/>
      <c r="G4846" s="544"/>
      <c r="H4846" s="546"/>
    </row>
    <row r="4847" spans="1:15">
      <c r="A4847" s="547" t="s">
        <v>7</v>
      </c>
      <c r="B4847" s="548"/>
      <c r="C4847" s="106" t="s">
        <v>1</v>
      </c>
      <c r="D4847" s="107" t="s">
        <v>4236</v>
      </c>
      <c r="E4847" s="108" t="s">
        <v>4215</v>
      </c>
      <c r="F4847" s="547" t="s">
        <v>5</v>
      </c>
      <c r="G4847" s="556"/>
      <c r="H4847" s="119"/>
    </row>
    <row r="4848" spans="1:15">
      <c r="A4848" s="550" t="s">
        <v>4196</v>
      </c>
      <c r="B4848" s="551"/>
      <c r="C4848" s="101">
        <v>1</v>
      </c>
      <c r="D4848" s="104">
        <f>VLOOKUP(A4848,'Mano Obra'!$B$2:$T$117,19,0)</f>
        <v>166624</v>
      </c>
      <c r="E4848" s="246">
        <f>H4811</f>
        <v>0.16669999999999999</v>
      </c>
      <c r="F4848" s="538">
        <f>E4848*D4848*C4848</f>
        <v>27776.220799999999</v>
      </c>
      <c r="G4848" s="557"/>
      <c r="H4848" s="121"/>
      <c r="I4848" s="69"/>
      <c r="J4848" s="136">
        <f>((('Mano Obra'!$M$4/30)*F4848)/D4848)*G4818</f>
        <v>1803.8266283722219</v>
      </c>
    </row>
    <row r="4849" spans="1:10">
      <c r="A4849" s="558" t="s">
        <v>4197</v>
      </c>
      <c r="B4849" s="559">
        <f>VLOOKUP(A4849,'Mano Obra'!$B$3:$D$290,2,0)</f>
        <v>2090000.0000000002</v>
      </c>
      <c r="C4849" s="101">
        <v>1</v>
      </c>
      <c r="D4849" s="104">
        <f>VLOOKUP(A4849,'Mano Obra'!$B$2:$T$117,19,0)</f>
        <v>120456</v>
      </c>
      <c r="E4849" s="246">
        <f>H4811</f>
        <v>0.16669999999999999</v>
      </c>
      <c r="F4849" s="538">
        <f t="shared" ref="F4849:F4850" si="285">E4849*D4849*C4849</f>
        <v>20080.015199999998</v>
      </c>
      <c r="G4849" s="557"/>
      <c r="H4849" s="121"/>
      <c r="J4849" s="136">
        <f>((('Mano Obra'!$M$5/30)*F4849)/D4849)*G4818</f>
        <v>1803.8266283722219</v>
      </c>
    </row>
    <row r="4850" spans="1:10">
      <c r="A4850" s="558" t="s">
        <v>4186</v>
      </c>
      <c r="B4850" s="559">
        <f>VLOOKUP(A4850,'Mano Obra'!$B$3:$D$290,2,0)</f>
        <v>1100000</v>
      </c>
      <c r="C4850" s="101">
        <v>1</v>
      </c>
      <c r="D4850" s="104">
        <f>VLOOKUP(A4850,'Mano Obra'!$B$2:$T$117,19,0)</f>
        <v>72664</v>
      </c>
      <c r="E4850" s="246">
        <f>H4811</f>
        <v>0.16669999999999999</v>
      </c>
      <c r="F4850" s="538">
        <f t="shared" si="285"/>
        <v>12113.0888</v>
      </c>
      <c r="G4850" s="557"/>
      <c r="H4850" s="120"/>
      <c r="J4850" s="136">
        <f>((('Mano Obra'!$M$6/30)*F4850)/D4850)*G4818</f>
        <v>1803.8266283722221</v>
      </c>
    </row>
    <row r="4851" spans="1:10" ht="16.5">
      <c r="A4851" s="560" t="s">
        <v>4101</v>
      </c>
      <c r="B4851" s="560"/>
      <c r="C4851" s="560"/>
      <c r="D4851" s="560"/>
      <c r="E4851" s="560"/>
      <c r="F4851" s="560"/>
      <c r="G4851" s="560"/>
      <c r="H4851" s="105">
        <f>SUM(F4848:F4850)</f>
        <v>59969.324799999995</v>
      </c>
      <c r="J4851" s="136"/>
    </row>
    <row r="4852" spans="1:10">
      <c r="A4852" s="227" t="s">
        <v>4237</v>
      </c>
      <c r="B4852" s="205"/>
      <c r="C4852" s="205"/>
      <c r="D4852" s="202"/>
      <c r="E4852" s="203"/>
      <c r="F4852" s="204"/>
      <c r="G4852" s="203"/>
      <c r="H4852" s="212"/>
    </row>
    <row r="4853" spans="1:10">
      <c r="A4853" s="561" t="s">
        <v>4224</v>
      </c>
      <c r="B4853" s="562"/>
      <c r="C4853" s="562"/>
      <c r="D4853" s="562"/>
      <c r="E4853" s="200"/>
      <c r="F4853" s="201" t="s">
        <v>4238</v>
      </c>
      <c r="G4853" s="200" t="s">
        <v>4239</v>
      </c>
      <c r="H4853" s="213"/>
    </row>
    <row r="4854" spans="1:10">
      <c r="A4854" s="223" t="s">
        <v>4097</v>
      </c>
      <c r="B4854" s="72"/>
      <c r="C4854" s="72"/>
      <c r="D4854" s="73"/>
      <c r="E4854" s="78"/>
      <c r="F4854" s="79">
        <v>0</v>
      </c>
      <c r="G4854" s="80">
        <f>F4854*H4819</f>
        <v>0</v>
      </c>
      <c r="H4854" s="212"/>
    </row>
    <row r="4855" spans="1:10">
      <c r="A4855" s="224" t="s">
        <v>4240</v>
      </c>
      <c r="B4855" s="81"/>
      <c r="C4855" s="81"/>
      <c r="D4855" s="82"/>
      <c r="E4855" s="78"/>
      <c r="F4855" s="79">
        <v>0</v>
      </c>
      <c r="G4855" s="80">
        <f>F4855*H4819</f>
        <v>0</v>
      </c>
      <c r="H4855" s="212"/>
    </row>
    <row r="4856" spans="1:10">
      <c r="A4856" s="224" t="s">
        <v>4</v>
      </c>
      <c r="B4856" s="81"/>
      <c r="C4856" s="81"/>
      <c r="D4856" s="82"/>
      <c r="E4856" s="78"/>
      <c r="F4856" s="79">
        <v>0</v>
      </c>
      <c r="G4856" s="80">
        <f>F4856*H4819</f>
        <v>0</v>
      </c>
      <c r="H4856" s="212"/>
    </row>
    <row r="4857" spans="1:10">
      <c r="A4857" s="225"/>
      <c r="B4857" s="83"/>
      <c r="C4857" s="75"/>
      <c r="D4857" s="84"/>
      <c r="E4857" s="85"/>
      <c r="F4857" s="86"/>
      <c r="G4857" s="87"/>
      <c r="H4857" s="214"/>
    </row>
    <row r="4858" spans="1:10">
      <c r="A4858" s="226"/>
      <c r="B4858" s="83"/>
      <c r="C4858" s="83"/>
      <c r="D4858" s="84"/>
      <c r="E4858" s="88"/>
      <c r="F4858" s="563" t="s">
        <v>4241</v>
      </c>
      <c r="G4858" s="564"/>
      <c r="H4858" s="233">
        <f>H4819+G4854+G4855+G4856</f>
        <v>1402376.9957999999</v>
      </c>
    </row>
    <row r="4859" spans="1:10">
      <c r="A4859" s="83"/>
      <c r="B4859" s="83"/>
      <c r="C4859" s="83"/>
      <c r="D4859" s="84"/>
      <c r="E4859" s="388"/>
      <c r="F4859" s="389"/>
      <c r="G4859" s="389"/>
      <c r="H4859" s="390"/>
    </row>
    <row r="4860" spans="1:10" ht="16.5">
      <c r="A4860" s="90"/>
      <c r="B4860" s="90"/>
      <c r="C4860" s="90"/>
      <c r="D4860" s="90"/>
      <c r="E4860" s="90"/>
      <c r="F4860" s="90"/>
      <c r="G4860" s="90"/>
      <c r="H4860" s="381"/>
    </row>
    <row r="4861" spans="1:10">
      <c r="A4861" s="579" t="s">
        <v>4225</v>
      </c>
      <c r="B4861" s="580"/>
      <c r="C4861" s="580"/>
      <c r="D4861" s="580"/>
      <c r="E4861" s="580"/>
      <c r="F4861" s="580"/>
      <c r="G4861" s="580"/>
      <c r="H4861" s="581"/>
    </row>
    <row r="4862" spans="1:10" ht="16.5">
      <c r="A4862" s="91"/>
      <c r="B4862" s="92"/>
      <c r="C4862" s="92"/>
      <c r="D4862" s="92"/>
      <c r="E4862" s="92"/>
      <c r="F4862" s="93"/>
      <c r="G4862" s="94"/>
      <c r="H4862" s="380">
        <f>ROUND((90/60)/8,4)</f>
        <v>0.1875</v>
      </c>
      <c r="I4862" s="115"/>
    </row>
    <row r="4863" spans="1:10">
      <c r="A4863" s="582" t="s">
        <v>4220</v>
      </c>
      <c r="B4863" s="584" t="str">
        <f>COSTOS!$C$14</f>
        <v>MODERNIZACION A TECNOLOGIA LED</v>
      </c>
      <c r="C4863" s="584"/>
      <c r="D4863" s="584"/>
      <c r="E4863" s="584"/>
      <c r="F4863" s="584"/>
      <c r="G4863" s="584"/>
      <c r="H4863" s="585" t="s">
        <v>4221</v>
      </c>
    </row>
    <row r="4864" spans="1:10">
      <c r="A4864" s="583"/>
      <c r="B4864" s="584"/>
      <c r="C4864" s="584"/>
      <c r="D4864" s="584"/>
      <c r="E4864" s="584"/>
      <c r="F4864" s="584"/>
      <c r="G4864" s="584"/>
      <c r="H4864" s="585"/>
    </row>
    <row r="4865" spans="1:15">
      <c r="A4865" s="583"/>
      <c r="B4865" s="584"/>
      <c r="C4865" s="584"/>
      <c r="D4865" s="584"/>
      <c r="E4865" s="584"/>
      <c r="F4865" s="584"/>
      <c r="G4865" s="584"/>
      <c r="H4865" s="585"/>
    </row>
    <row r="4866" spans="1:15" ht="15" customHeight="1">
      <c r="A4866" s="583"/>
      <c r="B4866" s="584"/>
      <c r="C4866" s="584"/>
      <c r="D4866" s="584"/>
      <c r="E4866" s="584"/>
      <c r="F4866" s="584"/>
      <c r="G4866" s="584"/>
      <c r="H4866" s="216">
        <f ca="1">TODAY()</f>
        <v>44889</v>
      </c>
      <c r="K4866" t="s">
        <v>4391</v>
      </c>
      <c r="L4866" t="s">
        <v>4392</v>
      </c>
      <c r="M4866" t="s">
        <v>4393</v>
      </c>
      <c r="N4866" t="s">
        <v>4394</v>
      </c>
    </row>
    <row r="4867" spans="1:15" ht="60.75" customHeight="1">
      <c r="A4867" s="228" t="s">
        <v>4222</v>
      </c>
      <c r="B4867" s="565" t="str">
        <f>COSTOS!$D$16</f>
        <v>Luminarias</v>
      </c>
      <c r="C4867" s="565"/>
      <c r="D4867" s="565"/>
      <c r="E4867" s="565"/>
      <c r="F4867" s="565"/>
      <c r="G4867" s="70" t="s">
        <v>4223</v>
      </c>
      <c r="H4867" s="391">
        <v>2.12</v>
      </c>
      <c r="K4867" s="62">
        <f>H4892</f>
        <v>1375759</v>
      </c>
      <c r="L4867" s="62">
        <f>H4902</f>
        <v>67452</v>
      </c>
      <c r="M4867" s="62">
        <f>H4875</f>
        <v>182649.375</v>
      </c>
      <c r="N4867" s="62">
        <f>H4896</f>
        <v>4800</v>
      </c>
    </row>
    <row r="4868" spans="1:15" ht="43.15" customHeight="1">
      <c r="A4868" s="229" t="s">
        <v>4224</v>
      </c>
      <c r="B4868" s="566" t="str">
        <f>VLOOKUP(H4867,COSTOS!C:M,2,0)</f>
        <v>Poste de concreto 12 metros x 750kg.f</v>
      </c>
      <c r="C4868" s="567"/>
      <c r="D4868" s="567"/>
      <c r="E4868" s="568"/>
      <c r="F4868" s="71" t="s">
        <v>0</v>
      </c>
      <c r="G4868" s="356" t="str">
        <f>VLOOKUP(H4867,COSTOS!C:M,8,0)</f>
        <v>Und</v>
      </c>
      <c r="H4868" s="276"/>
      <c r="I4868" s="306"/>
      <c r="J4868" s="308"/>
      <c r="K4868" s="308"/>
      <c r="L4868" s="308"/>
    </row>
    <row r="4869" spans="1:15">
      <c r="A4869" s="230"/>
      <c r="B4869" s="112"/>
      <c r="C4869" s="112"/>
      <c r="D4869" s="112"/>
      <c r="E4869" s="113"/>
      <c r="F4869" s="114" t="s">
        <v>1</v>
      </c>
      <c r="G4869" s="356">
        <f>VLOOKUP(H4867,COSTOS!C:M,9,0)</f>
        <v>1</v>
      </c>
      <c r="H4869" s="357"/>
      <c r="I4869" s="307"/>
    </row>
    <row r="4870" spans="1:15" ht="16.5">
      <c r="A4870" s="231" t="s">
        <v>4226</v>
      </c>
      <c r="B4870" s="75"/>
      <c r="C4870" s="75"/>
      <c r="D4870" s="76"/>
      <c r="E4870" s="209"/>
      <c r="F4870" s="210"/>
      <c r="G4870" s="211" t="s">
        <v>4227</v>
      </c>
      <c r="H4870" s="217">
        <f>H4875+H4892+H4896+H4902</f>
        <v>1630660.375</v>
      </c>
    </row>
    <row r="4871" spans="1:15" ht="39">
      <c r="A4871" s="569" t="s">
        <v>4224</v>
      </c>
      <c r="B4871" s="569"/>
      <c r="C4871" s="569"/>
      <c r="D4871" s="77" t="s">
        <v>0</v>
      </c>
      <c r="E4871" s="207" t="s">
        <v>4228</v>
      </c>
      <c r="F4871" s="208" t="s">
        <v>4215</v>
      </c>
      <c r="G4871" s="74" t="s">
        <v>2</v>
      </c>
      <c r="H4871" s="218" t="s">
        <v>4229</v>
      </c>
      <c r="K4871" s="309"/>
    </row>
    <row r="4872" spans="1:15">
      <c r="A4872" s="536" t="s">
        <v>3946</v>
      </c>
      <c r="B4872" s="570" t="str">
        <f>VLOOKUP(A4872,'Equip, Herr y Transp'!$B$2:$D$739,2,0)</f>
        <v>EQU</v>
      </c>
      <c r="C4872" s="570"/>
      <c r="D4872" s="95" t="str">
        <f>VLOOKUP(A4872,'Equip, Herr y Transp'!$B$2:$D$218,2,0)</f>
        <v>EQU</v>
      </c>
      <c r="E4872" s="95">
        <f>VLOOKUP(A4872,'Equip, Herr y Transp'!$B$2:$D$218,3,0)</f>
        <v>14130</v>
      </c>
      <c r="F4872" s="96">
        <f>H4862</f>
        <v>0.1875</v>
      </c>
      <c r="G4872" s="122">
        <f>F4872*E4872</f>
        <v>2649.375</v>
      </c>
      <c r="H4872" s="118"/>
    </row>
    <row r="4873" spans="1:15">
      <c r="A4873" s="536" t="s">
        <v>3894</v>
      </c>
      <c r="B4873" s="570" t="str">
        <f>VLOOKUP(A4873,'Equip, Herr y Transp'!$B$2:$D$739,2,0)</f>
        <v>TR</v>
      </c>
      <c r="C4873" s="570"/>
      <c r="D4873" s="95" t="str">
        <f>VLOOKUP(A4873,'Equip, Herr y Transp'!$B$2:$D$218,2,0)</f>
        <v>TR</v>
      </c>
      <c r="E4873" s="95">
        <f>VLOOKUP(A4873,'Equip, Herr y Transp'!$B$2:$D$218,3,0)</f>
        <v>960000</v>
      </c>
      <c r="F4873" s="96">
        <f>H4862</f>
        <v>0.1875</v>
      </c>
      <c r="G4873" s="122">
        <f>F4873*E4873</f>
        <v>180000</v>
      </c>
      <c r="H4873" s="117"/>
    </row>
    <row r="4874" spans="1:15">
      <c r="A4874" s="536" t="s">
        <v>8</v>
      </c>
      <c r="B4874" s="570">
        <f>VLOOKUP(A4874,'Equip, Herr y Transp'!$B$2:$D$739,2,0)</f>
        <v>0</v>
      </c>
      <c r="C4874" s="570"/>
      <c r="D4874" s="95">
        <f>VLOOKUP(A4874,'Equip, Herr y Transp'!$B$2:$D$218,2,0)</f>
        <v>0</v>
      </c>
      <c r="E4874" s="95">
        <f>VLOOKUP(A4874,'Equip, Herr y Transp'!$B$2:$D$218,3,0)</f>
        <v>0</v>
      </c>
      <c r="F4874" s="96"/>
      <c r="G4874" s="122">
        <f>F4874*E4874</f>
        <v>0</v>
      </c>
      <c r="H4874" s="117"/>
    </row>
    <row r="4875" spans="1:15" ht="16.5">
      <c r="A4875" s="540" t="s">
        <v>4100</v>
      </c>
      <c r="B4875" s="541"/>
      <c r="C4875" s="541"/>
      <c r="D4875" s="541"/>
      <c r="E4875" s="541"/>
      <c r="F4875" s="541"/>
      <c r="G4875" s="541"/>
      <c r="H4875" s="97">
        <f>SUM(G4872:G4874)</f>
        <v>182649.375</v>
      </c>
    </row>
    <row r="4876" spans="1:15" ht="16.5">
      <c r="A4876" s="571" t="s">
        <v>4230</v>
      </c>
      <c r="B4876" s="572"/>
      <c r="C4876" s="572"/>
      <c r="D4876" s="572"/>
      <c r="E4876" s="572"/>
      <c r="F4876" s="572"/>
      <c r="G4876" s="572"/>
      <c r="H4876" s="573"/>
      <c r="K4876" s="56"/>
      <c r="L4876" s="56"/>
      <c r="M4876" s="56"/>
      <c r="N4876" s="56"/>
      <c r="O4876" s="56"/>
    </row>
    <row r="4877" spans="1:15" ht="30" customHeight="1">
      <c r="A4877" s="574" t="s">
        <v>7</v>
      </c>
      <c r="B4877" s="575"/>
      <c r="C4877" s="109" t="s">
        <v>0</v>
      </c>
      <c r="D4877" s="110" t="s">
        <v>4098</v>
      </c>
      <c r="E4877" s="111" t="s">
        <v>1</v>
      </c>
      <c r="F4877" s="576" t="s">
        <v>4218</v>
      </c>
      <c r="G4877" s="576"/>
      <c r="H4877" s="215"/>
      <c r="K4877" s="56"/>
      <c r="L4877" s="56"/>
      <c r="M4877" s="56"/>
      <c r="N4877" s="56"/>
      <c r="O4877" s="56"/>
    </row>
    <row r="4878" spans="1:15">
      <c r="A4878" s="577" t="s">
        <v>4566</v>
      </c>
      <c r="B4878" s="578"/>
      <c r="C4878" s="98" t="str">
        <f>VLOOKUP(A4878,'Materiales '!$C$2:$F$1302,3,0)</f>
        <v>Und</v>
      </c>
      <c r="D4878" s="99">
        <f>VLOOKUP(A4878,'Materiales '!$C$2:$F$1302,4,0)</f>
        <v>1306643.8</v>
      </c>
      <c r="E4878" s="100">
        <v>1</v>
      </c>
      <c r="F4878" s="538">
        <f>E4878*D4878</f>
        <v>1306643.8</v>
      </c>
      <c r="G4878" s="539"/>
      <c r="H4878" s="121"/>
      <c r="I4878">
        <f>E4878*G4869</f>
        <v>1</v>
      </c>
      <c r="J4878" s="67"/>
      <c r="K4878" s="56"/>
      <c r="L4878" s="56"/>
      <c r="M4878" s="56"/>
      <c r="N4878" s="56"/>
      <c r="O4878" s="56"/>
    </row>
    <row r="4879" spans="1:15">
      <c r="A4879" s="577" t="s">
        <v>4628</v>
      </c>
      <c r="B4879" s="578"/>
      <c r="C4879" s="98" t="str">
        <f>VLOOKUP(A4879,'Materiales '!$C$2:$F$1302,3,0)</f>
        <v>Rollo</v>
      </c>
      <c r="D4879" s="99">
        <f>VLOOKUP(A4879,'Materiales '!$C$2:$F$1302,4,0)</f>
        <v>138230.39999999999</v>
      </c>
      <c r="E4879" s="100">
        <v>0.5</v>
      </c>
      <c r="F4879" s="538">
        <f t="shared" ref="F4879:F4885" si="286">E4879*D4879</f>
        <v>69115.199999999997</v>
      </c>
      <c r="G4879" s="539"/>
      <c r="H4879" s="121"/>
      <c r="I4879">
        <f>E4879*G4869</f>
        <v>0.5</v>
      </c>
      <c r="J4879" s="67"/>
      <c r="K4879" s="56"/>
      <c r="L4879" s="56"/>
      <c r="M4879" s="56"/>
      <c r="N4879" s="56"/>
      <c r="O4879" s="56"/>
    </row>
    <row r="4880" spans="1:15">
      <c r="A4880" s="536" t="s">
        <v>8</v>
      </c>
      <c r="B4880" s="537" t="str">
        <f>VLOOKUP(A4880,'Materiales '!$C$2:$F$1302,3,0)</f>
        <v>-</v>
      </c>
      <c r="C4880" s="98" t="str">
        <f>VLOOKUP(A4880,'Materiales '!$C$2:$F$1302,3,0)</f>
        <v>-</v>
      </c>
      <c r="D4880" s="99">
        <f>VLOOKUP(A4880,'Materiales '!$C$2:$F$1302,4,0)</f>
        <v>0</v>
      </c>
      <c r="E4880" s="100">
        <v>1</v>
      </c>
      <c r="F4880" s="538">
        <f t="shared" si="286"/>
        <v>0</v>
      </c>
      <c r="G4880" s="539"/>
      <c r="H4880" s="121"/>
      <c r="I4880">
        <f>E4880*G4869</f>
        <v>1</v>
      </c>
      <c r="J4880" s="68"/>
      <c r="K4880" s="56"/>
      <c r="L4880" s="56"/>
      <c r="M4880" s="56"/>
      <c r="N4880" s="56"/>
      <c r="O4880" s="56"/>
    </row>
    <row r="4881" spans="1:15">
      <c r="A4881" s="536" t="s">
        <v>8</v>
      </c>
      <c r="B4881" s="537" t="str">
        <f>VLOOKUP(A4881,'Materiales '!$C$2:$F$1302,3,0)</f>
        <v>-</v>
      </c>
      <c r="C4881" s="98" t="str">
        <f>VLOOKUP(A4881,'Materiales '!$C$2:$F$1302,3,0)</f>
        <v>-</v>
      </c>
      <c r="D4881" s="99">
        <f>VLOOKUP(A4881,'Materiales '!$C$2:$F$1302,4,0)</f>
        <v>0</v>
      </c>
      <c r="E4881" s="100">
        <v>3</v>
      </c>
      <c r="F4881" s="538">
        <f t="shared" si="286"/>
        <v>0</v>
      </c>
      <c r="G4881" s="539"/>
      <c r="H4881" s="121"/>
      <c r="I4881">
        <f>E4881*G4869</f>
        <v>3</v>
      </c>
      <c r="J4881" s="68"/>
      <c r="K4881" s="56"/>
      <c r="L4881" s="56"/>
      <c r="M4881" s="56"/>
      <c r="N4881" s="56"/>
      <c r="O4881" s="56"/>
    </row>
    <row r="4882" spans="1:15">
      <c r="A4882" s="536" t="s">
        <v>8</v>
      </c>
      <c r="B4882" s="537" t="str">
        <f>VLOOKUP(A4882,'Materiales '!$C$2:$F$1302,3,0)</f>
        <v>-</v>
      </c>
      <c r="C4882" s="98" t="str">
        <f>VLOOKUP(A4882,'Materiales '!$C$2:$F$1302,3,0)</f>
        <v>-</v>
      </c>
      <c r="D4882" s="99">
        <f>VLOOKUP(A4882,'Materiales '!$C$2:$F$1302,4,0)</f>
        <v>0</v>
      </c>
      <c r="E4882" s="100">
        <v>2</v>
      </c>
      <c r="F4882" s="538">
        <f t="shared" si="286"/>
        <v>0</v>
      </c>
      <c r="G4882" s="539"/>
      <c r="H4882" s="121"/>
      <c r="I4882">
        <f>E4882*G4869</f>
        <v>2</v>
      </c>
      <c r="J4882" s="68"/>
      <c r="K4882" s="56"/>
      <c r="L4882" s="56"/>
      <c r="M4882" s="56"/>
      <c r="N4882" s="56"/>
      <c r="O4882" s="56"/>
    </row>
    <row r="4883" spans="1:15">
      <c r="A4883" s="536" t="s">
        <v>8</v>
      </c>
      <c r="B4883" s="537" t="str">
        <f>VLOOKUP(A4883,'Materiales '!$C$2:$F$1302,3,0)</f>
        <v>-</v>
      </c>
      <c r="C4883" s="98" t="str">
        <f>VLOOKUP(A4883,'Materiales '!$C$2:$F$1302,3,0)</f>
        <v>-</v>
      </c>
      <c r="D4883" s="99">
        <f>VLOOKUP(A4883,'Materiales '!$C$2:$F$1302,4,0)</f>
        <v>0</v>
      </c>
      <c r="E4883" s="100">
        <v>8</v>
      </c>
      <c r="F4883" s="538">
        <f t="shared" si="286"/>
        <v>0</v>
      </c>
      <c r="G4883" s="539"/>
      <c r="H4883" s="121"/>
      <c r="I4883">
        <f>E4883*G4869</f>
        <v>8</v>
      </c>
      <c r="J4883" s="68"/>
      <c r="K4883" s="56"/>
      <c r="L4883" s="56"/>
      <c r="M4883" s="56"/>
      <c r="N4883" s="56"/>
      <c r="O4883" s="56"/>
    </row>
    <row r="4884" spans="1:15">
      <c r="A4884" s="536" t="s">
        <v>8</v>
      </c>
      <c r="B4884" s="537" t="str">
        <f>VLOOKUP(A4884,'Materiales '!$C$2:$F$1302,3,0)</f>
        <v>-</v>
      </c>
      <c r="C4884" s="98" t="str">
        <f>VLOOKUP(A4884,'Materiales '!$C$2:$F$1302,3,0)</f>
        <v>-</v>
      </c>
      <c r="D4884" s="99">
        <f>VLOOKUP(A4884,'Materiales '!$C$2:$F$1302,4,0)</f>
        <v>0</v>
      </c>
      <c r="E4884" s="100">
        <v>3</v>
      </c>
      <c r="F4884" s="538">
        <f t="shared" si="286"/>
        <v>0</v>
      </c>
      <c r="G4884" s="539"/>
      <c r="H4884" s="121"/>
      <c r="I4884">
        <f>E4884*G4869</f>
        <v>3</v>
      </c>
      <c r="J4884" s="68"/>
      <c r="K4884" s="56"/>
      <c r="L4884" s="56"/>
      <c r="M4884" s="56"/>
      <c r="N4884" s="56"/>
      <c r="O4884" s="56"/>
    </row>
    <row r="4885" spans="1:15" ht="21.75" customHeight="1">
      <c r="A4885" s="536" t="s">
        <v>8</v>
      </c>
      <c r="B4885" s="537" t="str">
        <f>VLOOKUP(A4885,'Materiales '!$C$2:$F$1302,3,0)</f>
        <v>-</v>
      </c>
      <c r="C4885" s="98" t="str">
        <f>VLOOKUP(A4885,'Materiales '!$C$2:$F$1302,3,0)</f>
        <v>-</v>
      </c>
      <c r="D4885" s="99">
        <f>VLOOKUP(A4885,'Materiales '!$C$2:$F$1302,4,0)</f>
        <v>0</v>
      </c>
      <c r="E4885" s="100">
        <v>0.5</v>
      </c>
      <c r="F4885" s="538">
        <f t="shared" si="286"/>
        <v>0</v>
      </c>
      <c r="G4885" s="539"/>
      <c r="H4885" s="121"/>
      <c r="I4885">
        <f>E4885*G4869</f>
        <v>0.5</v>
      </c>
      <c r="J4885" s="68"/>
      <c r="K4885" s="56"/>
      <c r="L4885" s="56"/>
      <c r="M4885" s="56"/>
      <c r="N4885" s="56"/>
      <c r="O4885" s="56"/>
    </row>
    <row r="4886" spans="1:15">
      <c r="A4886" s="536" t="s">
        <v>8</v>
      </c>
      <c r="B4886" s="537" t="str">
        <f>VLOOKUP(A4886,'Materiales '!$C$2:$F$1302,3,0)</f>
        <v>-</v>
      </c>
      <c r="C4886" s="98" t="str">
        <f>VLOOKUP(A4886,'Materiales '!$C$2:$F$1302,3,0)</f>
        <v>-</v>
      </c>
      <c r="D4886" s="99">
        <f>VLOOKUP(A4886,'Materiales '!$C$2:$F$1302,4,0)</f>
        <v>0</v>
      </c>
      <c r="E4886" s="100"/>
      <c r="F4886" s="538">
        <f>E4886*D4886</f>
        <v>0</v>
      </c>
      <c r="G4886" s="539"/>
      <c r="H4886" s="120"/>
      <c r="I4886">
        <f>E4886*G4869</f>
        <v>0</v>
      </c>
      <c r="J4886" s="68"/>
      <c r="K4886" s="56"/>
      <c r="L4886" s="56"/>
      <c r="M4886" s="56"/>
      <c r="N4886" s="56"/>
      <c r="O4886" s="56"/>
    </row>
    <row r="4887" spans="1:15">
      <c r="A4887" s="536" t="s">
        <v>8</v>
      </c>
      <c r="B4887" s="537" t="str">
        <f>VLOOKUP(A4887,'Materiales '!$C$2:$F$1302,3,0)</f>
        <v>-</v>
      </c>
      <c r="C4887" s="98" t="str">
        <f>VLOOKUP(A4887,'Materiales '!$C$2:$F$1302,3,0)</f>
        <v>-</v>
      </c>
      <c r="D4887" s="99">
        <f>VLOOKUP(A4887,'Materiales '!$C$2:$F$1302,4,0)</f>
        <v>0</v>
      </c>
      <c r="E4887" s="100"/>
      <c r="F4887" s="538">
        <f t="shared" ref="F4887:F4890" si="287">E4887*D4887</f>
        <v>0</v>
      </c>
      <c r="G4887" s="539"/>
      <c r="H4887" s="121"/>
      <c r="I4887">
        <f>E4887*G4869</f>
        <v>0</v>
      </c>
      <c r="J4887" s="68"/>
      <c r="K4887" s="56"/>
      <c r="L4887" s="56"/>
      <c r="M4887" s="56"/>
      <c r="N4887" s="56"/>
      <c r="O4887" s="56"/>
    </row>
    <row r="4888" spans="1:15">
      <c r="A4888" s="536" t="s">
        <v>8</v>
      </c>
      <c r="B4888" s="537" t="str">
        <f>VLOOKUP(A4888,'Materiales '!$C$2:$F$1302,3,0)</f>
        <v>-</v>
      </c>
      <c r="C4888" s="98" t="str">
        <f>VLOOKUP(A4888,'Materiales '!$C$2:$F$1302,3,0)</f>
        <v>-</v>
      </c>
      <c r="D4888" s="99">
        <f>VLOOKUP(A4888,'Materiales '!$C$2:$F$1302,4,0)</f>
        <v>0</v>
      </c>
      <c r="E4888" s="100"/>
      <c r="F4888" s="538">
        <f t="shared" si="287"/>
        <v>0</v>
      </c>
      <c r="G4888" s="539"/>
      <c r="H4888" s="121"/>
      <c r="I4888">
        <f>E4888*G4869</f>
        <v>0</v>
      </c>
      <c r="J4888" s="68"/>
      <c r="K4888" s="56"/>
      <c r="L4888" s="56"/>
      <c r="M4888" s="56"/>
      <c r="N4888" s="56"/>
      <c r="O4888" s="56"/>
    </row>
    <row r="4889" spans="1:15">
      <c r="A4889" s="536" t="s">
        <v>8</v>
      </c>
      <c r="B4889" s="537" t="str">
        <f>VLOOKUP(A4889,'Materiales '!$C$2:$F$1302,3,0)</f>
        <v>-</v>
      </c>
      <c r="C4889" s="98" t="str">
        <f>VLOOKUP(A4889,'Materiales '!$C$2:$F$1302,3,0)</f>
        <v>-</v>
      </c>
      <c r="D4889" s="99">
        <f>VLOOKUP(A4889,'Materiales '!$C$2:$F$1302,4,0)</f>
        <v>0</v>
      </c>
      <c r="E4889" s="100"/>
      <c r="F4889" s="538">
        <f t="shared" si="287"/>
        <v>0</v>
      </c>
      <c r="G4889" s="539"/>
      <c r="H4889" s="121"/>
      <c r="I4889">
        <f>E4889*G4869</f>
        <v>0</v>
      </c>
      <c r="J4889" s="68"/>
      <c r="K4889" s="56"/>
      <c r="L4889" s="56"/>
      <c r="M4889" s="56"/>
      <c r="N4889" s="56"/>
      <c r="O4889" s="56"/>
    </row>
    <row r="4890" spans="1:15">
      <c r="A4890" s="536" t="s">
        <v>8</v>
      </c>
      <c r="B4890" s="537" t="str">
        <f>VLOOKUP(A4890,'Materiales '!$C$2:$F$1302,3,0)</f>
        <v>-</v>
      </c>
      <c r="C4890" s="98" t="str">
        <f>VLOOKUP(A4890,'Materiales '!$C$2:$F$1302,3,0)</f>
        <v>-</v>
      </c>
      <c r="D4890" s="99">
        <f>VLOOKUP(A4890,'Materiales '!$C$2:$F$1302,4,0)</f>
        <v>0</v>
      </c>
      <c r="E4890" s="100"/>
      <c r="F4890" s="538">
        <f t="shared" si="287"/>
        <v>0</v>
      </c>
      <c r="G4890" s="539"/>
      <c r="H4890" s="121"/>
      <c r="I4890">
        <f>E4890*G4869</f>
        <v>0</v>
      </c>
      <c r="J4890" s="68"/>
      <c r="K4890" s="56"/>
      <c r="L4890" s="56"/>
      <c r="M4890" s="56"/>
      <c r="N4890" s="56"/>
      <c r="O4890" s="56"/>
    </row>
    <row r="4891" spans="1:15">
      <c r="A4891" s="536" t="s">
        <v>8</v>
      </c>
      <c r="B4891" s="537" t="str">
        <f>VLOOKUP(A4891,'Materiales '!$C$2:$F$1302,3,0)</f>
        <v>-</v>
      </c>
      <c r="C4891" s="98" t="str">
        <f>VLOOKUP(A4891,'Materiales '!$C$2:$F$1302,3,0)</f>
        <v>-</v>
      </c>
      <c r="D4891" s="99">
        <f>VLOOKUP(A4891,'Materiales '!$C$2:$F$1302,4,0)</f>
        <v>0</v>
      </c>
      <c r="E4891" s="100"/>
      <c r="F4891" s="538">
        <f>E4891*D4891</f>
        <v>0</v>
      </c>
      <c r="G4891" s="539"/>
      <c r="H4891" s="120"/>
      <c r="I4891">
        <f>E4891*G4869</f>
        <v>0</v>
      </c>
      <c r="J4891" s="68"/>
      <c r="K4891" s="56"/>
      <c r="L4891" s="56"/>
      <c r="M4891" s="56"/>
      <c r="N4891" s="56"/>
      <c r="O4891" s="56"/>
    </row>
    <row r="4892" spans="1:15" ht="16.5">
      <c r="A4892" s="540" t="s">
        <v>4099</v>
      </c>
      <c r="B4892" s="541"/>
      <c r="C4892" s="541"/>
      <c r="D4892" s="541"/>
      <c r="E4892" s="541"/>
      <c r="F4892" s="541"/>
      <c r="G4892" s="542"/>
      <c r="H4892" s="116">
        <f>SUM(F4878:F4891)</f>
        <v>1375759</v>
      </c>
      <c r="J4892" s="68"/>
      <c r="K4892" s="56"/>
      <c r="L4892" s="56"/>
      <c r="M4892" s="56"/>
      <c r="N4892" s="56"/>
      <c r="O4892" s="56"/>
    </row>
    <row r="4893" spans="1:15" ht="16.5">
      <c r="A4893" s="543" t="s">
        <v>4231</v>
      </c>
      <c r="B4893" s="544"/>
      <c r="C4893" s="544"/>
      <c r="D4893" s="544"/>
      <c r="E4893" s="545"/>
      <c r="F4893" s="544"/>
      <c r="G4893" s="544"/>
      <c r="H4893" s="546"/>
      <c r="J4893" s="68"/>
      <c r="K4893" s="56"/>
      <c r="L4893" s="56"/>
      <c r="M4893" s="56"/>
      <c r="N4893" s="56"/>
      <c r="O4893" s="56"/>
    </row>
    <row r="4894" spans="1:15">
      <c r="A4894" s="547" t="s">
        <v>7</v>
      </c>
      <c r="B4894" s="548"/>
      <c r="C4894" s="108" t="s">
        <v>4232</v>
      </c>
      <c r="D4894" s="107" t="s">
        <v>4233</v>
      </c>
      <c r="E4894" s="206" t="s">
        <v>4234</v>
      </c>
      <c r="F4894" s="549" t="s">
        <v>4218</v>
      </c>
      <c r="G4894" s="549"/>
      <c r="H4894" s="119"/>
      <c r="K4894" s="56"/>
      <c r="L4894" s="56"/>
      <c r="M4894" s="56"/>
      <c r="N4894" s="56"/>
      <c r="O4894" s="56"/>
    </row>
    <row r="4895" spans="1:15">
      <c r="A4895" s="550" t="s">
        <v>3928</v>
      </c>
      <c r="B4895" s="551"/>
      <c r="C4895" s="232">
        <v>1</v>
      </c>
      <c r="D4895" s="102">
        <v>0.03</v>
      </c>
      <c r="E4895" s="103">
        <f>VLOOKUP(A4895,'Equip, Herr y Transp'!$B$2:$D$218,3,0)</f>
        <v>160000</v>
      </c>
      <c r="F4895" s="552">
        <f>E4895*D4895*C4895</f>
        <v>4800</v>
      </c>
      <c r="G4895" s="553"/>
      <c r="H4895" s="117"/>
      <c r="M4895" s="56"/>
    </row>
    <row r="4896" spans="1:15" ht="16.5">
      <c r="A4896" s="554" t="s">
        <v>4216</v>
      </c>
      <c r="B4896" s="555"/>
      <c r="C4896" s="555"/>
      <c r="D4896" s="555"/>
      <c r="E4896" s="555"/>
      <c r="F4896" s="555"/>
      <c r="G4896" s="555"/>
      <c r="H4896" s="105">
        <f>F4895</f>
        <v>4800</v>
      </c>
    </row>
    <row r="4897" spans="1:10" ht="16.5">
      <c r="A4897" s="543" t="s">
        <v>4235</v>
      </c>
      <c r="B4897" s="544"/>
      <c r="C4897" s="544"/>
      <c r="D4897" s="544"/>
      <c r="E4897" s="544"/>
      <c r="F4897" s="544"/>
      <c r="G4897" s="544"/>
      <c r="H4897" s="546"/>
    </row>
    <row r="4898" spans="1:10">
      <c r="A4898" s="547" t="s">
        <v>7</v>
      </c>
      <c r="B4898" s="548"/>
      <c r="C4898" s="106" t="s">
        <v>1</v>
      </c>
      <c r="D4898" s="107" t="s">
        <v>4236</v>
      </c>
      <c r="E4898" s="108" t="s">
        <v>4215</v>
      </c>
      <c r="F4898" s="547" t="s">
        <v>5</v>
      </c>
      <c r="G4898" s="556"/>
      <c r="H4898" s="119"/>
    </row>
    <row r="4899" spans="1:10">
      <c r="A4899" s="550" t="s">
        <v>4196</v>
      </c>
      <c r="B4899" s="551"/>
      <c r="C4899" s="101">
        <v>1</v>
      </c>
      <c r="D4899" s="104">
        <f>VLOOKUP(A4899,'Mano Obra'!$B$2:$T$117,19,0)</f>
        <v>166624</v>
      </c>
      <c r="E4899" s="246">
        <f>H4862</f>
        <v>0.1875</v>
      </c>
      <c r="F4899" s="538">
        <f>E4899*D4899*C4899</f>
        <v>31242</v>
      </c>
      <c r="G4899" s="557"/>
      <c r="H4899" s="121"/>
      <c r="I4899" s="69"/>
      <c r="J4899" s="136">
        <f>((('Mano Obra'!$M$4/30)*F4899)/D4899)*G4869</f>
        <v>2028.8991770833331</v>
      </c>
    </row>
    <row r="4900" spans="1:10">
      <c r="A4900" s="558" t="s">
        <v>4197</v>
      </c>
      <c r="B4900" s="559">
        <f>VLOOKUP(A4900,'Mano Obra'!$B$3:$D$290,2,0)</f>
        <v>2090000.0000000002</v>
      </c>
      <c r="C4900" s="101">
        <v>1</v>
      </c>
      <c r="D4900" s="104">
        <f>VLOOKUP(A4900,'Mano Obra'!$B$2:$T$117,19,0)</f>
        <v>120456</v>
      </c>
      <c r="E4900" s="246">
        <f>H4862</f>
        <v>0.1875</v>
      </c>
      <c r="F4900" s="538">
        <f t="shared" ref="F4900:F4901" si="288">E4900*D4900*C4900</f>
        <v>22585.5</v>
      </c>
      <c r="G4900" s="557"/>
      <c r="H4900" s="121"/>
      <c r="J4900" s="136">
        <f>((('Mano Obra'!$M$5/30)*F4900)/D4900)*G4869</f>
        <v>2028.8991770833334</v>
      </c>
    </row>
    <row r="4901" spans="1:10">
      <c r="A4901" s="558" t="s">
        <v>4186</v>
      </c>
      <c r="B4901" s="559">
        <f>VLOOKUP(A4901,'Mano Obra'!$B$3:$D$290,2,0)</f>
        <v>1100000</v>
      </c>
      <c r="C4901" s="101">
        <v>1</v>
      </c>
      <c r="D4901" s="104">
        <f>VLOOKUP(A4901,'Mano Obra'!$B$2:$T$117,19,0)</f>
        <v>72664</v>
      </c>
      <c r="E4901" s="246">
        <f>H4862</f>
        <v>0.1875</v>
      </c>
      <c r="F4901" s="538">
        <f t="shared" si="288"/>
        <v>13624.5</v>
      </c>
      <c r="G4901" s="557"/>
      <c r="H4901" s="120"/>
      <c r="J4901" s="136">
        <f>((('Mano Obra'!$M$6/30)*F4901)/D4901)*G4869</f>
        <v>2028.8991770833331</v>
      </c>
    </row>
    <row r="4902" spans="1:10" ht="16.5">
      <c r="A4902" s="560" t="s">
        <v>4101</v>
      </c>
      <c r="B4902" s="560"/>
      <c r="C4902" s="560"/>
      <c r="D4902" s="560"/>
      <c r="E4902" s="560"/>
      <c r="F4902" s="560"/>
      <c r="G4902" s="560"/>
      <c r="H4902" s="105">
        <f>SUM(F4899:F4901)</f>
        <v>67452</v>
      </c>
      <c r="J4902" s="136"/>
    </row>
    <row r="4903" spans="1:10">
      <c r="A4903" s="227" t="s">
        <v>4237</v>
      </c>
      <c r="B4903" s="205"/>
      <c r="C4903" s="205"/>
      <c r="D4903" s="202"/>
      <c r="E4903" s="203"/>
      <c r="F4903" s="204"/>
      <c r="G4903" s="203"/>
      <c r="H4903" s="212"/>
    </row>
    <row r="4904" spans="1:10">
      <c r="A4904" s="561" t="s">
        <v>4224</v>
      </c>
      <c r="B4904" s="562"/>
      <c r="C4904" s="562"/>
      <c r="D4904" s="562"/>
      <c r="E4904" s="200"/>
      <c r="F4904" s="201" t="s">
        <v>4238</v>
      </c>
      <c r="G4904" s="200" t="s">
        <v>4239</v>
      </c>
      <c r="H4904" s="213"/>
    </row>
    <row r="4905" spans="1:10">
      <c r="A4905" s="223" t="s">
        <v>4097</v>
      </c>
      <c r="B4905" s="72"/>
      <c r="C4905" s="72"/>
      <c r="D4905" s="73"/>
      <c r="E4905" s="78"/>
      <c r="F4905" s="79">
        <v>0</v>
      </c>
      <c r="G4905" s="80">
        <f>F4905*H4870</f>
        <v>0</v>
      </c>
      <c r="H4905" s="212"/>
    </row>
    <row r="4906" spans="1:10">
      <c r="A4906" s="224" t="s">
        <v>4240</v>
      </c>
      <c r="B4906" s="81"/>
      <c r="C4906" s="81"/>
      <c r="D4906" s="82"/>
      <c r="E4906" s="78"/>
      <c r="F4906" s="79">
        <v>0</v>
      </c>
      <c r="G4906" s="80">
        <f>F4906*H4870</f>
        <v>0</v>
      </c>
      <c r="H4906" s="212"/>
    </row>
    <row r="4907" spans="1:10">
      <c r="A4907" s="224" t="s">
        <v>4</v>
      </c>
      <c r="B4907" s="81"/>
      <c r="C4907" s="81"/>
      <c r="D4907" s="82"/>
      <c r="E4907" s="78"/>
      <c r="F4907" s="79">
        <v>0</v>
      </c>
      <c r="G4907" s="80">
        <f>F4907*H4870</f>
        <v>0</v>
      </c>
      <c r="H4907" s="212"/>
    </row>
    <row r="4908" spans="1:10">
      <c r="A4908" s="225"/>
      <c r="B4908" s="83"/>
      <c r="C4908" s="75"/>
      <c r="D4908" s="84"/>
      <c r="E4908" s="85"/>
      <c r="F4908" s="86"/>
      <c r="G4908" s="87"/>
      <c r="H4908" s="214"/>
    </row>
    <row r="4909" spans="1:10">
      <c r="A4909" s="226"/>
      <c r="B4909" s="83"/>
      <c r="C4909" s="83"/>
      <c r="D4909" s="84"/>
      <c r="E4909" s="88"/>
      <c r="F4909" s="563" t="s">
        <v>4241</v>
      </c>
      <c r="G4909" s="564"/>
      <c r="H4909" s="233">
        <f>H4870+G4905+G4906+G4907</f>
        <v>1630660.375</v>
      </c>
    </row>
    <row r="4910" spans="1:10">
      <c r="A4910" s="83"/>
      <c r="B4910" s="83"/>
      <c r="C4910" s="83"/>
      <c r="D4910" s="84"/>
      <c r="E4910" s="388"/>
      <c r="F4910" s="389"/>
      <c r="G4910" s="389"/>
      <c r="H4910" s="390"/>
    </row>
    <row r="4911" spans="1:10" ht="16.5">
      <c r="A4911" s="90"/>
      <c r="B4911" s="90"/>
      <c r="C4911" s="90"/>
      <c r="D4911" s="90"/>
      <c r="E4911" s="90"/>
      <c r="F4911" s="90"/>
      <c r="G4911" s="90"/>
      <c r="H4911" s="381"/>
    </row>
    <row r="4912" spans="1:10">
      <c r="A4912" s="579" t="s">
        <v>4225</v>
      </c>
      <c r="B4912" s="580"/>
      <c r="C4912" s="580"/>
      <c r="D4912" s="580"/>
      <c r="E4912" s="580"/>
      <c r="F4912" s="580"/>
      <c r="G4912" s="580"/>
      <c r="H4912" s="581"/>
    </row>
    <row r="4913" spans="1:15" ht="16.5">
      <c r="A4913" s="91"/>
      <c r="B4913" s="92"/>
      <c r="C4913" s="92"/>
      <c r="D4913" s="92"/>
      <c r="E4913" s="92"/>
      <c r="F4913" s="93"/>
      <c r="G4913" s="94"/>
      <c r="H4913" s="380">
        <f>ROUND((90/60)/8,4)</f>
        <v>0.1875</v>
      </c>
      <c r="I4913" s="115"/>
    </row>
    <row r="4914" spans="1:15">
      <c r="A4914" s="582" t="s">
        <v>4220</v>
      </c>
      <c r="B4914" s="584" t="str">
        <f>COSTOS!$C$14</f>
        <v>MODERNIZACION A TECNOLOGIA LED</v>
      </c>
      <c r="C4914" s="584"/>
      <c r="D4914" s="584"/>
      <c r="E4914" s="584"/>
      <c r="F4914" s="584"/>
      <c r="G4914" s="584"/>
      <c r="H4914" s="585" t="s">
        <v>4221</v>
      </c>
    </row>
    <row r="4915" spans="1:15">
      <c r="A4915" s="583"/>
      <c r="B4915" s="584"/>
      <c r="C4915" s="584"/>
      <c r="D4915" s="584"/>
      <c r="E4915" s="584"/>
      <c r="F4915" s="584"/>
      <c r="G4915" s="584"/>
      <c r="H4915" s="585"/>
    </row>
    <row r="4916" spans="1:15">
      <c r="A4916" s="583"/>
      <c r="B4916" s="584"/>
      <c r="C4916" s="584"/>
      <c r="D4916" s="584"/>
      <c r="E4916" s="584"/>
      <c r="F4916" s="584"/>
      <c r="G4916" s="584"/>
      <c r="H4916" s="585"/>
    </row>
    <row r="4917" spans="1:15" ht="15" customHeight="1">
      <c r="A4917" s="583"/>
      <c r="B4917" s="584"/>
      <c r="C4917" s="584"/>
      <c r="D4917" s="584"/>
      <c r="E4917" s="584"/>
      <c r="F4917" s="584"/>
      <c r="G4917" s="584"/>
      <c r="H4917" s="216">
        <f ca="1">TODAY()</f>
        <v>44889</v>
      </c>
      <c r="K4917" t="s">
        <v>4391</v>
      </c>
      <c r="L4917" t="s">
        <v>4392</v>
      </c>
      <c r="M4917" t="s">
        <v>4393</v>
      </c>
      <c r="N4917" t="s">
        <v>4394</v>
      </c>
    </row>
    <row r="4918" spans="1:15" ht="60.75" customHeight="1">
      <c r="A4918" s="228" t="s">
        <v>4222</v>
      </c>
      <c r="B4918" s="565" t="str">
        <f>COSTOS!$D$16</f>
        <v>Luminarias</v>
      </c>
      <c r="C4918" s="565"/>
      <c r="D4918" s="565"/>
      <c r="E4918" s="565"/>
      <c r="F4918" s="565"/>
      <c r="G4918" s="70" t="s">
        <v>4223</v>
      </c>
      <c r="H4918" s="391">
        <v>2.13</v>
      </c>
      <c r="K4918" s="62">
        <f>H4943</f>
        <v>1476290.2</v>
      </c>
      <c r="L4918" s="62">
        <f>H4953</f>
        <v>67452</v>
      </c>
      <c r="M4918" s="62">
        <f>H4926</f>
        <v>182649.375</v>
      </c>
      <c r="N4918" s="62">
        <f>H4947</f>
        <v>4800</v>
      </c>
    </row>
    <row r="4919" spans="1:15" ht="43.15" customHeight="1">
      <c r="A4919" s="229" t="s">
        <v>4224</v>
      </c>
      <c r="B4919" s="566" t="str">
        <f>VLOOKUP(H4918,COSTOS!C:M,2,0)</f>
        <v>Poste de concreto 12 metros x 1050kg.f</v>
      </c>
      <c r="C4919" s="567"/>
      <c r="D4919" s="567"/>
      <c r="E4919" s="568"/>
      <c r="F4919" s="71" t="s">
        <v>0</v>
      </c>
      <c r="G4919" s="356" t="str">
        <f>VLOOKUP(H4918,COSTOS!C:M,8,0)</f>
        <v>Und</v>
      </c>
      <c r="H4919" s="276"/>
      <c r="I4919" s="306"/>
      <c r="J4919" s="308"/>
      <c r="K4919" s="308"/>
      <c r="L4919" s="308"/>
    </row>
    <row r="4920" spans="1:15">
      <c r="A4920" s="230"/>
      <c r="B4920" s="112"/>
      <c r="C4920" s="112"/>
      <c r="D4920" s="112"/>
      <c r="E4920" s="113"/>
      <c r="F4920" s="114" t="s">
        <v>1</v>
      </c>
      <c r="G4920" s="356">
        <f>VLOOKUP(H4918,COSTOS!C:M,9,0)</f>
        <v>0</v>
      </c>
      <c r="H4920" s="357"/>
      <c r="I4920" s="307"/>
    </row>
    <row r="4921" spans="1:15" ht="16.5">
      <c r="A4921" s="231" t="s">
        <v>4226</v>
      </c>
      <c r="B4921" s="75"/>
      <c r="C4921" s="75"/>
      <c r="D4921" s="76"/>
      <c r="E4921" s="209"/>
      <c r="F4921" s="210"/>
      <c r="G4921" s="211" t="s">
        <v>4227</v>
      </c>
      <c r="H4921" s="217">
        <f>H4926+H4943+H4947+H4953</f>
        <v>1731191.575</v>
      </c>
    </row>
    <row r="4922" spans="1:15" ht="39">
      <c r="A4922" s="569" t="s">
        <v>4224</v>
      </c>
      <c r="B4922" s="569"/>
      <c r="C4922" s="569"/>
      <c r="D4922" s="77" t="s">
        <v>0</v>
      </c>
      <c r="E4922" s="207" t="s">
        <v>4228</v>
      </c>
      <c r="F4922" s="208" t="s">
        <v>4215</v>
      </c>
      <c r="G4922" s="74" t="s">
        <v>2</v>
      </c>
      <c r="H4922" s="218" t="s">
        <v>4229</v>
      </c>
      <c r="K4922" s="309"/>
    </row>
    <row r="4923" spans="1:15">
      <c r="A4923" s="536" t="s">
        <v>3946</v>
      </c>
      <c r="B4923" s="570" t="str">
        <f>VLOOKUP(A4923,'Equip, Herr y Transp'!$B$2:$D$739,2,0)</f>
        <v>EQU</v>
      </c>
      <c r="C4923" s="570"/>
      <c r="D4923" s="95" t="str">
        <f>VLOOKUP(A4923,'Equip, Herr y Transp'!$B$2:$D$218,2,0)</f>
        <v>EQU</v>
      </c>
      <c r="E4923" s="95">
        <f>VLOOKUP(A4923,'Equip, Herr y Transp'!$B$2:$D$218,3,0)</f>
        <v>14130</v>
      </c>
      <c r="F4923" s="96">
        <f>H4913</f>
        <v>0.1875</v>
      </c>
      <c r="G4923" s="122">
        <f>F4923*E4923</f>
        <v>2649.375</v>
      </c>
      <c r="H4923" s="118"/>
    </row>
    <row r="4924" spans="1:15">
      <c r="A4924" s="536" t="s">
        <v>3894</v>
      </c>
      <c r="B4924" s="570" t="str">
        <f>VLOOKUP(A4924,'Equip, Herr y Transp'!$B$2:$D$739,2,0)</f>
        <v>TR</v>
      </c>
      <c r="C4924" s="570"/>
      <c r="D4924" s="95" t="str">
        <f>VLOOKUP(A4924,'Equip, Herr y Transp'!$B$2:$D$218,2,0)</f>
        <v>TR</v>
      </c>
      <c r="E4924" s="95">
        <f>VLOOKUP(A4924,'Equip, Herr y Transp'!$B$2:$D$218,3,0)</f>
        <v>960000</v>
      </c>
      <c r="F4924" s="96">
        <f>H4913</f>
        <v>0.1875</v>
      </c>
      <c r="G4924" s="122">
        <f>F4924*E4924</f>
        <v>180000</v>
      </c>
      <c r="H4924" s="117"/>
    </row>
    <row r="4925" spans="1:15">
      <c r="A4925" s="536" t="s">
        <v>8</v>
      </c>
      <c r="B4925" s="570">
        <f>VLOOKUP(A4925,'Equip, Herr y Transp'!$B$2:$D$739,2,0)</f>
        <v>0</v>
      </c>
      <c r="C4925" s="570"/>
      <c r="D4925" s="95">
        <f>VLOOKUP(A4925,'Equip, Herr y Transp'!$B$2:$D$218,2,0)</f>
        <v>0</v>
      </c>
      <c r="E4925" s="95">
        <f>VLOOKUP(A4925,'Equip, Herr y Transp'!$B$2:$D$218,3,0)</f>
        <v>0</v>
      </c>
      <c r="F4925" s="96"/>
      <c r="G4925" s="122">
        <f>F4925*E4925</f>
        <v>0</v>
      </c>
      <c r="H4925" s="117"/>
    </row>
    <row r="4926" spans="1:15" ht="16.5">
      <c r="A4926" s="540" t="s">
        <v>4100</v>
      </c>
      <c r="B4926" s="541"/>
      <c r="C4926" s="541"/>
      <c r="D4926" s="541"/>
      <c r="E4926" s="541"/>
      <c r="F4926" s="541"/>
      <c r="G4926" s="541"/>
      <c r="H4926" s="97">
        <f>SUM(G4923:G4925)</f>
        <v>182649.375</v>
      </c>
    </row>
    <row r="4927" spans="1:15" ht="16.5">
      <c r="A4927" s="571" t="s">
        <v>4230</v>
      </c>
      <c r="B4927" s="572"/>
      <c r="C4927" s="572"/>
      <c r="D4927" s="572"/>
      <c r="E4927" s="572"/>
      <c r="F4927" s="572"/>
      <c r="G4927" s="572"/>
      <c r="H4927" s="573"/>
      <c r="K4927" s="56"/>
      <c r="L4927" s="56"/>
      <c r="M4927" s="56"/>
      <c r="N4927" s="56"/>
      <c r="O4927" s="56"/>
    </row>
    <row r="4928" spans="1:15" ht="30" customHeight="1">
      <c r="A4928" s="574" t="s">
        <v>7</v>
      </c>
      <c r="B4928" s="575"/>
      <c r="C4928" s="109" t="s">
        <v>0</v>
      </c>
      <c r="D4928" s="110" t="s">
        <v>4098</v>
      </c>
      <c r="E4928" s="111" t="s">
        <v>1</v>
      </c>
      <c r="F4928" s="576" t="s">
        <v>4218</v>
      </c>
      <c r="G4928" s="576"/>
      <c r="H4928" s="215"/>
      <c r="K4928" s="56"/>
      <c r="L4928" s="56"/>
      <c r="M4928" s="56"/>
      <c r="N4928" s="56"/>
      <c r="O4928" s="56"/>
    </row>
    <row r="4929" spans="1:15">
      <c r="A4929" s="577" t="s">
        <v>4567</v>
      </c>
      <c r="B4929" s="578"/>
      <c r="C4929" s="98" t="str">
        <f>VLOOKUP(A4929,'Materiales '!$C$2:$F$1302,3,0)</f>
        <v>Und</v>
      </c>
      <c r="D4929" s="99">
        <f>VLOOKUP(A4929,'Materiales '!$C$2:$F$1302,4,0)</f>
        <v>1407175</v>
      </c>
      <c r="E4929" s="100">
        <v>1</v>
      </c>
      <c r="F4929" s="538">
        <f>E4929*D4929</f>
        <v>1407175</v>
      </c>
      <c r="G4929" s="539"/>
      <c r="H4929" s="121"/>
      <c r="I4929">
        <f>E4929*G4920</f>
        <v>0</v>
      </c>
      <c r="J4929" s="67"/>
      <c r="K4929" s="56"/>
      <c r="L4929" s="56"/>
      <c r="M4929" s="56"/>
      <c r="N4929" s="56"/>
      <c r="O4929" s="56"/>
    </row>
    <row r="4930" spans="1:15">
      <c r="A4930" s="577" t="s">
        <v>4628</v>
      </c>
      <c r="B4930" s="578"/>
      <c r="C4930" s="98" t="str">
        <f>VLOOKUP(A4930,'Materiales '!$C$2:$F$1302,3,0)</f>
        <v>Rollo</v>
      </c>
      <c r="D4930" s="99">
        <f>VLOOKUP(A4930,'Materiales '!$C$2:$F$1302,4,0)</f>
        <v>138230.39999999999</v>
      </c>
      <c r="E4930" s="100">
        <v>0.5</v>
      </c>
      <c r="F4930" s="538">
        <f t="shared" ref="F4930:F4936" si="289">E4930*D4930</f>
        <v>69115.199999999997</v>
      </c>
      <c r="G4930" s="539"/>
      <c r="H4930" s="121"/>
      <c r="I4930">
        <f>E4930*G4920</f>
        <v>0</v>
      </c>
      <c r="J4930" s="67"/>
      <c r="K4930" s="56"/>
      <c r="L4930" s="56"/>
      <c r="M4930" s="56"/>
      <c r="N4930" s="56"/>
      <c r="O4930" s="56"/>
    </row>
    <row r="4931" spans="1:15">
      <c r="A4931" s="536" t="s">
        <v>8</v>
      </c>
      <c r="B4931" s="537" t="str">
        <f>VLOOKUP(A4931,'Materiales '!$C$2:$F$1302,3,0)</f>
        <v>-</v>
      </c>
      <c r="C4931" s="98" t="str">
        <f>VLOOKUP(A4931,'Materiales '!$C$2:$F$1302,3,0)</f>
        <v>-</v>
      </c>
      <c r="D4931" s="99">
        <f>VLOOKUP(A4931,'Materiales '!$C$2:$F$1302,4,0)</f>
        <v>0</v>
      </c>
      <c r="E4931" s="100">
        <v>1</v>
      </c>
      <c r="F4931" s="538">
        <f t="shared" si="289"/>
        <v>0</v>
      </c>
      <c r="G4931" s="539"/>
      <c r="H4931" s="121"/>
      <c r="I4931">
        <f>E4931*G4920</f>
        <v>0</v>
      </c>
      <c r="J4931" s="68"/>
      <c r="K4931" s="56"/>
      <c r="L4931" s="56"/>
      <c r="M4931" s="56"/>
      <c r="N4931" s="56"/>
      <c r="O4931" s="56"/>
    </row>
    <row r="4932" spans="1:15">
      <c r="A4932" s="536" t="s">
        <v>8</v>
      </c>
      <c r="B4932" s="537" t="str">
        <f>VLOOKUP(A4932,'Materiales '!$C$2:$F$1302,3,0)</f>
        <v>-</v>
      </c>
      <c r="C4932" s="98" t="str">
        <f>VLOOKUP(A4932,'Materiales '!$C$2:$F$1302,3,0)</f>
        <v>-</v>
      </c>
      <c r="D4932" s="99">
        <f>VLOOKUP(A4932,'Materiales '!$C$2:$F$1302,4,0)</f>
        <v>0</v>
      </c>
      <c r="E4932" s="100">
        <v>3</v>
      </c>
      <c r="F4932" s="538">
        <f t="shared" si="289"/>
        <v>0</v>
      </c>
      <c r="G4932" s="539"/>
      <c r="H4932" s="121"/>
      <c r="I4932">
        <f>E4932*G4920</f>
        <v>0</v>
      </c>
      <c r="J4932" s="68"/>
      <c r="K4932" s="56"/>
      <c r="L4932" s="56"/>
      <c r="M4932" s="56"/>
      <c r="N4932" s="56"/>
      <c r="O4932" s="56"/>
    </row>
    <row r="4933" spans="1:15">
      <c r="A4933" s="536" t="s">
        <v>8</v>
      </c>
      <c r="B4933" s="537" t="str">
        <f>VLOOKUP(A4933,'Materiales '!$C$2:$F$1302,3,0)</f>
        <v>-</v>
      </c>
      <c r="C4933" s="98" t="str">
        <f>VLOOKUP(A4933,'Materiales '!$C$2:$F$1302,3,0)</f>
        <v>-</v>
      </c>
      <c r="D4933" s="99">
        <f>VLOOKUP(A4933,'Materiales '!$C$2:$F$1302,4,0)</f>
        <v>0</v>
      </c>
      <c r="E4933" s="100">
        <v>2</v>
      </c>
      <c r="F4933" s="538">
        <f t="shared" si="289"/>
        <v>0</v>
      </c>
      <c r="G4933" s="539"/>
      <c r="H4933" s="121"/>
      <c r="I4933">
        <f>E4933*G4920</f>
        <v>0</v>
      </c>
      <c r="J4933" s="68"/>
      <c r="K4933" s="56"/>
      <c r="L4933" s="56"/>
      <c r="M4933" s="56"/>
      <c r="N4933" s="56"/>
      <c r="O4933" s="56"/>
    </row>
    <row r="4934" spans="1:15">
      <c r="A4934" s="536" t="s">
        <v>8</v>
      </c>
      <c r="B4934" s="537" t="str">
        <f>VLOOKUP(A4934,'Materiales '!$C$2:$F$1302,3,0)</f>
        <v>-</v>
      </c>
      <c r="C4934" s="98" t="str">
        <f>VLOOKUP(A4934,'Materiales '!$C$2:$F$1302,3,0)</f>
        <v>-</v>
      </c>
      <c r="D4934" s="99">
        <f>VLOOKUP(A4934,'Materiales '!$C$2:$F$1302,4,0)</f>
        <v>0</v>
      </c>
      <c r="E4934" s="100">
        <v>8</v>
      </c>
      <c r="F4934" s="538">
        <f t="shared" si="289"/>
        <v>0</v>
      </c>
      <c r="G4934" s="539"/>
      <c r="H4934" s="121"/>
      <c r="I4934">
        <f>E4934*G4920</f>
        <v>0</v>
      </c>
      <c r="J4934" s="68"/>
      <c r="K4934" s="56"/>
      <c r="L4934" s="56"/>
      <c r="M4934" s="56"/>
      <c r="N4934" s="56"/>
      <c r="O4934" s="56"/>
    </row>
    <row r="4935" spans="1:15">
      <c r="A4935" s="536" t="s">
        <v>8</v>
      </c>
      <c r="B4935" s="537" t="str">
        <f>VLOOKUP(A4935,'Materiales '!$C$2:$F$1302,3,0)</f>
        <v>-</v>
      </c>
      <c r="C4935" s="98" t="str">
        <f>VLOOKUP(A4935,'Materiales '!$C$2:$F$1302,3,0)</f>
        <v>-</v>
      </c>
      <c r="D4935" s="99">
        <f>VLOOKUP(A4935,'Materiales '!$C$2:$F$1302,4,0)</f>
        <v>0</v>
      </c>
      <c r="E4935" s="100">
        <v>3</v>
      </c>
      <c r="F4935" s="538">
        <f t="shared" si="289"/>
        <v>0</v>
      </c>
      <c r="G4935" s="539"/>
      <c r="H4935" s="121"/>
      <c r="I4935">
        <f>E4935*G4920</f>
        <v>0</v>
      </c>
      <c r="J4935" s="68"/>
      <c r="K4935" s="56"/>
      <c r="L4935" s="56"/>
      <c r="M4935" s="56"/>
      <c r="N4935" s="56"/>
      <c r="O4935" s="56"/>
    </row>
    <row r="4936" spans="1:15" ht="21.75" customHeight="1">
      <c r="A4936" s="536" t="s">
        <v>8</v>
      </c>
      <c r="B4936" s="537" t="str">
        <f>VLOOKUP(A4936,'Materiales '!$C$2:$F$1302,3,0)</f>
        <v>-</v>
      </c>
      <c r="C4936" s="98" t="str">
        <f>VLOOKUP(A4936,'Materiales '!$C$2:$F$1302,3,0)</f>
        <v>-</v>
      </c>
      <c r="D4936" s="99">
        <f>VLOOKUP(A4936,'Materiales '!$C$2:$F$1302,4,0)</f>
        <v>0</v>
      </c>
      <c r="E4936" s="100">
        <v>0.5</v>
      </c>
      <c r="F4936" s="538">
        <f t="shared" si="289"/>
        <v>0</v>
      </c>
      <c r="G4936" s="539"/>
      <c r="H4936" s="121"/>
      <c r="I4936">
        <f>E4936*G4920</f>
        <v>0</v>
      </c>
      <c r="J4936" s="68"/>
      <c r="K4936" s="56"/>
      <c r="L4936" s="56"/>
      <c r="M4936" s="56"/>
      <c r="N4936" s="56"/>
      <c r="O4936" s="56"/>
    </row>
    <row r="4937" spans="1:15">
      <c r="A4937" s="536" t="s">
        <v>8</v>
      </c>
      <c r="B4937" s="537" t="str">
        <f>VLOOKUP(A4937,'Materiales '!$C$2:$F$1302,3,0)</f>
        <v>-</v>
      </c>
      <c r="C4937" s="98" t="str">
        <f>VLOOKUP(A4937,'Materiales '!$C$2:$F$1302,3,0)</f>
        <v>-</v>
      </c>
      <c r="D4937" s="99">
        <f>VLOOKUP(A4937,'Materiales '!$C$2:$F$1302,4,0)</f>
        <v>0</v>
      </c>
      <c r="E4937" s="100"/>
      <c r="F4937" s="538">
        <f>E4937*D4937</f>
        <v>0</v>
      </c>
      <c r="G4937" s="539"/>
      <c r="H4937" s="120"/>
      <c r="I4937">
        <f>E4937*G4920</f>
        <v>0</v>
      </c>
      <c r="J4937" s="68"/>
      <c r="K4937" s="56"/>
      <c r="L4937" s="56"/>
      <c r="M4937" s="56"/>
      <c r="N4937" s="56"/>
      <c r="O4937" s="56"/>
    </row>
    <row r="4938" spans="1:15">
      <c r="A4938" s="536" t="s">
        <v>8</v>
      </c>
      <c r="B4938" s="537" t="str">
        <f>VLOOKUP(A4938,'Materiales '!$C$2:$F$1302,3,0)</f>
        <v>-</v>
      </c>
      <c r="C4938" s="98" t="str">
        <f>VLOOKUP(A4938,'Materiales '!$C$2:$F$1302,3,0)</f>
        <v>-</v>
      </c>
      <c r="D4938" s="99">
        <f>VLOOKUP(A4938,'Materiales '!$C$2:$F$1302,4,0)</f>
        <v>0</v>
      </c>
      <c r="E4938" s="100"/>
      <c r="F4938" s="538">
        <f t="shared" ref="F4938:F4941" si="290">E4938*D4938</f>
        <v>0</v>
      </c>
      <c r="G4938" s="539"/>
      <c r="H4938" s="121"/>
      <c r="I4938">
        <f>E4938*G4920</f>
        <v>0</v>
      </c>
      <c r="J4938" s="68"/>
      <c r="K4938" s="56"/>
      <c r="L4938" s="56"/>
      <c r="M4938" s="56"/>
      <c r="N4938" s="56"/>
      <c r="O4938" s="56"/>
    </row>
    <row r="4939" spans="1:15">
      <c r="A4939" s="536" t="s">
        <v>8</v>
      </c>
      <c r="B4939" s="537" t="str">
        <f>VLOOKUP(A4939,'Materiales '!$C$2:$F$1302,3,0)</f>
        <v>-</v>
      </c>
      <c r="C4939" s="98" t="str">
        <f>VLOOKUP(A4939,'Materiales '!$C$2:$F$1302,3,0)</f>
        <v>-</v>
      </c>
      <c r="D4939" s="99">
        <f>VLOOKUP(A4939,'Materiales '!$C$2:$F$1302,4,0)</f>
        <v>0</v>
      </c>
      <c r="E4939" s="100"/>
      <c r="F4939" s="538">
        <f t="shared" si="290"/>
        <v>0</v>
      </c>
      <c r="G4939" s="539"/>
      <c r="H4939" s="121"/>
      <c r="I4939">
        <f>E4939*G4920</f>
        <v>0</v>
      </c>
      <c r="J4939" s="68"/>
      <c r="K4939" s="56"/>
      <c r="L4939" s="56"/>
      <c r="M4939" s="56"/>
      <c r="N4939" s="56"/>
      <c r="O4939" s="56"/>
    </row>
    <row r="4940" spans="1:15">
      <c r="A4940" s="536" t="s">
        <v>8</v>
      </c>
      <c r="B4940" s="537" t="str">
        <f>VLOOKUP(A4940,'Materiales '!$C$2:$F$1302,3,0)</f>
        <v>-</v>
      </c>
      <c r="C4940" s="98" t="str">
        <f>VLOOKUP(A4940,'Materiales '!$C$2:$F$1302,3,0)</f>
        <v>-</v>
      </c>
      <c r="D4940" s="99">
        <f>VLOOKUP(A4940,'Materiales '!$C$2:$F$1302,4,0)</f>
        <v>0</v>
      </c>
      <c r="E4940" s="100"/>
      <c r="F4940" s="538">
        <f t="shared" si="290"/>
        <v>0</v>
      </c>
      <c r="G4940" s="539"/>
      <c r="H4940" s="121"/>
      <c r="I4940">
        <f>E4940*G4920</f>
        <v>0</v>
      </c>
      <c r="J4940" s="68"/>
      <c r="K4940" s="56"/>
      <c r="L4940" s="56"/>
      <c r="M4940" s="56"/>
      <c r="N4940" s="56"/>
      <c r="O4940" s="56"/>
    </row>
    <row r="4941" spans="1:15">
      <c r="A4941" s="536" t="s">
        <v>8</v>
      </c>
      <c r="B4941" s="537" t="str">
        <f>VLOOKUP(A4941,'Materiales '!$C$2:$F$1302,3,0)</f>
        <v>-</v>
      </c>
      <c r="C4941" s="98" t="str">
        <f>VLOOKUP(A4941,'Materiales '!$C$2:$F$1302,3,0)</f>
        <v>-</v>
      </c>
      <c r="D4941" s="99">
        <f>VLOOKUP(A4941,'Materiales '!$C$2:$F$1302,4,0)</f>
        <v>0</v>
      </c>
      <c r="E4941" s="100"/>
      <c r="F4941" s="538">
        <f t="shared" si="290"/>
        <v>0</v>
      </c>
      <c r="G4941" s="539"/>
      <c r="H4941" s="121"/>
      <c r="I4941">
        <f>E4941*G4920</f>
        <v>0</v>
      </c>
      <c r="J4941" s="68"/>
      <c r="K4941" s="56"/>
      <c r="L4941" s="56"/>
      <c r="M4941" s="56"/>
      <c r="N4941" s="56"/>
      <c r="O4941" s="56"/>
    </row>
    <row r="4942" spans="1:15">
      <c r="A4942" s="536" t="s">
        <v>8</v>
      </c>
      <c r="B4942" s="537" t="str">
        <f>VLOOKUP(A4942,'Materiales '!$C$2:$F$1302,3,0)</f>
        <v>-</v>
      </c>
      <c r="C4942" s="98" t="str">
        <f>VLOOKUP(A4942,'Materiales '!$C$2:$F$1302,3,0)</f>
        <v>-</v>
      </c>
      <c r="D4942" s="99">
        <f>VLOOKUP(A4942,'Materiales '!$C$2:$F$1302,4,0)</f>
        <v>0</v>
      </c>
      <c r="E4942" s="100"/>
      <c r="F4942" s="538">
        <f>E4942*D4942</f>
        <v>0</v>
      </c>
      <c r="G4942" s="539"/>
      <c r="H4942" s="120"/>
      <c r="I4942">
        <f>E4942*G4920</f>
        <v>0</v>
      </c>
      <c r="J4942" s="68"/>
      <c r="K4942" s="56"/>
      <c r="L4942" s="56"/>
      <c r="M4942" s="56"/>
      <c r="N4942" s="56"/>
      <c r="O4942" s="56"/>
    </row>
    <row r="4943" spans="1:15" ht="16.5">
      <c r="A4943" s="540" t="s">
        <v>4099</v>
      </c>
      <c r="B4943" s="541"/>
      <c r="C4943" s="541"/>
      <c r="D4943" s="541"/>
      <c r="E4943" s="541"/>
      <c r="F4943" s="541"/>
      <c r="G4943" s="542"/>
      <c r="H4943" s="116">
        <f>SUM(F4929:F4942)</f>
        <v>1476290.2</v>
      </c>
      <c r="J4943" s="68"/>
      <c r="K4943" s="56"/>
      <c r="L4943" s="56"/>
      <c r="M4943" s="56"/>
      <c r="N4943" s="56"/>
      <c r="O4943" s="56"/>
    </row>
    <row r="4944" spans="1:15" ht="16.5">
      <c r="A4944" s="543" t="s">
        <v>4231</v>
      </c>
      <c r="B4944" s="544"/>
      <c r="C4944" s="544"/>
      <c r="D4944" s="544"/>
      <c r="E4944" s="545"/>
      <c r="F4944" s="544"/>
      <c r="G4944" s="544"/>
      <c r="H4944" s="546"/>
      <c r="J4944" s="68"/>
      <c r="K4944" s="56"/>
      <c r="L4944" s="56"/>
      <c r="M4944" s="56"/>
      <c r="N4944" s="56"/>
      <c r="O4944" s="56"/>
    </row>
    <row r="4945" spans="1:15">
      <c r="A4945" s="547" t="s">
        <v>7</v>
      </c>
      <c r="B4945" s="548"/>
      <c r="C4945" s="108" t="s">
        <v>4232</v>
      </c>
      <c r="D4945" s="107" t="s">
        <v>4233</v>
      </c>
      <c r="E4945" s="206" t="s">
        <v>4234</v>
      </c>
      <c r="F4945" s="549" t="s">
        <v>4218</v>
      </c>
      <c r="G4945" s="549"/>
      <c r="H4945" s="119"/>
      <c r="K4945" s="56"/>
      <c r="L4945" s="56"/>
      <c r="M4945" s="56"/>
      <c r="N4945" s="56"/>
      <c r="O4945" s="56"/>
    </row>
    <row r="4946" spans="1:15">
      <c r="A4946" s="550" t="s">
        <v>3928</v>
      </c>
      <c r="B4946" s="551"/>
      <c r="C4946" s="232">
        <v>1</v>
      </c>
      <c r="D4946" s="102">
        <v>0.03</v>
      </c>
      <c r="E4946" s="103">
        <f>VLOOKUP(A4946,'Equip, Herr y Transp'!$B$2:$D$218,3,0)</f>
        <v>160000</v>
      </c>
      <c r="F4946" s="552">
        <f>E4946*D4946*C4946</f>
        <v>4800</v>
      </c>
      <c r="G4946" s="553"/>
      <c r="H4946" s="117"/>
      <c r="M4946" s="56"/>
    </row>
    <row r="4947" spans="1:15" ht="16.5">
      <c r="A4947" s="554" t="s">
        <v>4216</v>
      </c>
      <c r="B4947" s="555"/>
      <c r="C4947" s="555"/>
      <c r="D4947" s="555"/>
      <c r="E4947" s="555"/>
      <c r="F4947" s="555"/>
      <c r="G4947" s="555"/>
      <c r="H4947" s="105">
        <f>F4946</f>
        <v>4800</v>
      </c>
    </row>
    <row r="4948" spans="1:15" ht="16.5">
      <c r="A4948" s="543" t="s">
        <v>4235</v>
      </c>
      <c r="B4948" s="544"/>
      <c r="C4948" s="544"/>
      <c r="D4948" s="544"/>
      <c r="E4948" s="544"/>
      <c r="F4948" s="544"/>
      <c r="G4948" s="544"/>
      <c r="H4948" s="546"/>
    </row>
    <row r="4949" spans="1:15">
      <c r="A4949" s="547" t="s">
        <v>7</v>
      </c>
      <c r="B4949" s="548"/>
      <c r="C4949" s="106" t="s">
        <v>1</v>
      </c>
      <c r="D4949" s="107" t="s">
        <v>4236</v>
      </c>
      <c r="E4949" s="108" t="s">
        <v>4215</v>
      </c>
      <c r="F4949" s="547" t="s">
        <v>5</v>
      </c>
      <c r="G4949" s="556"/>
      <c r="H4949" s="119"/>
    </row>
    <row r="4950" spans="1:15">
      <c r="A4950" s="550" t="s">
        <v>4196</v>
      </c>
      <c r="B4950" s="551"/>
      <c r="C4950" s="101">
        <v>1</v>
      </c>
      <c r="D4950" s="104">
        <f>VLOOKUP(A4950,'Mano Obra'!$B$2:$T$117,19,0)</f>
        <v>166624</v>
      </c>
      <c r="E4950" s="246">
        <f>H4913</f>
        <v>0.1875</v>
      </c>
      <c r="F4950" s="538">
        <f>E4950*D4950*C4950</f>
        <v>31242</v>
      </c>
      <c r="G4950" s="557"/>
      <c r="H4950" s="121"/>
      <c r="I4950" s="69"/>
      <c r="J4950" s="136">
        <f>((('Mano Obra'!$M$4/30)*F4950)/D4950)*G4920</f>
        <v>0</v>
      </c>
    </row>
    <row r="4951" spans="1:15">
      <c r="A4951" s="558" t="s">
        <v>4197</v>
      </c>
      <c r="B4951" s="559">
        <f>VLOOKUP(A4951,'Mano Obra'!$B$3:$D$290,2,0)</f>
        <v>2090000.0000000002</v>
      </c>
      <c r="C4951" s="101">
        <v>1</v>
      </c>
      <c r="D4951" s="104">
        <f>VLOOKUP(A4951,'Mano Obra'!$B$2:$T$117,19,0)</f>
        <v>120456</v>
      </c>
      <c r="E4951" s="246">
        <f>H4913</f>
        <v>0.1875</v>
      </c>
      <c r="F4951" s="538">
        <f t="shared" ref="F4951:F4952" si="291">E4951*D4951*C4951</f>
        <v>22585.5</v>
      </c>
      <c r="G4951" s="557"/>
      <c r="H4951" s="121"/>
      <c r="J4951" s="136">
        <f>((('Mano Obra'!$M$5/30)*F4951)/D4951)*G4920</f>
        <v>0</v>
      </c>
    </row>
    <row r="4952" spans="1:15">
      <c r="A4952" s="558" t="s">
        <v>4186</v>
      </c>
      <c r="B4952" s="559">
        <f>VLOOKUP(A4952,'Mano Obra'!$B$3:$D$290,2,0)</f>
        <v>1100000</v>
      </c>
      <c r="C4952" s="101">
        <v>1</v>
      </c>
      <c r="D4952" s="104">
        <f>VLOOKUP(A4952,'Mano Obra'!$B$2:$T$117,19,0)</f>
        <v>72664</v>
      </c>
      <c r="E4952" s="246">
        <f>H4913</f>
        <v>0.1875</v>
      </c>
      <c r="F4952" s="538">
        <f t="shared" si="291"/>
        <v>13624.5</v>
      </c>
      <c r="G4952" s="557"/>
      <c r="H4952" s="120"/>
      <c r="J4952" s="136">
        <f>((('Mano Obra'!$M$6/30)*F4952)/D4952)*G4920</f>
        <v>0</v>
      </c>
    </row>
    <row r="4953" spans="1:15" ht="16.5">
      <c r="A4953" s="560" t="s">
        <v>4101</v>
      </c>
      <c r="B4953" s="560"/>
      <c r="C4953" s="560"/>
      <c r="D4953" s="560"/>
      <c r="E4953" s="560"/>
      <c r="F4953" s="560"/>
      <c r="G4953" s="560"/>
      <c r="H4953" s="105">
        <f>SUM(F4950:F4952)</f>
        <v>67452</v>
      </c>
      <c r="J4953" s="136"/>
    </row>
    <row r="4954" spans="1:15">
      <c r="A4954" s="227" t="s">
        <v>4237</v>
      </c>
      <c r="B4954" s="205"/>
      <c r="C4954" s="205"/>
      <c r="D4954" s="202"/>
      <c r="E4954" s="203"/>
      <c r="F4954" s="204"/>
      <c r="G4954" s="203"/>
      <c r="H4954" s="212"/>
    </row>
    <row r="4955" spans="1:15">
      <c r="A4955" s="561" t="s">
        <v>4224</v>
      </c>
      <c r="B4955" s="562"/>
      <c r="C4955" s="562"/>
      <c r="D4955" s="562"/>
      <c r="E4955" s="200"/>
      <c r="F4955" s="201" t="s">
        <v>4238</v>
      </c>
      <c r="G4955" s="200" t="s">
        <v>4239</v>
      </c>
      <c r="H4955" s="213"/>
    </row>
    <row r="4956" spans="1:15">
      <c r="A4956" s="223" t="s">
        <v>4097</v>
      </c>
      <c r="B4956" s="72"/>
      <c r="C4956" s="72"/>
      <c r="D4956" s="73"/>
      <c r="E4956" s="78"/>
      <c r="F4956" s="79">
        <v>0</v>
      </c>
      <c r="G4956" s="80">
        <f>F4956*H4921</f>
        <v>0</v>
      </c>
      <c r="H4956" s="212"/>
    </row>
    <row r="4957" spans="1:15">
      <c r="A4957" s="224" t="s">
        <v>4240</v>
      </c>
      <c r="B4957" s="81"/>
      <c r="C4957" s="81"/>
      <c r="D4957" s="82"/>
      <c r="E4957" s="78"/>
      <c r="F4957" s="79">
        <v>0</v>
      </c>
      <c r="G4957" s="80">
        <f>F4957*H4921</f>
        <v>0</v>
      </c>
      <c r="H4957" s="212"/>
    </row>
    <row r="4958" spans="1:15">
      <c r="A4958" s="224" t="s">
        <v>4</v>
      </c>
      <c r="B4958" s="81"/>
      <c r="C4958" s="81"/>
      <c r="D4958" s="82"/>
      <c r="E4958" s="78"/>
      <c r="F4958" s="79">
        <v>0</v>
      </c>
      <c r="G4958" s="80">
        <f>F4958*H4921</f>
        <v>0</v>
      </c>
      <c r="H4958" s="212"/>
    </row>
    <row r="4959" spans="1:15">
      <c r="A4959" s="225"/>
      <c r="B4959" s="83"/>
      <c r="C4959" s="75"/>
      <c r="D4959" s="84"/>
      <c r="E4959" s="85"/>
      <c r="F4959" s="86"/>
      <c r="G4959" s="87"/>
      <c r="H4959" s="214"/>
    </row>
    <row r="4960" spans="1:15">
      <c r="A4960" s="226"/>
      <c r="B4960" s="83"/>
      <c r="C4960" s="83"/>
      <c r="D4960" s="84"/>
      <c r="E4960" s="88"/>
      <c r="F4960" s="563" t="s">
        <v>4241</v>
      </c>
      <c r="G4960" s="564"/>
      <c r="H4960" s="233">
        <f>H4921+G4956+G4957+G4958</f>
        <v>1731191.575</v>
      </c>
    </row>
    <row r="4961" spans="1:14">
      <c r="A4961" s="83"/>
      <c r="B4961" s="83"/>
      <c r="C4961" s="83"/>
      <c r="D4961" s="84"/>
      <c r="E4961" s="388"/>
      <c r="F4961" s="389"/>
      <c r="G4961" s="389"/>
      <c r="H4961" s="390"/>
    </row>
    <row r="4962" spans="1:14" ht="16.5">
      <c r="A4962" s="90"/>
      <c r="B4962" s="90"/>
      <c r="C4962" s="90"/>
      <c r="D4962" s="90"/>
      <c r="E4962" s="90"/>
      <c r="F4962" s="90"/>
      <c r="G4962" s="90"/>
      <c r="H4962" s="381"/>
    </row>
    <row r="4963" spans="1:14">
      <c r="A4963" s="579" t="s">
        <v>4225</v>
      </c>
      <c r="B4963" s="580"/>
      <c r="C4963" s="580"/>
      <c r="D4963" s="580"/>
      <c r="E4963" s="580"/>
      <c r="F4963" s="580"/>
      <c r="G4963" s="580"/>
      <c r="H4963" s="581"/>
    </row>
    <row r="4964" spans="1:14" ht="16.5">
      <c r="A4964" s="91"/>
      <c r="B4964" s="92"/>
      <c r="C4964" s="92"/>
      <c r="D4964" s="92"/>
      <c r="E4964" s="92"/>
      <c r="F4964" s="93"/>
      <c r="G4964" s="94"/>
      <c r="H4964" s="380">
        <f>ROUND((90/60)/8,4)</f>
        <v>0.1875</v>
      </c>
      <c r="I4964" s="115"/>
    </row>
    <row r="4965" spans="1:14">
      <c r="A4965" s="582" t="s">
        <v>4220</v>
      </c>
      <c r="B4965" s="584" t="str">
        <f>COSTOS!$C$14</f>
        <v>MODERNIZACION A TECNOLOGIA LED</v>
      </c>
      <c r="C4965" s="584"/>
      <c r="D4965" s="584"/>
      <c r="E4965" s="584"/>
      <c r="F4965" s="584"/>
      <c r="G4965" s="584"/>
      <c r="H4965" s="585" t="s">
        <v>4221</v>
      </c>
    </row>
    <row r="4966" spans="1:14">
      <c r="A4966" s="583"/>
      <c r="B4966" s="584"/>
      <c r="C4966" s="584"/>
      <c r="D4966" s="584"/>
      <c r="E4966" s="584"/>
      <c r="F4966" s="584"/>
      <c r="G4966" s="584"/>
      <c r="H4966" s="585"/>
    </row>
    <row r="4967" spans="1:14">
      <c r="A4967" s="583"/>
      <c r="B4967" s="584"/>
      <c r="C4967" s="584"/>
      <c r="D4967" s="584"/>
      <c r="E4967" s="584"/>
      <c r="F4967" s="584"/>
      <c r="G4967" s="584"/>
      <c r="H4967" s="585"/>
    </row>
    <row r="4968" spans="1:14" ht="15" customHeight="1">
      <c r="A4968" s="583"/>
      <c r="B4968" s="584"/>
      <c r="C4968" s="584"/>
      <c r="D4968" s="584"/>
      <c r="E4968" s="584"/>
      <c r="F4968" s="584"/>
      <c r="G4968" s="584"/>
      <c r="H4968" s="216">
        <f ca="1">TODAY()</f>
        <v>44889</v>
      </c>
      <c r="K4968" t="s">
        <v>4391</v>
      </c>
      <c r="L4968" t="s">
        <v>4392</v>
      </c>
      <c r="M4968" t="s">
        <v>4393</v>
      </c>
      <c r="N4968" t="s">
        <v>4394</v>
      </c>
    </row>
    <row r="4969" spans="1:14" ht="60.75" customHeight="1">
      <c r="A4969" s="228" t="s">
        <v>4222</v>
      </c>
      <c r="B4969" s="565" t="str">
        <f>COSTOS!$D$16</f>
        <v>Luminarias</v>
      </c>
      <c r="C4969" s="565"/>
      <c r="D4969" s="565"/>
      <c r="E4969" s="565"/>
      <c r="F4969" s="565"/>
      <c r="G4969" s="70" t="s">
        <v>4223</v>
      </c>
      <c r="H4969" s="391">
        <v>2.14</v>
      </c>
      <c r="K4969" s="62">
        <f>H4994</f>
        <v>956617.20000000007</v>
      </c>
      <c r="L4969" s="62">
        <f>H5004</f>
        <v>67452</v>
      </c>
      <c r="M4969" s="62">
        <f>H4977</f>
        <v>182649.375</v>
      </c>
      <c r="N4969" s="62">
        <f>H4998</f>
        <v>4800</v>
      </c>
    </row>
    <row r="4970" spans="1:14" ht="43.15" customHeight="1">
      <c r="A4970" s="229" t="s">
        <v>4224</v>
      </c>
      <c r="B4970" s="566" t="str">
        <f>VLOOKUP(H4969,COSTOS!C:M,2,0)</f>
        <v>Poste de concreto 12 metros x 510kg.f</v>
      </c>
      <c r="C4970" s="567"/>
      <c r="D4970" s="567"/>
      <c r="E4970" s="568"/>
      <c r="F4970" s="71" t="s">
        <v>0</v>
      </c>
      <c r="G4970" s="356" t="str">
        <f>VLOOKUP(H4969,COSTOS!C:M,8,0)</f>
        <v>Und</v>
      </c>
      <c r="H4970" s="276"/>
      <c r="I4970" s="306"/>
      <c r="J4970" s="308"/>
      <c r="K4970" s="308"/>
      <c r="L4970" s="308"/>
    </row>
    <row r="4971" spans="1:14">
      <c r="A4971" s="230"/>
      <c r="B4971" s="112"/>
      <c r="C4971" s="112"/>
      <c r="D4971" s="112"/>
      <c r="E4971" s="113"/>
      <c r="F4971" s="114" t="s">
        <v>1</v>
      </c>
      <c r="G4971" s="356">
        <f>VLOOKUP(H4969,COSTOS!C:M,9,0)</f>
        <v>0</v>
      </c>
      <c r="H4971" s="357"/>
      <c r="I4971" s="307"/>
    </row>
    <row r="4972" spans="1:14" ht="16.5">
      <c r="A4972" s="231" t="s">
        <v>4226</v>
      </c>
      <c r="B4972" s="75"/>
      <c r="C4972" s="75"/>
      <c r="D4972" s="76"/>
      <c r="E4972" s="209"/>
      <c r="F4972" s="210"/>
      <c r="G4972" s="211" t="s">
        <v>4227</v>
      </c>
      <c r="H4972" s="217">
        <f>H4977+H4994+H4998+H5004</f>
        <v>1211518.5750000002</v>
      </c>
    </row>
    <row r="4973" spans="1:14" ht="39">
      <c r="A4973" s="569" t="s">
        <v>4224</v>
      </c>
      <c r="B4973" s="569"/>
      <c r="C4973" s="569"/>
      <c r="D4973" s="77" t="s">
        <v>0</v>
      </c>
      <c r="E4973" s="207" t="s">
        <v>4228</v>
      </c>
      <c r="F4973" s="208" t="s">
        <v>4215</v>
      </c>
      <c r="G4973" s="74" t="s">
        <v>2</v>
      </c>
      <c r="H4973" s="218" t="s">
        <v>4229</v>
      </c>
      <c r="K4973" s="309"/>
    </row>
    <row r="4974" spans="1:14">
      <c r="A4974" s="536" t="s">
        <v>3946</v>
      </c>
      <c r="B4974" s="570" t="str">
        <f>VLOOKUP(A4974,'Equip, Herr y Transp'!$B$2:$D$739,2,0)</f>
        <v>EQU</v>
      </c>
      <c r="C4974" s="570"/>
      <c r="D4974" s="95" t="str">
        <f>VLOOKUP(A4974,'Equip, Herr y Transp'!$B$2:$D$218,2,0)</f>
        <v>EQU</v>
      </c>
      <c r="E4974" s="95">
        <f>VLOOKUP(A4974,'Equip, Herr y Transp'!$B$2:$D$218,3,0)</f>
        <v>14130</v>
      </c>
      <c r="F4974" s="96">
        <f>H4964</f>
        <v>0.1875</v>
      </c>
      <c r="G4974" s="122">
        <f>F4974*E4974</f>
        <v>2649.375</v>
      </c>
      <c r="H4974" s="118"/>
    </row>
    <row r="4975" spans="1:14">
      <c r="A4975" s="536" t="s">
        <v>3894</v>
      </c>
      <c r="B4975" s="570" t="str">
        <f>VLOOKUP(A4975,'Equip, Herr y Transp'!$B$2:$D$739,2,0)</f>
        <v>TR</v>
      </c>
      <c r="C4975" s="570"/>
      <c r="D4975" s="95" t="str">
        <f>VLOOKUP(A4975,'Equip, Herr y Transp'!$B$2:$D$218,2,0)</f>
        <v>TR</v>
      </c>
      <c r="E4975" s="95">
        <f>VLOOKUP(A4975,'Equip, Herr y Transp'!$B$2:$D$218,3,0)</f>
        <v>960000</v>
      </c>
      <c r="F4975" s="96">
        <f>H4964</f>
        <v>0.1875</v>
      </c>
      <c r="G4975" s="122">
        <f>F4975*E4975</f>
        <v>180000</v>
      </c>
      <c r="H4975" s="117"/>
    </row>
    <row r="4976" spans="1:14">
      <c r="A4976" s="536" t="s">
        <v>8</v>
      </c>
      <c r="B4976" s="570">
        <f>VLOOKUP(A4976,'Equip, Herr y Transp'!$B$2:$D$739,2,0)</f>
        <v>0</v>
      </c>
      <c r="C4976" s="570"/>
      <c r="D4976" s="95">
        <f>VLOOKUP(A4976,'Equip, Herr y Transp'!$B$2:$D$218,2,0)</f>
        <v>0</v>
      </c>
      <c r="E4976" s="95">
        <f>VLOOKUP(A4976,'Equip, Herr y Transp'!$B$2:$D$218,3,0)</f>
        <v>0</v>
      </c>
      <c r="F4976" s="96"/>
      <c r="G4976" s="122">
        <f>F4976*E4976</f>
        <v>0</v>
      </c>
      <c r="H4976" s="117"/>
    </row>
    <row r="4977" spans="1:15" ht="16.5">
      <c r="A4977" s="540" t="s">
        <v>4100</v>
      </c>
      <c r="B4977" s="541"/>
      <c r="C4977" s="541"/>
      <c r="D4977" s="541"/>
      <c r="E4977" s="541"/>
      <c r="F4977" s="541"/>
      <c r="G4977" s="541"/>
      <c r="H4977" s="97">
        <f>SUM(G4974:G4976)</f>
        <v>182649.375</v>
      </c>
    </row>
    <row r="4978" spans="1:15" ht="16.5">
      <c r="A4978" s="571" t="s">
        <v>4230</v>
      </c>
      <c r="B4978" s="572"/>
      <c r="C4978" s="572"/>
      <c r="D4978" s="572"/>
      <c r="E4978" s="572"/>
      <c r="F4978" s="572"/>
      <c r="G4978" s="572"/>
      <c r="H4978" s="573"/>
      <c r="K4978" s="56"/>
      <c r="L4978" s="56"/>
      <c r="M4978" s="56"/>
      <c r="N4978" s="56"/>
      <c r="O4978" s="56"/>
    </row>
    <row r="4979" spans="1:15" ht="30" customHeight="1">
      <c r="A4979" s="574" t="s">
        <v>7</v>
      </c>
      <c r="B4979" s="575"/>
      <c r="C4979" s="109" t="s">
        <v>0</v>
      </c>
      <c r="D4979" s="110" t="s">
        <v>4098</v>
      </c>
      <c r="E4979" s="111" t="s">
        <v>1</v>
      </c>
      <c r="F4979" s="576" t="s">
        <v>4218</v>
      </c>
      <c r="G4979" s="576"/>
      <c r="H4979" s="215"/>
      <c r="K4979" s="56"/>
      <c r="L4979" s="56"/>
      <c r="M4979" s="56"/>
      <c r="N4979" s="56"/>
      <c r="O4979" s="56"/>
    </row>
    <row r="4980" spans="1:15">
      <c r="A4980" s="577" t="s">
        <v>4750</v>
      </c>
      <c r="B4980" s="578"/>
      <c r="C4980" s="98" t="str">
        <f>VLOOKUP(A4980,'Materiales '!$C$2:$F$1302,3,0)</f>
        <v>Und</v>
      </c>
      <c r="D4980" s="99">
        <f>VLOOKUP(A4980,'Materiales '!$C$2:$F$1302,4,0)</f>
        <v>887502.00000000012</v>
      </c>
      <c r="E4980" s="100">
        <v>1</v>
      </c>
      <c r="F4980" s="538">
        <f>E4980*D4980</f>
        <v>887502.00000000012</v>
      </c>
      <c r="G4980" s="539"/>
      <c r="H4980" s="121"/>
      <c r="I4980">
        <f>E4980*G4971</f>
        <v>0</v>
      </c>
      <c r="J4980" s="67"/>
      <c r="K4980" s="56"/>
      <c r="L4980" s="56"/>
      <c r="M4980" s="56"/>
      <c r="N4980" s="56"/>
      <c r="O4980" s="56"/>
    </row>
    <row r="4981" spans="1:15">
      <c r="A4981" s="577" t="s">
        <v>4628</v>
      </c>
      <c r="B4981" s="578"/>
      <c r="C4981" s="98" t="str">
        <f>VLOOKUP(A4981,'Materiales '!$C$2:$F$1302,3,0)</f>
        <v>Rollo</v>
      </c>
      <c r="D4981" s="99">
        <f>VLOOKUP(A4981,'Materiales '!$C$2:$F$1302,4,0)</f>
        <v>138230.39999999999</v>
      </c>
      <c r="E4981" s="100">
        <v>0.5</v>
      </c>
      <c r="F4981" s="538">
        <f t="shared" ref="F4981:F4987" si="292">E4981*D4981</f>
        <v>69115.199999999997</v>
      </c>
      <c r="G4981" s="539"/>
      <c r="H4981" s="121"/>
      <c r="I4981">
        <f>E4981*G4971</f>
        <v>0</v>
      </c>
      <c r="J4981" s="67"/>
      <c r="K4981" s="56"/>
      <c r="L4981" s="56"/>
      <c r="M4981" s="56"/>
      <c r="N4981" s="56"/>
      <c r="O4981" s="56"/>
    </row>
    <row r="4982" spans="1:15">
      <c r="A4982" s="536" t="s">
        <v>8</v>
      </c>
      <c r="B4982" s="537" t="str">
        <f>VLOOKUP(A4982,'Materiales '!$C$2:$F$1302,3,0)</f>
        <v>-</v>
      </c>
      <c r="C4982" s="98" t="str">
        <f>VLOOKUP(A4982,'Materiales '!$C$2:$F$1302,3,0)</f>
        <v>-</v>
      </c>
      <c r="D4982" s="99">
        <f>VLOOKUP(A4982,'Materiales '!$C$2:$F$1302,4,0)</f>
        <v>0</v>
      </c>
      <c r="E4982" s="100">
        <v>1</v>
      </c>
      <c r="F4982" s="538">
        <f t="shared" si="292"/>
        <v>0</v>
      </c>
      <c r="G4982" s="539"/>
      <c r="H4982" s="121"/>
      <c r="I4982">
        <f>E4982*G4971</f>
        <v>0</v>
      </c>
      <c r="J4982" s="68"/>
      <c r="K4982" s="56"/>
      <c r="L4982" s="56"/>
      <c r="M4982" s="56"/>
      <c r="N4982" s="56"/>
      <c r="O4982" s="56"/>
    </row>
    <row r="4983" spans="1:15">
      <c r="A4983" s="536" t="s">
        <v>8</v>
      </c>
      <c r="B4983" s="537" t="str">
        <f>VLOOKUP(A4983,'Materiales '!$C$2:$F$1302,3,0)</f>
        <v>-</v>
      </c>
      <c r="C4983" s="98" t="str">
        <f>VLOOKUP(A4983,'Materiales '!$C$2:$F$1302,3,0)</f>
        <v>-</v>
      </c>
      <c r="D4983" s="99">
        <f>VLOOKUP(A4983,'Materiales '!$C$2:$F$1302,4,0)</f>
        <v>0</v>
      </c>
      <c r="E4983" s="100">
        <v>3</v>
      </c>
      <c r="F4983" s="538">
        <f t="shared" si="292"/>
        <v>0</v>
      </c>
      <c r="G4983" s="539"/>
      <c r="H4983" s="121"/>
      <c r="I4983">
        <f>E4983*G4971</f>
        <v>0</v>
      </c>
      <c r="J4983" s="68"/>
      <c r="K4983" s="56"/>
      <c r="L4983" s="56"/>
      <c r="M4983" s="56"/>
      <c r="N4983" s="56"/>
      <c r="O4983" s="56"/>
    </row>
    <row r="4984" spans="1:15">
      <c r="A4984" s="536" t="s">
        <v>8</v>
      </c>
      <c r="B4984" s="537" t="str">
        <f>VLOOKUP(A4984,'Materiales '!$C$2:$F$1302,3,0)</f>
        <v>-</v>
      </c>
      <c r="C4984" s="98" t="str">
        <f>VLOOKUP(A4984,'Materiales '!$C$2:$F$1302,3,0)</f>
        <v>-</v>
      </c>
      <c r="D4984" s="99">
        <f>VLOOKUP(A4984,'Materiales '!$C$2:$F$1302,4,0)</f>
        <v>0</v>
      </c>
      <c r="E4984" s="100">
        <v>2</v>
      </c>
      <c r="F4984" s="538">
        <f t="shared" si="292"/>
        <v>0</v>
      </c>
      <c r="G4984" s="539"/>
      <c r="H4984" s="121"/>
      <c r="I4984">
        <f>E4984*G4971</f>
        <v>0</v>
      </c>
      <c r="J4984" s="68"/>
      <c r="K4984" s="56"/>
      <c r="L4984" s="56"/>
      <c r="M4984" s="56"/>
      <c r="N4984" s="56"/>
      <c r="O4984" s="56"/>
    </row>
    <row r="4985" spans="1:15">
      <c r="A4985" s="536" t="s">
        <v>8</v>
      </c>
      <c r="B4985" s="537" t="str">
        <f>VLOOKUP(A4985,'Materiales '!$C$2:$F$1302,3,0)</f>
        <v>-</v>
      </c>
      <c r="C4985" s="98" t="str">
        <f>VLOOKUP(A4985,'Materiales '!$C$2:$F$1302,3,0)</f>
        <v>-</v>
      </c>
      <c r="D4985" s="99">
        <f>VLOOKUP(A4985,'Materiales '!$C$2:$F$1302,4,0)</f>
        <v>0</v>
      </c>
      <c r="E4985" s="100">
        <v>8</v>
      </c>
      <c r="F4985" s="538">
        <f t="shared" si="292"/>
        <v>0</v>
      </c>
      <c r="G4985" s="539"/>
      <c r="H4985" s="121"/>
      <c r="I4985">
        <f>E4985*G4971</f>
        <v>0</v>
      </c>
      <c r="J4985" s="68"/>
      <c r="K4985" s="56"/>
      <c r="L4985" s="56"/>
      <c r="M4985" s="56"/>
      <c r="N4985" s="56"/>
      <c r="O4985" s="56"/>
    </row>
    <row r="4986" spans="1:15">
      <c r="A4986" s="536" t="s">
        <v>8</v>
      </c>
      <c r="B4986" s="537" t="str">
        <f>VLOOKUP(A4986,'Materiales '!$C$2:$F$1302,3,0)</f>
        <v>-</v>
      </c>
      <c r="C4986" s="98" t="str">
        <f>VLOOKUP(A4986,'Materiales '!$C$2:$F$1302,3,0)</f>
        <v>-</v>
      </c>
      <c r="D4986" s="99">
        <f>VLOOKUP(A4986,'Materiales '!$C$2:$F$1302,4,0)</f>
        <v>0</v>
      </c>
      <c r="E4986" s="100">
        <v>3</v>
      </c>
      <c r="F4986" s="538">
        <f t="shared" si="292"/>
        <v>0</v>
      </c>
      <c r="G4986" s="539"/>
      <c r="H4986" s="121"/>
      <c r="I4986">
        <f>E4986*G4971</f>
        <v>0</v>
      </c>
      <c r="J4986" s="68"/>
      <c r="K4986" s="56"/>
      <c r="L4986" s="56"/>
      <c r="M4986" s="56"/>
      <c r="N4986" s="56"/>
      <c r="O4986" s="56"/>
    </row>
    <row r="4987" spans="1:15" ht="21.75" customHeight="1">
      <c r="A4987" s="536" t="s">
        <v>8</v>
      </c>
      <c r="B4987" s="537" t="str">
        <f>VLOOKUP(A4987,'Materiales '!$C$2:$F$1302,3,0)</f>
        <v>-</v>
      </c>
      <c r="C4987" s="98" t="str">
        <f>VLOOKUP(A4987,'Materiales '!$C$2:$F$1302,3,0)</f>
        <v>-</v>
      </c>
      <c r="D4987" s="99">
        <f>VLOOKUP(A4987,'Materiales '!$C$2:$F$1302,4,0)</f>
        <v>0</v>
      </c>
      <c r="E4987" s="100">
        <v>0.5</v>
      </c>
      <c r="F4987" s="538">
        <f t="shared" si="292"/>
        <v>0</v>
      </c>
      <c r="G4987" s="539"/>
      <c r="H4987" s="121"/>
      <c r="I4987">
        <f>E4987*G4971</f>
        <v>0</v>
      </c>
      <c r="J4987" s="68"/>
      <c r="K4987" s="56"/>
      <c r="L4987" s="56"/>
      <c r="M4987" s="56"/>
      <c r="N4987" s="56"/>
      <c r="O4987" s="56"/>
    </row>
    <row r="4988" spans="1:15">
      <c r="A4988" s="536" t="s">
        <v>8</v>
      </c>
      <c r="B4988" s="537" t="str">
        <f>VLOOKUP(A4988,'Materiales '!$C$2:$F$1302,3,0)</f>
        <v>-</v>
      </c>
      <c r="C4988" s="98" t="str">
        <f>VLOOKUP(A4988,'Materiales '!$C$2:$F$1302,3,0)</f>
        <v>-</v>
      </c>
      <c r="D4988" s="99">
        <f>VLOOKUP(A4988,'Materiales '!$C$2:$F$1302,4,0)</f>
        <v>0</v>
      </c>
      <c r="E4988" s="100"/>
      <c r="F4988" s="538">
        <f>E4988*D4988</f>
        <v>0</v>
      </c>
      <c r="G4988" s="539"/>
      <c r="H4988" s="120"/>
      <c r="I4988">
        <f>E4988*G4971</f>
        <v>0</v>
      </c>
      <c r="J4988" s="68"/>
      <c r="K4988" s="56"/>
      <c r="L4988" s="56"/>
      <c r="M4988" s="56"/>
      <c r="N4988" s="56"/>
      <c r="O4988" s="56"/>
    </row>
    <row r="4989" spans="1:15">
      <c r="A4989" s="536" t="s">
        <v>8</v>
      </c>
      <c r="B4989" s="537" t="str">
        <f>VLOOKUP(A4989,'Materiales '!$C$2:$F$1302,3,0)</f>
        <v>-</v>
      </c>
      <c r="C4989" s="98" t="str">
        <f>VLOOKUP(A4989,'Materiales '!$C$2:$F$1302,3,0)</f>
        <v>-</v>
      </c>
      <c r="D4989" s="99">
        <f>VLOOKUP(A4989,'Materiales '!$C$2:$F$1302,4,0)</f>
        <v>0</v>
      </c>
      <c r="E4989" s="100"/>
      <c r="F4989" s="538">
        <f t="shared" ref="F4989:F4992" si="293">E4989*D4989</f>
        <v>0</v>
      </c>
      <c r="G4989" s="539"/>
      <c r="H4989" s="121"/>
      <c r="I4989">
        <f>E4989*G4971</f>
        <v>0</v>
      </c>
      <c r="J4989" s="68"/>
      <c r="K4989" s="56"/>
      <c r="L4989" s="56"/>
      <c r="M4989" s="56"/>
      <c r="N4989" s="56"/>
      <c r="O4989" s="56"/>
    </row>
    <row r="4990" spans="1:15">
      <c r="A4990" s="536" t="s">
        <v>8</v>
      </c>
      <c r="B4990" s="537" t="str">
        <f>VLOOKUP(A4990,'Materiales '!$C$2:$F$1302,3,0)</f>
        <v>-</v>
      </c>
      <c r="C4990" s="98" t="str">
        <f>VLOOKUP(A4990,'Materiales '!$C$2:$F$1302,3,0)</f>
        <v>-</v>
      </c>
      <c r="D4990" s="99">
        <f>VLOOKUP(A4990,'Materiales '!$C$2:$F$1302,4,0)</f>
        <v>0</v>
      </c>
      <c r="E4990" s="100"/>
      <c r="F4990" s="538">
        <f t="shared" si="293"/>
        <v>0</v>
      </c>
      <c r="G4990" s="539"/>
      <c r="H4990" s="121"/>
      <c r="I4990">
        <f>E4990*G4971</f>
        <v>0</v>
      </c>
      <c r="J4990" s="68"/>
      <c r="K4990" s="56"/>
      <c r="L4990" s="56"/>
      <c r="M4990" s="56"/>
      <c r="N4990" s="56"/>
      <c r="O4990" s="56"/>
    </row>
    <row r="4991" spans="1:15">
      <c r="A4991" s="536" t="s">
        <v>8</v>
      </c>
      <c r="B4991" s="537" t="str">
        <f>VLOOKUP(A4991,'Materiales '!$C$2:$F$1302,3,0)</f>
        <v>-</v>
      </c>
      <c r="C4991" s="98" t="str">
        <f>VLOOKUP(A4991,'Materiales '!$C$2:$F$1302,3,0)</f>
        <v>-</v>
      </c>
      <c r="D4991" s="99">
        <f>VLOOKUP(A4991,'Materiales '!$C$2:$F$1302,4,0)</f>
        <v>0</v>
      </c>
      <c r="E4991" s="100"/>
      <c r="F4991" s="538">
        <f t="shared" si="293"/>
        <v>0</v>
      </c>
      <c r="G4991" s="539"/>
      <c r="H4991" s="121"/>
      <c r="I4991">
        <f>E4991*G4971</f>
        <v>0</v>
      </c>
      <c r="J4991" s="68"/>
      <c r="K4991" s="56"/>
      <c r="L4991" s="56"/>
      <c r="M4991" s="56"/>
      <c r="N4991" s="56"/>
      <c r="O4991" s="56"/>
    </row>
    <row r="4992" spans="1:15">
      <c r="A4992" s="536" t="s">
        <v>8</v>
      </c>
      <c r="B4992" s="537" t="str">
        <f>VLOOKUP(A4992,'Materiales '!$C$2:$F$1302,3,0)</f>
        <v>-</v>
      </c>
      <c r="C4992" s="98" t="str">
        <f>VLOOKUP(A4992,'Materiales '!$C$2:$F$1302,3,0)</f>
        <v>-</v>
      </c>
      <c r="D4992" s="99">
        <f>VLOOKUP(A4992,'Materiales '!$C$2:$F$1302,4,0)</f>
        <v>0</v>
      </c>
      <c r="E4992" s="100"/>
      <c r="F4992" s="538">
        <f t="shared" si="293"/>
        <v>0</v>
      </c>
      <c r="G4992" s="539"/>
      <c r="H4992" s="121"/>
      <c r="I4992">
        <f>E4992*G4971</f>
        <v>0</v>
      </c>
      <c r="J4992" s="68"/>
      <c r="K4992" s="56"/>
      <c r="L4992" s="56"/>
      <c r="M4992" s="56"/>
      <c r="N4992" s="56"/>
      <c r="O4992" s="56"/>
    </row>
    <row r="4993" spans="1:15">
      <c r="A4993" s="536" t="s">
        <v>8</v>
      </c>
      <c r="B4993" s="537" t="str">
        <f>VLOOKUP(A4993,'Materiales '!$C$2:$F$1302,3,0)</f>
        <v>-</v>
      </c>
      <c r="C4993" s="98" t="str">
        <f>VLOOKUP(A4993,'Materiales '!$C$2:$F$1302,3,0)</f>
        <v>-</v>
      </c>
      <c r="D4993" s="99">
        <f>VLOOKUP(A4993,'Materiales '!$C$2:$F$1302,4,0)</f>
        <v>0</v>
      </c>
      <c r="E4993" s="100"/>
      <c r="F4993" s="538">
        <f>E4993*D4993</f>
        <v>0</v>
      </c>
      <c r="G4993" s="539"/>
      <c r="H4993" s="120"/>
      <c r="I4993">
        <f>E4993*G4971</f>
        <v>0</v>
      </c>
      <c r="J4993" s="68"/>
      <c r="K4993" s="56"/>
      <c r="L4993" s="56"/>
      <c r="M4993" s="56"/>
      <c r="N4993" s="56"/>
      <c r="O4993" s="56"/>
    </row>
    <row r="4994" spans="1:15" ht="16.5">
      <c r="A4994" s="540" t="s">
        <v>4099</v>
      </c>
      <c r="B4994" s="541"/>
      <c r="C4994" s="541"/>
      <c r="D4994" s="541"/>
      <c r="E4994" s="541"/>
      <c r="F4994" s="541"/>
      <c r="G4994" s="542"/>
      <c r="H4994" s="116">
        <f>SUM(F4980:F4993)</f>
        <v>956617.20000000007</v>
      </c>
      <c r="J4994" s="68"/>
      <c r="K4994" s="56"/>
      <c r="L4994" s="56"/>
      <c r="M4994" s="56"/>
      <c r="N4994" s="56"/>
      <c r="O4994" s="56"/>
    </row>
    <row r="4995" spans="1:15" ht="16.5">
      <c r="A4995" s="543" t="s">
        <v>4231</v>
      </c>
      <c r="B4995" s="544"/>
      <c r="C4995" s="544"/>
      <c r="D4995" s="544"/>
      <c r="E4995" s="545"/>
      <c r="F4995" s="544"/>
      <c r="G4995" s="544"/>
      <c r="H4995" s="546"/>
      <c r="J4995" s="68"/>
      <c r="K4995" s="56"/>
      <c r="L4995" s="56"/>
      <c r="M4995" s="56"/>
      <c r="N4995" s="56"/>
      <c r="O4995" s="56"/>
    </row>
    <row r="4996" spans="1:15">
      <c r="A4996" s="547" t="s">
        <v>7</v>
      </c>
      <c r="B4996" s="548"/>
      <c r="C4996" s="108" t="s">
        <v>4232</v>
      </c>
      <c r="D4996" s="107" t="s">
        <v>4233</v>
      </c>
      <c r="E4996" s="206" t="s">
        <v>4234</v>
      </c>
      <c r="F4996" s="549" t="s">
        <v>4218</v>
      </c>
      <c r="G4996" s="549"/>
      <c r="H4996" s="119"/>
      <c r="K4996" s="56"/>
      <c r="L4996" s="56"/>
      <c r="M4996" s="56"/>
      <c r="N4996" s="56"/>
      <c r="O4996" s="56"/>
    </row>
    <row r="4997" spans="1:15">
      <c r="A4997" s="550" t="s">
        <v>3928</v>
      </c>
      <c r="B4997" s="551"/>
      <c r="C4997" s="232">
        <v>1</v>
      </c>
      <c r="D4997" s="102">
        <v>0.03</v>
      </c>
      <c r="E4997" s="103">
        <f>VLOOKUP(A4997,'Equip, Herr y Transp'!$B$2:$D$218,3,0)</f>
        <v>160000</v>
      </c>
      <c r="F4997" s="552">
        <f>E4997*D4997*C4997</f>
        <v>4800</v>
      </c>
      <c r="G4997" s="553"/>
      <c r="H4997" s="117"/>
      <c r="M4997" s="56"/>
    </row>
    <row r="4998" spans="1:15" ht="16.5">
      <c r="A4998" s="554" t="s">
        <v>4216</v>
      </c>
      <c r="B4998" s="555"/>
      <c r="C4998" s="555"/>
      <c r="D4998" s="555"/>
      <c r="E4998" s="555"/>
      <c r="F4998" s="555"/>
      <c r="G4998" s="555"/>
      <c r="H4998" s="105">
        <f>F4997</f>
        <v>4800</v>
      </c>
    </row>
    <row r="4999" spans="1:15" ht="16.5">
      <c r="A4999" s="543" t="s">
        <v>4235</v>
      </c>
      <c r="B4999" s="544"/>
      <c r="C4999" s="544"/>
      <c r="D4999" s="544"/>
      <c r="E4999" s="544"/>
      <c r="F4999" s="544"/>
      <c r="G4999" s="544"/>
      <c r="H4999" s="546"/>
    </row>
    <row r="5000" spans="1:15">
      <c r="A5000" s="547" t="s">
        <v>7</v>
      </c>
      <c r="B5000" s="548"/>
      <c r="C5000" s="106" t="s">
        <v>1</v>
      </c>
      <c r="D5000" s="107" t="s">
        <v>4236</v>
      </c>
      <c r="E5000" s="108" t="s">
        <v>4215</v>
      </c>
      <c r="F5000" s="547" t="s">
        <v>5</v>
      </c>
      <c r="G5000" s="556"/>
      <c r="H5000" s="119"/>
    </row>
    <row r="5001" spans="1:15">
      <c r="A5001" s="550" t="s">
        <v>4196</v>
      </c>
      <c r="B5001" s="551"/>
      <c r="C5001" s="101">
        <v>1</v>
      </c>
      <c r="D5001" s="104">
        <f>VLOOKUP(A5001,'Mano Obra'!$B$2:$T$117,19,0)</f>
        <v>166624</v>
      </c>
      <c r="E5001" s="246">
        <f>H4964</f>
        <v>0.1875</v>
      </c>
      <c r="F5001" s="538">
        <f>E5001*D5001*C5001</f>
        <v>31242</v>
      </c>
      <c r="G5001" s="557"/>
      <c r="H5001" s="121"/>
      <c r="I5001" s="69"/>
      <c r="J5001" s="136">
        <f>((('Mano Obra'!$M$4/30)*F5001)/D5001)*G4971</f>
        <v>0</v>
      </c>
    </row>
    <row r="5002" spans="1:15">
      <c r="A5002" s="558" t="s">
        <v>4197</v>
      </c>
      <c r="B5002" s="559">
        <f>VLOOKUP(A5002,'Mano Obra'!$B$3:$D$290,2,0)</f>
        <v>2090000.0000000002</v>
      </c>
      <c r="C5002" s="101">
        <v>1</v>
      </c>
      <c r="D5002" s="104">
        <f>VLOOKUP(A5002,'Mano Obra'!$B$2:$T$117,19,0)</f>
        <v>120456</v>
      </c>
      <c r="E5002" s="246">
        <f>H4964</f>
        <v>0.1875</v>
      </c>
      <c r="F5002" s="538">
        <f t="shared" ref="F5002:F5003" si="294">E5002*D5002*C5002</f>
        <v>22585.5</v>
      </c>
      <c r="G5002" s="557"/>
      <c r="H5002" s="121"/>
      <c r="J5002" s="136">
        <f>((('Mano Obra'!$M$5/30)*F5002)/D5002)*G4971</f>
        <v>0</v>
      </c>
    </row>
    <row r="5003" spans="1:15">
      <c r="A5003" s="558" t="s">
        <v>4186</v>
      </c>
      <c r="B5003" s="559">
        <f>VLOOKUP(A5003,'Mano Obra'!$B$3:$D$290,2,0)</f>
        <v>1100000</v>
      </c>
      <c r="C5003" s="101">
        <v>1</v>
      </c>
      <c r="D5003" s="104">
        <f>VLOOKUP(A5003,'Mano Obra'!$B$2:$T$117,19,0)</f>
        <v>72664</v>
      </c>
      <c r="E5003" s="246">
        <f>H4964</f>
        <v>0.1875</v>
      </c>
      <c r="F5003" s="538">
        <f t="shared" si="294"/>
        <v>13624.5</v>
      </c>
      <c r="G5003" s="557"/>
      <c r="H5003" s="120"/>
      <c r="J5003" s="136">
        <f>((('Mano Obra'!$M$6/30)*F5003)/D5003)*G4971</f>
        <v>0</v>
      </c>
    </row>
    <row r="5004" spans="1:15" ht="16.5">
      <c r="A5004" s="560" t="s">
        <v>4101</v>
      </c>
      <c r="B5004" s="560"/>
      <c r="C5004" s="560"/>
      <c r="D5004" s="560"/>
      <c r="E5004" s="560"/>
      <c r="F5004" s="560"/>
      <c r="G5004" s="560"/>
      <c r="H5004" s="105">
        <f>SUM(F5001:F5003)</f>
        <v>67452</v>
      </c>
      <c r="J5004" s="136"/>
    </row>
    <row r="5005" spans="1:15">
      <c r="A5005" s="227" t="s">
        <v>4237</v>
      </c>
      <c r="B5005" s="205"/>
      <c r="C5005" s="205"/>
      <c r="D5005" s="202"/>
      <c r="E5005" s="203"/>
      <c r="F5005" s="204"/>
      <c r="G5005" s="203"/>
      <c r="H5005" s="212"/>
    </row>
    <row r="5006" spans="1:15">
      <c r="A5006" s="561" t="s">
        <v>4224</v>
      </c>
      <c r="B5006" s="562"/>
      <c r="C5006" s="562"/>
      <c r="D5006" s="562"/>
      <c r="E5006" s="200"/>
      <c r="F5006" s="201" t="s">
        <v>4238</v>
      </c>
      <c r="G5006" s="200" t="s">
        <v>4239</v>
      </c>
      <c r="H5006" s="213"/>
    </row>
    <row r="5007" spans="1:15">
      <c r="A5007" s="223" t="s">
        <v>4097</v>
      </c>
      <c r="B5007" s="72"/>
      <c r="C5007" s="72"/>
      <c r="D5007" s="73"/>
      <c r="E5007" s="78"/>
      <c r="F5007" s="79">
        <v>0</v>
      </c>
      <c r="G5007" s="80">
        <f>F5007*H4972</f>
        <v>0</v>
      </c>
      <c r="H5007" s="212"/>
    </row>
    <row r="5008" spans="1:15">
      <c r="A5008" s="224" t="s">
        <v>4240</v>
      </c>
      <c r="B5008" s="81"/>
      <c r="C5008" s="81"/>
      <c r="D5008" s="82"/>
      <c r="E5008" s="78"/>
      <c r="F5008" s="79">
        <v>0</v>
      </c>
      <c r="G5008" s="80">
        <f>F5008*H4972</f>
        <v>0</v>
      </c>
      <c r="H5008" s="212"/>
    </row>
    <row r="5009" spans="1:14">
      <c r="A5009" s="224" t="s">
        <v>4</v>
      </c>
      <c r="B5009" s="81"/>
      <c r="C5009" s="81"/>
      <c r="D5009" s="82"/>
      <c r="E5009" s="78"/>
      <c r="F5009" s="79">
        <v>0</v>
      </c>
      <c r="G5009" s="80">
        <f>F5009*H4972</f>
        <v>0</v>
      </c>
      <c r="H5009" s="212"/>
    </row>
    <row r="5010" spans="1:14">
      <c r="A5010" s="225"/>
      <c r="B5010" s="83"/>
      <c r="C5010" s="75"/>
      <c r="D5010" s="84"/>
      <c r="E5010" s="85"/>
      <c r="F5010" s="86"/>
      <c r="G5010" s="87"/>
      <c r="H5010" s="214"/>
    </row>
    <row r="5011" spans="1:14">
      <c r="A5011" s="226"/>
      <c r="B5011" s="83"/>
      <c r="C5011" s="83"/>
      <c r="D5011" s="84"/>
      <c r="E5011" s="88"/>
      <c r="F5011" s="563" t="s">
        <v>4241</v>
      </c>
      <c r="G5011" s="564"/>
      <c r="H5011" s="233">
        <f>H4972+G5007+G5008+G5009</f>
        <v>1211518.5750000002</v>
      </c>
    </row>
    <row r="5012" spans="1:14">
      <c r="A5012" s="83"/>
      <c r="B5012" s="83"/>
      <c r="C5012" s="83"/>
      <c r="D5012" s="84"/>
      <c r="E5012" s="388"/>
      <c r="F5012" s="389"/>
      <c r="G5012" s="389"/>
      <c r="H5012" s="390"/>
    </row>
    <row r="5013" spans="1:14" ht="16.5">
      <c r="A5013" s="90"/>
      <c r="B5013" s="90"/>
      <c r="C5013" s="90"/>
      <c r="D5013" s="90"/>
      <c r="E5013" s="90"/>
      <c r="F5013" s="90"/>
      <c r="G5013" s="90"/>
      <c r="H5013" s="381"/>
    </row>
    <row r="5014" spans="1:14">
      <c r="A5014" s="579" t="s">
        <v>4225</v>
      </c>
      <c r="B5014" s="580"/>
      <c r="C5014" s="580"/>
      <c r="D5014" s="580"/>
      <c r="E5014" s="580"/>
      <c r="F5014" s="580"/>
      <c r="G5014" s="580"/>
      <c r="H5014" s="581"/>
    </row>
    <row r="5015" spans="1:14" ht="16.5">
      <c r="A5015" s="91"/>
      <c r="B5015" s="92"/>
      <c r="C5015" s="92"/>
      <c r="D5015" s="92"/>
      <c r="E5015" s="92"/>
      <c r="F5015" s="93"/>
      <c r="G5015" s="94"/>
      <c r="H5015" s="380">
        <f>ROUND((90/60)/8,4)</f>
        <v>0.1875</v>
      </c>
      <c r="I5015" s="115"/>
    </row>
    <row r="5016" spans="1:14">
      <c r="A5016" s="582" t="s">
        <v>4220</v>
      </c>
      <c r="B5016" s="584" t="str">
        <f>COSTOS!$C$14</f>
        <v>MODERNIZACION A TECNOLOGIA LED</v>
      </c>
      <c r="C5016" s="584"/>
      <c r="D5016" s="584"/>
      <c r="E5016" s="584"/>
      <c r="F5016" s="584"/>
      <c r="G5016" s="584"/>
      <c r="H5016" s="585" t="s">
        <v>4221</v>
      </c>
    </row>
    <row r="5017" spans="1:14">
      <c r="A5017" s="583"/>
      <c r="B5017" s="584"/>
      <c r="C5017" s="584"/>
      <c r="D5017" s="584"/>
      <c r="E5017" s="584"/>
      <c r="F5017" s="584"/>
      <c r="G5017" s="584"/>
      <c r="H5017" s="585"/>
    </row>
    <row r="5018" spans="1:14">
      <c r="A5018" s="583"/>
      <c r="B5018" s="584"/>
      <c r="C5018" s="584"/>
      <c r="D5018" s="584"/>
      <c r="E5018" s="584"/>
      <c r="F5018" s="584"/>
      <c r="G5018" s="584"/>
      <c r="H5018" s="585"/>
    </row>
    <row r="5019" spans="1:14" ht="15" customHeight="1">
      <c r="A5019" s="583"/>
      <c r="B5019" s="584"/>
      <c r="C5019" s="584"/>
      <c r="D5019" s="584"/>
      <c r="E5019" s="584"/>
      <c r="F5019" s="584"/>
      <c r="G5019" s="584"/>
      <c r="H5019" s="216">
        <f ca="1">TODAY()</f>
        <v>44889</v>
      </c>
      <c r="K5019" t="s">
        <v>4391</v>
      </c>
      <c r="L5019" t="s">
        <v>4392</v>
      </c>
      <c r="M5019" t="s">
        <v>4393</v>
      </c>
      <c r="N5019" t="s">
        <v>4394</v>
      </c>
    </row>
    <row r="5020" spans="1:14" ht="60.75" customHeight="1">
      <c r="A5020" s="228" t="s">
        <v>4222</v>
      </c>
      <c r="B5020" s="565" t="str">
        <f>COSTOS!$D$16</f>
        <v>Luminarias</v>
      </c>
      <c r="C5020" s="565"/>
      <c r="D5020" s="565"/>
      <c r="E5020" s="565"/>
      <c r="F5020" s="565"/>
      <c r="G5020" s="70" t="s">
        <v>4223</v>
      </c>
      <c r="H5020" s="391">
        <v>2.15</v>
      </c>
      <c r="K5020" s="62">
        <f>H5045</f>
        <v>2503855.2000000002</v>
      </c>
      <c r="L5020" s="62">
        <f>H5055</f>
        <v>67452</v>
      </c>
      <c r="M5020" s="62">
        <f>H5028</f>
        <v>182649.375</v>
      </c>
      <c r="N5020" s="62">
        <f>H5049</f>
        <v>4800</v>
      </c>
    </row>
    <row r="5021" spans="1:14" ht="43.15" customHeight="1">
      <c r="A5021" s="229" t="s">
        <v>4224</v>
      </c>
      <c r="B5021" s="566" t="str">
        <f>VLOOKUP(H5020,COSTOS!C:M,2,0)</f>
        <v>Poste de Metal de 10m</v>
      </c>
      <c r="C5021" s="567"/>
      <c r="D5021" s="567"/>
      <c r="E5021" s="568"/>
      <c r="F5021" s="71" t="s">
        <v>0</v>
      </c>
      <c r="G5021" s="356" t="str">
        <f>VLOOKUP(H5020,COSTOS!C:M,8,0)</f>
        <v>Und</v>
      </c>
      <c r="H5021" s="276"/>
      <c r="I5021" s="306"/>
      <c r="J5021" s="308"/>
      <c r="K5021" s="308"/>
      <c r="L5021" s="308"/>
    </row>
    <row r="5022" spans="1:14">
      <c r="A5022" s="230"/>
      <c r="B5022" s="112"/>
      <c r="C5022" s="112"/>
      <c r="D5022" s="112"/>
      <c r="E5022" s="113"/>
      <c r="F5022" s="114" t="s">
        <v>1</v>
      </c>
      <c r="G5022" s="356">
        <f>VLOOKUP(H5020,COSTOS!C:M,9,0)</f>
        <v>0</v>
      </c>
      <c r="H5022" s="357"/>
      <c r="I5022" s="307"/>
    </row>
    <row r="5023" spans="1:14" ht="16.5">
      <c r="A5023" s="231" t="s">
        <v>4226</v>
      </c>
      <c r="B5023" s="75"/>
      <c r="C5023" s="75"/>
      <c r="D5023" s="76"/>
      <c r="E5023" s="209"/>
      <c r="F5023" s="210"/>
      <c r="G5023" s="211" t="s">
        <v>4227</v>
      </c>
      <c r="H5023" s="217">
        <f>H5028+H5045+H5049+H5055</f>
        <v>2758756.5750000002</v>
      </c>
    </row>
    <row r="5024" spans="1:14" ht="39">
      <c r="A5024" s="569" t="s">
        <v>4224</v>
      </c>
      <c r="B5024" s="569"/>
      <c r="C5024" s="569"/>
      <c r="D5024" s="77" t="s">
        <v>0</v>
      </c>
      <c r="E5024" s="207" t="s">
        <v>4228</v>
      </c>
      <c r="F5024" s="208" t="s">
        <v>4215</v>
      </c>
      <c r="G5024" s="74" t="s">
        <v>2</v>
      </c>
      <c r="H5024" s="218" t="s">
        <v>4229</v>
      </c>
      <c r="K5024" s="309"/>
    </row>
    <row r="5025" spans="1:15">
      <c r="A5025" s="536" t="s">
        <v>3946</v>
      </c>
      <c r="B5025" s="570" t="str">
        <f>VLOOKUP(A5025,'Equip, Herr y Transp'!$B$2:$D$739,2,0)</f>
        <v>EQU</v>
      </c>
      <c r="C5025" s="570"/>
      <c r="D5025" s="95" t="str">
        <f>VLOOKUP(A5025,'Equip, Herr y Transp'!$B$2:$D$218,2,0)</f>
        <v>EQU</v>
      </c>
      <c r="E5025" s="95">
        <f>VLOOKUP(A5025,'Equip, Herr y Transp'!$B$2:$D$218,3,0)</f>
        <v>14130</v>
      </c>
      <c r="F5025" s="96">
        <f>H5015</f>
        <v>0.1875</v>
      </c>
      <c r="G5025" s="122">
        <f>F5025*E5025</f>
        <v>2649.375</v>
      </c>
      <c r="H5025" s="118"/>
    </row>
    <row r="5026" spans="1:15">
      <c r="A5026" s="536" t="s">
        <v>3894</v>
      </c>
      <c r="B5026" s="570" t="str">
        <f>VLOOKUP(A5026,'Equip, Herr y Transp'!$B$2:$D$739,2,0)</f>
        <v>TR</v>
      </c>
      <c r="C5026" s="570"/>
      <c r="D5026" s="95" t="str">
        <f>VLOOKUP(A5026,'Equip, Herr y Transp'!$B$2:$D$218,2,0)</f>
        <v>TR</v>
      </c>
      <c r="E5026" s="95">
        <f>VLOOKUP(A5026,'Equip, Herr y Transp'!$B$2:$D$218,3,0)</f>
        <v>960000</v>
      </c>
      <c r="F5026" s="96">
        <f>H5015</f>
        <v>0.1875</v>
      </c>
      <c r="G5026" s="122">
        <f>F5026*E5026</f>
        <v>180000</v>
      </c>
      <c r="H5026" s="117"/>
    </row>
    <row r="5027" spans="1:15">
      <c r="A5027" s="536" t="s">
        <v>8</v>
      </c>
      <c r="B5027" s="570">
        <f>VLOOKUP(A5027,'Equip, Herr y Transp'!$B$2:$D$739,2,0)</f>
        <v>0</v>
      </c>
      <c r="C5027" s="570"/>
      <c r="D5027" s="95">
        <f>VLOOKUP(A5027,'Equip, Herr y Transp'!$B$2:$D$218,2,0)</f>
        <v>0</v>
      </c>
      <c r="E5027" s="95">
        <f>VLOOKUP(A5027,'Equip, Herr y Transp'!$B$2:$D$218,3,0)</f>
        <v>0</v>
      </c>
      <c r="F5027" s="96"/>
      <c r="G5027" s="122">
        <f>F5027*E5027</f>
        <v>0</v>
      </c>
      <c r="H5027" s="117"/>
    </row>
    <row r="5028" spans="1:15" ht="16.5">
      <c r="A5028" s="540" t="s">
        <v>4100</v>
      </c>
      <c r="B5028" s="541"/>
      <c r="C5028" s="541"/>
      <c r="D5028" s="541"/>
      <c r="E5028" s="541"/>
      <c r="F5028" s="541"/>
      <c r="G5028" s="541"/>
      <c r="H5028" s="97">
        <f>SUM(G5025:G5027)</f>
        <v>182649.375</v>
      </c>
    </row>
    <row r="5029" spans="1:15" ht="16.5">
      <c r="A5029" s="571" t="s">
        <v>4230</v>
      </c>
      <c r="B5029" s="572"/>
      <c r="C5029" s="572"/>
      <c r="D5029" s="572"/>
      <c r="E5029" s="572"/>
      <c r="F5029" s="572"/>
      <c r="G5029" s="572"/>
      <c r="H5029" s="573"/>
      <c r="K5029" s="56"/>
      <c r="L5029" s="56"/>
      <c r="M5029" s="56"/>
      <c r="N5029" s="56"/>
      <c r="O5029" s="56"/>
    </row>
    <row r="5030" spans="1:15" ht="30" customHeight="1">
      <c r="A5030" s="574" t="s">
        <v>7</v>
      </c>
      <c r="B5030" s="575"/>
      <c r="C5030" s="109" t="s">
        <v>0</v>
      </c>
      <c r="D5030" s="110" t="s">
        <v>4098</v>
      </c>
      <c r="E5030" s="111" t="s">
        <v>1</v>
      </c>
      <c r="F5030" s="576" t="s">
        <v>4218</v>
      </c>
      <c r="G5030" s="576"/>
      <c r="H5030" s="215"/>
      <c r="K5030" s="56"/>
      <c r="L5030" s="56"/>
      <c r="M5030" s="56"/>
      <c r="N5030" s="56"/>
      <c r="O5030" s="56"/>
    </row>
    <row r="5031" spans="1:15">
      <c r="A5031" s="577" t="s">
        <v>4752</v>
      </c>
      <c r="B5031" s="578"/>
      <c r="C5031" s="98" t="str">
        <f>VLOOKUP(A5031,'Materiales '!$C$2:$F$1302,3,0)</f>
        <v>Und</v>
      </c>
      <c r="D5031" s="99">
        <f>VLOOKUP(A5031,'Materiales '!$C$2:$F$1302,4,0)</f>
        <v>2434740</v>
      </c>
      <c r="E5031" s="100">
        <v>1</v>
      </c>
      <c r="F5031" s="538">
        <f>E5031*D5031</f>
        <v>2434740</v>
      </c>
      <c r="G5031" s="539"/>
      <c r="H5031" s="121"/>
      <c r="I5031">
        <f>E5031*G5022</f>
        <v>0</v>
      </c>
      <c r="J5031" s="67"/>
      <c r="K5031" s="56"/>
      <c r="L5031" s="56"/>
      <c r="M5031" s="56"/>
      <c r="N5031" s="56"/>
      <c r="O5031" s="56"/>
    </row>
    <row r="5032" spans="1:15">
      <c r="A5032" s="577" t="s">
        <v>4628</v>
      </c>
      <c r="B5032" s="578"/>
      <c r="C5032" s="98" t="str">
        <f>VLOOKUP(A5032,'Materiales '!$C$2:$F$1302,3,0)</f>
        <v>Rollo</v>
      </c>
      <c r="D5032" s="99">
        <f>VLOOKUP(A5032,'Materiales '!$C$2:$F$1302,4,0)</f>
        <v>138230.39999999999</v>
      </c>
      <c r="E5032" s="100">
        <v>0.5</v>
      </c>
      <c r="F5032" s="538">
        <f t="shared" ref="F5032:F5038" si="295">E5032*D5032</f>
        <v>69115.199999999997</v>
      </c>
      <c r="G5032" s="539"/>
      <c r="H5032" s="121"/>
      <c r="I5032">
        <f>E5032*G5022</f>
        <v>0</v>
      </c>
      <c r="J5032" s="67"/>
      <c r="K5032" s="56"/>
      <c r="L5032" s="56"/>
      <c r="M5032" s="56"/>
      <c r="N5032" s="56"/>
      <c r="O5032" s="56"/>
    </row>
    <row r="5033" spans="1:15">
      <c r="A5033" s="536" t="s">
        <v>8</v>
      </c>
      <c r="B5033" s="537" t="str">
        <f>VLOOKUP(A5033,'Materiales '!$C$2:$F$1302,3,0)</f>
        <v>-</v>
      </c>
      <c r="C5033" s="98" t="str">
        <f>VLOOKUP(A5033,'Materiales '!$C$2:$F$1302,3,0)</f>
        <v>-</v>
      </c>
      <c r="D5033" s="99">
        <f>VLOOKUP(A5033,'Materiales '!$C$2:$F$1302,4,0)</f>
        <v>0</v>
      </c>
      <c r="E5033" s="100">
        <v>1</v>
      </c>
      <c r="F5033" s="538">
        <f t="shared" si="295"/>
        <v>0</v>
      </c>
      <c r="G5033" s="539"/>
      <c r="H5033" s="121"/>
      <c r="I5033">
        <f>E5033*G5022</f>
        <v>0</v>
      </c>
      <c r="J5033" s="68"/>
      <c r="K5033" s="56"/>
      <c r="L5033" s="56"/>
      <c r="M5033" s="56"/>
      <c r="N5033" s="56"/>
      <c r="O5033" s="56"/>
    </row>
    <row r="5034" spans="1:15">
      <c r="A5034" s="536" t="s">
        <v>8</v>
      </c>
      <c r="B5034" s="537" t="str">
        <f>VLOOKUP(A5034,'Materiales '!$C$2:$F$1302,3,0)</f>
        <v>-</v>
      </c>
      <c r="C5034" s="98" t="str">
        <f>VLOOKUP(A5034,'Materiales '!$C$2:$F$1302,3,0)</f>
        <v>-</v>
      </c>
      <c r="D5034" s="99">
        <f>VLOOKUP(A5034,'Materiales '!$C$2:$F$1302,4,0)</f>
        <v>0</v>
      </c>
      <c r="E5034" s="100">
        <v>3</v>
      </c>
      <c r="F5034" s="538">
        <f t="shared" si="295"/>
        <v>0</v>
      </c>
      <c r="G5034" s="539"/>
      <c r="H5034" s="121"/>
      <c r="I5034">
        <f>E5034*G5022</f>
        <v>0</v>
      </c>
      <c r="J5034" s="68"/>
      <c r="K5034" s="56"/>
      <c r="L5034" s="56"/>
      <c r="M5034" s="56"/>
      <c r="N5034" s="56"/>
      <c r="O5034" s="56"/>
    </row>
    <row r="5035" spans="1:15">
      <c r="A5035" s="536" t="s">
        <v>8</v>
      </c>
      <c r="B5035" s="537" t="str">
        <f>VLOOKUP(A5035,'Materiales '!$C$2:$F$1302,3,0)</f>
        <v>-</v>
      </c>
      <c r="C5035" s="98" t="str">
        <f>VLOOKUP(A5035,'Materiales '!$C$2:$F$1302,3,0)</f>
        <v>-</v>
      </c>
      <c r="D5035" s="99">
        <f>VLOOKUP(A5035,'Materiales '!$C$2:$F$1302,4,0)</f>
        <v>0</v>
      </c>
      <c r="E5035" s="100">
        <v>2</v>
      </c>
      <c r="F5035" s="538">
        <f t="shared" si="295"/>
        <v>0</v>
      </c>
      <c r="G5035" s="539"/>
      <c r="H5035" s="121"/>
      <c r="I5035">
        <f>E5035*G5022</f>
        <v>0</v>
      </c>
      <c r="J5035" s="68"/>
      <c r="K5035" s="56"/>
      <c r="L5035" s="56"/>
      <c r="M5035" s="56"/>
      <c r="N5035" s="56"/>
      <c r="O5035" s="56"/>
    </row>
    <row r="5036" spans="1:15">
      <c r="A5036" s="536" t="s">
        <v>8</v>
      </c>
      <c r="B5036" s="537" t="str">
        <f>VLOOKUP(A5036,'Materiales '!$C$2:$F$1302,3,0)</f>
        <v>-</v>
      </c>
      <c r="C5036" s="98" t="str">
        <f>VLOOKUP(A5036,'Materiales '!$C$2:$F$1302,3,0)</f>
        <v>-</v>
      </c>
      <c r="D5036" s="99">
        <f>VLOOKUP(A5036,'Materiales '!$C$2:$F$1302,4,0)</f>
        <v>0</v>
      </c>
      <c r="E5036" s="100">
        <v>8</v>
      </c>
      <c r="F5036" s="538">
        <f t="shared" si="295"/>
        <v>0</v>
      </c>
      <c r="G5036" s="539"/>
      <c r="H5036" s="121"/>
      <c r="I5036">
        <f>E5036*G5022</f>
        <v>0</v>
      </c>
      <c r="J5036" s="68"/>
      <c r="K5036" s="56"/>
      <c r="L5036" s="56"/>
      <c r="M5036" s="56"/>
      <c r="N5036" s="56"/>
      <c r="O5036" s="56"/>
    </row>
    <row r="5037" spans="1:15">
      <c r="A5037" s="536" t="s">
        <v>8</v>
      </c>
      <c r="B5037" s="537" t="str">
        <f>VLOOKUP(A5037,'Materiales '!$C$2:$F$1302,3,0)</f>
        <v>-</v>
      </c>
      <c r="C5037" s="98" t="str">
        <f>VLOOKUP(A5037,'Materiales '!$C$2:$F$1302,3,0)</f>
        <v>-</v>
      </c>
      <c r="D5037" s="99">
        <f>VLOOKUP(A5037,'Materiales '!$C$2:$F$1302,4,0)</f>
        <v>0</v>
      </c>
      <c r="E5037" s="100">
        <v>3</v>
      </c>
      <c r="F5037" s="538">
        <f t="shared" si="295"/>
        <v>0</v>
      </c>
      <c r="G5037" s="539"/>
      <c r="H5037" s="121"/>
      <c r="I5037">
        <f>E5037*G5022</f>
        <v>0</v>
      </c>
      <c r="J5037" s="68"/>
      <c r="K5037" s="56"/>
      <c r="L5037" s="56"/>
      <c r="M5037" s="56"/>
      <c r="N5037" s="56"/>
      <c r="O5037" s="56"/>
    </row>
    <row r="5038" spans="1:15" ht="21.75" customHeight="1">
      <c r="A5038" s="536" t="s">
        <v>8</v>
      </c>
      <c r="B5038" s="537" t="str">
        <f>VLOOKUP(A5038,'Materiales '!$C$2:$F$1302,3,0)</f>
        <v>-</v>
      </c>
      <c r="C5038" s="98" t="str">
        <f>VLOOKUP(A5038,'Materiales '!$C$2:$F$1302,3,0)</f>
        <v>-</v>
      </c>
      <c r="D5038" s="99">
        <f>VLOOKUP(A5038,'Materiales '!$C$2:$F$1302,4,0)</f>
        <v>0</v>
      </c>
      <c r="E5038" s="100">
        <v>0.5</v>
      </c>
      <c r="F5038" s="538">
        <f t="shared" si="295"/>
        <v>0</v>
      </c>
      <c r="G5038" s="539"/>
      <c r="H5038" s="121"/>
      <c r="I5038">
        <f>E5038*G5022</f>
        <v>0</v>
      </c>
      <c r="J5038" s="68"/>
      <c r="K5038" s="56"/>
      <c r="L5038" s="56"/>
      <c r="M5038" s="56"/>
      <c r="N5038" s="56"/>
      <c r="O5038" s="56"/>
    </row>
    <row r="5039" spans="1:15">
      <c r="A5039" s="536" t="s">
        <v>8</v>
      </c>
      <c r="B5039" s="537" t="str">
        <f>VLOOKUP(A5039,'Materiales '!$C$2:$F$1302,3,0)</f>
        <v>-</v>
      </c>
      <c r="C5039" s="98" t="str">
        <f>VLOOKUP(A5039,'Materiales '!$C$2:$F$1302,3,0)</f>
        <v>-</v>
      </c>
      <c r="D5039" s="99">
        <f>VLOOKUP(A5039,'Materiales '!$C$2:$F$1302,4,0)</f>
        <v>0</v>
      </c>
      <c r="E5039" s="100"/>
      <c r="F5039" s="538">
        <f>E5039*D5039</f>
        <v>0</v>
      </c>
      <c r="G5039" s="539"/>
      <c r="H5039" s="120"/>
      <c r="I5039">
        <f>E5039*G5022</f>
        <v>0</v>
      </c>
      <c r="J5039" s="68"/>
      <c r="K5039" s="56"/>
      <c r="L5039" s="56"/>
      <c r="M5039" s="56"/>
      <c r="N5039" s="56"/>
      <c r="O5039" s="56"/>
    </row>
    <row r="5040" spans="1:15">
      <c r="A5040" s="536" t="s">
        <v>8</v>
      </c>
      <c r="B5040" s="537" t="str">
        <f>VLOOKUP(A5040,'Materiales '!$C$2:$F$1302,3,0)</f>
        <v>-</v>
      </c>
      <c r="C5040" s="98" t="str">
        <f>VLOOKUP(A5040,'Materiales '!$C$2:$F$1302,3,0)</f>
        <v>-</v>
      </c>
      <c r="D5040" s="99">
        <f>VLOOKUP(A5040,'Materiales '!$C$2:$F$1302,4,0)</f>
        <v>0</v>
      </c>
      <c r="E5040" s="100"/>
      <c r="F5040" s="538">
        <f t="shared" ref="F5040:F5043" si="296">E5040*D5040</f>
        <v>0</v>
      </c>
      <c r="G5040" s="539"/>
      <c r="H5040" s="121"/>
      <c r="I5040">
        <f>E5040*G5022</f>
        <v>0</v>
      </c>
      <c r="J5040" s="68"/>
      <c r="K5040" s="56"/>
      <c r="L5040" s="56"/>
      <c r="M5040" s="56"/>
      <c r="N5040" s="56"/>
      <c r="O5040" s="56"/>
    </row>
    <row r="5041" spans="1:15">
      <c r="A5041" s="536" t="s">
        <v>8</v>
      </c>
      <c r="B5041" s="537" t="str">
        <f>VLOOKUP(A5041,'Materiales '!$C$2:$F$1302,3,0)</f>
        <v>-</v>
      </c>
      <c r="C5041" s="98" t="str">
        <f>VLOOKUP(A5041,'Materiales '!$C$2:$F$1302,3,0)</f>
        <v>-</v>
      </c>
      <c r="D5041" s="99">
        <f>VLOOKUP(A5041,'Materiales '!$C$2:$F$1302,4,0)</f>
        <v>0</v>
      </c>
      <c r="E5041" s="100"/>
      <c r="F5041" s="538">
        <f t="shared" si="296"/>
        <v>0</v>
      </c>
      <c r="G5041" s="539"/>
      <c r="H5041" s="121"/>
      <c r="I5041">
        <f>E5041*G5022</f>
        <v>0</v>
      </c>
      <c r="J5041" s="68"/>
      <c r="K5041" s="56"/>
      <c r="L5041" s="56"/>
      <c r="M5041" s="56"/>
      <c r="N5041" s="56"/>
      <c r="O5041" s="56"/>
    </row>
    <row r="5042" spans="1:15">
      <c r="A5042" s="536" t="s">
        <v>8</v>
      </c>
      <c r="B5042" s="537" t="str">
        <f>VLOOKUP(A5042,'Materiales '!$C$2:$F$1302,3,0)</f>
        <v>-</v>
      </c>
      <c r="C5042" s="98" t="str">
        <f>VLOOKUP(A5042,'Materiales '!$C$2:$F$1302,3,0)</f>
        <v>-</v>
      </c>
      <c r="D5042" s="99">
        <f>VLOOKUP(A5042,'Materiales '!$C$2:$F$1302,4,0)</f>
        <v>0</v>
      </c>
      <c r="E5042" s="100"/>
      <c r="F5042" s="538">
        <f t="shared" si="296"/>
        <v>0</v>
      </c>
      <c r="G5042" s="539"/>
      <c r="H5042" s="121"/>
      <c r="I5042">
        <f>E5042*G5022</f>
        <v>0</v>
      </c>
      <c r="J5042" s="68"/>
      <c r="K5042" s="56"/>
      <c r="L5042" s="56"/>
      <c r="M5042" s="56"/>
      <c r="N5042" s="56"/>
      <c r="O5042" s="56"/>
    </row>
    <row r="5043" spans="1:15">
      <c r="A5043" s="536" t="s">
        <v>8</v>
      </c>
      <c r="B5043" s="537" t="str">
        <f>VLOOKUP(A5043,'Materiales '!$C$2:$F$1302,3,0)</f>
        <v>-</v>
      </c>
      <c r="C5043" s="98" t="str">
        <f>VLOOKUP(A5043,'Materiales '!$C$2:$F$1302,3,0)</f>
        <v>-</v>
      </c>
      <c r="D5043" s="99">
        <f>VLOOKUP(A5043,'Materiales '!$C$2:$F$1302,4,0)</f>
        <v>0</v>
      </c>
      <c r="E5043" s="100"/>
      <c r="F5043" s="538">
        <f t="shared" si="296"/>
        <v>0</v>
      </c>
      <c r="G5043" s="539"/>
      <c r="H5043" s="121"/>
      <c r="I5043">
        <f>E5043*G5022</f>
        <v>0</v>
      </c>
      <c r="J5043" s="68"/>
      <c r="K5043" s="56"/>
      <c r="L5043" s="56"/>
      <c r="M5043" s="56"/>
      <c r="N5043" s="56"/>
      <c r="O5043" s="56"/>
    </row>
    <row r="5044" spans="1:15">
      <c r="A5044" s="536" t="s">
        <v>8</v>
      </c>
      <c r="B5044" s="537" t="str">
        <f>VLOOKUP(A5044,'Materiales '!$C$2:$F$1302,3,0)</f>
        <v>-</v>
      </c>
      <c r="C5044" s="98" t="str">
        <f>VLOOKUP(A5044,'Materiales '!$C$2:$F$1302,3,0)</f>
        <v>-</v>
      </c>
      <c r="D5044" s="99">
        <f>VLOOKUP(A5044,'Materiales '!$C$2:$F$1302,4,0)</f>
        <v>0</v>
      </c>
      <c r="E5044" s="100"/>
      <c r="F5044" s="538">
        <f>E5044*D5044</f>
        <v>0</v>
      </c>
      <c r="G5044" s="539"/>
      <c r="H5044" s="120"/>
      <c r="I5044">
        <f>E5044*G5022</f>
        <v>0</v>
      </c>
      <c r="J5044" s="68"/>
      <c r="K5044" s="56"/>
      <c r="L5044" s="56"/>
      <c r="M5044" s="56"/>
      <c r="N5044" s="56"/>
      <c r="O5044" s="56"/>
    </row>
    <row r="5045" spans="1:15" ht="16.5">
      <c r="A5045" s="540" t="s">
        <v>4099</v>
      </c>
      <c r="B5045" s="541"/>
      <c r="C5045" s="541"/>
      <c r="D5045" s="541"/>
      <c r="E5045" s="541"/>
      <c r="F5045" s="541"/>
      <c r="G5045" s="542"/>
      <c r="H5045" s="116">
        <f>SUM(F5031:F5044)</f>
        <v>2503855.2000000002</v>
      </c>
      <c r="J5045" s="68"/>
      <c r="K5045" s="56"/>
      <c r="L5045" s="56"/>
      <c r="M5045" s="56"/>
      <c r="N5045" s="56"/>
      <c r="O5045" s="56"/>
    </row>
    <row r="5046" spans="1:15" ht="16.5">
      <c r="A5046" s="543" t="s">
        <v>4231</v>
      </c>
      <c r="B5046" s="544"/>
      <c r="C5046" s="544"/>
      <c r="D5046" s="544"/>
      <c r="E5046" s="545"/>
      <c r="F5046" s="544"/>
      <c r="G5046" s="544"/>
      <c r="H5046" s="546"/>
      <c r="J5046" s="68"/>
      <c r="K5046" s="56"/>
      <c r="L5046" s="56"/>
      <c r="M5046" s="56"/>
      <c r="N5046" s="56"/>
      <c r="O5046" s="56"/>
    </row>
    <row r="5047" spans="1:15">
      <c r="A5047" s="547" t="s">
        <v>7</v>
      </c>
      <c r="B5047" s="548"/>
      <c r="C5047" s="108" t="s">
        <v>4232</v>
      </c>
      <c r="D5047" s="107" t="s">
        <v>4233</v>
      </c>
      <c r="E5047" s="206" t="s">
        <v>4234</v>
      </c>
      <c r="F5047" s="549" t="s">
        <v>4218</v>
      </c>
      <c r="G5047" s="549"/>
      <c r="H5047" s="119"/>
      <c r="K5047" s="56"/>
      <c r="L5047" s="56"/>
      <c r="M5047" s="56"/>
      <c r="N5047" s="56"/>
      <c r="O5047" s="56"/>
    </row>
    <row r="5048" spans="1:15">
      <c r="A5048" s="550" t="s">
        <v>3928</v>
      </c>
      <c r="B5048" s="551"/>
      <c r="C5048" s="232">
        <v>1</v>
      </c>
      <c r="D5048" s="102">
        <v>0.03</v>
      </c>
      <c r="E5048" s="103">
        <f>VLOOKUP(A5048,'Equip, Herr y Transp'!$B$2:$D$218,3,0)</f>
        <v>160000</v>
      </c>
      <c r="F5048" s="552">
        <f>E5048*D5048*C5048</f>
        <v>4800</v>
      </c>
      <c r="G5048" s="553"/>
      <c r="H5048" s="117"/>
      <c r="M5048" s="56"/>
    </row>
    <row r="5049" spans="1:15" ht="16.5">
      <c r="A5049" s="554" t="s">
        <v>4216</v>
      </c>
      <c r="B5049" s="555"/>
      <c r="C5049" s="555"/>
      <c r="D5049" s="555"/>
      <c r="E5049" s="555"/>
      <c r="F5049" s="555"/>
      <c r="G5049" s="555"/>
      <c r="H5049" s="105">
        <f>F5048</f>
        <v>4800</v>
      </c>
    </row>
    <row r="5050" spans="1:15" ht="16.5">
      <c r="A5050" s="543" t="s">
        <v>4235</v>
      </c>
      <c r="B5050" s="544"/>
      <c r="C5050" s="544"/>
      <c r="D5050" s="544"/>
      <c r="E5050" s="544"/>
      <c r="F5050" s="544"/>
      <c r="G5050" s="544"/>
      <c r="H5050" s="546"/>
    </row>
    <row r="5051" spans="1:15">
      <c r="A5051" s="547" t="s">
        <v>7</v>
      </c>
      <c r="B5051" s="548"/>
      <c r="C5051" s="106" t="s">
        <v>1</v>
      </c>
      <c r="D5051" s="107" t="s">
        <v>4236</v>
      </c>
      <c r="E5051" s="108" t="s">
        <v>4215</v>
      </c>
      <c r="F5051" s="547" t="s">
        <v>5</v>
      </c>
      <c r="G5051" s="556"/>
      <c r="H5051" s="119"/>
    </row>
    <row r="5052" spans="1:15">
      <c r="A5052" s="550" t="s">
        <v>4196</v>
      </c>
      <c r="B5052" s="551"/>
      <c r="C5052" s="101">
        <v>1</v>
      </c>
      <c r="D5052" s="104">
        <f>VLOOKUP(A5052,'Mano Obra'!$B$2:$T$117,19,0)</f>
        <v>166624</v>
      </c>
      <c r="E5052" s="246">
        <f>H5015</f>
        <v>0.1875</v>
      </c>
      <c r="F5052" s="538">
        <f>E5052*D5052*C5052</f>
        <v>31242</v>
      </c>
      <c r="G5052" s="557"/>
      <c r="H5052" s="121"/>
      <c r="I5052" s="69"/>
      <c r="J5052" s="136">
        <f>((('Mano Obra'!$M$4/30)*F5052)/D5052)*G5022</f>
        <v>0</v>
      </c>
    </row>
    <row r="5053" spans="1:15">
      <c r="A5053" s="558" t="s">
        <v>4197</v>
      </c>
      <c r="B5053" s="559">
        <f>VLOOKUP(A5053,'Mano Obra'!$B$3:$D$290,2,0)</f>
        <v>2090000.0000000002</v>
      </c>
      <c r="C5053" s="101">
        <v>1</v>
      </c>
      <c r="D5053" s="104">
        <f>VLOOKUP(A5053,'Mano Obra'!$B$2:$T$117,19,0)</f>
        <v>120456</v>
      </c>
      <c r="E5053" s="246">
        <f>H5015</f>
        <v>0.1875</v>
      </c>
      <c r="F5053" s="538">
        <f t="shared" ref="F5053:F5054" si="297">E5053*D5053*C5053</f>
        <v>22585.5</v>
      </c>
      <c r="G5053" s="557"/>
      <c r="H5053" s="121"/>
      <c r="J5053" s="136">
        <f>((('Mano Obra'!$M$5/30)*F5053)/D5053)*G5022</f>
        <v>0</v>
      </c>
    </row>
    <row r="5054" spans="1:15">
      <c r="A5054" s="558" t="s">
        <v>4186</v>
      </c>
      <c r="B5054" s="559">
        <f>VLOOKUP(A5054,'Mano Obra'!$B$3:$D$290,2,0)</f>
        <v>1100000</v>
      </c>
      <c r="C5054" s="101">
        <v>1</v>
      </c>
      <c r="D5054" s="104">
        <f>VLOOKUP(A5054,'Mano Obra'!$B$2:$T$117,19,0)</f>
        <v>72664</v>
      </c>
      <c r="E5054" s="246">
        <f>H5015</f>
        <v>0.1875</v>
      </c>
      <c r="F5054" s="538">
        <f t="shared" si="297"/>
        <v>13624.5</v>
      </c>
      <c r="G5054" s="557"/>
      <c r="H5054" s="120"/>
      <c r="J5054" s="136">
        <f>((('Mano Obra'!$M$6/30)*F5054)/D5054)*G5022</f>
        <v>0</v>
      </c>
    </row>
    <row r="5055" spans="1:15" ht="16.5">
      <c r="A5055" s="560" t="s">
        <v>4101</v>
      </c>
      <c r="B5055" s="560"/>
      <c r="C5055" s="560"/>
      <c r="D5055" s="560"/>
      <c r="E5055" s="560"/>
      <c r="F5055" s="560"/>
      <c r="G5055" s="560"/>
      <c r="H5055" s="105">
        <f>SUM(F5052:F5054)</f>
        <v>67452</v>
      </c>
      <c r="J5055" s="136"/>
    </row>
    <row r="5056" spans="1:15">
      <c r="A5056" s="227" t="s">
        <v>4237</v>
      </c>
      <c r="B5056" s="205"/>
      <c r="C5056" s="205"/>
      <c r="D5056" s="202"/>
      <c r="E5056" s="203"/>
      <c r="F5056" s="204"/>
      <c r="G5056" s="203"/>
      <c r="H5056" s="212"/>
    </row>
    <row r="5057" spans="1:14">
      <c r="A5057" s="561" t="s">
        <v>4224</v>
      </c>
      <c r="B5057" s="562"/>
      <c r="C5057" s="562"/>
      <c r="D5057" s="562"/>
      <c r="E5057" s="200"/>
      <c r="F5057" s="201" t="s">
        <v>4238</v>
      </c>
      <c r="G5057" s="200" t="s">
        <v>4239</v>
      </c>
      <c r="H5057" s="213"/>
    </row>
    <row r="5058" spans="1:14">
      <c r="A5058" s="223" t="s">
        <v>4097</v>
      </c>
      <c r="B5058" s="72"/>
      <c r="C5058" s="72"/>
      <c r="D5058" s="73"/>
      <c r="E5058" s="78"/>
      <c r="F5058" s="79">
        <v>0</v>
      </c>
      <c r="G5058" s="80">
        <f>F5058*H5023</f>
        <v>0</v>
      </c>
      <c r="H5058" s="212"/>
    </row>
    <row r="5059" spans="1:14">
      <c r="A5059" s="224" t="s">
        <v>4240</v>
      </c>
      <c r="B5059" s="81"/>
      <c r="C5059" s="81"/>
      <c r="D5059" s="82"/>
      <c r="E5059" s="78"/>
      <c r="F5059" s="79">
        <v>0</v>
      </c>
      <c r="G5059" s="80">
        <f>F5059*H5023</f>
        <v>0</v>
      </c>
      <c r="H5059" s="212"/>
    </row>
    <row r="5060" spans="1:14">
      <c r="A5060" s="224" t="s">
        <v>4</v>
      </c>
      <c r="B5060" s="81"/>
      <c r="C5060" s="81"/>
      <c r="D5060" s="82"/>
      <c r="E5060" s="78"/>
      <c r="F5060" s="79">
        <v>0</v>
      </c>
      <c r="G5060" s="80">
        <f>F5060*H5023</f>
        <v>0</v>
      </c>
      <c r="H5060" s="212"/>
    </row>
    <row r="5061" spans="1:14">
      <c r="A5061" s="225"/>
      <c r="B5061" s="83"/>
      <c r="C5061" s="75"/>
      <c r="D5061" s="84"/>
      <c r="E5061" s="85"/>
      <c r="F5061" s="86"/>
      <c r="G5061" s="87"/>
      <c r="H5061" s="214"/>
    </row>
    <row r="5062" spans="1:14">
      <c r="A5062" s="226"/>
      <c r="B5062" s="83"/>
      <c r="C5062" s="83"/>
      <c r="D5062" s="84"/>
      <c r="E5062" s="88"/>
      <c r="F5062" s="563" t="s">
        <v>4241</v>
      </c>
      <c r="G5062" s="564"/>
      <c r="H5062" s="233">
        <f>H5023+G5058+G5059+G5060</f>
        <v>2758756.5750000002</v>
      </c>
    </row>
    <row r="5063" spans="1:14">
      <c r="A5063" s="83"/>
      <c r="B5063" s="83"/>
      <c r="C5063" s="83"/>
      <c r="D5063" s="84"/>
      <c r="E5063" s="388"/>
      <c r="F5063" s="389"/>
      <c r="G5063" s="389"/>
      <c r="H5063" s="390"/>
    </row>
    <row r="5064" spans="1:14" ht="16.5">
      <c r="A5064" s="90"/>
      <c r="B5064" s="90"/>
      <c r="C5064" s="90"/>
      <c r="D5064" s="90"/>
      <c r="E5064" s="90"/>
      <c r="F5064" s="90"/>
      <c r="G5064" s="90"/>
      <c r="H5064" s="381"/>
    </row>
    <row r="5065" spans="1:14">
      <c r="A5065" s="579" t="s">
        <v>4225</v>
      </c>
      <c r="B5065" s="580"/>
      <c r="C5065" s="580"/>
      <c r="D5065" s="580"/>
      <c r="E5065" s="580"/>
      <c r="F5065" s="580"/>
      <c r="G5065" s="580"/>
      <c r="H5065" s="581"/>
    </row>
    <row r="5066" spans="1:14" ht="16.5">
      <c r="A5066" s="91"/>
      <c r="B5066" s="92"/>
      <c r="C5066" s="92"/>
      <c r="D5066" s="92"/>
      <c r="E5066" s="92"/>
      <c r="F5066" s="93"/>
      <c r="G5066" s="94"/>
      <c r="H5066" s="380">
        <f>ROUND((90/60)/8,4)</f>
        <v>0.1875</v>
      </c>
      <c r="I5066" s="115"/>
    </row>
    <row r="5067" spans="1:14">
      <c r="A5067" s="582" t="s">
        <v>4220</v>
      </c>
      <c r="B5067" s="584" t="str">
        <f>COSTOS!$C$14</f>
        <v>MODERNIZACION A TECNOLOGIA LED</v>
      </c>
      <c r="C5067" s="584"/>
      <c r="D5067" s="584"/>
      <c r="E5067" s="584"/>
      <c r="F5067" s="584"/>
      <c r="G5067" s="584"/>
      <c r="H5067" s="585" t="s">
        <v>4221</v>
      </c>
    </row>
    <row r="5068" spans="1:14">
      <c r="A5068" s="583"/>
      <c r="B5068" s="584"/>
      <c r="C5068" s="584"/>
      <c r="D5068" s="584"/>
      <c r="E5068" s="584"/>
      <c r="F5068" s="584"/>
      <c r="G5068" s="584"/>
      <c r="H5068" s="585"/>
    </row>
    <row r="5069" spans="1:14">
      <c r="A5069" s="583"/>
      <c r="B5069" s="584"/>
      <c r="C5069" s="584"/>
      <c r="D5069" s="584"/>
      <c r="E5069" s="584"/>
      <c r="F5069" s="584"/>
      <c r="G5069" s="584"/>
      <c r="H5069" s="585"/>
    </row>
    <row r="5070" spans="1:14" ht="15" customHeight="1">
      <c r="A5070" s="583"/>
      <c r="B5070" s="584"/>
      <c r="C5070" s="584"/>
      <c r="D5070" s="584"/>
      <c r="E5070" s="584"/>
      <c r="F5070" s="584"/>
      <c r="G5070" s="584"/>
      <c r="H5070" s="216">
        <f ca="1">TODAY()</f>
        <v>44889</v>
      </c>
      <c r="K5070" t="s">
        <v>4391</v>
      </c>
      <c r="L5070" t="s">
        <v>4392</v>
      </c>
      <c r="M5070" t="s">
        <v>4393</v>
      </c>
      <c r="N5070" t="s">
        <v>4394</v>
      </c>
    </row>
    <row r="5071" spans="1:14" ht="60.75" customHeight="1">
      <c r="A5071" s="228" t="s">
        <v>4222</v>
      </c>
      <c r="B5071" s="565" t="str">
        <f>COSTOS!$D$16</f>
        <v>Luminarias</v>
      </c>
      <c r="C5071" s="565"/>
      <c r="D5071" s="565"/>
      <c r="E5071" s="565"/>
      <c r="F5071" s="565"/>
      <c r="G5071" s="70" t="s">
        <v>4223</v>
      </c>
      <c r="H5071" s="391">
        <v>2.16</v>
      </c>
      <c r="K5071" s="62">
        <f>H5096</f>
        <v>1948315.6</v>
      </c>
      <c r="L5071" s="62">
        <f>H5106</f>
        <v>67452</v>
      </c>
      <c r="M5071" s="62">
        <f>H5079</f>
        <v>182649.375</v>
      </c>
      <c r="N5071" s="62">
        <f>H5100</f>
        <v>4800</v>
      </c>
    </row>
    <row r="5072" spans="1:14" ht="43.15" customHeight="1">
      <c r="A5072" s="229" t="s">
        <v>4224</v>
      </c>
      <c r="B5072" s="566" t="str">
        <f>VLOOKUP(H5071,COSTOS!C:M,2,0)</f>
        <v xml:space="preserve">Poste de Fibra de 12 m x 510KgF </v>
      </c>
      <c r="C5072" s="567"/>
      <c r="D5072" s="567"/>
      <c r="E5072" s="568"/>
      <c r="F5072" s="71" t="s">
        <v>0</v>
      </c>
      <c r="G5072" s="356" t="str">
        <f>VLOOKUP(H5071,COSTOS!C:M,8,0)</f>
        <v>Und</v>
      </c>
      <c r="H5072" s="276"/>
      <c r="I5072" s="306"/>
      <c r="J5072" s="308"/>
      <c r="K5072" s="308"/>
      <c r="L5072" s="308"/>
    </row>
    <row r="5073" spans="1:15">
      <c r="A5073" s="230"/>
      <c r="B5073" s="112"/>
      <c r="C5073" s="112"/>
      <c r="D5073" s="112"/>
      <c r="E5073" s="113"/>
      <c r="F5073" s="114" t="s">
        <v>1</v>
      </c>
      <c r="G5073" s="356">
        <f>VLOOKUP(H5071,COSTOS!C:M,9,0)</f>
        <v>0</v>
      </c>
      <c r="H5073" s="357"/>
      <c r="I5073" s="307"/>
    </row>
    <row r="5074" spans="1:15" ht="16.5">
      <c r="A5074" s="231" t="s">
        <v>4226</v>
      </c>
      <c r="B5074" s="75"/>
      <c r="C5074" s="75"/>
      <c r="D5074" s="76"/>
      <c r="E5074" s="209"/>
      <c r="F5074" s="210"/>
      <c r="G5074" s="211" t="s">
        <v>4227</v>
      </c>
      <c r="H5074" s="217">
        <f>H5079+H5096+H5100+H5106</f>
        <v>2203216.9750000001</v>
      </c>
    </row>
    <row r="5075" spans="1:15" ht="39">
      <c r="A5075" s="569" t="s">
        <v>4224</v>
      </c>
      <c r="B5075" s="569"/>
      <c r="C5075" s="569"/>
      <c r="D5075" s="77" t="s">
        <v>0</v>
      </c>
      <c r="E5075" s="207" t="s">
        <v>4228</v>
      </c>
      <c r="F5075" s="208" t="s">
        <v>4215</v>
      </c>
      <c r="G5075" s="74" t="s">
        <v>2</v>
      </c>
      <c r="H5075" s="218" t="s">
        <v>4229</v>
      </c>
      <c r="K5075" s="309"/>
    </row>
    <row r="5076" spans="1:15">
      <c r="A5076" s="536" t="s">
        <v>3946</v>
      </c>
      <c r="B5076" s="570" t="str">
        <f>VLOOKUP(A5076,'Equip, Herr y Transp'!$B$2:$D$739,2,0)</f>
        <v>EQU</v>
      </c>
      <c r="C5076" s="570"/>
      <c r="D5076" s="95" t="str">
        <f>VLOOKUP(A5076,'Equip, Herr y Transp'!$B$2:$D$218,2,0)</f>
        <v>EQU</v>
      </c>
      <c r="E5076" s="95">
        <f>VLOOKUP(A5076,'Equip, Herr y Transp'!$B$2:$D$218,3,0)</f>
        <v>14130</v>
      </c>
      <c r="F5076" s="96">
        <f>H5066</f>
        <v>0.1875</v>
      </c>
      <c r="G5076" s="122">
        <f>F5076*E5076</f>
        <v>2649.375</v>
      </c>
      <c r="H5076" s="118"/>
    </row>
    <row r="5077" spans="1:15">
      <c r="A5077" s="536" t="s">
        <v>3894</v>
      </c>
      <c r="B5077" s="570" t="str">
        <f>VLOOKUP(A5077,'Equip, Herr y Transp'!$B$2:$D$739,2,0)</f>
        <v>TR</v>
      </c>
      <c r="C5077" s="570"/>
      <c r="D5077" s="95" t="str">
        <f>VLOOKUP(A5077,'Equip, Herr y Transp'!$B$2:$D$218,2,0)</f>
        <v>TR</v>
      </c>
      <c r="E5077" s="95">
        <f>VLOOKUP(A5077,'Equip, Herr y Transp'!$B$2:$D$218,3,0)</f>
        <v>960000</v>
      </c>
      <c r="F5077" s="96">
        <f>H5066</f>
        <v>0.1875</v>
      </c>
      <c r="G5077" s="122">
        <f>F5077*E5077</f>
        <v>180000</v>
      </c>
      <c r="H5077" s="117"/>
    </row>
    <row r="5078" spans="1:15">
      <c r="A5078" s="536" t="s">
        <v>8</v>
      </c>
      <c r="B5078" s="570">
        <f>VLOOKUP(A5078,'Equip, Herr y Transp'!$B$2:$D$739,2,0)</f>
        <v>0</v>
      </c>
      <c r="C5078" s="570"/>
      <c r="D5078" s="95">
        <f>VLOOKUP(A5078,'Equip, Herr y Transp'!$B$2:$D$218,2,0)</f>
        <v>0</v>
      </c>
      <c r="E5078" s="95">
        <f>VLOOKUP(A5078,'Equip, Herr y Transp'!$B$2:$D$218,3,0)</f>
        <v>0</v>
      </c>
      <c r="F5078" s="96"/>
      <c r="G5078" s="122">
        <f>F5078*E5078</f>
        <v>0</v>
      </c>
      <c r="H5078" s="117"/>
    </row>
    <row r="5079" spans="1:15" ht="16.5">
      <c r="A5079" s="540" t="s">
        <v>4100</v>
      </c>
      <c r="B5079" s="541"/>
      <c r="C5079" s="541"/>
      <c r="D5079" s="541"/>
      <c r="E5079" s="541"/>
      <c r="F5079" s="541"/>
      <c r="G5079" s="541"/>
      <c r="H5079" s="97">
        <f>SUM(G5076:G5078)</f>
        <v>182649.375</v>
      </c>
    </row>
    <row r="5080" spans="1:15" ht="16.5">
      <c r="A5080" s="571" t="s">
        <v>4230</v>
      </c>
      <c r="B5080" s="572"/>
      <c r="C5080" s="572"/>
      <c r="D5080" s="572"/>
      <c r="E5080" s="572"/>
      <c r="F5080" s="572"/>
      <c r="G5080" s="572"/>
      <c r="H5080" s="573"/>
      <c r="K5080" s="56"/>
      <c r="L5080" s="56"/>
      <c r="M5080" s="56"/>
      <c r="N5080" s="56"/>
      <c r="O5080" s="56"/>
    </row>
    <row r="5081" spans="1:15" ht="30" customHeight="1">
      <c r="A5081" s="574" t="s">
        <v>7</v>
      </c>
      <c r="B5081" s="575"/>
      <c r="C5081" s="109" t="s">
        <v>0</v>
      </c>
      <c r="D5081" s="110" t="s">
        <v>4098</v>
      </c>
      <c r="E5081" s="111" t="s">
        <v>1</v>
      </c>
      <c r="F5081" s="576" t="s">
        <v>4218</v>
      </c>
      <c r="G5081" s="576"/>
      <c r="H5081" s="215"/>
      <c r="K5081" s="56"/>
      <c r="L5081" s="56"/>
      <c r="M5081" s="56"/>
      <c r="N5081" s="56"/>
      <c r="O5081" s="56"/>
    </row>
    <row r="5082" spans="1:15">
      <c r="A5082" s="577" t="s">
        <v>4562</v>
      </c>
      <c r="B5082" s="578"/>
      <c r="C5082" s="98" t="str">
        <f>VLOOKUP(A5082,'Materiales '!$C$2:$F$1302,3,0)</f>
        <v>Und</v>
      </c>
      <c r="D5082" s="99">
        <f>VLOOKUP(A5082,'Materiales '!$C$2:$F$1302,4,0)</f>
        <v>1879200.4000000001</v>
      </c>
      <c r="E5082" s="100">
        <v>1</v>
      </c>
      <c r="F5082" s="538">
        <f>E5082*D5082</f>
        <v>1879200.4000000001</v>
      </c>
      <c r="G5082" s="539"/>
      <c r="H5082" s="121"/>
      <c r="I5082">
        <f>E5082*G5073</f>
        <v>0</v>
      </c>
      <c r="J5082" s="67"/>
      <c r="K5082" s="56"/>
      <c r="L5082" s="56"/>
      <c r="M5082" s="56"/>
      <c r="N5082" s="56"/>
      <c r="O5082" s="56"/>
    </row>
    <row r="5083" spans="1:15">
      <c r="A5083" s="577" t="s">
        <v>4628</v>
      </c>
      <c r="B5083" s="578"/>
      <c r="C5083" s="98" t="str">
        <f>VLOOKUP(A5083,'Materiales '!$C$2:$F$1302,3,0)</f>
        <v>Rollo</v>
      </c>
      <c r="D5083" s="99">
        <f>VLOOKUP(A5083,'Materiales '!$C$2:$F$1302,4,0)</f>
        <v>138230.39999999999</v>
      </c>
      <c r="E5083" s="100">
        <v>0.5</v>
      </c>
      <c r="F5083" s="538">
        <f t="shared" ref="F5083:F5089" si="298">E5083*D5083</f>
        <v>69115.199999999997</v>
      </c>
      <c r="G5083" s="539"/>
      <c r="H5083" s="121"/>
      <c r="I5083">
        <f>E5083*G5073</f>
        <v>0</v>
      </c>
      <c r="J5083" s="67"/>
      <c r="K5083" s="56"/>
      <c r="L5083" s="56"/>
      <c r="M5083" s="56"/>
      <c r="N5083" s="56"/>
      <c r="O5083" s="56"/>
    </row>
    <row r="5084" spans="1:15">
      <c r="A5084" s="536" t="s">
        <v>8</v>
      </c>
      <c r="B5084" s="537" t="str">
        <f>VLOOKUP(A5084,'Materiales '!$C$2:$F$1302,3,0)</f>
        <v>-</v>
      </c>
      <c r="C5084" s="98" t="str">
        <f>VLOOKUP(A5084,'Materiales '!$C$2:$F$1302,3,0)</f>
        <v>-</v>
      </c>
      <c r="D5084" s="99">
        <f>VLOOKUP(A5084,'Materiales '!$C$2:$F$1302,4,0)</f>
        <v>0</v>
      </c>
      <c r="E5084" s="100">
        <v>1</v>
      </c>
      <c r="F5084" s="538">
        <f t="shared" si="298"/>
        <v>0</v>
      </c>
      <c r="G5084" s="539"/>
      <c r="H5084" s="121"/>
      <c r="I5084">
        <f>E5084*G5073</f>
        <v>0</v>
      </c>
      <c r="J5084" s="68"/>
      <c r="K5084" s="56"/>
      <c r="L5084" s="56"/>
      <c r="M5084" s="56"/>
      <c r="N5084" s="56"/>
      <c r="O5084" s="56"/>
    </row>
    <row r="5085" spans="1:15">
      <c r="A5085" s="536" t="s">
        <v>8</v>
      </c>
      <c r="B5085" s="537" t="str">
        <f>VLOOKUP(A5085,'Materiales '!$C$2:$F$1302,3,0)</f>
        <v>-</v>
      </c>
      <c r="C5085" s="98" t="str">
        <f>VLOOKUP(A5085,'Materiales '!$C$2:$F$1302,3,0)</f>
        <v>-</v>
      </c>
      <c r="D5085" s="99">
        <f>VLOOKUP(A5085,'Materiales '!$C$2:$F$1302,4,0)</f>
        <v>0</v>
      </c>
      <c r="E5085" s="100">
        <v>3</v>
      </c>
      <c r="F5085" s="538">
        <f t="shared" si="298"/>
        <v>0</v>
      </c>
      <c r="G5085" s="539"/>
      <c r="H5085" s="121"/>
      <c r="I5085">
        <f>E5085*G5073</f>
        <v>0</v>
      </c>
      <c r="J5085" s="68"/>
      <c r="K5085" s="56"/>
      <c r="L5085" s="56"/>
      <c r="M5085" s="56"/>
      <c r="N5085" s="56"/>
      <c r="O5085" s="56"/>
    </row>
    <row r="5086" spans="1:15">
      <c r="A5086" s="536" t="s">
        <v>8</v>
      </c>
      <c r="B5086" s="537" t="str">
        <f>VLOOKUP(A5086,'Materiales '!$C$2:$F$1302,3,0)</f>
        <v>-</v>
      </c>
      <c r="C5086" s="98" t="str">
        <f>VLOOKUP(A5086,'Materiales '!$C$2:$F$1302,3,0)</f>
        <v>-</v>
      </c>
      <c r="D5086" s="99">
        <f>VLOOKUP(A5086,'Materiales '!$C$2:$F$1302,4,0)</f>
        <v>0</v>
      </c>
      <c r="E5086" s="100">
        <v>2</v>
      </c>
      <c r="F5086" s="538">
        <f t="shared" si="298"/>
        <v>0</v>
      </c>
      <c r="G5086" s="539"/>
      <c r="H5086" s="121"/>
      <c r="I5086">
        <f>E5086*G5073</f>
        <v>0</v>
      </c>
      <c r="J5086" s="68"/>
      <c r="K5086" s="56"/>
      <c r="L5086" s="56"/>
      <c r="M5086" s="56"/>
      <c r="N5086" s="56"/>
      <c r="O5086" s="56"/>
    </row>
    <row r="5087" spans="1:15">
      <c r="A5087" s="536" t="s">
        <v>8</v>
      </c>
      <c r="B5087" s="537" t="str">
        <f>VLOOKUP(A5087,'Materiales '!$C$2:$F$1302,3,0)</f>
        <v>-</v>
      </c>
      <c r="C5087" s="98" t="str">
        <f>VLOOKUP(A5087,'Materiales '!$C$2:$F$1302,3,0)</f>
        <v>-</v>
      </c>
      <c r="D5087" s="99">
        <f>VLOOKUP(A5087,'Materiales '!$C$2:$F$1302,4,0)</f>
        <v>0</v>
      </c>
      <c r="E5087" s="100">
        <v>8</v>
      </c>
      <c r="F5087" s="538">
        <f t="shared" si="298"/>
        <v>0</v>
      </c>
      <c r="G5087" s="539"/>
      <c r="H5087" s="121"/>
      <c r="I5087">
        <f>E5087*G5073</f>
        <v>0</v>
      </c>
      <c r="J5087" s="68"/>
      <c r="K5087" s="56"/>
      <c r="L5087" s="56"/>
      <c r="M5087" s="56"/>
      <c r="N5087" s="56"/>
      <c r="O5087" s="56"/>
    </row>
    <row r="5088" spans="1:15">
      <c r="A5088" s="536" t="s">
        <v>8</v>
      </c>
      <c r="B5088" s="537" t="str">
        <f>VLOOKUP(A5088,'Materiales '!$C$2:$F$1302,3,0)</f>
        <v>-</v>
      </c>
      <c r="C5088" s="98" t="str">
        <f>VLOOKUP(A5088,'Materiales '!$C$2:$F$1302,3,0)</f>
        <v>-</v>
      </c>
      <c r="D5088" s="99">
        <f>VLOOKUP(A5088,'Materiales '!$C$2:$F$1302,4,0)</f>
        <v>0</v>
      </c>
      <c r="E5088" s="100">
        <v>3</v>
      </c>
      <c r="F5088" s="538">
        <f t="shared" si="298"/>
        <v>0</v>
      </c>
      <c r="G5088" s="539"/>
      <c r="H5088" s="121"/>
      <c r="I5088">
        <f>E5088*G5073</f>
        <v>0</v>
      </c>
      <c r="J5088" s="68"/>
      <c r="K5088" s="56"/>
      <c r="L5088" s="56"/>
      <c r="M5088" s="56"/>
      <c r="N5088" s="56"/>
      <c r="O5088" s="56"/>
    </row>
    <row r="5089" spans="1:15" ht="21.75" customHeight="1">
      <c r="A5089" s="536" t="s">
        <v>8</v>
      </c>
      <c r="B5089" s="537" t="str">
        <f>VLOOKUP(A5089,'Materiales '!$C$2:$F$1302,3,0)</f>
        <v>-</v>
      </c>
      <c r="C5089" s="98" t="str">
        <f>VLOOKUP(A5089,'Materiales '!$C$2:$F$1302,3,0)</f>
        <v>-</v>
      </c>
      <c r="D5089" s="99">
        <f>VLOOKUP(A5089,'Materiales '!$C$2:$F$1302,4,0)</f>
        <v>0</v>
      </c>
      <c r="E5089" s="100">
        <v>0.5</v>
      </c>
      <c r="F5089" s="538">
        <f t="shared" si="298"/>
        <v>0</v>
      </c>
      <c r="G5089" s="539"/>
      <c r="H5089" s="121"/>
      <c r="I5089">
        <f>E5089*G5073</f>
        <v>0</v>
      </c>
      <c r="J5089" s="68"/>
      <c r="K5089" s="56"/>
      <c r="L5089" s="56"/>
      <c r="M5089" s="56"/>
      <c r="N5089" s="56"/>
      <c r="O5089" s="56"/>
    </row>
    <row r="5090" spans="1:15">
      <c r="A5090" s="536" t="s">
        <v>8</v>
      </c>
      <c r="B5090" s="537" t="str">
        <f>VLOOKUP(A5090,'Materiales '!$C$2:$F$1302,3,0)</f>
        <v>-</v>
      </c>
      <c r="C5090" s="98" t="str">
        <f>VLOOKUP(A5090,'Materiales '!$C$2:$F$1302,3,0)</f>
        <v>-</v>
      </c>
      <c r="D5090" s="99">
        <f>VLOOKUP(A5090,'Materiales '!$C$2:$F$1302,4,0)</f>
        <v>0</v>
      </c>
      <c r="E5090" s="100"/>
      <c r="F5090" s="538">
        <f>E5090*D5090</f>
        <v>0</v>
      </c>
      <c r="G5090" s="539"/>
      <c r="H5090" s="120"/>
      <c r="I5090">
        <f>E5090*G5073</f>
        <v>0</v>
      </c>
      <c r="J5090" s="68"/>
      <c r="K5090" s="56"/>
      <c r="L5090" s="56"/>
      <c r="M5090" s="56"/>
      <c r="N5090" s="56"/>
      <c r="O5090" s="56"/>
    </row>
    <row r="5091" spans="1:15">
      <c r="A5091" s="536" t="s">
        <v>8</v>
      </c>
      <c r="B5091" s="537" t="str">
        <f>VLOOKUP(A5091,'Materiales '!$C$2:$F$1302,3,0)</f>
        <v>-</v>
      </c>
      <c r="C5091" s="98" t="str">
        <f>VLOOKUP(A5091,'Materiales '!$C$2:$F$1302,3,0)</f>
        <v>-</v>
      </c>
      <c r="D5091" s="99">
        <f>VLOOKUP(A5091,'Materiales '!$C$2:$F$1302,4,0)</f>
        <v>0</v>
      </c>
      <c r="E5091" s="100"/>
      <c r="F5091" s="538">
        <f t="shared" ref="F5091:F5094" si="299">E5091*D5091</f>
        <v>0</v>
      </c>
      <c r="G5091" s="539"/>
      <c r="H5091" s="121"/>
      <c r="I5091">
        <f>E5091*G5073</f>
        <v>0</v>
      </c>
      <c r="J5091" s="68"/>
      <c r="K5091" s="56"/>
      <c r="L5091" s="56"/>
      <c r="M5091" s="56"/>
      <c r="N5091" s="56"/>
      <c r="O5091" s="56"/>
    </row>
    <row r="5092" spans="1:15">
      <c r="A5092" s="536" t="s">
        <v>8</v>
      </c>
      <c r="B5092" s="537" t="str">
        <f>VLOOKUP(A5092,'Materiales '!$C$2:$F$1302,3,0)</f>
        <v>-</v>
      </c>
      <c r="C5092" s="98" t="str">
        <f>VLOOKUP(A5092,'Materiales '!$C$2:$F$1302,3,0)</f>
        <v>-</v>
      </c>
      <c r="D5092" s="99">
        <f>VLOOKUP(A5092,'Materiales '!$C$2:$F$1302,4,0)</f>
        <v>0</v>
      </c>
      <c r="E5092" s="100"/>
      <c r="F5092" s="538">
        <f t="shared" si="299"/>
        <v>0</v>
      </c>
      <c r="G5092" s="539"/>
      <c r="H5092" s="121"/>
      <c r="I5092">
        <f>E5092*G5073</f>
        <v>0</v>
      </c>
      <c r="J5092" s="68"/>
      <c r="K5092" s="56"/>
      <c r="L5092" s="56"/>
      <c r="M5092" s="56"/>
      <c r="N5092" s="56"/>
      <c r="O5092" s="56"/>
    </row>
    <row r="5093" spans="1:15">
      <c r="A5093" s="536" t="s">
        <v>8</v>
      </c>
      <c r="B5093" s="537" t="str">
        <f>VLOOKUP(A5093,'Materiales '!$C$2:$F$1302,3,0)</f>
        <v>-</v>
      </c>
      <c r="C5093" s="98" t="str">
        <f>VLOOKUP(A5093,'Materiales '!$C$2:$F$1302,3,0)</f>
        <v>-</v>
      </c>
      <c r="D5093" s="99">
        <f>VLOOKUP(A5093,'Materiales '!$C$2:$F$1302,4,0)</f>
        <v>0</v>
      </c>
      <c r="E5093" s="100"/>
      <c r="F5093" s="538">
        <f t="shared" si="299"/>
        <v>0</v>
      </c>
      <c r="G5093" s="539"/>
      <c r="H5093" s="121"/>
      <c r="I5093">
        <f>E5093*G5073</f>
        <v>0</v>
      </c>
      <c r="J5093" s="68"/>
      <c r="K5093" s="56"/>
      <c r="L5093" s="56"/>
      <c r="M5093" s="56"/>
      <c r="N5093" s="56"/>
      <c r="O5093" s="56"/>
    </row>
    <row r="5094" spans="1:15">
      <c r="A5094" s="536" t="s">
        <v>8</v>
      </c>
      <c r="B5094" s="537" t="str">
        <f>VLOOKUP(A5094,'Materiales '!$C$2:$F$1302,3,0)</f>
        <v>-</v>
      </c>
      <c r="C5094" s="98" t="str">
        <f>VLOOKUP(A5094,'Materiales '!$C$2:$F$1302,3,0)</f>
        <v>-</v>
      </c>
      <c r="D5094" s="99">
        <f>VLOOKUP(A5094,'Materiales '!$C$2:$F$1302,4,0)</f>
        <v>0</v>
      </c>
      <c r="E5094" s="100"/>
      <c r="F5094" s="538">
        <f t="shared" si="299"/>
        <v>0</v>
      </c>
      <c r="G5094" s="539"/>
      <c r="H5094" s="121"/>
      <c r="I5094">
        <f>E5094*G5073</f>
        <v>0</v>
      </c>
      <c r="J5094" s="68"/>
      <c r="K5094" s="56"/>
      <c r="L5094" s="56"/>
      <c r="M5094" s="56"/>
      <c r="N5094" s="56"/>
      <c r="O5094" s="56"/>
    </row>
    <row r="5095" spans="1:15">
      <c r="A5095" s="536" t="s">
        <v>8</v>
      </c>
      <c r="B5095" s="537" t="str">
        <f>VLOOKUP(A5095,'Materiales '!$C$2:$F$1302,3,0)</f>
        <v>-</v>
      </c>
      <c r="C5095" s="98" t="str">
        <f>VLOOKUP(A5095,'Materiales '!$C$2:$F$1302,3,0)</f>
        <v>-</v>
      </c>
      <c r="D5095" s="99">
        <f>VLOOKUP(A5095,'Materiales '!$C$2:$F$1302,4,0)</f>
        <v>0</v>
      </c>
      <c r="E5095" s="100"/>
      <c r="F5095" s="538">
        <f>E5095*D5095</f>
        <v>0</v>
      </c>
      <c r="G5095" s="539"/>
      <c r="H5095" s="120"/>
      <c r="I5095">
        <f>E5095*G5073</f>
        <v>0</v>
      </c>
      <c r="J5095" s="68"/>
      <c r="K5095" s="56"/>
      <c r="L5095" s="56"/>
      <c r="M5095" s="56"/>
      <c r="N5095" s="56"/>
      <c r="O5095" s="56"/>
    </row>
    <row r="5096" spans="1:15" ht="16.5">
      <c r="A5096" s="540" t="s">
        <v>4099</v>
      </c>
      <c r="B5096" s="541"/>
      <c r="C5096" s="541"/>
      <c r="D5096" s="541"/>
      <c r="E5096" s="541"/>
      <c r="F5096" s="541"/>
      <c r="G5096" s="542"/>
      <c r="H5096" s="116">
        <f>SUM(F5082:F5095)</f>
        <v>1948315.6</v>
      </c>
      <c r="J5096" s="68"/>
      <c r="K5096" s="56"/>
      <c r="L5096" s="56"/>
      <c r="M5096" s="56"/>
      <c r="N5096" s="56"/>
      <c r="O5096" s="56"/>
    </row>
    <row r="5097" spans="1:15" ht="16.5">
      <c r="A5097" s="543" t="s">
        <v>4231</v>
      </c>
      <c r="B5097" s="544"/>
      <c r="C5097" s="544"/>
      <c r="D5097" s="544"/>
      <c r="E5097" s="545"/>
      <c r="F5097" s="544"/>
      <c r="G5097" s="544"/>
      <c r="H5097" s="546"/>
      <c r="J5097" s="68"/>
      <c r="K5097" s="56"/>
      <c r="L5097" s="56"/>
      <c r="M5097" s="56"/>
      <c r="N5097" s="56"/>
      <c r="O5097" s="56"/>
    </row>
    <row r="5098" spans="1:15">
      <c r="A5098" s="547" t="s">
        <v>7</v>
      </c>
      <c r="B5098" s="548"/>
      <c r="C5098" s="108" t="s">
        <v>4232</v>
      </c>
      <c r="D5098" s="107" t="s">
        <v>4233</v>
      </c>
      <c r="E5098" s="206" t="s">
        <v>4234</v>
      </c>
      <c r="F5098" s="549" t="s">
        <v>4218</v>
      </c>
      <c r="G5098" s="549"/>
      <c r="H5098" s="119"/>
      <c r="K5098" s="56"/>
      <c r="L5098" s="56"/>
      <c r="M5098" s="56"/>
      <c r="N5098" s="56"/>
      <c r="O5098" s="56"/>
    </row>
    <row r="5099" spans="1:15">
      <c r="A5099" s="550" t="s">
        <v>3928</v>
      </c>
      <c r="B5099" s="551"/>
      <c r="C5099" s="232">
        <v>1</v>
      </c>
      <c r="D5099" s="102">
        <v>0.03</v>
      </c>
      <c r="E5099" s="103">
        <f>VLOOKUP(A5099,'Equip, Herr y Transp'!$B$2:$D$218,3,0)</f>
        <v>160000</v>
      </c>
      <c r="F5099" s="552">
        <f>E5099*D5099*C5099</f>
        <v>4800</v>
      </c>
      <c r="G5099" s="553"/>
      <c r="H5099" s="117"/>
      <c r="M5099" s="56"/>
    </row>
    <row r="5100" spans="1:15" ht="16.5">
      <c r="A5100" s="554" t="s">
        <v>4216</v>
      </c>
      <c r="B5100" s="555"/>
      <c r="C5100" s="555"/>
      <c r="D5100" s="555"/>
      <c r="E5100" s="555"/>
      <c r="F5100" s="555"/>
      <c r="G5100" s="555"/>
      <c r="H5100" s="105">
        <f>F5099</f>
        <v>4800</v>
      </c>
    </row>
    <row r="5101" spans="1:15" ht="16.5">
      <c r="A5101" s="543" t="s">
        <v>4235</v>
      </c>
      <c r="B5101" s="544"/>
      <c r="C5101" s="544"/>
      <c r="D5101" s="544"/>
      <c r="E5101" s="544"/>
      <c r="F5101" s="544"/>
      <c r="G5101" s="544"/>
      <c r="H5101" s="546"/>
    </row>
    <row r="5102" spans="1:15">
      <c r="A5102" s="547" t="s">
        <v>7</v>
      </c>
      <c r="B5102" s="548"/>
      <c r="C5102" s="106" t="s">
        <v>1</v>
      </c>
      <c r="D5102" s="107" t="s">
        <v>4236</v>
      </c>
      <c r="E5102" s="108" t="s">
        <v>4215</v>
      </c>
      <c r="F5102" s="547" t="s">
        <v>5</v>
      </c>
      <c r="G5102" s="556"/>
      <c r="H5102" s="119"/>
    </row>
    <row r="5103" spans="1:15">
      <c r="A5103" s="550" t="s">
        <v>4196</v>
      </c>
      <c r="B5103" s="551"/>
      <c r="C5103" s="101">
        <v>1</v>
      </c>
      <c r="D5103" s="104">
        <f>VLOOKUP(A5103,'Mano Obra'!$B$2:$T$117,19,0)</f>
        <v>166624</v>
      </c>
      <c r="E5103" s="246">
        <f>H5066</f>
        <v>0.1875</v>
      </c>
      <c r="F5103" s="538">
        <f>E5103*D5103*C5103</f>
        <v>31242</v>
      </c>
      <c r="G5103" s="557"/>
      <c r="H5103" s="121"/>
      <c r="I5103" s="69"/>
      <c r="J5103" s="136">
        <f>((('Mano Obra'!$M$4/30)*F5103)/D5103)*G5073</f>
        <v>0</v>
      </c>
    </row>
    <row r="5104" spans="1:15">
      <c r="A5104" s="558" t="s">
        <v>4197</v>
      </c>
      <c r="B5104" s="559">
        <f>VLOOKUP(A5104,'Mano Obra'!$B$3:$D$290,2,0)</f>
        <v>2090000.0000000002</v>
      </c>
      <c r="C5104" s="101">
        <v>1</v>
      </c>
      <c r="D5104" s="104">
        <f>VLOOKUP(A5104,'Mano Obra'!$B$2:$T$117,19,0)</f>
        <v>120456</v>
      </c>
      <c r="E5104" s="246">
        <f>H5066</f>
        <v>0.1875</v>
      </c>
      <c r="F5104" s="538">
        <f t="shared" ref="F5104:F5105" si="300">E5104*D5104*C5104</f>
        <v>22585.5</v>
      </c>
      <c r="G5104" s="557"/>
      <c r="H5104" s="121"/>
      <c r="J5104" s="136">
        <f>((('Mano Obra'!$M$5/30)*F5104)/D5104)*G5073</f>
        <v>0</v>
      </c>
    </row>
    <row r="5105" spans="1:10">
      <c r="A5105" s="558" t="s">
        <v>4186</v>
      </c>
      <c r="B5105" s="559">
        <f>VLOOKUP(A5105,'Mano Obra'!$B$3:$D$290,2,0)</f>
        <v>1100000</v>
      </c>
      <c r="C5105" s="101">
        <v>1</v>
      </c>
      <c r="D5105" s="104">
        <f>VLOOKUP(A5105,'Mano Obra'!$B$2:$T$117,19,0)</f>
        <v>72664</v>
      </c>
      <c r="E5105" s="246">
        <f>H5066</f>
        <v>0.1875</v>
      </c>
      <c r="F5105" s="538">
        <f t="shared" si="300"/>
        <v>13624.5</v>
      </c>
      <c r="G5105" s="557"/>
      <c r="H5105" s="120"/>
      <c r="J5105" s="136">
        <f>((('Mano Obra'!$M$6/30)*F5105)/D5105)*G5073</f>
        <v>0</v>
      </c>
    </row>
    <row r="5106" spans="1:10" ht="16.5">
      <c r="A5106" s="560" t="s">
        <v>4101</v>
      </c>
      <c r="B5106" s="560"/>
      <c r="C5106" s="560"/>
      <c r="D5106" s="560"/>
      <c r="E5106" s="560"/>
      <c r="F5106" s="560"/>
      <c r="G5106" s="560"/>
      <c r="H5106" s="105">
        <f>SUM(F5103:F5105)</f>
        <v>67452</v>
      </c>
      <c r="J5106" s="136"/>
    </row>
    <row r="5107" spans="1:10">
      <c r="A5107" s="227" t="s">
        <v>4237</v>
      </c>
      <c r="B5107" s="205"/>
      <c r="C5107" s="205"/>
      <c r="D5107" s="202"/>
      <c r="E5107" s="203"/>
      <c r="F5107" s="204"/>
      <c r="G5107" s="203"/>
      <c r="H5107" s="212"/>
    </row>
    <row r="5108" spans="1:10">
      <c r="A5108" s="561" t="s">
        <v>4224</v>
      </c>
      <c r="B5108" s="562"/>
      <c r="C5108" s="562"/>
      <c r="D5108" s="562"/>
      <c r="E5108" s="200"/>
      <c r="F5108" s="201" t="s">
        <v>4238</v>
      </c>
      <c r="G5108" s="200" t="s">
        <v>4239</v>
      </c>
      <c r="H5108" s="213"/>
    </row>
    <row r="5109" spans="1:10">
      <c r="A5109" s="223" t="s">
        <v>4097</v>
      </c>
      <c r="B5109" s="72"/>
      <c r="C5109" s="72"/>
      <c r="D5109" s="73"/>
      <c r="E5109" s="78"/>
      <c r="F5109" s="79">
        <v>0</v>
      </c>
      <c r="G5109" s="80">
        <f>F5109*H5074</f>
        <v>0</v>
      </c>
      <c r="H5109" s="212"/>
    </row>
    <row r="5110" spans="1:10">
      <c r="A5110" s="224" t="s">
        <v>4240</v>
      </c>
      <c r="B5110" s="81"/>
      <c r="C5110" s="81"/>
      <c r="D5110" s="82"/>
      <c r="E5110" s="78"/>
      <c r="F5110" s="79">
        <v>0</v>
      </c>
      <c r="G5110" s="80">
        <f>F5110*H5074</f>
        <v>0</v>
      </c>
      <c r="H5110" s="212"/>
    </row>
    <row r="5111" spans="1:10">
      <c r="A5111" s="224" t="s">
        <v>4</v>
      </c>
      <c r="B5111" s="81"/>
      <c r="C5111" s="81"/>
      <c r="D5111" s="82"/>
      <c r="E5111" s="78"/>
      <c r="F5111" s="79">
        <v>0</v>
      </c>
      <c r="G5111" s="80">
        <f>F5111*H5074</f>
        <v>0</v>
      </c>
      <c r="H5111" s="212"/>
    </row>
    <row r="5112" spans="1:10">
      <c r="A5112" s="225"/>
      <c r="B5112" s="83"/>
      <c r="C5112" s="75"/>
      <c r="D5112" s="84"/>
      <c r="E5112" s="85"/>
      <c r="F5112" s="86"/>
      <c r="G5112" s="87"/>
      <c r="H5112" s="214"/>
    </row>
    <row r="5113" spans="1:10">
      <c r="A5113" s="226"/>
      <c r="B5113" s="83"/>
      <c r="C5113" s="83"/>
      <c r="D5113" s="84"/>
      <c r="E5113" s="88"/>
      <c r="F5113" s="563" t="s">
        <v>4241</v>
      </c>
      <c r="G5113" s="564"/>
      <c r="H5113" s="233">
        <f>H5074+G5109+G5110+G5111</f>
        <v>2203216.9750000001</v>
      </c>
    </row>
    <row r="5114" spans="1:10">
      <c r="A5114" s="83"/>
      <c r="B5114" s="83"/>
      <c r="C5114" s="83"/>
      <c r="D5114" s="84"/>
      <c r="E5114" s="388"/>
      <c r="F5114" s="389"/>
      <c r="G5114" s="389"/>
      <c r="H5114" s="390"/>
    </row>
    <row r="5115" spans="1:10" ht="16.5">
      <c r="A5115" s="90"/>
      <c r="B5115" s="90"/>
      <c r="C5115" s="90"/>
      <c r="D5115" s="90"/>
      <c r="E5115" s="90"/>
      <c r="F5115" s="90"/>
      <c r="G5115" s="90"/>
      <c r="H5115" s="381"/>
    </row>
    <row r="5116" spans="1:10">
      <c r="A5116" s="579" t="s">
        <v>4225</v>
      </c>
      <c r="B5116" s="580"/>
      <c r="C5116" s="580"/>
      <c r="D5116" s="580"/>
      <c r="E5116" s="580"/>
      <c r="F5116" s="580"/>
      <c r="G5116" s="580"/>
      <c r="H5116" s="581"/>
    </row>
    <row r="5117" spans="1:10" ht="16.5">
      <c r="A5117" s="91"/>
      <c r="B5117" s="92"/>
      <c r="C5117" s="92"/>
      <c r="D5117" s="92"/>
      <c r="E5117" s="92"/>
      <c r="F5117" s="93"/>
      <c r="G5117" s="94"/>
      <c r="H5117" s="380">
        <f>ROUND((90/60)/8,4)</f>
        <v>0.1875</v>
      </c>
      <c r="I5117" s="115"/>
    </row>
    <row r="5118" spans="1:10">
      <c r="A5118" s="582" t="s">
        <v>4220</v>
      </c>
      <c r="B5118" s="584" t="str">
        <f>COSTOS!$C$14</f>
        <v>MODERNIZACION A TECNOLOGIA LED</v>
      </c>
      <c r="C5118" s="584"/>
      <c r="D5118" s="584"/>
      <c r="E5118" s="584"/>
      <c r="F5118" s="584"/>
      <c r="G5118" s="584"/>
      <c r="H5118" s="585" t="s">
        <v>4221</v>
      </c>
    </row>
    <row r="5119" spans="1:10">
      <c r="A5119" s="583"/>
      <c r="B5119" s="584"/>
      <c r="C5119" s="584"/>
      <c r="D5119" s="584"/>
      <c r="E5119" s="584"/>
      <c r="F5119" s="584"/>
      <c r="G5119" s="584"/>
      <c r="H5119" s="585"/>
    </row>
    <row r="5120" spans="1:10">
      <c r="A5120" s="583"/>
      <c r="B5120" s="584"/>
      <c r="C5120" s="584"/>
      <c r="D5120" s="584"/>
      <c r="E5120" s="584"/>
      <c r="F5120" s="584"/>
      <c r="G5120" s="584"/>
      <c r="H5120" s="585"/>
    </row>
    <row r="5121" spans="1:15" ht="15" customHeight="1">
      <c r="A5121" s="583"/>
      <c r="B5121" s="584"/>
      <c r="C5121" s="584"/>
      <c r="D5121" s="584"/>
      <c r="E5121" s="584"/>
      <c r="F5121" s="584"/>
      <c r="G5121" s="584"/>
      <c r="H5121" s="216">
        <f ca="1">TODAY()</f>
        <v>44889</v>
      </c>
      <c r="K5121" t="s">
        <v>4391</v>
      </c>
      <c r="L5121" t="s">
        <v>4392</v>
      </c>
      <c r="M5121" t="s">
        <v>4393</v>
      </c>
      <c r="N5121" t="s">
        <v>4394</v>
      </c>
    </row>
    <row r="5122" spans="1:15" ht="60.75" customHeight="1">
      <c r="A5122" s="228" t="s">
        <v>4222</v>
      </c>
      <c r="B5122" s="565" t="str">
        <f>COSTOS!$D$16</f>
        <v>Luminarias</v>
      </c>
      <c r="C5122" s="565"/>
      <c r="D5122" s="565"/>
      <c r="E5122" s="565"/>
      <c r="F5122" s="565"/>
      <c r="G5122" s="70" t="s">
        <v>4223</v>
      </c>
      <c r="H5122" s="391">
        <v>2.17</v>
      </c>
      <c r="K5122" s="62">
        <f>H5147</f>
        <v>2309468.7000000002</v>
      </c>
      <c r="L5122" s="62">
        <f>H5157</f>
        <v>67452</v>
      </c>
      <c r="M5122" s="62">
        <f>H5130</f>
        <v>182649.375</v>
      </c>
      <c r="N5122" s="62">
        <f>H5151</f>
        <v>4800</v>
      </c>
    </row>
    <row r="5123" spans="1:15" ht="43.15" customHeight="1">
      <c r="A5123" s="229" t="s">
        <v>4224</v>
      </c>
      <c r="B5123" s="566" t="str">
        <f>VLOOKUP(H5122,COSTOS!C:M,2,0)</f>
        <v xml:space="preserve">Poste de Fibra de 12 m x 750KgF </v>
      </c>
      <c r="C5123" s="567"/>
      <c r="D5123" s="567"/>
      <c r="E5123" s="568"/>
      <c r="F5123" s="71" t="s">
        <v>0</v>
      </c>
      <c r="G5123" s="356" t="str">
        <f>VLOOKUP(H5122,COSTOS!C:M,8,0)</f>
        <v>Und</v>
      </c>
      <c r="H5123" s="276"/>
      <c r="I5123" s="306"/>
      <c r="J5123" s="308"/>
      <c r="K5123" s="308"/>
      <c r="L5123" s="308"/>
    </row>
    <row r="5124" spans="1:15">
      <c r="A5124" s="230"/>
      <c r="B5124" s="112"/>
      <c r="C5124" s="112"/>
      <c r="D5124" s="112"/>
      <c r="E5124" s="113"/>
      <c r="F5124" s="114" t="s">
        <v>1</v>
      </c>
      <c r="G5124" s="356">
        <f>VLOOKUP(H5122,COSTOS!C:M,9,0)</f>
        <v>0</v>
      </c>
      <c r="H5124" s="357"/>
      <c r="I5124" s="307"/>
    </row>
    <row r="5125" spans="1:15" ht="16.5">
      <c r="A5125" s="231" t="s">
        <v>4226</v>
      </c>
      <c r="B5125" s="75"/>
      <c r="C5125" s="75"/>
      <c r="D5125" s="76"/>
      <c r="E5125" s="209"/>
      <c r="F5125" s="210"/>
      <c r="G5125" s="211" t="s">
        <v>4227</v>
      </c>
      <c r="H5125" s="217">
        <f>H5130+H5147+H5151+H5157</f>
        <v>2564370.0750000002</v>
      </c>
    </row>
    <row r="5126" spans="1:15" ht="39">
      <c r="A5126" s="569" t="s">
        <v>4224</v>
      </c>
      <c r="B5126" s="569"/>
      <c r="C5126" s="569"/>
      <c r="D5126" s="77" t="s">
        <v>0</v>
      </c>
      <c r="E5126" s="207" t="s">
        <v>4228</v>
      </c>
      <c r="F5126" s="208" t="s">
        <v>4215</v>
      </c>
      <c r="G5126" s="74" t="s">
        <v>2</v>
      </c>
      <c r="H5126" s="218" t="s">
        <v>4229</v>
      </c>
      <c r="K5126" s="309"/>
    </row>
    <row r="5127" spans="1:15">
      <c r="A5127" s="536" t="s">
        <v>3946</v>
      </c>
      <c r="B5127" s="570" t="str">
        <f>VLOOKUP(A5127,'Equip, Herr y Transp'!$B$2:$D$739,2,0)</f>
        <v>EQU</v>
      </c>
      <c r="C5127" s="570"/>
      <c r="D5127" s="95" t="str">
        <f>VLOOKUP(A5127,'Equip, Herr y Transp'!$B$2:$D$218,2,0)</f>
        <v>EQU</v>
      </c>
      <c r="E5127" s="95">
        <f>VLOOKUP(A5127,'Equip, Herr y Transp'!$B$2:$D$218,3,0)</f>
        <v>14130</v>
      </c>
      <c r="F5127" s="96">
        <f>H5117</f>
        <v>0.1875</v>
      </c>
      <c r="G5127" s="122">
        <f>F5127*E5127</f>
        <v>2649.375</v>
      </c>
      <c r="H5127" s="118"/>
    </row>
    <row r="5128" spans="1:15">
      <c r="A5128" s="536" t="s">
        <v>3894</v>
      </c>
      <c r="B5128" s="570" t="str">
        <f>VLOOKUP(A5128,'Equip, Herr y Transp'!$B$2:$D$739,2,0)</f>
        <v>TR</v>
      </c>
      <c r="C5128" s="570"/>
      <c r="D5128" s="95" t="str">
        <f>VLOOKUP(A5128,'Equip, Herr y Transp'!$B$2:$D$218,2,0)</f>
        <v>TR</v>
      </c>
      <c r="E5128" s="95">
        <f>VLOOKUP(A5128,'Equip, Herr y Transp'!$B$2:$D$218,3,0)</f>
        <v>960000</v>
      </c>
      <c r="F5128" s="96">
        <f>H5117</f>
        <v>0.1875</v>
      </c>
      <c r="G5128" s="122">
        <f>F5128*E5128</f>
        <v>180000</v>
      </c>
      <c r="H5128" s="117"/>
    </row>
    <row r="5129" spans="1:15">
      <c r="A5129" s="536" t="s">
        <v>8</v>
      </c>
      <c r="B5129" s="570">
        <f>VLOOKUP(A5129,'Equip, Herr y Transp'!$B$2:$D$739,2,0)</f>
        <v>0</v>
      </c>
      <c r="C5129" s="570"/>
      <c r="D5129" s="95">
        <f>VLOOKUP(A5129,'Equip, Herr y Transp'!$B$2:$D$218,2,0)</f>
        <v>0</v>
      </c>
      <c r="E5129" s="95">
        <f>VLOOKUP(A5129,'Equip, Herr y Transp'!$B$2:$D$218,3,0)</f>
        <v>0</v>
      </c>
      <c r="F5129" s="96"/>
      <c r="G5129" s="122">
        <f>F5129*E5129</f>
        <v>0</v>
      </c>
      <c r="H5129" s="117"/>
    </row>
    <row r="5130" spans="1:15" ht="16.5">
      <c r="A5130" s="540" t="s">
        <v>4100</v>
      </c>
      <c r="B5130" s="541"/>
      <c r="C5130" s="541"/>
      <c r="D5130" s="541"/>
      <c r="E5130" s="541"/>
      <c r="F5130" s="541"/>
      <c r="G5130" s="541"/>
      <c r="H5130" s="97">
        <f>SUM(G5127:G5129)</f>
        <v>182649.375</v>
      </c>
    </row>
    <row r="5131" spans="1:15" ht="16.5">
      <c r="A5131" s="571" t="s">
        <v>4230</v>
      </c>
      <c r="B5131" s="572"/>
      <c r="C5131" s="572"/>
      <c r="D5131" s="572"/>
      <c r="E5131" s="572"/>
      <c r="F5131" s="572"/>
      <c r="G5131" s="572"/>
      <c r="H5131" s="573"/>
      <c r="K5131" s="56"/>
      <c r="L5131" s="56"/>
      <c r="M5131" s="56"/>
      <c r="N5131" s="56"/>
      <c r="O5131" s="56"/>
    </row>
    <row r="5132" spans="1:15" ht="30" customHeight="1">
      <c r="A5132" s="574" t="s">
        <v>7</v>
      </c>
      <c r="B5132" s="575"/>
      <c r="C5132" s="109" t="s">
        <v>0</v>
      </c>
      <c r="D5132" s="110" t="s">
        <v>4098</v>
      </c>
      <c r="E5132" s="111" t="s">
        <v>1</v>
      </c>
      <c r="F5132" s="576" t="s">
        <v>4218</v>
      </c>
      <c r="G5132" s="576"/>
      <c r="H5132" s="215"/>
      <c r="K5132" s="56"/>
      <c r="L5132" s="56"/>
      <c r="M5132" s="56"/>
      <c r="N5132" s="56"/>
      <c r="O5132" s="56"/>
    </row>
    <row r="5133" spans="1:15">
      <c r="A5133" s="577" t="s">
        <v>4563</v>
      </c>
      <c r="B5133" s="578"/>
      <c r="C5133" s="98" t="str">
        <f>VLOOKUP(A5133,'Materiales '!$C$2:$F$1302,3,0)</f>
        <v>Und</v>
      </c>
      <c r="D5133" s="99">
        <f>VLOOKUP(A5133,'Materiales '!$C$2:$F$1302,4,0)</f>
        <v>2240353.5</v>
      </c>
      <c r="E5133" s="100">
        <v>1</v>
      </c>
      <c r="F5133" s="538">
        <f>E5133*D5133</f>
        <v>2240353.5</v>
      </c>
      <c r="G5133" s="539"/>
      <c r="H5133" s="121"/>
      <c r="I5133">
        <f>E5133*G5124</f>
        <v>0</v>
      </c>
      <c r="J5133" s="67"/>
      <c r="K5133" s="56"/>
      <c r="L5133" s="56"/>
      <c r="M5133" s="56"/>
      <c r="N5133" s="56"/>
      <c r="O5133" s="56"/>
    </row>
    <row r="5134" spans="1:15">
      <c r="A5134" s="577" t="s">
        <v>4628</v>
      </c>
      <c r="B5134" s="578"/>
      <c r="C5134" s="98" t="str">
        <f>VLOOKUP(A5134,'Materiales '!$C$2:$F$1302,3,0)</f>
        <v>Rollo</v>
      </c>
      <c r="D5134" s="99">
        <f>VLOOKUP(A5134,'Materiales '!$C$2:$F$1302,4,0)</f>
        <v>138230.39999999999</v>
      </c>
      <c r="E5134" s="100">
        <v>0.5</v>
      </c>
      <c r="F5134" s="538">
        <f t="shared" ref="F5134:F5140" si="301">E5134*D5134</f>
        <v>69115.199999999997</v>
      </c>
      <c r="G5134" s="539"/>
      <c r="H5134" s="121"/>
      <c r="I5134">
        <f>E5134*G5124</f>
        <v>0</v>
      </c>
      <c r="J5134" s="67"/>
      <c r="K5134" s="56"/>
      <c r="L5134" s="56"/>
      <c r="M5134" s="56"/>
      <c r="N5134" s="56"/>
      <c r="O5134" s="56"/>
    </row>
    <row r="5135" spans="1:15">
      <c r="A5135" s="536" t="s">
        <v>8</v>
      </c>
      <c r="B5135" s="537" t="str">
        <f>VLOOKUP(A5135,'Materiales '!$C$2:$F$1302,3,0)</f>
        <v>-</v>
      </c>
      <c r="C5135" s="98" t="str">
        <f>VLOOKUP(A5135,'Materiales '!$C$2:$F$1302,3,0)</f>
        <v>-</v>
      </c>
      <c r="D5135" s="99">
        <f>VLOOKUP(A5135,'Materiales '!$C$2:$F$1302,4,0)</f>
        <v>0</v>
      </c>
      <c r="E5135" s="100">
        <v>1</v>
      </c>
      <c r="F5135" s="538">
        <f t="shared" si="301"/>
        <v>0</v>
      </c>
      <c r="G5135" s="539"/>
      <c r="H5135" s="121"/>
      <c r="I5135">
        <f>E5135*G5124</f>
        <v>0</v>
      </c>
      <c r="J5135" s="68"/>
      <c r="K5135" s="56"/>
      <c r="L5135" s="56"/>
      <c r="M5135" s="56"/>
      <c r="N5135" s="56"/>
      <c r="O5135" s="56"/>
    </row>
    <row r="5136" spans="1:15">
      <c r="A5136" s="536" t="s">
        <v>8</v>
      </c>
      <c r="B5136" s="537" t="str">
        <f>VLOOKUP(A5136,'Materiales '!$C$2:$F$1302,3,0)</f>
        <v>-</v>
      </c>
      <c r="C5136" s="98" t="str">
        <f>VLOOKUP(A5136,'Materiales '!$C$2:$F$1302,3,0)</f>
        <v>-</v>
      </c>
      <c r="D5136" s="99">
        <f>VLOOKUP(A5136,'Materiales '!$C$2:$F$1302,4,0)</f>
        <v>0</v>
      </c>
      <c r="E5136" s="100">
        <v>3</v>
      </c>
      <c r="F5136" s="538">
        <f t="shared" si="301"/>
        <v>0</v>
      </c>
      <c r="G5136" s="539"/>
      <c r="H5136" s="121"/>
      <c r="I5136">
        <f>E5136*G5124</f>
        <v>0</v>
      </c>
      <c r="J5136" s="68"/>
      <c r="K5136" s="56"/>
      <c r="L5136" s="56"/>
      <c r="M5136" s="56"/>
      <c r="N5136" s="56"/>
      <c r="O5136" s="56"/>
    </row>
    <row r="5137" spans="1:15">
      <c r="A5137" s="536" t="s">
        <v>8</v>
      </c>
      <c r="B5137" s="537" t="str">
        <f>VLOOKUP(A5137,'Materiales '!$C$2:$F$1302,3,0)</f>
        <v>-</v>
      </c>
      <c r="C5137" s="98" t="str">
        <f>VLOOKUP(A5137,'Materiales '!$C$2:$F$1302,3,0)</f>
        <v>-</v>
      </c>
      <c r="D5137" s="99">
        <f>VLOOKUP(A5137,'Materiales '!$C$2:$F$1302,4,0)</f>
        <v>0</v>
      </c>
      <c r="E5137" s="100">
        <v>2</v>
      </c>
      <c r="F5137" s="538">
        <f t="shared" si="301"/>
        <v>0</v>
      </c>
      <c r="G5137" s="539"/>
      <c r="H5137" s="121"/>
      <c r="I5137">
        <f>E5137*G5124</f>
        <v>0</v>
      </c>
      <c r="J5137" s="68"/>
      <c r="K5137" s="56"/>
      <c r="L5137" s="56"/>
      <c r="M5137" s="56"/>
      <c r="N5137" s="56"/>
      <c r="O5137" s="56"/>
    </row>
    <row r="5138" spans="1:15">
      <c r="A5138" s="536" t="s">
        <v>8</v>
      </c>
      <c r="B5138" s="537" t="str">
        <f>VLOOKUP(A5138,'Materiales '!$C$2:$F$1302,3,0)</f>
        <v>-</v>
      </c>
      <c r="C5138" s="98" t="str">
        <f>VLOOKUP(A5138,'Materiales '!$C$2:$F$1302,3,0)</f>
        <v>-</v>
      </c>
      <c r="D5138" s="99">
        <f>VLOOKUP(A5138,'Materiales '!$C$2:$F$1302,4,0)</f>
        <v>0</v>
      </c>
      <c r="E5138" s="100">
        <v>8</v>
      </c>
      <c r="F5138" s="538">
        <f t="shared" si="301"/>
        <v>0</v>
      </c>
      <c r="G5138" s="539"/>
      <c r="H5138" s="121"/>
      <c r="I5138">
        <f>E5138*G5124</f>
        <v>0</v>
      </c>
      <c r="J5138" s="68"/>
      <c r="K5138" s="56"/>
      <c r="L5138" s="56"/>
      <c r="M5138" s="56"/>
      <c r="N5138" s="56"/>
      <c r="O5138" s="56"/>
    </row>
    <row r="5139" spans="1:15">
      <c r="A5139" s="536" t="s">
        <v>8</v>
      </c>
      <c r="B5139" s="537" t="str">
        <f>VLOOKUP(A5139,'Materiales '!$C$2:$F$1302,3,0)</f>
        <v>-</v>
      </c>
      <c r="C5139" s="98" t="str">
        <f>VLOOKUP(A5139,'Materiales '!$C$2:$F$1302,3,0)</f>
        <v>-</v>
      </c>
      <c r="D5139" s="99">
        <f>VLOOKUP(A5139,'Materiales '!$C$2:$F$1302,4,0)</f>
        <v>0</v>
      </c>
      <c r="E5139" s="100">
        <v>3</v>
      </c>
      <c r="F5139" s="538">
        <f t="shared" si="301"/>
        <v>0</v>
      </c>
      <c r="G5139" s="539"/>
      <c r="H5139" s="121"/>
      <c r="I5139">
        <f>E5139*G5124</f>
        <v>0</v>
      </c>
      <c r="J5139" s="68"/>
      <c r="K5139" s="56"/>
      <c r="L5139" s="56"/>
      <c r="M5139" s="56"/>
      <c r="N5139" s="56"/>
      <c r="O5139" s="56"/>
    </row>
    <row r="5140" spans="1:15" ht="21.75" customHeight="1">
      <c r="A5140" s="536" t="s">
        <v>8</v>
      </c>
      <c r="B5140" s="537" t="str">
        <f>VLOOKUP(A5140,'Materiales '!$C$2:$F$1302,3,0)</f>
        <v>-</v>
      </c>
      <c r="C5140" s="98" t="str">
        <f>VLOOKUP(A5140,'Materiales '!$C$2:$F$1302,3,0)</f>
        <v>-</v>
      </c>
      <c r="D5140" s="99">
        <f>VLOOKUP(A5140,'Materiales '!$C$2:$F$1302,4,0)</f>
        <v>0</v>
      </c>
      <c r="E5140" s="100">
        <v>0.5</v>
      </c>
      <c r="F5140" s="538">
        <f t="shared" si="301"/>
        <v>0</v>
      </c>
      <c r="G5140" s="539"/>
      <c r="H5140" s="121"/>
      <c r="I5140">
        <f>E5140*G5124</f>
        <v>0</v>
      </c>
      <c r="J5140" s="68"/>
      <c r="K5140" s="56"/>
      <c r="L5140" s="56"/>
      <c r="M5140" s="56"/>
      <c r="N5140" s="56"/>
      <c r="O5140" s="56"/>
    </row>
    <row r="5141" spans="1:15">
      <c r="A5141" s="536" t="s">
        <v>8</v>
      </c>
      <c r="B5141" s="537" t="str">
        <f>VLOOKUP(A5141,'Materiales '!$C$2:$F$1302,3,0)</f>
        <v>-</v>
      </c>
      <c r="C5141" s="98" t="str">
        <f>VLOOKUP(A5141,'Materiales '!$C$2:$F$1302,3,0)</f>
        <v>-</v>
      </c>
      <c r="D5141" s="99">
        <f>VLOOKUP(A5141,'Materiales '!$C$2:$F$1302,4,0)</f>
        <v>0</v>
      </c>
      <c r="E5141" s="100"/>
      <c r="F5141" s="538">
        <f>E5141*D5141</f>
        <v>0</v>
      </c>
      <c r="G5141" s="539"/>
      <c r="H5141" s="120"/>
      <c r="I5141">
        <f>E5141*G5124</f>
        <v>0</v>
      </c>
      <c r="J5141" s="68"/>
      <c r="K5141" s="56"/>
      <c r="L5141" s="56"/>
      <c r="M5141" s="56"/>
      <c r="N5141" s="56"/>
      <c r="O5141" s="56"/>
    </row>
    <row r="5142" spans="1:15">
      <c r="A5142" s="536" t="s">
        <v>8</v>
      </c>
      <c r="B5142" s="537" t="str">
        <f>VLOOKUP(A5142,'Materiales '!$C$2:$F$1302,3,0)</f>
        <v>-</v>
      </c>
      <c r="C5142" s="98" t="str">
        <f>VLOOKUP(A5142,'Materiales '!$C$2:$F$1302,3,0)</f>
        <v>-</v>
      </c>
      <c r="D5142" s="99">
        <f>VLOOKUP(A5142,'Materiales '!$C$2:$F$1302,4,0)</f>
        <v>0</v>
      </c>
      <c r="E5142" s="100"/>
      <c r="F5142" s="538">
        <f t="shared" ref="F5142:F5145" si="302">E5142*D5142</f>
        <v>0</v>
      </c>
      <c r="G5142" s="539"/>
      <c r="H5142" s="121"/>
      <c r="I5142">
        <f>E5142*G5124</f>
        <v>0</v>
      </c>
      <c r="J5142" s="68"/>
      <c r="K5142" s="56"/>
      <c r="L5142" s="56"/>
      <c r="M5142" s="56"/>
      <c r="N5142" s="56"/>
      <c r="O5142" s="56"/>
    </row>
    <row r="5143" spans="1:15">
      <c r="A5143" s="536" t="s">
        <v>8</v>
      </c>
      <c r="B5143" s="537" t="str">
        <f>VLOOKUP(A5143,'Materiales '!$C$2:$F$1302,3,0)</f>
        <v>-</v>
      </c>
      <c r="C5143" s="98" t="str">
        <f>VLOOKUP(A5143,'Materiales '!$C$2:$F$1302,3,0)</f>
        <v>-</v>
      </c>
      <c r="D5143" s="99">
        <f>VLOOKUP(A5143,'Materiales '!$C$2:$F$1302,4,0)</f>
        <v>0</v>
      </c>
      <c r="E5143" s="100"/>
      <c r="F5143" s="538">
        <f t="shared" si="302"/>
        <v>0</v>
      </c>
      <c r="G5143" s="539"/>
      <c r="H5143" s="121"/>
      <c r="I5143">
        <f>E5143*G5124</f>
        <v>0</v>
      </c>
      <c r="J5143" s="68"/>
      <c r="K5143" s="56"/>
      <c r="L5143" s="56"/>
      <c r="M5143" s="56"/>
      <c r="N5143" s="56"/>
      <c r="O5143" s="56"/>
    </row>
    <row r="5144" spans="1:15">
      <c r="A5144" s="536" t="s">
        <v>8</v>
      </c>
      <c r="B5144" s="537" t="str">
        <f>VLOOKUP(A5144,'Materiales '!$C$2:$F$1302,3,0)</f>
        <v>-</v>
      </c>
      <c r="C5144" s="98" t="str">
        <f>VLOOKUP(A5144,'Materiales '!$C$2:$F$1302,3,0)</f>
        <v>-</v>
      </c>
      <c r="D5144" s="99">
        <f>VLOOKUP(A5144,'Materiales '!$C$2:$F$1302,4,0)</f>
        <v>0</v>
      </c>
      <c r="E5144" s="100"/>
      <c r="F5144" s="538">
        <f t="shared" si="302"/>
        <v>0</v>
      </c>
      <c r="G5144" s="539"/>
      <c r="H5144" s="121"/>
      <c r="I5144">
        <f>E5144*G5124</f>
        <v>0</v>
      </c>
      <c r="J5144" s="68"/>
      <c r="K5144" s="56"/>
      <c r="L5144" s="56"/>
      <c r="M5144" s="56"/>
      <c r="N5144" s="56"/>
      <c r="O5144" s="56"/>
    </row>
    <row r="5145" spans="1:15">
      <c r="A5145" s="536" t="s">
        <v>8</v>
      </c>
      <c r="B5145" s="537" t="str">
        <f>VLOOKUP(A5145,'Materiales '!$C$2:$F$1302,3,0)</f>
        <v>-</v>
      </c>
      <c r="C5145" s="98" t="str">
        <f>VLOOKUP(A5145,'Materiales '!$C$2:$F$1302,3,0)</f>
        <v>-</v>
      </c>
      <c r="D5145" s="99">
        <f>VLOOKUP(A5145,'Materiales '!$C$2:$F$1302,4,0)</f>
        <v>0</v>
      </c>
      <c r="E5145" s="100"/>
      <c r="F5145" s="538">
        <f t="shared" si="302"/>
        <v>0</v>
      </c>
      <c r="G5145" s="539"/>
      <c r="H5145" s="121"/>
      <c r="I5145">
        <f>E5145*G5124</f>
        <v>0</v>
      </c>
      <c r="J5145" s="68"/>
      <c r="K5145" s="56"/>
      <c r="L5145" s="56"/>
      <c r="M5145" s="56"/>
      <c r="N5145" s="56"/>
      <c r="O5145" s="56"/>
    </row>
    <row r="5146" spans="1:15">
      <c r="A5146" s="536" t="s">
        <v>8</v>
      </c>
      <c r="B5146" s="537" t="str">
        <f>VLOOKUP(A5146,'Materiales '!$C$2:$F$1302,3,0)</f>
        <v>-</v>
      </c>
      <c r="C5146" s="98" t="str">
        <f>VLOOKUP(A5146,'Materiales '!$C$2:$F$1302,3,0)</f>
        <v>-</v>
      </c>
      <c r="D5146" s="99">
        <f>VLOOKUP(A5146,'Materiales '!$C$2:$F$1302,4,0)</f>
        <v>0</v>
      </c>
      <c r="E5146" s="100"/>
      <c r="F5146" s="538">
        <f>E5146*D5146</f>
        <v>0</v>
      </c>
      <c r="G5146" s="539"/>
      <c r="H5146" s="120"/>
      <c r="I5146">
        <f>E5146*G5124</f>
        <v>0</v>
      </c>
      <c r="J5146" s="68"/>
      <c r="K5146" s="56"/>
      <c r="L5146" s="56"/>
      <c r="M5146" s="56"/>
      <c r="N5146" s="56"/>
      <c r="O5146" s="56"/>
    </row>
    <row r="5147" spans="1:15" ht="16.5">
      <c r="A5147" s="540" t="s">
        <v>4099</v>
      </c>
      <c r="B5147" s="541"/>
      <c r="C5147" s="541"/>
      <c r="D5147" s="541"/>
      <c r="E5147" s="541"/>
      <c r="F5147" s="541"/>
      <c r="G5147" s="542"/>
      <c r="H5147" s="116">
        <f>SUM(F5133:F5146)</f>
        <v>2309468.7000000002</v>
      </c>
      <c r="J5147" s="68"/>
      <c r="K5147" s="56"/>
      <c r="L5147" s="56"/>
      <c r="M5147" s="56"/>
      <c r="N5147" s="56"/>
      <c r="O5147" s="56"/>
    </row>
    <row r="5148" spans="1:15" ht="16.5">
      <c r="A5148" s="543" t="s">
        <v>4231</v>
      </c>
      <c r="B5148" s="544"/>
      <c r="C5148" s="544"/>
      <c r="D5148" s="544"/>
      <c r="E5148" s="545"/>
      <c r="F5148" s="544"/>
      <c r="G5148" s="544"/>
      <c r="H5148" s="546"/>
      <c r="J5148" s="68"/>
      <c r="K5148" s="56"/>
      <c r="L5148" s="56"/>
      <c r="M5148" s="56"/>
      <c r="N5148" s="56"/>
      <c r="O5148" s="56"/>
    </row>
    <row r="5149" spans="1:15">
      <c r="A5149" s="547" t="s">
        <v>7</v>
      </c>
      <c r="B5149" s="548"/>
      <c r="C5149" s="108" t="s">
        <v>4232</v>
      </c>
      <c r="D5149" s="107" t="s">
        <v>4233</v>
      </c>
      <c r="E5149" s="206" t="s">
        <v>4234</v>
      </c>
      <c r="F5149" s="549" t="s">
        <v>4218</v>
      </c>
      <c r="G5149" s="549"/>
      <c r="H5149" s="119"/>
      <c r="K5149" s="56"/>
      <c r="L5149" s="56"/>
      <c r="M5149" s="56"/>
      <c r="N5149" s="56"/>
      <c r="O5149" s="56"/>
    </row>
    <row r="5150" spans="1:15">
      <c r="A5150" s="550" t="s">
        <v>3928</v>
      </c>
      <c r="B5150" s="551"/>
      <c r="C5150" s="232">
        <v>1</v>
      </c>
      <c r="D5150" s="102">
        <v>0.03</v>
      </c>
      <c r="E5150" s="103">
        <f>VLOOKUP(A5150,'Equip, Herr y Transp'!$B$2:$D$218,3,0)</f>
        <v>160000</v>
      </c>
      <c r="F5150" s="552">
        <f>E5150*D5150*C5150</f>
        <v>4800</v>
      </c>
      <c r="G5150" s="553"/>
      <c r="H5150" s="117"/>
      <c r="M5150" s="56"/>
    </row>
    <row r="5151" spans="1:15" ht="16.5">
      <c r="A5151" s="554" t="s">
        <v>4216</v>
      </c>
      <c r="B5151" s="555"/>
      <c r="C5151" s="555"/>
      <c r="D5151" s="555"/>
      <c r="E5151" s="555"/>
      <c r="F5151" s="555"/>
      <c r="G5151" s="555"/>
      <c r="H5151" s="105">
        <f>F5150</f>
        <v>4800</v>
      </c>
    </row>
    <row r="5152" spans="1:15" ht="16.5">
      <c r="A5152" s="543" t="s">
        <v>4235</v>
      </c>
      <c r="B5152" s="544"/>
      <c r="C5152" s="544"/>
      <c r="D5152" s="544"/>
      <c r="E5152" s="544"/>
      <c r="F5152" s="544"/>
      <c r="G5152" s="544"/>
      <c r="H5152" s="546"/>
    </row>
    <row r="5153" spans="1:10">
      <c r="A5153" s="547" t="s">
        <v>7</v>
      </c>
      <c r="B5153" s="548"/>
      <c r="C5153" s="106" t="s">
        <v>1</v>
      </c>
      <c r="D5153" s="107" t="s">
        <v>4236</v>
      </c>
      <c r="E5153" s="108" t="s">
        <v>4215</v>
      </c>
      <c r="F5153" s="547" t="s">
        <v>5</v>
      </c>
      <c r="G5153" s="556"/>
      <c r="H5153" s="119"/>
    </row>
    <row r="5154" spans="1:10">
      <c r="A5154" s="550" t="s">
        <v>4196</v>
      </c>
      <c r="B5154" s="551"/>
      <c r="C5154" s="101">
        <v>1</v>
      </c>
      <c r="D5154" s="104">
        <f>VLOOKUP(A5154,'Mano Obra'!$B$2:$T$117,19,0)</f>
        <v>166624</v>
      </c>
      <c r="E5154" s="246">
        <f>H5117</f>
        <v>0.1875</v>
      </c>
      <c r="F5154" s="538">
        <f>E5154*D5154*C5154</f>
        <v>31242</v>
      </c>
      <c r="G5154" s="557"/>
      <c r="H5154" s="121"/>
      <c r="I5154" s="69"/>
      <c r="J5154" s="136">
        <f>((('Mano Obra'!$M$4/30)*F5154)/D5154)*G5124</f>
        <v>0</v>
      </c>
    </row>
    <row r="5155" spans="1:10">
      <c r="A5155" s="558" t="s">
        <v>4197</v>
      </c>
      <c r="B5155" s="559">
        <f>VLOOKUP(A5155,'Mano Obra'!$B$3:$D$290,2,0)</f>
        <v>2090000.0000000002</v>
      </c>
      <c r="C5155" s="101">
        <v>1</v>
      </c>
      <c r="D5155" s="104">
        <f>VLOOKUP(A5155,'Mano Obra'!$B$2:$T$117,19,0)</f>
        <v>120456</v>
      </c>
      <c r="E5155" s="246">
        <f>H5117</f>
        <v>0.1875</v>
      </c>
      <c r="F5155" s="538">
        <f t="shared" ref="F5155:F5156" si="303">E5155*D5155*C5155</f>
        <v>22585.5</v>
      </c>
      <c r="G5155" s="557"/>
      <c r="H5155" s="121"/>
      <c r="J5155" s="136">
        <f>((('Mano Obra'!$M$5/30)*F5155)/D5155)*G5124</f>
        <v>0</v>
      </c>
    </row>
    <row r="5156" spans="1:10">
      <c r="A5156" s="558" t="s">
        <v>4186</v>
      </c>
      <c r="B5156" s="559">
        <f>VLOOKUP(A5156,'Mano Obra'!$B$3:$D$290,2,0)</f>
        <v>1100000</v>
      </c>
      <c r="C5156" s="101">
        <v>1</v>
      </c>
      <c r="D5156" s="104">
        <f>VLOOKUP(A5156,'Mano Obra'!$B$2:$T$117,19,0)</f>
        <v>72664</v>
      </c>
      <c r="E5156" s="246">
        <f>H5117</f>
        <v>0.1875</v>
      </c>
      <c r="F5156" s="538">
        <f t="shared" si="303"/>
        <v>13624.5</v>
      </c>
      <c r="G5156" s="557"/>
      <c r="H5156" s="120"/>
      <c r="J5156" s="136">
        <f>((('Mano Obra'!$M$6/30)*F5156)/D5156)*G5124</f>
        <v>0</v>
      </c>
    </row>
    <row r="5157" spans="1:10" ht="16.5">
      <c r="A5157" s="560" t="s">
        <v>4101</v>
      </c>
      <c r="B5157" s="560"/>
      <c r="C5157" s="560"/>
      <c r="D5157" s="560"/>
      <c r="E5157" s="560"/>
      <c r="F5157" s="560"/>
      <c r="G5157" s="560"/>
      <c r="H5157" s="105">
        <f>SUM(F5154:F5156)</f>
        <v>67452</v>
      </c>
      <c r="J5157" s="136"/>
    </row>
    <row r="5158" spans="1:10">
      <c r="A5158" s="227" t="s">
        <v>4237</v>
      </c>
      <c r="B5158" s="205"/>
      <c r="C5158" s="205"/>
      <c r="D5158" s="202"/>
      <c r="E5158" s="203"/>
      <c r="F5158" s="204"/>
      <c r="G5158" s="203"/>
      <c r="H5158" s="212"/>
    </row>
    <row r="5159" spans="1:10">
      <c r="A5159" s="561" t="s">
        <v>4224</v>
      </c>
      <c r="B5159" s="562"/>
      <c r="C5159" s="562"/>
      <c r="D5159" s="562"/>
      <c r="E5159" s="200"/>
      <c r="F5159" s="201" t="s">
        <v>4238</v>
      </c>
      <c r="G5159" s="200" t="s">
        <v>4239</v>
      </c>
      <c r="H5159" s="213"/>
    </row>
    <row r="5160" spans="1:10">
      <c r="A5160" s="223" t="s">
        <v>4097</v>
      </c>
      <c r="B5160" s="72"/>
      <c r="C5160" s="72"/>
      <c r="D5160" s="73"/>
      <c r="E5160" s="78"/>
      <c r="F5160" s="79">
        <v>0</v>
      </c>
      <c r="G5160" s="80">
        <f>F5160*H5125</f>
        <v>0</v>
      </c>
      <c r="H5160" s="212"/>
    </row>
    <row r="5161" spans="1:10">
      <c r="A5161" s="224" t="s">
        <v>4240</v>
      </c>
      <c r="B5161" s="81"/>
      <c r="C5161" s="81"/>
      <c r="D5161" s="82"/>
      <c r="E5161" s="78"/>
      <c r="F5161" s="79">
        <v>0</v>
      </c>
      <c r="G5161" s="80">
        <f>F5161*H5125</f>
        <v>0</v>
      </c>
      <c r="H5161" s="212"/>
    </row>
    <row r="5162" spans="1:10">
      <c r="A5162" s="224" t="s">
        <v>4</v>
      </c>
      <c r="B5162" s="81"/>
      <c r="C5162" s="81"/>
      <c r="D5162" s="82"/>
      <c r="E5162" s="78"/>
      <c r="F5162" s="79">
        <v>0</v>
      </c>
      <c r="G5162" s="80">
        <f>F5162*H5125</f>
        <v>0</v>
      </c>
      <c r="H5162" s="212"/>
    </row>
    <row r="5163" spans="1:10">
      <c r="A5163" s="225"/>
      <c r="B5163" s="83"/>
      <c r="C5163" s="75"/>
      <c r="D5163" s="84"/>
      <c r="E5163" s="85"/>
      <c r="F5163" s="86"/>
      <c r="G5163" s="87"/>
      <c r="H5163" s="214"/>
    </row>
    <row r="5164" spans="1:10">
      <c r="A5164" s="226"/>
      <c r="B5164" s="83"/>
      <c r="C5164" s="83"/>
      <c r="D5164" s="84"/>
      <c r="E5164" s="88"/>
      <c r="F5164" s="563" t="s">
        <v>4241</v>
      </c>
      <c r="G5164" s="564"/>
      <c r="H5164" s="233">
        <f>H5125+G5160+G5161+G5162</f>
        <v>2564370.0750000002</v>
      </c>
    </row>
    <row r="5165" spans="1:10">
      <c r="A5165" s="83"/>
      <c r="B5165" s="83"/>
      <c r="C5165" s="83"/>
      <c r="D5165" s="84"/>
      <c r="E5165" s="388"/>
      <c r="F5165" s="389"/>
      <c r="G5165" s="389"/>
      <c r="H5165" s="390"/>
    </row>
    <row r="5166" spans="1:10" ht="16.5">
      <c r="A5166" s="90"/>
      <c r="B5166" s="90"/>
      <c r="C5166" s="90"/>
      <c r="D5166" s="90"/>
      <c r="E5166" s="90"/>
      <c r="F5166" s="90"/>
      <c r="G5166" s="90"/>
      <c r="H5166" s="381"/>
    </row>
    <row r="5167" spans="1:10">
      <c r="A5167" s="579" t="s">
        <v>4225</v>
      </c>
      <c r="B5167" s="580"/>
      <c r="C5167" s="580"/>
      <c r="D5167" s="580"/>
      <c r="E5167" s="580"/>
      <c r="F5167" s="580"/>
      <c r="G5167" s="580"/>
      <c r="H5167" s="581"/>
    </row>
    <row r="5168" spans="1:10" ht="16.5">
      <c r="A5168" s="91"/>
      <c r="B5168" s="92"/>
      <c r="C5168" s="92"/>
      <c r="D5168" s="92"/>
      <c r="E5168" s="92"/>
      <c r="F5168" s="93"/>
      <c r="G5168" s="94"/>
      <c r="H5168" s="380">
        <f>ROUND((80/60)/8,4)</f>
        <v>0.16669999999999999</v>
      </c>
      <c r="I5168" s="115"/>
    </row>
    <row r="5169" spans="1:15">
      <c r="A5169" s="582" t="s">
        <v>4220</v>
      </c>
      <c r="B5169" s="584" t="str">
        <f>[7]COSTOS!$C$14</f>
        <v>MODERNIZACION TEGNOLOGIA LED MUNICIPIO DE MOMPOX</v>
      </c>
      <c r="C5169" s="584"/>
      <c r="D5169" s="584"/>
      <c r="E5169" s="584"/>
      <c r="F5169" s="584"/>
      <c r="G5169" s="584"/>
      <c r="H5169" s="585" t="s">
        <v>4221</v>
      </c>
    </row>
    <row r="5170" spans="1:15">
      <c r="A5170" s="583"/>
      <c r="B5170" s="584"/>
      <c r="C5170" s="584"/>
      <c r="D5170" s="584"/>
      <c r="E5170" s="584"/>
      <c r="F5170" s="584"/>
      <c r="G5170" s="584"/>
      <c r="H5170" s="585"/>
    </row>
    <row r="5171" spans="1:15">
      <c r="A5171" s="583"/>
      <c r="B5171" s="584"/>
      <c r="C5171" s="584"/>
      <c r="D5171" s="584"/>
      <c r="E5171" s="584"/>
      <c r="F5171" s="584"/>
      <c r="G5171" s="584"/>
      <c r="H5171" s="585"/>
    </row>
    <row r="5172" spans="1:15" ht="15" customHeight="1">
      <c r="A5172" s="583"/>
      <c r="B5172" s="584"/>
      <c r="C5172" s="584"/>
      <c r="D5172" s="584"/>
      <c r="E5172" s="584"/>
      <c r="F5172" s="584"/>
      <c r="G5172" s="584"/>
      <c r="H5172" s="216">
        <f ca="1">TODAY()</f>
        <v>44889</v>
      </c>
      <c r="K5172" t="s">
        <v>4391</v>
      </c>
      <c r="L5172" t="s">
        <v>4392</v>
      </c>
      <c r="M5172" t="s">
        <v>4393</v>
      </c>
      <c r="N5172" t="s">
        <v>4394</v>
      </c>
    </row>
    <row r="5173" spans="1:15" ht="60.75" customHeight="1">
      <c r="A5173" s="228" t="s">
        <v>4222</v>
      </c>
      <c r="B5173" s="565" t="str">
        <f>[7]COSTOS!$D$16</f>
        <v>Luminarias</v>
      </c>
      <c r="C5173" s="565"/>
      <c r="D5173" s="565"/>
      <c r="E5173" s="565"/>
      <c r="F5173" s="565"/>
      <c r="G5173" s="70" t="s">
        <v>4223</v>
      </c>
      <c r="H5173" s="391">
        <v>2.1800000000000002</v>
      </c>
      <c r="K5173" s="62">
        <f>H5198</f>
        <v>1967165.2000000002</v>
      </c>
      <c r="L5173" s="62">
        <f>H5208</f>
        <v>59969.324799999995</v>
      </c>
      <c r="M5173" s="62">
        <f>H5181</f>
        <v>162387.47099999999</v>
      </c>
      <c r="N5173" s="62">
        <f>H5202</f>
        <v>4800</v>
      </c>
    </row>
    <row r="5174" spans="1:15" ht="43.15" customHeight="1">
      <c r="A5174" s="229" t="s">
        <v>4224</v>
      </c>
      <c r="B5174" s="566" t="str">
        <f>VLOOKUP(H5173,COSTOS!C:M,2,0)</f>
        <v>Poste metalico 8 metros</v>
      </c>
      <c r="C5174" s="567"/>
      <c r="D5174" s="567"/>
      <c r="E5174" s="568"/>
      <c r="F5174" s="71" t="s">
        <v>0</v>
      </c>
      <c r="G5174" s="356" t="str">
        <f>VLOOKUP(H5173,COSTOS!C:M,8,0)</f>
        <v>Und</v>
      </c>
      <c r="H5174" s="276"/>
      <c r="I5174" s="306"/>
      <c r="J5174" s="308"/>
      <c r="K5174" s="308"/>
      <c r="L5174" s="308"/>
    </row>
    <row r="5175" spans="1:15">
      <c r="A5175" s="230"/>
      <c r="B5175" s="112"/>
      <c r="C5175" s="112"/>
      <c r="D5175" s="112"/>
      <c r="E5175" s="113"/>
      <c r="F5175" s="114" t="s">
        <v>1</v>
      </c>
      <c r="G5175" s="356">
        <f>VLOOKUP(H5173,COSTOS!C:M,9,0)</f>
        <v>0</v>
      </c>
      <c r="H5175" s="357"/>
      <c r="I5175" s="307"/>
    </row>
    <row r="5176" spans="1:15" ht="16.5">
      <c r="A5176" s="231" t="s">
        <v>4226</v>
      </c>
      <c r="B5176" s="75"/>
      <c r="C5176" s="75"/>
      <c r="D5176" s="76"/>
      <c r="E5176" s="209"/>
      <c r="F5176" s="210"/>
      <c r="G5176" s="211" t="s">
        <v>4227</v>
      </c>
      <c r="H5176" s="217">
        <f>H5181+H5198+H5202+H5208</f>
        <v>2194321.9958000001</v>
      </c>
    </row>
    <row r="5177" spans="1:15" ht="39">
      <c r="A5177" s="569" t="s">
        <v>4224</v>
      </c>
      <c r="B5177" s="569"/>
      <c r="C5177" s="569"/>
      <c r="D5177" s="77" t="s">
        <v>0</v>
      </c>
      <c r="E5177" s="207" t="s">
        <v>4228</v>
      </c>
      <c r="F5177" s="208" t="s">
        <v>4215</v>
      </c>
      <c r="G5177" s="74" t="s">
        <v>2</v>
      </c>
      <c r="H5177" s="218" t="s">
        <v>4229</v>
      </c>
      <c r="K5177" s="309"/>
    </row>
    <row r="5178" spans="1:15">
      <c r="A5178" s="536" t="s">
        <v>3946</v>
      </c>
      <c r="B5178" s="570" t="str">
        <f>VLOOKUP(A5178,'[7]Equip, Herr y Transp'!$B$2:$D$739,2,0)</f>
        <v>EQU</v>
      </c>
      <c r="C5178" s="570"/>
      <c r="D5178" s="95" t="str">
        <f>VLOOKUP(A5178,'[7]Equip, Herr y Transp'!$B$2:$D$218,2,0)</f>
        <v>EQU</v>
      </c>
      <c r="E5178" s="95">
        <f>VLOOKUP(A5178,'Equip, Herr y Transp'!$B$2:$D$218,3,0)</f>
        <v>14130</v>
      </c>
      <c r="F5178" s="96">
        <f>H5168</f>
        <v>0.16669999999999999</v>
      </c>
      <c r="G5178" s="122">
        <f>F5178*E5178</f>
        <v>2355.471</v>
      </c>
      <c r="H5178" s="118"/>
    </row>
    <row r="5179" spans="1:15">
      <c r="A5179" s="536" t="s">
        <v>3894</v>
      </c>
      <c r="B5179" s="570" t="str">
        <f>VLOOKUP(A5179,'[7]Equip, Herr y Transp'!$B$2:$D$739,2,0)</f>
        <v>TR</v>
      </c>
      <c r="C5179" s="570"/>
      <c r="D5179" s="95" t="str">
        <f>VLOOKUP(A5179,'[7]Equip, Herr y Transp'!$B$2:$D$218,2,0)</f>
        <v>TR</v>
      </c>
      <c r="E5179" s="95">
        <f>VLOOKUP(A5179,'Equip, Herr y Transp'!$B$2:$D$218,3,0)</f>
        <v>960000</v>
      </c>
      <c r="F5179" s="96">
        <f>H5168</f>
        <v>0.16669999999999999</v>
      </c>
      <c r="G5179" s="122">
        <f>F5179*E5179</f>
        <v>160032</v>
      </c>
      <c r="H5179" s="117"/>
    </row>
    <row r="5180" spans="1:15">
      <c r="A5180" s="536" t="s">
        <v>8</v>
      </c>
      <c r="B5180" s="570">
        <f>VLOOKUP(A5180,'[7]Equip, Herr y Transp'!$B$2:$D$739,2,0)</f>
        <v>0</v>
      </c>
      <c r="C5180" s="570"/>
      <c r="D5180" s="95">
        <f>VLOOKUP(A5180,'[7]Equip, Herr y Transp'!$B$2:$D$218,2,0)</f>
        <v>0</v>
      </c>
      <c r="E5180" s="95">
        <f>VLOOKUP(A5180,'Equip, Herr y Transp'!$B$2:$D$218,3,0)</f>
        <v>0</v>
      </c>
      <c r="F5180" s="96"/>
      <c r="G5180" s="122">
        <f>F5180*E5180</f>
        <v>0</v>
      </c>
      <c r="H5180" s="117"/>
    </row>
    <row r="5181" spans="1:15" ht="16.5">
      <c r="A5181" s="540" t="s">
        <v>4100</v>
      </c>
      <c r="B5181" s="541"/>
      <c r="C5181" s="541"/>
      <c r="D5181" s="541"/>
      <c r="E5181" s="541"/>
      <c r="F5181" s="541"/>
      <c r="G5181" s="541"/>
      <c r="H5181" s="97">
        <f>SUM(G5178:G5180)</f>
        <v>162387.47099999999</v>
      </c>
    </row>
    <row r="5182" spans="1:15" ht="16.5">
      <c r="A5182" s="571" t="s">
        <v>4230</v>
      </c>
      <c r="B5182" s="572"/>
      <c r="C5182" s="572"/>
      <c r="D5182" s="572"/>
      <c r="E5182" s="572"/>
      <c r="F5182" s="572"/>
      <c r="G5182" s="572"/>
      <c r="H5182" s="573"/>
      <c r="K5182" s="56"/>
      <c r="L5182" s="56"/>
      <c r="M5182" s="56"/>
      <c r="N5182" s="56"/>
      <c r="O5182" s="56"/>
    </row>
    <row r="5183" spans="1:15" ht="30" customHeight="1">
      <c r="A5183" s="574" t="s">
        <v>7</v>
      </c>
      <c r="B5183" s="575"/>
      <c r="C5183" s="109" t="s">
        <v>0</v>
      </c>
      <c r="D5183" s="110" t="s">
        <v>4098</v>
      </c>
      <c r="E5183" s="111" t="s">
        <v>1</v>
      </c>
      <c r="F5183" s="576" t="s">
        <v>4218</v>
      </c>
      <c r="G5183" s="576"/>
      <c r="H5183" s="215"/>
      <c r="K5183" s="56"/>
      <c r="L5183" s="56"/>
      <c r="M5183" s="56"/>
      <c r="N5183" s="56"/>
      <c r="O5183" s="56"/>
    </row>
    <row r="5184" spans="1:15">
      <c r="A5184" s="577" t="s">
        <v>4694</v>
      </c>
      <c r="B5184" s="578"/>
      <c r="C5184" s="98" t="str">
        <f>VLOOKUP(A5184,'[7]Materiales '!$C$2:$F$1250,3,0)</f>
        <v>Und</v>
      </c>
      <c r="D5184" s="99">
        <f>VLOOKUP(A5184,'Materiales '!$C$2:$F$1293,4,0)</f>
        <v>1898050.0000000002</v>
      </c>
      <c r="E5184" s="100">
        <v>1</v>
      </c>
      <c r="F5184" s="538">
        <f>E5184*D5184</f>
        <v>1898050.0000000002</v>
      </c>
      <c r="G5184" s="539"/>
      <c r="H5184" s="121"/>
      <c r="I5184">
        <f>E5184*G5175</f>
        <v>0</v>
      </c>
      <c r="J5184" s="67"/>
      <c r="K5184" s="56"/>
      <c r="L5184" s="56"/>
      <c r="M5184" s="56"/>
      <c r="N5184" s="56"/>
      <c r="O5184" s="56"/>
    </row>
    <row r="5185" spans="1:15">
      <c r="A5185" s="577" t="s">
        <v>4628</v>
      </c>
      <c r="B5185" s="578"/>
      <c r="C5185" s="98" t="str">
        <f>VLOOKUP(A5185,'[7]Materiales '!$C$2:$F$1250,3,0)</f>
        <v>Rollo</v>
      </c>
      <c r="D5185" s="99">
        <f>VLOOKUP(A5185,'Materiales '!$C$2:$F$1293,4,0)</f>
        <v>138230.39999999999</v>
      </c>
      <c r="E5185" s="100">
        <v>0.5</v>
      </c>
      <c r="F5185" s="538">
        <f t="shared" ref="F5185:F5191" si="304">E5185*D5185</f>
        <v>69115.199999999997</v>
      </c>
      <c r="G5185" s="539"/>
      <c r="H5185" s="121"/>
      <c r="I5185">
        <f>E5185*G5175</f>
        <v>0</v>
      </c>
      <c r="J5185" s="67"/>
      <c r="K5185" s="56"/>
      <c r="L5185" s="56"/>
      <c r="M5185" s="56"/>
      <c r="N5185" s="56"/>
      <c r="O5185" s="56"/>
    </row>
    <row r="5186" spans="1:15">
      <c r="A5186" s="536" t="s">
        <v>8</v>
      </c>
      <c r="B5186" s="537" t="str">
        <f>VLOOKUP(A5186,'[7]Materiales '!$C$2:$F$1250,3,0)</f>
        <v>-</v>
      </c>
      <c r="C5186" s="98" t="str">
        <f>VLOOKUP(A5186,'[7]Materiales '!$C$2:$F$1250,3,0)</f>
        <v>-</v>
      </c>
      <c r="D5186" s="99">
        <f>VLOOKUP(A5186,'Materiales '!$C$2:$F$1293,4,0)</f>
        <v>0</v>
      </c>
      <c r="E5186" s="100">
        <v>1</v>
      </c>
      <c r="F5186" s="538">
        <f t="shared" si="304"/>
        <v>0</v>
      </c>
      <c r="G5186" s="539"/>
      <c r="H5186" s="121"/>
      <c r="I5186">
        <f>E5186*G5175</f>
        <v>0</v>
      </c>
      <c r="J5186" s="68"/>
      <c r="K5186" s="56"/>
      <c r="L5186" s="56"/>
      <c r="M5186" s="56"/>
      <c r="N5186" s="56"/>
      <c r="O5186" s="56"/>
    </row>
    <row r="5187" spans="1:15">
      <c r="A5187" s="536" t="s">
        <v>8</v>
      </c>
      <c r="B5187" s="537" t="str">
        <f>VLOOKUP(A5187,'[7]Materiales '!$C$2:$F$1250,3,0)</f>
        <v>-</v>
      </c>
      <c r="C5187" s="98" t="str">
        <f>VLOOKUP(A5187,'[7]Materiales '!$C$2:$F$1250,3,0)</f>
        <v>-</v>
      </c>
      <c r="D5187" s="99">
        <f>VLOOKUP(A5187,'Materiales '!$C$2:$F$1293,4,0)</f>
        <v>0</v>
      </c>
      <c r="E5187" s="100">
        <v>3</v>
      </c>
      <c r="F5187" s="538">
        <f t="shared" si="304"/>
        <v>0</v>
      </c>
      <c r="G5187" s="539"/>
      <c r="H5187" s="121"/>
      <c r="I5187">
        <f>E5187*G5175</f>
        <v>0</v>
      </c>
      <c r="J5187" s="68"/>
      <c r="K5187" s="56"/>
      <c r="L5187" s="56"/>
      <c r="M5187" s="56"/>
      <c r="N5187" s="56"/>
      <c r="O5187" s="56"/>
    </row>
    <row r="5188" spans="1:15">
      <c r="A5188" s="536" t="s">
        <v>8</v>
      </c>
      <c r="B5188" s="537" t="str">
        <f>VLOOKUP(A5188,'[7]Materiales '!$C$2:$F$1250,3,0)</f>
        <v>-</v>
      </c>
      <c r="C5188" s="98" t="str">
        <f>VLOOKUP(A5188,'[7]Materiales '!$C$2:$F$1250,3,0)</f>
        <v>-</v>
      </c>
      <c r="D5188" s="99">
        <f>VLOOKUP(A5188,'Materiales '!$C$2:$F$1293,4,0)</f>
        <v>0</v>
      </c>
      <c r="E5188" s="100">
        <v>2</v>
      </c>
      <c r="F5188" s="538">
        <f t="shared" si="304"/>
        <v>0</v>
      </c>
      <c r="G5188" s="539"/>
      <c r="H5188" s="121"/>
      <c r="I5188">
        <f>E5188*G5175</f>
        <v>0</v>
      </c>
      <c r="J5188" s="68"/>
      <c r="K5188" s="56"/>
      <c r="L5188" s="56"/>
      <c r="M5188" s="56"/>
      <c r="N5188" s="56"/>
      <c r="O5188" s="56"/>
    </row>
    <row r="5189" spans="1:15">
      <c r="A5189" s="536" t="s">
        <v>8</v>
      </c>
      <c r="B5189" s="537" t="str">
        <f>VLOOKUP(A5189,'[7]Materiales '!$C$2:$F$1250,3,0)</f>
        <v>-</v>
      </c>
      <c r="C5189" s="98" t="str">
        <f>VLOOKUP(A5189,'[7]Materiales '!$C$2:$F$1250,3,0)</f>
        <v>-</v>
      </c>
      <c r="D5189" s="99">
        <f>VLOOKUP(A5189,'Materiales '!$C$2:$F$1293,4,0)</f>
        <v>0</v>
      </c>
      <c r="E5189" s="100">
        <v>8</v>
      </c>
      <c r="F5189" s="538">
        <f t="shared" si="304"/>
        <v>0</v>
      </c>
      <c r="G5189" s="539"/>
      <c r="H5189" s="121"/>
      <c r="I5189">
        <f>E5189*G5175</f>
        <v>0</v>
      </c>
      <c r="J5189" s="68"/>
      <c r="K5189" s="56"/>
      <c r="L5189" s="56"/>
      <c r="M5189" s="56"/>
      <c r="N5189" s="56"/>
      <c r="O5189" s="56"/>
    </row>
    <row r="5190" spans="1:15">
      <c r="A5190" s="536" t="s">
        <v>8</v>
      </c>
      <c r="B5190" s="537" t="str">
        <f>VLOOKUP(A5190,'[7]Materiales '!$C$2:$F$1250,3,0)</f>
        <v>-</v>
      </c>
      <c r="C5190" s="98" t="str">
        <f>VLOOKUP(A5190,'[7]Materiales '!$C$2:$F$1250,3,0)</f>
        <v>-</v>
      </c>
      <c r="D5190" s="99">
        <f>VLOOKUP(A5190,'Materiales '!$C$2:$F$1293,4,0)</f>
        <v>0</v>
      </c>
      <c r="E5190" s="100">
        <v>3</v>
      </c>
      <c r="F5190" s="538">
        <f t="shared" si="304"/>
        <v>0</v>
      </c>
      <c r="G5190" s="539"/>
      <c r="H5190" s="121"/>
      <c r="I5190">
        <f>E5190*G5175</f>
        <v>0</v>
      </c>
      <c r="J5190" s="68"/>
      <c r="K5190" s="56"/>
      <c r="L5190" s="56"/>
      <c r="M5190" s="56"/>
      <c r="N5190" s="56"/>
      <c r="O5190" s="56"/>
    </row>
    <row r="5191" spans="1:15" ht="21.75" customHeight="1">
      <c r="A5191" s="536" t="s">
        <v>8</v>
      </c>
      <c r="B5191" s="537" t="str">
        <f>VLOOKUP(A5191,'[7]Materiales '!$C$2:$F$1250,3,0)</f>
        <v>-</v>
      </c>
      <c r="C5191" s="98" t="str">
        <f>VLOOKUP(A5191,'[7]Materiales '!$C$2:$F$1250,3,0)</f>
        <v>-</v>
      </c>
      <c r="D5191" s="99">
        <f>VLOOKUP(A5191,'Materiales '!$C$2:$F$1293,4,0)</f>
        <v>0</v>
      </c>
      <c r="E5191" s="100">
        <v>0.5</v>
      </c>
      <c r="F5191" s="538">
        <f t="shared" si="304"/>
        <v>0</v>
      </c>
      <c r="G5191" s="539"/>
      <c r="H5191" s="121"/>
      <c r="I5191">
        <f>E5191*G5175</f>
        <v>0</v>
      </c>
      <c r="J5191" s="68"/>
      <c r="K5191" s="56"/>
      <c r="L5191" s="56"/>
      <c r="M5191" s="56"/>
      <c r="N5191" s="56"/>
      <c r="O5191" s="56"/>
    </row>
    <row r="5192" spans="1:15">
      <c r="A5192" s="536" t="s">
        <v>8</v>
      </c>
      <c r="B5192" s="537" t="str">
        <f>VLOOKUP(A5192,'[7]Materiales '!$C$2:$F$1250,3,0)</f>
        <v>-</v>
      </c>
      <c r="C5192" s="98" t="str">
        <f>VLOOKUP(A5192,'[7]Materiales '!$C$2:$F$1250,3,0)</f>
        <v>-</v>
      </c>
      <c r="D5192" s="99">
        <f>VLOOKUP(A5192,'Materiales '!$C$2:$F$1293,4,0)</f>
        <v>0</v>
      </c>
      <c r="E5192" s="100"/>
      <c r="F5192" s="538">
        <f>E5192*D5192</f>
        <v>0</v>
      </c>
      <c r="G5192" s="539"/>
      <c r="H5192" s="120"/>
      <c r="I5192">
        <f>E5192*G5175</f>
        <v>0</v>
      </c>
      <c r="J5192" s="68"/>
      <c r="K5192" s="56"/>
      <c r="L5192" s="56"/>
      <c r="M5192" s="56"/>
      <c r="N5192" s="56"/>
      <c r="O5192" s="56"/>
    </row>
    <row r="5193" spans="1:15">
      <c r="A5193" s="536" t="s">
        <v>8</v>
      </c>
      <c r="B5193" s="537" t="str">
        <f>VLOOKUP(A5193,'[7]Materiales '!$C$2:$F$1250,3,0)</f>
        <v>-</v>
      </c>
      <c r="C5193" s="98" t="str">
        <f>VLOOKUP(A5193,'[7]Materiales '!$C$2:$F$1250,3,0)</f>
        <v>-</v>
      </c>
      <c r="D5193" s="99">
        <f>VLOOKUP(A5193,'Materiales '!$C$2:$F$1293,4,0)</f>
        <v>0</v>
      </c>
      <c r="E5193" s="100"/>
      <c r="F5193" s="538">
        <f t="shared" ref="F5193:F5196" si="305">E5193*D5193</f>
        <v>0</v>
      </c>
      <c r="G5193" s="539"/>
      <c r="H5193" s="121"/>
      <c r="I5193">
        <f>E5193*G5175</f>
        <v>0</v>
      </c>
      <c r="J5193" s="68"/>
      <c r="K5193" s="56"/>
      <c r="L5193" s="56"/>
      <c r="M5193" s="56"/>
      <c r="N5193" s="56"/>
      <c r="O5193" s="56"/>
    </row>
    <row r="5194" spans="1:15">
      <c r="A5194" s="536" t="s">
        <v>8</v>
      </c>
      <c r="B5194" s="537" t="str">
        <f>VLOOKUP(A5194,'[7]Materiales '!$C$2:$F$1250,3,0)</f>
        <v>-</v>
      </c>
      <c r="C5194" s="98" t="str">
        <f>VLOOKUP(A5194,'[7]Materiales '!$C$2:$F$1250,3,0)</f>
        <v>-</v>
      </c>
      <c r="D5194" s="99">
        <f>VLOOKUP(A5194,'Materiales '!$C$2:$F$1293,4,0)</f>
        <v>0</v>
      </c>
      <c r="E5194" s="100"/>
      <c r="F5194" s="538">
        <f t="shared" si="305"/>
        <v>0</v>
      </c>
      <c r="G5194" s="539"/>
      <c r="H5194" s="121"/>
      <c r="I5194">
        <f>E5194*G5175</f>
        <v>0</v>
      </c>
      <c r="J5194" s="68"/>
      <c r="K5194" s="56"/>
      <c r="L5194" s="56"/>
      <c r="M5194" s="56"/>
      <c r="N5194" s="56"/>
      <c r="O5194" s="56"/>
    </row>
    <row r="5195" spans="1:15">
      <c r="A5195" s="536" t="s">
        <v>8</v>
      </c>
      <c r="B5195" s="537" t="str">
        <f>VLOOKUP(A5195,'[7]Materiales '!$C$2:$F$1250,3,0)</f>
        <v>-</v>
      </c>
      <c r="C5195" s="98" t="str">
        <f>VLOOKUP(A5195,'[7]Materiales '!$C$2:$F$1250,3,0)</f>
        <v>-</v>
      </c>
      <c r="D5195" s="99">
        <f>VLOOKUP(A5195,'Materiales '!$C$2:$F$1293,4,0)</f>
        <v>0</v>
      </c>
      <c r="E5195" s="100"/>
      <c r="F5195" s="538">
        <f t="shared" si="305"/>
        <v>0</v>
      </c>
      <c r="G5195" s="539"/>
      <c r="H5195" s="121"/>
      <c r="I5195">
        <f>E5195*G5175</f>
        <v>0</v>
      </c>
      <c r="J5195" s="68"/>
      <c r="K5195" s="56"/>
      <c r="L5195" s="56"/>
      <c r="M5195" s="56"/>
      <c r="N5195" s="56"/>
      <c r="O5195" s="56"/>
    </row>
    <row r="5196" spans="1:15">
      <c r="A5196" s="536" t="s">
        <v>8</v>
      </c>
      <c r="B5196" s="537" t="str">
        <f>VLOOKUP(A5196,'[7]Materiales '!$C$2:$F$1250,3,0)</f>
        <v>-</v>
      </c>
      <c r="C5196" s="98" t="str">
        <f>VLOOKUP(A5196,'[7]Materiales '!$C$2:$F$1250,3,0)</f>
        <v>-</v>
      </c>
      <c r="D5196" s="99">
        <f>VLOOKUP(A5196,'Materiales '!$C$2:$F$1293,4,0)</f>
        <v>0</v>
      </c>
      <c r="E5196" s="100"/>
      <c r="F5196" s="538">
        <f t="shared" si="305"/>
        <v>0</v>
      </c>
      <c r="G5196" s="539"/>
      <c r="H5196" s="121"/>
      <c r="I5196">
        <f>E5196*G5175</f>
        <v>0</v>
      </c>
      <c r="J5196" s="68"/>
      <c r="K5196" s="56"/>
      <c r="L5196" s="56"/>
      <c r="M5196" s="56"/>
      <c r="N5196" s="56"/>
      <c r="O5196" s="56"/>
    </row>
    <row r="5197" spans="1:15">
      <c r="A5197" s="536" t="s">
        <v>8</v>
      </c>
      <c r="B5197" s="537" t="str">
        <f>VLOOKUP(A5197,'[7]Materiales '!$C$2:$F$1250,3,0)</f>
        <v>-</v>
      </c>
      <c r="C5197" s="98" t="str">
        <f>VLOOKUP(A5197,'[7]Materiales '!$C$2:$F$1250,3,0)</f>
        <v>-</v>
      </c>
      <c r="D5197" s="99">
        <f>VLOOKUP(A5197,'Materiales '!$C$2:$F$1293,4,0)</f>
        <v>0</v>
      </c>
      <c r="E5197" s="100"/>
      <c r="F5197" s="538">
        <f>E5197*D5197</f>
        <v>0</v>
      </c>
      <c r="G5197" s="539"/>
      <c r="H5197" s="120"/>
      <c r="I5197">
        <f>E5197*G5175</f>
        <v>0</v>
      </c>
      <c r="J5197" s="68"/>
      <c r="K5197" s="56"/>
      <c r="L5197" s="56"/>
      <c r="M5197" s="56"/>
      <c r="N5197" s="56"/>
      <c r="O5197" s="56"/>
    </row>
    <row r="5198" spans="1:15" ht="16.5">
      <c r="A5198" s="540" t="s">
        <v>4099</v>
      </c>
      <c r="B5198" s="541"/>
      <c r="C5198" s="541"/>
      <c r="D5198" s="541"/>
      <c r="E5198" s="541"/>
      <c r="F5198" s="541"/>
      <c r="G5198" s="542"/>
      <c r="H5198" s="116">
        <f>SUM(F5184:F5197)</f>
        <v>1967165.2000000002</v>
      </c>
      <c r="J5198" s="68"/>
      <c r="K5198" s="56"/>
      <c r="L5198" s="56"/>
      <c r="M5198" s="56"/>
      <c r="N5198" s="56"/>
      <c r="O5198" s="56"/>
    </row>
    <row r="5199" spans="1:15" ht="16.5">
      <c r="A5199" s="543" t="s">
        <v>4231</v>
      </c>
      <c r="B5199" s="544"/>
      <c r="C5199" s="544"/>
      <c r="D5199" s="544"/>
      <c r="E5199" s="545"/>
      <c r="F5199" s="544"/>
      <c r="G5199" s="544"/>
      <c r="H5199" s="546"/>
      <c r="J5199" s="68"/>
      <c r="K5199" s="56"/>
      <c r="L5199" s="56"/>
      <c r="M5199" s="56"/>
      <c r="N5199" s="56"/>
      <c r="O5199" s="56"/>
    </row>
    <row r="5200" spans="1:15">
      <c r="A5200" s="547" t="s">
        <v>7</v>
      </c>
      <c r="B5200" s="548"/>
      <c r="C5200" s="108" t="s">
        <v>4232</v>
      </c>
      <c r="D5200" s="107" t="s">
        <v>4233</v>
      </c>
      <c r="E5200" s="206" t="s">
        <v>4234</v>
      </c>
      <c r="F5200" s="549" t="s">
        <v>4218</v>
      </c>
      <c r="G5200" s="549"/>
      <c r="H5200" s="119"/>
      <c r="K5200" s="56"/>
      <c r="L5200" s="56"/>
      <c r="M5200" s="56"/>
      <c r="N5200" s="56"/>
      <c r="O5200" s="56"/>
    </row>
    <row r="5201" spans="1:13">
      <c r="A5201" s="550" t="s">
        <v>3928</v>
      </c>
      <c r="B5201" s="551"/>
      <c r="C5201" s="232">
        <v>1</v>
      </c>
      <c r="D5201" s="102">
        <v>0.03</v>
      </c>
      <c r="E5201" s="103">
        <f>VLOOKUP(A5201,'Equip, Herr y Transp'!$B$2:$D$218,3,0)</f>
        <v>160000</v>
      </c>
      <c r="F5201" s="552">
        <f>E5201*D5201*C5201</f>
        <v>4800</v>
      </c>
      <c r="G5201" s="553"/>
      <c r="H5201" s="117"/>
      <c r="M5201" s="56"/>
    </row>
    <row r="5202" spans="1:13" ht="16.5">
      <c r="A5202" s="554" t="s">
        <v>4216</v>
      </c>
      <c r="B5202" s="555"/>
      <c r="C5202" s="555"/>
      <c r="D5202" s="555"/>
      <c r="E5202" s="555"/>
      <c r="F5202" s="555"/>
      <c r="G5202" s="555"/>
      <c r="H5202" s="105">
        <f>F5201</f>
        <v>4800</v>
      </c>
    </row>
    <row r="5203" spans="1:13" ht="16.5">
      <c r="A5203" s="543" t="s">
        <v>4235</v>
      </c>
      <c r="B5203" s="544"/>
      <c r="C5203" s="544"/>
      <c r="D5203" s="544"/>
      <c r="E5203" s="544"/>
      <c r="F5203" s="544"/>
      <c r="G5203" s="544"/>
      <c r="H5203" s="546"/>
    </row>
    <row r="5204" spans="1:13">
      <c r="A5204" s="547" t="s">
        <v>7</v>
      </c>
      <c r="B5204" s="548"/>
      <c r="C5204" s="106" t="s">
        <v>1</v>
      </c>
      <c r="D5204" s="107" t="s">
        <v>4236</v>
      </c>
      <c r="E5204" s="108" t="s">
        <v>4215</v>
      </c>
      <c r="F5204" s="547" t="s">
        <v>5</v>
      </c>
      <c r="G5204" s="556"/>
      <c r="H5204" s="119"/>
    </row>
    <row r="5205" spans="1:13">
      <c r="A5205" s="550" t="s">
        <v>4196</v>
      </c>
      <c r="B5205" s="551"/>
      <c r="C5205" s="101">
        <v>1</v>
      </c>
      <c r="D5205" s="104">
        <f>VLOOKUP(A5205,'Mano Obra'!$B$2:$T$117,19,0)</f>
        <v>166624</v>
      </c>
      <c r="E5205" s="246">
        <f>H5168</f>
        <v>0.16669999999999999</v>
      </c>
      <c r="F5205" s="538">
        <f>E5205*D5205*C5205</f>
        <v>27776.220799999999</v>
      </c>
      <c r="G5205" s="557"/>
      <c r="H5205" s="121"/>
      <c r="I5205" s="69"/>
      <c r="J5205" s="136">
        <f>((('[7]Mano Obra'!$M$4/30)*F5205)/D5205)*G5175</f>
        <v>0</v>
      </c>
    </row>
    <row r="5206" spans="1:13">
      <c r="A5206" s="558" t="s">
        <v>4197</v>
      </c>
      <c r="B5206" s="559">
        <f>VLOOKUP(A5206,'[7]Mano Obra'!$B$3:$D$290,2,0)</f>
        <v>1700000</v>
      </c>
      <c r="C5206" s="101">
        <v>1</v>
      </c>
      <c r="D5206" s="104">
        <f>VLOOKUP(A5206,'Mano Obra'!$B$2:$T$117,19,0)</f>
        <v>120456</v>
      </c>
      <c r="E5206" s="246">
        <f>H5168</f>
        <v>0.16669999999999999</v>
      </c>
      <c r="F5206" s="538">
        <f t="shared" ref="F5206:F5207" si="306">E5206*D5206*C5206</f>
        <v>20080.015199999998</v>
      </c>
      <c r="G5206" s="557"/>
      <c r="H5206" s="121"/>
      <c r="J5206" s="136">
        <f>((('[7]Mano Obra'!$M$5/30)*F5206)/D5206)*G5175</f>
        <v>0</v>
      </c>
    </row>
    <row r="5207" spans="1:13">
      <c r="A5207" s="558" t="s">
        <v>4186</v>
      </c>
      <c r="B5207" s="559">
        <f>VLOOKUP(A5207,'[7]Mano Obra'!$B$3:$D$290,2,0)</f>
        <v>908526</v>
      </c>
      <c r="C5207" s="101">
        <v>1</v>
      </c>
      <c r="D5207" s="104">
        <f>VLOOKUP(A5207,'Mano Obra'!$B$2:$T$117,19,0)</f>
        <v>72664</v>
      </c>
      <c r="E5207" s="246">
        <f>H5168</f>
        <v>0.16669999999999999</v>
      </c>
      <c r="F5207" s="538">
        <f t="shared" si="306"/>
        <v>12113.0888</v>
      </c>
      <c r="G5207" s="557"/>
      <c r="H5207" s="120"/>
      <c r="J5207" s="136">
        <f>((('[7]Mano Obra'!$M$6/30)*F5207)/D5207)*G5175</f>
        <v>0</v>
      </c>
    </row>
    <row r="5208" spans="1:13" ht="16.5">
      <c r="A5208" s="560" t="s">
        <v>4101</v>
      </c>
      <c r="B5208" s="560"/>
      <c r="C5208" s="560"/>
      <c r="D5208" s="560"/>
      <c r="E5208" s="560"/>
      <c r="F5208" s="560"/>
      <c r="G5208" s="560"/>
      <c r="H5208" s="105">
        <f>SUM(F5205:F5207)</f>
        <v>59969.324799999995</v>
      </c>
      <c r="J5208" s="136"/>
    </row>
    <row r="5209" spans="1:13">
      <c r="A5209" s="227" t="s">
        <v>4237</v>
      </c>
      <c r="B5209" s="205"/>
      <c r="C5209" s="205"/>
      <c r="D5209" s="202"/>
      <c r="E5209" s="203"/>
      <c r="F5209" s="204"/>
      <c r="G5209" s="203"/>
      <c r="H5209" s="212"/>
    </row>
    <row r="5210" spans="1:13">
      <c r="A5210" s="561" t="s">
        <v>4224</v>
      </c>
      <c r="B5210" s="562"/>
      <c r="C5210" s="562"/>
      <c r="D5210" s="562"/>
      <c r="E5210" s="200"/>
      <c r="F5210" s="201" t="s">
        <v>4238</v>
      </c>
      <c r="G5210" s="200" t="s">
        <v>4239</v>
      </c>
      <c r="H5210" s="213"/>
    </row>
    <row r="5211" spans="1:13">
      <c r="A5211" s="223" t="s">
        <v>4097</v>
      </c>
      <c r="B5211" s="72"/>
      <c r="C5211" s="72"/>
      <c r="D5211" s="73"/>
      <c r="E5211" s="78"/>
      <c r="F5211" s="79">
        <v>0</v>
      </c>
      <c r="G5211" s="80">
        <f>F5211*H5176</f>
        <v>0</v>
      </c>
      <c r="H5211" s="212"/>
    </row>
    <row r="5212" spans="1:13">
      <c r="A5212" s="224" t="s">
        <v>4240</v>
      </c>
      <c r="B5212" s="81"/>
      <c r="C5212" s="81"/>
      <c r="D5212" s="82"/>
      <c r="E5212" s="78"/>
      <c r="F5212" s="79">
        <v>0</v>
      </c>
      <c r="G5212" s="80">
        <f>F5212*H5176</f>
        <v>0</v>
      </c>
      <c r="H5212" s="212"/>
    </row>
    <row r="5213" spans="1:13">
      <c r="A5213" s="224" t="s">
        <v>4</v>
      </c>
      <c r="B5213" s="81"/>
      <c r="C5213" s="81"/>
      <c r="D5213" s="82"/>
      <c r="E5213" s="78"/>
      <c r="F5213" s="79">
        <v>0</v>
      </c>
      <c r="G5213" s="80">
        <f>F5213*H5176</f>
        <v>0</v>
      </c>
      <c r="H5213" s="212"/>
    </row>
    <row r="5214" spans="1:13">
      <c r="A5214" s="225"/>
      <c r="B5214" s="83"/>
      <c r="C5214" s="75"/>
      <c r="D5214" s="84"/>
      <c r="E5214" s="85"/>
      <c r="F5214" s="86"/>
      <c r="G5214" s="87"/>
      <c r="H5214" s="214"/>
    </row>
    <row r="5215" spans="1:13">
      <c r="A5215" s="226"/>
      <c r="B5215" s="83"/>
      <c r="C5215" s="83"/>
      <c r="D5215" s="84"/>
      <c r="E5215" s="88"/>
      <c r="F5215" s="563" t="s">
        <v>4241</v>
      </c>
      <c r="G5215" s="564"/>
      <c r="H5215" s="233">
        <f>H5176+G5211+G5212+G5213</f>
        <v>2194321.9958000001</v>
      </c>
    </row>
    <row r="5216" spans="1:13">
      <c r="A5216" s="83"/>
      <c r="B5216" s="83"/>
      <c r="C5216" s="83"/>
      <c r="D5216" s="84"/>
      <c r="E5216" s="388"/>
      <c r="F5216" s="389"/>
      <c r="G5216" s="389"/>
      <c r="H5216" s="390"/>
    </row>
    <row r="5217" spans="1:14" ht="16.5">
      <c r="A5217" s="90"/>
      <c r="B5217" s="90"/>
      <c r="C5217" s="90"/>
      <c r="D5217" s="90"/>
      <c r="E5217" s="90"/>
      <c r="F5217" s="90"/>
      <c r="G5217" s="90"/>
      <c r="H5217" s="381"/>
    </row>
    <row r="5218" spans="1:14">
      <c r="A5218" s="579" t="s">
        <v>4225</v>
      </c>
      <c r="B5218" s="580"/>
      <c r="C5218" s="580"/>
      <c r="D5218" s="580"/>
      <c r="E5218" s="580"/>
      <c r="F5218" s="580"/>
      <c r="G5218" s="580"/>
      <c r="H5218" s="581"/>
    </row>
    <row r="5219" spans="1:14" ht="16.5">
      <c r="A5219" s="91"/>
      <c r="B5219" s="92"/>
      <c r="C5219" s="92"/>
      <c r="D5219" s="92"/>
      <c r="E5219" s="92"/>
      <c r="F5219" s="93"/>
      <c r="G5219" s="94"/>
      <c r="H5219" s="380">
        <f>ROUND((90/60)/8,4)</f>
        <v>0.1875</v>
      </c>
      <c r="I5219" s="115"/>
    </row>
    <row r="5220" spans="1:14">
      <c r="A5220" s="582" t="s">
        <v>4220</v>
      </c>
      <c r="B5220" s="584" t="str">
        <f>COSTOS!$C$14</f>
        <v>MODERNIZACION A TECNOLOGIA LED</v>
      </c>
      <c r="C5220" s="584"/>
      <c r="D5220" s="584"/>
      <c r="E5220" s="584"/>
      <c r="F5220" s="584"/>
      <c r="G5220" s="584"/>
      <c r="H5220" s="585" t="s">
        <v>4221</v>
      </c>
    </row>
    <row r="5221" spans="1:14">
      <c r="A5221" s="583"/>
      <c r="B5221" s="584"/>
      <c r="C5221" s="584"/>
      <c r="D5221" s="584"/>
      <c r="E5221" s="584"/>
      <c r="F5221" s="584"/>
      <c r="G5221" s="584"/>
      <c r="H5221" s="585"/>
    </row>
    <row r="5222" spans="1:14">
      <c r="A5222" s="583"/>
      <c r="B5222" s="584"/>
      <c r="C5222" s="584"/>
      <c r="D5222" s="584"/>
      <c r="E5222" s="584"/>
      <c r="F5222" s="584"/>
      <c r="G5222" s="584"/>
      <c r="H5222" s="585"/>
    </row>
    <row r="5223" spans="1:14" ht="15" customHeight="1">
      <c r="A5223" s="583"/>
      <c r="B5223" s="584"/>
      <c r="C5223" s="584"/>
      <c r="D5223" s="584"/>
      <c r="E5223" s="584"/>
      <c r="F5223" s="584"/>
      <c r="G5223" s="584"/>
      <c r="H5223" s="216">
        <f ca="1">TODAY()</f>
        <v>44889</v>
      </c>
      <c r="K5223" t="s">
        <v>4391</v>
      </c>
      <c r="L5223" t="s">
        <v>4392</v>
      </c>
      <c r="M5223" t="s">
        <v>4393</v>
      </c>
      <c r="N5223" t="s">
        <v>4394</v>
      </c>
    </row>
    <row r="5224" spans="1:14" ht="60.75" customHeight="1">
      <c r="A5224" s="228" t="s">
        <v>4222</v>
      </c>
      <c r="B5224" s="565" t="str">
        <f>COSTOS!$D$16</f>
        <v>Luminarias</v>
      </c>
      <c r="C5224" s="565"/>
      <c r="D5224" s="565"/>
      <c r="E5224" s="565"/>
      <c r="F5224" s="565"/>
      <c r="G5224" s="70" t="s">
        <v>4223</v>
      </c>
      <c r="H5224" s="391">
        <v>2.19</v>
      </c>
      <c r="K5224" s="62">
        <f>H5249</f>
        <v>2718055.2</v>
      </c>
      <c r="L5224" s="62">
        <f>H5259</f>
        <v>67452</v>
      </c>
      <c r="M5224" s="62">
        <f>H5232</f>
        <v>182649.375</v>
      </c>
      <c r="N5224" s="62">
        <f>H5253</f>
        <v>4800</v>
      </c>
    </row>
    <row r="5225" spans="1:14" ht="43.15" customHeight="1">
      <c r="A5225" s="229" t="s">
        <v>4224</v>
      </c>
      <c r="B5225" s="566" t="str">
        <f>VLOOKUP(H5224,COSTOS!C:M,2,0)</f>
        <v>Torre metalica 10 metros</v>
      </c>
      <c r="C5225" s="567"/>
      <c r="D5225" s="567"/>
      <c r="E5225" s="568"/>
      <c r="F5225" s="71" t="s">
        <v>0</v>
      </c>
      <c r="G5225" s="356" t="str">
        <f>VLOOKUP(H5224,COSTOS!C:M,8,0)</f>
        <v>Und</v>
      </c>
      <c r="H5225" s="276"/>
      <c r="I5225" s="306"/>
      <c r="J5225" s="308"/>
      <c r="K5225" s="308"/>
      <c r="L5225" s="308"/>
    </row>
    <row r="5226" spans="1:14">
      <c r="A5226" s="230"/>
      <c r="B5226" s="112"/>
      <c r="C5226" s="112"/>
      <c r="D5226" s="112"/>
      <c r="E5226" s="113"/>
      <c r="F5226" s="114" t="s">
        <v>1</v>
      </c>
      <c r="G5226" s="356">
        <f>VLOOKUP(H5224,COSTOS!C:M,9,0)</f>
        <v>0</v>
      </c>
      <c r="H5226" s="357"/>
      <c r="I5226" s="307"/>
    </row>
    <row r="5227" spans="1:14" ht="16.5">
      <c r="A5227" s="231" t="s">
        <v>4226</v>
      </c>
      <c r="B5227" s="75"/>
      <c r="C5227" s="75"/>
      <c r="D5227" s="76"/>
      <c r="E5227" s="209"/>
      <c r="F5227" s="210"/>
      <c r="G5227" s="211" t="s">
        <v>4227</v>
      </c>
      <c r="H5227" s="217">
        <f>H5232+H5249+H5253+H5259</f>
        <v>2972956.5750000002</v>
      </c>
    </row>
    <row r="5228" spans="1:14" ht="39">
      <c r="A5228" s="569" t="s">
        <v>4224</v>
      </c>
      <c r="B5228" s="569"/>
      <c r="C5228" s="569"/>
      <c r="D5228" s="77" t="s">
        <v>0</v>
      </c>
      <c r="E5228" s="207" t="s">
        <v>4228</v>
      </c>
      <c r="F5228" s="208" t="s">
        <v>4215</v>
      </c>
      <c r="G5228" s="74" t="s">
        <v>2</v>
      </c>
      <c r="H5228" s="218" t="s">
        <v>4229</v>
      </c>
      <c r="K5228" s="309"/>
    </row>
    <row r="5229" spans="1:14">
      <c r="A5229" s="536" t="s">
        <v>3946</v>
      </c>
      <c r="B5229" s="570" t="str">
        <f>VLOOKUP(A5229,'Equip, Herr y Transp'!$B$2:$D$739,2,0)</f>
        <v>EQU</v>
      </c>
      <c r="C5229" s="570"/>
      <c r="D5229" s="95" t="str">
        <f>VLOOKUP(A5229,'Equip, Herr y Transp'!$B$2:$D$218,2,0)</f>
        <v>EQU</v>
      </c>
      <c r="E5229" s="95">
        <f>VLOOKUP(A5229,'Equip, Herr y Transp'!$B$2:$D$218,3,0)</f>
        <v>14130</v>
      </c>
      <c r="F5229" s="96">
        <f>H5219</f>
        <v>0.1875</v>
      </c>
      <c r="G5229" s="122">
        <f>F5229*E5229</f>
        <v>2649.375</v>
      </c>
      <c r="H5229" s="118"/>
    </row>
    <row r="5230" spans="1:14">
      <c r="A5230" s="536" t="s">
        <v>3894</v>
      </c>
      <c r="B5230" s="570" t="str">
        <f>VLOOKUP(A5230,'Equip, Herr y Transp'!$B$2:$D$739,2,0)</f>
        <v>TR</v>
      </c>
      <c r="C5230" s="570"/>
      <c r="D5230" s="95" t="str">
        <f>VLOOKUP(A5230,'Equip, Herr y Transp'!$B$2:$D$218,2,0)</f>
        <v>TR</v>
      </c>
      <c r="E5230" s="95">
        <f>VLOOKUP(A5230,'Equip, Herr y Transp'!$B$2:$D$218,3,0)</f>
        <v>960000</v>
      </c>
      <c r="F5230" s="96">
        <f>H5219</f>
        <v>0.1875</v>
      </c>
      <c r="G5230" s="122">
        <f>F5230*E5230</f>
        <v>180000</v>
      </c>
      <c r="H5230" s="117"/>
    </row>
    <row r="5231" spans="1:14">
      <c r="A5231" s="536" t="s">
        <v>8</v>
      </c>
      <c r="B5231" s="570">
        <f>VLOOKUP(A5231,'Equip, Herr y Transp'!$B$2:$D$739,2,0)</f>
        <v>0</v>
      </c>
      <c r="C5231" s="570"/>
      <c r="D5231" s="95">
        <f>VLOOKUP(A5231,'Equip, Herr y Transp'!$B$2:$D$218,2,0)</f>
        <v>0</v>
      </c>
      <c r="E5231" s="95">
        <f>VLOOKUP(A5231,'Equip, Herr y Transp'!$B$2:$D$218,3,0)</f>
        <v>0</v>
      </c>
      <c r="F5231" s="96"/>
      <c r="G5231" s="122">
        <f>F5231*E5231</f>
        <v>0</v>
      </c>
      <c r="H5231" s="117"/>
    </row>
    <row r="5232" spans="1:14" ht="16.5">
      <c r="A5232" s="540" t="s">
        <v>4100</v>
      </c>
      <c r="B5232" s="541"/>
      <c r="C5232" s="541"/>
      <c r="D5232" s="541"/>
      <c r="E5232" s="541"/>
      <c r="F5232" s="541"/>
      <c r="G5232" s="541"/>
      <c r="H5232" s="97">
        <f>SUM(G5229:G5231)</f>
        <v>182649.375</v>
      </c>
    </row>
    <row r="5233" spans="1:15" ht="16.5">
      <c r="A5233" s="571" t="s">
        <v>4230</v>
      </c>
      <c r="B5233" s="572"/>
      <c r="C5233" s="572"/>
      <c r="D5233" s="572"/>
      <c r="E5233" s="572"/>
      <c r="F5233" s="572"/>
      <c r="G5233" s="572"/>
      <c r="H5233" s="573"/>
      <c r="K5233" s="56"/>
      <c r="L5233" s="56"/>
      <c r="M5233" s="56"/>
      <c r="N5233" s="56"/>
      <c r="O5233" s="56"/>
    </row>
    <row r="5234" spans="1:15" ht="30" customHeight="1">
      <c r="A5234" s="574" t="s">
        <v>7</v>
      </c>
      <c r="B5234" s="575"/>
      <c r="C5234" s="109" t="s">
        <v>0</v>
      </c>
      <c r="D5234" s="110" t="s">
        <v>4098</v>
      </c>
      <c r="E5234" s="111" t="s">
        <v>1</v>
      </c>
      <c r="F5234" s="576" t="s">
        <v>4218</v>
      </c>
      <c r="G5234" s="576"/>
      <c r="H5234" s="215"/>
      <c r="K5234" s="56"/>
      <c r="L5234" s="56"/>
      <c r="M5234" s="56"/>
      <c r="N5234" s="56"/>
      <c r="O5234" s="56"/>
    </row>
    <row r="5235" spans="1:15">
      <c r="A5235" s="577" t="s">
        <v>4752</v>
      </c>
      <c r="B5235" s="578"/>
      <c r="C5235" s="98" t="str">
        <f>VLOOKUP(A5235,'Materiales '!$C$2:$F$1302,3,0)</f>
        <v>Und</v>
      </c>
      <c r="D5235" s="99">
        <f>VLOOKUP(A5235,'Materiales '!$C$2:$F$1302,4,0)</f>
        <v>2434740</v>
      </c>
      <c r="E5235" s="100">
        <v>1</v>
      </c>
      <c r="F5235" s="538">
        <f>E5235*D5235</f>
        <v>2434740</v>
      </c>
      <c r="G5235" s="539"/>
      <c r="H5235" s="121"/>
      <c r="I5235">
        <f>E5235*G5226</f>
        <v>0</v>
      </c>
      <c r="J5235" s="67"/>
      <c r="K5235" s="56"/>
      <c r="L5235" s="56"/>
      <c r="M5235" s="56"/>
      <c r="N5235" s="56"/>
      <c r="O5235" s="56"/>
    </row>
    <row r="5236" spans="1:15">
      <c r="A5236" s="577" t="s">
        <v>4628</v>
      </c>
      <c r="B5236" s="578"/>
      <c r="C5236" s="98" t="str">
        <f>VLOOKUP(A5236,'Materiales '!$C$2:$F$1302,3,0)</f>
        <v>Rollo</v>
      </c>
      <c r="D5236" s="99">
        <f>VLOOKUP(A5236,'Materiales '!$C$2:$F$1302,4,0)</f>
        <v>138230.39999999999</v>
      </c>
      <c r="E5236" s="100">
        <v>0.5</v>
      </c>
      <c r="F5236" s="538">
        <f t="shared" ref="F5236:F5242" si="307">E5236*D5236</f>
        <v>69115.199999999997</v>
      </c>
      <c r="G5236" s="539"/>
      <c r="H5236" s="121"/>
      <c r="I5236">
        <f>E5236*G5226</f>
        <v>0</v>
      </c>
      <c r="J5236" s="67"/>
      <c r="K5236" s="56"/>
      <c r="L5236" s="56"/>
      <c r="M5236" s="56"/>
      <c r="N5236" s="56"/>
      <c r="O5236" s="56"/>
    </row>
    <row r="5237" spans="1:15">
      <c r="A5237" s="536" t="s">
        <v>4639</v>
      </c>
      <c r="B5237" s="537" t="str">
        <f>VLOOKUP(A5237,'Materiales '!$C$2:$F$1302,3,0)</f>
        <v>Und</v>
      </c>
      <c r="C5237" s="98" t="str">
        <f>VLOOKUP(A5237,'Materiales '!$C$2:$F$1302,3,0)</f>
        <v>Und</v>
      </c>
      <c r="D5237" s="99">
        <f>VLOOKUP(A5237,'Materiales '!$C$2:$F$1302,4,0)</f>
        <v>35700</v>
      </c>
      <c r="E5237" s="100">
        <v>6</v>
      </c>
      <c r="F5237" s="538">
        <f t="shared" si="307"/>
        <v>214200</v>
      </c>
      <c r="G5237" s="539"/>
      <c r="H5237" s="121"/>
      <c r="I5237">
        <f>E5237*G5226</f>
        <v>0</v>
      </c>
      <c r="J5237" s="68"/>
      <c r="K5237" s="56"/>
      <c r="L5237" s="56"/>
      <c r="M5237" s="56"/>
      <c r="N5237" s="56"/>
      <c r="O5237" s="56"/>
    </row>
    <row r="5238" spans="1:15">
      <c r="A5238" s="536" t="s">
        <v>8</v>
      </c>
      <c r="B5238" s="537" t="str">
        <f>VLOOKUP(A5238,'Materiales '!$C$2:$F$1302,3,0)</f>
        <v>-</v>
      </c>
      <c r="C5238" s="98" t="str">
        <f>VLOOKUP(A5238,'Materiales '!$C$2:$F$1302,3,0)</f>
        <v>-</v>
      </c>
      <c r="D5238" s="99">
        <f>VLOOKUP(A5238,'Materiales '!$C$2:$F$1302,4,0)</f>
        <v>0</v>
      </c>
      <c r="E5238" s="100">
        <v>3</v>
      </c>
      <c r="F5238" s="538">
        <f t="shared" si="307"/>
        <v>0</v>
      </c>
      <c r="G5238" s="539"/>
      <c r="H5238" s="121"/>
      <c r="I5238">
        <f>E5238*G5226</f>
        <v>0</v>
      </c>
      <c r="J5238" s="68"/>
      <c r="K5238" s="56"/>
      <c r="L5238" s="56"/>
      <c r="M5238" s="56"/>
      <c r="N5238" s="56"/>
      <c r="O5238" s="56"/>
    </row>
    <row r="5239" spans="1:15">
      <c r="A5239" s="536" t="s">
        <v>8</v>
      </c>
      <c r="B5239" s="537" t="str">
        <f>VLOOKUP(A5239,'Materiales '!$C$2:$F$1302,3,0)</f>
        <v>-</v>
      </c>
      <c r="C5239" s="98" t="str">
        <f>VLOOKUP(A5239,'Materiales '!$C$2:$F$1302,3,0)</f>
        <v>-</v>
      </c>
      <c r="D5239" s="99">
        <f>VLOOKUP(A5239,'Materiales '!$C$2:$F$1302,4,0)</f>
        <v>0</v>
      </c>
      <c r="E5239" s="100">
        <v>2</v>
      </c>
      <c r="F5239" s="538">
        <f t="shared" si="307"/>
        <v>0</v>
      </c>
      <c r="G5239" s="539"/>
      <c r="H5239" s="121"/>
      <c r="I5239">
        <f>E5239*G5226</f>
        <v>0</v>
      </c>
      <c r="J5239" s="68"/>
      <c r="K5239" s="56"/>
      <c r="L5239" s="56"/>
      <c r="M5239" s="56"/>
      <c r="N5239" s="56"/>
      <c r="O5239" s="56"/>
    </row>
    <row r="5240" spans="1:15">
      <c r="A5240" s="536" t="s">
        <v>8</v>
      </c>
      <c r="B5240" s="537" t="str">
        <f>VLOOKUP(A5240,'Materiales '!$C$2:$F$1302,3,0)</f>
        <v>-</v>
      </c>
      <c r="C5240" s="98" t="str">
        <f>VLOOKUP(A5240,'Materiales '!$C$2:$F$1302,3,0)</f>
        <v>-</v>
      </c>
      <c r="D5240" s="99">
        <f>VLOOKUP(A5240,'Materiales '!$C$2:$F$1302,4,0)</f>
        <v>0</v>
      </c>
      <c r="E5240" s="100">
        <v>8</v>
      </c>
      <c r="F5240" s="538">
        <f t="shared" si="307"/>
        <v>0</v>
      </c>
      <c r="G5240" s="539"/>
      <c r="H5240" s="121"/>
      <c r="I5240">
        <f>E5240*G5226</f>
        <v>0</v>
      </c>
      <c r="J5240" s="68"/>
      <c r="K5240" s="56"/>
      <c r="L5240" s="56"/>
      <c r="M5240" s="56"/>
      <c r="N5240" s="56"/>
      <c r="O5240" s="56"/>
    </row>
    <row r="5241" spans="1:15">
      <c r="A5241" s="536" t="s">
        <v>8</v>
      </c>
      <c r="B5241" s="537" t="str">
        <f>VLOOKUP(A5241,'Materiales '!$C$2:$F$1302,3,0)</f>
        <v>-</v>
      </c>
      <c r="C5241" s="98" t="str">
        <f>VLOOKUP(A5241,'Materiales '!$C$2:$F$1302,3,0)</f>
        <v>-</v>
      </c>
      <c r="D5241" s="99">
        <f>VLOOKUP(A5241,'Materiales '!$C$2:$F$1302,4,0)</f>
        <v>0</v>
      </c>
      <c r="E5241" s="100">
        <v>3</v>
      </c>
      <c r="F5241" s="538">
        <f t="shared" si="307"/>
        <v>0</v>
      </c>
      <c r="G5241" s="539"/>
      <c r="H5241" s="121"/>
      <c r="I5241">
        <f>E5241*G5226</f>
        <v>0</v>
      </c>
      <c r="J5241" s="68"/>
      <c r="K5241" s="56"/>
      <c r="L5241" s="56"/>
      <c r="M5241" s="56"/>
      <c r="N5241" s="56"/>
      <c r="O5241" s="56"/>
    </row>
    <row r="5242" spans="1:15" ht="21.75" customHeight="1">
      <c r="A5242" s="536" t="s">
        <v>8</v>
      </c>
      <c r="B5242" s="537" t="str">
        <f>VLOOKUP(A5242,'Materiales '!$C$2:$F$1302,3,0)</f>
        <v>-</v>
      </c>
      <c r="C5242" s="98" t="str">
        <f>VLOOKUP(A5242,'Materiales '!$C$2:$F$1302,3,0)</f>
        <v>-</v>
      </c>
      <c r="D5242" s="99">
        <f>VLOOKUP(A5242,'Materiales '!$C$2:$F$1302,4,0)</f>
        <v>0</v>
      </c>
      <c r="E5242" s="100">
        <v>0.5</v>
      </c>
      <c r="F5242" s="538">
        <f t="shared" si="307"/>
        <v>0</v>
      </c>
      <c r="G5242" s="539"/>
      <c r="H5242" s="121"/>
      <c r="I5242">
        <f>E5242*G5226</f>
        <v>0</v>
      </c>
      <c r="J5242" s="68"/>
      <c r="K5242" s="56"/>
      <c r="L5242" s="56"/>
      <c r="M5242" s="56"/>
      <c r="N5242" s="56"/>
      <c r="O5242" s="56"/>
    </row>
    <row r="5243" spans="1:15">
      <c r="A5243" s="536" t="s">
        <v>8</v>
      </c>
      <c r="B5243" s="537" t="str">
        <f>VLOOKUP(A5243,'Materiales '!$C$2:$F$1302,3,0)</f>
        <v>-</v>
      </c>
      <c r="C5243" s="98" t="str">
        <f>VLOOKUP(A5243,'Materiales '!$C$2:$F$1302,3,0)</f>
        <v>-</v>
      </c>
      <c r="D5243" s="99">
        <f>VLOOKUP(A5243,'Materiales '!$C$2:$F$1302,4,0)</f>
        <v>0</v>
      </c>
      <c r="E5243" s="100"/>
      <c r="F5243" s="538">
        <f>E5243*D5243</f>
        <v>0</v>
      </c>
      <c r="G5243" s="539"/>
      <c r="H5243" s="120"/>
      <c r="I5243">
        <f>E5243*G5226</f>
        <v>0</v>
      </c>
      <c r="J5243" s="68"/>
      <c r="K5243" s="56"/>
      <c r="L5243" s="56"/>
      <c r="M5243" s="56"/>
      <c r="N5243" s="56"/>
      <c r="O5243" s="56"/>
    </row>
    <row r="5244" spans="1:15">
      <c r="A5244" s="536" t="s">
        <v>8</v>
      </c>
      <c r="B5244" s="537" t="str">
        <f>VLOOKUP(A5244,'Materiales '!$C$2:$F$1302,3,0)</f>
        <v>-</v>
      </c>
      <c r="C5244" s="98" t="str">
        <f>VLOOKUP(A5244,'Materiales '!$C$2:$F$1302,3,0)</f>
        <v>-</v>
      </c>
      <c r="D5244" s="99">
        <f>VLOOKUP(A5244,'Materiales '!$C$2:$F$1302,4,0)</f>
        <v>0</v>
      </c>
      <c r="E5244" s="100"/>
      <c r="F5244" s="538">
        <f t="shared" ref="F5244:F5247" si="308">E5244*D5244</f>
        <v>0</v>
      </c>
      <c r="G5244" s="539"/>
      <c r="H5244" s="121"/>
      <c r="I5244">
        <f>E5244*G5226</f>
        <v>0</v>
      </c>
      <c r="J5244" s="68"/>
      <c r="K5244" s="56"/>
      <c r="L5244" s="56"/>
      <c r="M5244" s="56"/>
      <c r="N5244" s="56"/>
      <c r="O5244" s="56"/>
    </row>
    <row r="5245" spans="1:15">
      <c r="A5245" s="536" t="s">
        <v>8</v>
      </c>
      <c r="B5245" s="537" t="str">
        <f>VLOOKUP(A5245,'Materiales '!$C$2:$F$1302,3,0)</f>
        <v>-</v>
      </c>
      <c r="C5245" s="98" t="str">
        <f>VLOOKUP(A5245,'Materiales '!$C$2:$F$1302,3,0)</f>
        <v>-</v>
      </c>
      <c r="D5245" s="99">
        <f>VLOOKUP(A5245,'Materiales '!$C$2:$F$1302,4,0)</f>
        <v>0</v>
      </c>
      <c r="E5245" s="100"/>
      <c r="F5245" s="538">
        <f t="shared" si="308"/>
        <v>0</v>
      </c>
      <c r="G5245" s="539"/>
      <c r="H5245" s="121"/>
      <c r="I5245">
        <f>E5245*G5226</f>
        <v>0</v>
      </c>
      <c r="J5245" s="68"/>
      <c r="K5245" s="56"/>
      <c r="L5245" s="56"/>
      <c r="M5245" s="56"/>
      <c r="N5245" s="56"/>
      <c r="O5245" s="56"/>
    </row>
    <row r="5246" spans="1:15">
      <c r="A5246" s="536" t="s">
        <v>8</v>
      </c>
      <c r="B5246" s="537" t="str">
        <f>VLOOKUP(A5246,'Materiales '!$C$2:$F$1302,3,0)</f>
        <v>-</v>
      </c>
      <c r="C5246" s="98" t="str">
        <f>VLOOKUP(A5246,'Materiales '!$C$2:$F$1302,3,0)</f>
        <v>-</v>
      </c>
      <c r="D5246" s="99">
        <f>VLOOKUP(A5246,'Materiales '!$C$2:$F$1302,4,0)</f>
        <v>0</v>
      </c>
      <c r="E5246" s="100"/>
      <c r="F5246" s="538">
        <f t="shared" si="308"/>
        <v>0</v>
      </c>
      <c r="G5246" s="539"/>
      <c r="H5246" s="121"/>
      <c r="I5246">
        <f>E5246*G5226</f>
        <v>0</v>
      </c>
      <c r="J5246" s="68"/>
      <c r="K5246" s="56"/>
      <c r="L5246" s="56"/>
      <c r="M5246" s="56"/>
      <c r="N5246" s="56"/>
      <c r="O5246" s="56"/>
    </row>
    <row r="5247" spans="1:15">
      <c r="A5247" s="536" t="s">
        <v>8</v>
      </c>
      <c r="B5247" s="537" t="str">
        <f>VLOOKUP(A5247,'Materiales '!$C$2:$F$1302,3,0)</f>
        <v>-</v>
      </c>
      <c r="C5247" s="98" t="str">
        <f>VLOOKUP(A5247,'Materiales '!$C$2:$F$1302,3,0)</f>
        <v>-</v>
      </c>
      <c r="D5247" s="99">
        <f>VLOOKUP(A5247,'Materiales '!$C$2:$F$1302,4,0)</f>
        <v>0</v>
      </c>
      <c r="E5247" s="100"/>
      <c r="F5247" s="538">
        <f t="shared" si="308"/>
        <v>0</v>
      </c>
      <c r="G5247" s="539"/>
      <c r="H5247" s="121"/>
      <c r="I5247">
        <f>E5247*G5226</f>
        <v>0</v>
      </c>
      <c r="J5247" s="68"/>
      <c r="K5247" s="56"/>
      <c r="L5247" s="56"/>
      <c r="M5247" s="56"/>
      <c r="N5247" s="56"/>
      <c r="O5247" s="56"/>
    </row>
    <row r="5248" spans="1:15">
      <c r="A5248" s="536" t="s">
        <v>8</v>
      </c>
      <c r="B5248" s="537" t="str">
        <f>VLOOKUP(A5248,'Materiales '!$C$2:$F$1302,3,0)</f>
        <v>-</v>
      </c>
      <c r="C5248" s="98" t="str">
        <f>VLOOKUP(A5248,'Materiales '!$C$2:$F$1302,3,0)</f>
        <v>-</v>
      </c>
      <c r="D5248" s="99">
        <f>VLOOKUP(A5248,'Materiales '!$C$2:$F$1302,4,0)</f>
        <v>0</v>
      </c>
      <c r="E5248" s="100"/>
      <c r="F5248" s="538">
        <f>E5248*D5248</f>
        <v>0</v>
      </c>
      <c r="G5248" s="539"/>
      <c r="H5248" s="120"/>
      <c r="I5248">
        <f>E5248*G5226</f>
        <v>0</v>
      </c>
      <c r="J5248" s="68"/>
      <c r="K5248" s="56"/>
      <c r="L5248" s="56"/>
      <c r="M5248" s="56"/>
      <c r="N5248" s="56"/>
      <c r="O5248" s="56"/>
    </row>
    <row r="5249" spans="1:15" ht="16.5">
      <c r="A5249" s="540" t="s">
        <v>4099</v>
      </c>
      <c r="B5249" s="541"/>
      <c r="C5249" s="541"/>
      <c r="D5249" s="541"/>
      <c r="E5249" s="541"/>
      <c r="F5249" s="541"/>
      <c r="G5249" s="542"/>
      <c r="H5249" s="116">
        <f>SUM(F5235:F5248)</f>
        <v>2718055.2</v>
      </c>
      <c r="J5249" s="68"/>
      <c r="K5249" s="56"/>
      <c r="L5249" s="56"/>
      <c r="M5249" s="56"/>
      <c r="N5249" s="56"/>
      <c r="O5249" s="56"/>
    </row>
    <row r="5250" spans="1:15" ht="16.5">
      <c r="A5250" s="543" t="s">
        <v>4231</v>
      </c>
      <c r="B5250" s="544"/>
      <c r="C5250" s="544"/>
      <c r="D5250" s="544"/>
      <c r="E5250" s="545"/>
      <c r="F5250" s="544"/>
      <c r="G5250" s="544"/>
      <c r="H5250" s="546"/>
      <c r="J5250" s="68"/>
      <c r="K5250" s="56"/>
      <c r="L5250" s="56"/>
      <c r="M5250" s="56"/>
      <c r="N5250" s="56"/>
      <c r="O5250" s="56"/>
    </row>
    <row r="5251" spans="1:15">
      <c r="A5251" s="547" t="s">
        <v>7</v>
      </c>
      <c r="B5251" s="548"/>
      <c r="C5251" s="108" t="s">
        <v>4232</v>
      </c>
      <c r="D5251" s="107" t="s">
        <v>4233</v>
      </c>
      <c r="E5251" s="206" t="s">
        <v>4234</v>
      </c>
      <c r="F5251" s="549" t="s">
        <v>4218</v>
      </c>
      <c r="G5251" s="549"/>
      <c r="H5251" s="119"/>
      <c r="K5251" s="56"/>
      <c r="L5251" s="56"/>
      <c r="M5251" s="56"/>
      <c r="N5251" s="56"/>
      <c r="O5251" s="56"/>
    </row>
    <row r="5252" spans="1:15">
      <c r="A5252" s="550" t="s">
        <v>3928</v>
      </c>
      <c r="B5252" s="551"/>
      <c r="C5252" s="232">
        <v>1</v>
      </c>
      <c r="D5252" s="102">
        <v>0.03</v>
      </c>
      <c r="E5252" s="103">
        <f>VLOOKUP(A5252,'Equip, Herr y Transp'!$B$2:$D$218,3,0)</f>
        <v>160000</v>
      </c>
      <c r="F5252" s="552">
        <f>E5252*D5252*C5252</f>
        <v>4800</v>
      </c>
      <c r="G5252" s="553"/>
      <c r="H5252" s="117"/>
      <c r="M5252" s="56"/>
    </row>
    <row r="5253" spans="1:15" ht="16.5">
      <c r="A5253" s="554" t="s">
        <v>4216</v>
      </c>
      <c r="B5253" s="555"/>
      <c r="C5253" s="555"/>
      <c r="D5253" s="555"/>
      <c r="E5253" s="555"/>
      <c r="F5253" s="555"/>
      <c r="G5253" s="555"/>
      <c r="H5253" s="105">
        <f>F5252</f>
        <v>4800</v>
      </c>
    </row>
    <row r="5254" spans="1:15" ht="16.5">
      <c r="A5254" s="543" t="s">
        <v>4235</v>
      </c>
      <c r="B5254" s="544"/>
      <c r="C5254" s="544"/>
      <c r="D5254" s="544"/>
      <c r="E5254" s="544"/>
      <c r="F5254" s="544"/>
      <c r="G5254" s="544"/>
      <c r="H5254" s="546"/>
    </row>
    <row r="5255" spans="1:15">
      <c r="A5255" s="547" t="s">
        <v>7</v>
      </c>
      <c r="B5255" s="548"/>
      <c r="C5255" s="106" t="s">
        <v>1</v>
      </c>
      <c r="D5255" s="107" t="s">
        <v>4236</v>
      </c>
      <c r="E5255" s="108" t="s">
        <v>4215</v>
      </c>
      <c r="F5255" s="547" t="s">
        <v>5</v>
      </c>
      <c r="G5255" s="556"/>
      <c r="H5255" s="119"/>
    </row>
    <row r="5256" spans="1:15">
      <c r="A5256" s="550" t="s">
        <v>4196</v>
      </c>
      <c r="B5256" s="551"/>
      <c r="C5256" s="101">
        <v>1</v>
      </c>
      <c r="D5256" s="104">
        <f>VLOOKUP(A5256,'Mano Obra'!$B$2:$T$117,19,0)</f>
        <v>166624</v>
      </c>
      <c r="E5256" s="246">
        <f>H5219</f>
        <v>0.1875</v>
      </c>
      <c r="F5256" s="538">
        <f>E5256*D5256*C5256</f>
        <v>31242</v>
      </c>
      <c r="G5256" s="557"/>
      <c r="H5256" s="121"/>
      <c r="I5256" s="69"/>
      <c r="J5256" s="136">
        <f>((('Mano Obra'!$M$4/30)*F5256)/D5256)*G5226</f>
        <v>0</v>
      </c>
    </row>
    <row r="5257" spans="1:15">
      <c r="A5257" s="558" t="s">
        <v>4197</v>
      </c>
      <c r="B5257" s="559">
        <f>VLOOKUP(A5257,'Mano Obra'!$B$3:$D$290,2,0)</f>
        <v>2090000.0000000002</v>
      </c>
      <c r="C5257" s="101">
        <v>1</v>
      </c>
      <c r="D5257" s="104">
        <f>VLOOKUP(A5257,'Mano Obra'!$B$2:$T$117,19,0)</f>
        <v>120456</v>
      </c>
      <c r="E5257" s="246">
        <f>H5219</f>
        <v>0.1875</v>
      </c>
      <c r="F5257" s="538">
        <f t="shared" ref="F5257:F5258" si="309">E5257*D5257*C5257</f>
        <v>22585.5</v>
      </c>
      <c r="G5257" s="557"/>
      <c r="H5257" s="121"/>
      <c r="J5257" s="136">
        <f>((('Mano Obra'!$M$5/30)*F5257)/D5257)*G5226</f>
        <v>0</v>
      </c>
    </row>
    <row r="5258" spans="1:15">
      <c r="A5258" s="558" t="s">
        <v>4186</v>
      </c>
      <c r="B5258" s="559">
        <f>VLOOKUP(A5258,'Mano Obra'!$B$3:$D$290,2,0)</f>
        <v>1100000</v>
      </c>
      <c r="C5258" s="101">
        <v>1</v>
      </c>
      <c r="D5258" s="104">
        <f>VLOOKUP(A5258,'Mano Obra'!$B$2:$T$117,19,0)</f>
        <v>72664</v>
      </c>
      <c r="E5258" s="246">
        <f>H5219</f>
        <v>0.1875</v>
      </c>
      <c r="F5258" s="538">
        <f t="shared" si="309"/>
        <v>13624.5</v>
      </c>
      <c r="G5258" s="557"/>
      <c r="H5258" s="120"/>
      <c r="J5258" s="136">
        <f>((('Mano Obra'!$M$6/30)*F5258)/D5258)*G5226</f>
        <v>0</v>
      </c>
    </row>
    <row r="5259" spans="1:15" ht="16.5">
      <c r="A5259" s="560" t="s">
        <v>4101</v>
      </c>
      <c r="B5259" s="560"/>
      <c r="C5259" s="560"/>
      <c r="D5259" s="560"/>
      <c r="E5259" s="560"/>
      <c r="F5259" s="560"/>
      <c r="G5259" s="560"/>
      <c r="H5259" s="105">
        <f>SUM(F5256:F5258)</f>
        <v>67452</v>
      </c>
      <c r="J5259" s="136"/>
    </row>
    <row r="5260" spans="1:15">
      <c r="A5260" s="227" t="s">
        <v>4237</v>
      </c>
      <c r="B5260" s="205"/>
      <c r="C5260" s="205"/>
      <c r="D5260" s="202"/>
      <c r="E5260" s="203"/>
      <c r="F5260" s="204"/>
      <c r="G5260" s="203"/>
      <c r="H5260" s="212"/>
    </row>
    <row r="5261" spans="1:15">
      <c r="A5261" s="561" t="s">
        <v>4224</v>
      </c>
      <c r="B5261" s="562"/>
      <c r="C5261" s="562"/>
      <c r="D5261" s="562"/>
      <c r="E5261" s="200"/>
      <c r="F5261" s="201" t="s">
        <v>4238</v>
      </c>
      <c r="G5261" s="200" t="s">
        <v>4239</v>
      </c>
      <c r="H5261" s="213"/>
    </row>
    <row r="5262" spans="1:15">
      <c r="A5262" s="223" t="s">
        <v>4097</v>
      </c>
      <c r="B5262" s="72"/>
      <c r="C5262" s="72"/>
      <c r="D5262" s="73"/>
      <c r="E5262" s="78"/>
      <c r="F5262" s="79">
        <v>0</v>
      </c>
      <c r="G5262" s="80">
        <f>F5262*H5227</f>
        <v>0</v>
      </c>
      <c r="H5262" s="212"/>
    </row>
    <row r="5263" spans="1:15">
      <c r="A5263" s="224" t="s">
        <v>4240</v>
      </c>
      <c r="B5263" s="81"/>
      <c r="C5263" s="81"/>
      <c r="D5263" s="82"/>
      <c r="E5263" s="78"/>
      <c r="F5263" s="79">
        <v>0</v>
      </c>
      <c r="G5263" s="80">
        <f>F5263*H5227</f>
        <v>0</v>
      </c>
      <c r="H5263" s="212"/>
    </row>
    <row r="5264" spans="1:15">
      <c r="A5264" s="224" t="s">
        <v>4</v>
      </c>
      <c r="B5264" s="81"/>
      <c r="C5264" s="81"/>
      <c r="D5264" s="82"/>
      <c r="E5264" s="78"/>
      <c r="F5264" s="79">
        <v>0</v>
      </c>
      <c r="G5264" s="80">
        <f>F5264*H5227</f>
        <v>0</v>
      </c>
      <c r="H5264" s="212"/>
    </row>
    <row r="5265" spans="1:14">
      <c r="A5265" s="225"/>
      <c r="B5265" s="83"/>
      <c r="C5265" s="75"/>
      <c r="D5265" s="84"/>
      <c r="E5265" s="85"/>
      <c r="F5265" s="86"/>
      <c r="G5265" s="87"/>
      <c r="H5265" s="214"/>
    </row>
    <row r="5266" spans="1:14">
      <c r="A5266" s="226"/>
      <c r="B5266" s="83"/>
      <c r="C5266" s="83"/>
      <c r="D5266" s="84"/>
      <c r="E5266" s="88"/>
      <c r="F5266" s="563" t="s">
        <v>4241</v>
      </c>
      <c r="G5266" s="564"/>
      <c r="H5266" s="233">
        <f>H5227+G5262+G5263+G5264</f>
        <v>2972956.5750000002</v>
      </c>
    </row>
    <row r="5267" spans="1:14">
      <c r="A5267" s="83"/>
      <c r="B5267" s="83"/>
      <c r="C5267" s="83"/>
      <c r="D5267" s="84"/>
      <c r="E5267" s="388"/>
      <c r="F5267" s="389"/>
      <c r="G5267" s="389"/>
      <c r="H5267" s="390"/>
    </row>
    <row r="5268" spans="1:14" ht="16.5">
      <c r="A5268" s="90"/>
      <c r="B5268" s="90"/>
      <c r="C5268" s="90"/>
      <c r="D5268" s="90"/>
      <c r="E5268" s="90"/>
      <c r="F5268" s="90"/>
      <c r="G5268" s="90"/>
      <c r="H5268" s="381"/>
    </row>
    <row r="5269" spans="1:14">
      <c r="A5269" s="579" t="s">
        <v>4225</v>
      </c>
      <c r="B5269" s="580"/>
      <c r="C5269" s="580"/>
      <c r="D5269" s="580"/>
      <c r="E5269" s="580"/>
      <c r="F5269" s="580"/>
      <c r="G5269" s="580"/>
      <c r="H5269" s="581"/>
    </row>
    <row r="5270" spans="1:14" ht="16.5">
      <c r="A5270" s="91"/>
      <c r="B5270" s="92"/>
      <c r="C5270" s="92"/>
      <c r="D5270" s="92"/>
      <c r="E5270" s="92"/>
      <c r="F5270" s="93"/>
      <c r="G5270" s="94"/>
      <c r="H5270" s="380">
        <f>ROUND((90/60)/8,4)</f>
        <v>0.1875</v>
      </c>
      <c r="I5270" s="115"/>
    </row>
    <row r="5271" spans="1:14">
      <c r="A5271" s="582" t="s">
        <v>4220</v>
      </c>
      <c r="B5271" s="584" t="str">
        <f>COSTOS!$C$14</f>
        <v>MODERNIZACION A TECNOLOGIA LED</v>
      </c>
      <c r="C5271" s="584"/>
      <c r="D5271" s="584"/>
      <c r="E5271" s="584"/>
      <c r="F5271" s="584"/>
      <c r="G5271" s="584"/>
      <c r="H5271" s="585" t="s">
        <v>4221</v>
      </c>
    </row>
    <row r="5272" spans="1:14">
      <c r="A5272" s="583"/>
      <c r="B5272" s="584"/>
      <c r="C5272" s="584"/>
      <c r="D5272" s="584"/>
      <c r="E5272" s="584"/>
      <c r="F5272" s="584"/>
      <c r="G5272" s="584"/>
      <c r="H5272" s="585"/>
    </row>
    <row r="5273" spans="1:14">
      <c r="A5273" s="583"/>
      <c r="B5273" s="584"/>
      <c r="C5273" s="584"/>
      <c r="D5273" s="584"/>
      <c r="E5273" s="584"/>
      <c r="F5273" s="584"/>
      <c r="G5273" s="584"/>
      <c r="H5273" s="585"/>
    </row>
    <row r="5274" spans="1:14" ht="15" customHeight="1">
      <c r="A5274" s="583"/>
      <c r="B5274" s="584"/>
      <c r="C5274" s="584"/>
      <c r="D5274" s="584"/>
      <c r="E5274" s="584"/>
      <c r="F5274" s="584"/>
      <c r="G5274" s="584"/>
      <c r="H5274" s="216">
        <f ca="1">TODAY()</f>
        <v>44889</v>
      </c>
      <c r="K5274" t="s">
        <v>4391</v>
      </c>
      <c r="L5274" t="s">
        <v>4392</v>
      </c>
      <c r="M5274" t="s">
        <v>4393</v>
      </c>
      <c r="N5274" t="s">
        <v>4394</v>
      </c>
    </row>
    <row r="5275" spans="1:14" ht="60.75" customHeight="1">
      <c r="A5275" s="228" t="s">
        <v>4222</v>
      </c>
      <c r="B5275" s="565" t="str">
        <f>COSTOS!$D$16</f>
        <v>Luminarias</v>
      </c>
      <c r="C5275" s="565"/>
      <c r="D5275" s="565"/>
      <c r="E5275" s="565"/>
      <c r="F5275" s="565"/>
      <c r="G5275" s="70" t="s">
        <v>4223</v>
      </c>
      <c r="H5275" s="391" t="s">
        <v>4756</v>
      </c>
      <c r="K5275" s="62">
        <f>H5300</f>
        <v>2235512.58</v>
      </c>
      <c r="L5275" s="62">
        <f>H5310</f>
        <v>67452</v>
      </c>
      <c r="M5275" s="62">
        <f>H5283</f>
        <v>182649.375</v>
      </c>
      <c r="N5275" s="62">
        <f>H5304</f>
        <v>4800</v>
      </c>
    </row>
    <row r="5276" spans="1:14" ht="43.15" customHeight="1">
      <c r="A5276" s="229" t="s">
        <v>4224</v>
      </c>
      <c r="B5276" s="566" t="str">
        <f>VLOOKUP(H5275,COSTOS!C:M,2,0)</f>
        <v>Poste de traslucido 10 metros</v>
      </c>
      <c r="C5276" s="567"/>
      <c r="D5276" s="567"/>
      <c r="E5276" s="568"/>
      <c r="F5276" s="71" t="s">
        <v>0</v>
      </c>
      <c r="G5276" s="356" t="str">
        <f>VLOOKUP(H5275,COSTOS!C:M,8,0)</f>
        <v>Und</v>
      </c>
      <c r="H5276" s="276"/>
      <c r="I5276" s="306"/>
      <c r="J5276" s="308"/>
      <c r="K5276" s="308"/>
      <c r="L5276" s="308"/>
    </row>
    <row r="5277" spans="1:14">
      <c r="A5277" s="230"/>
      <c r="B5277" s="112"/>
      <c r="C5277" s="112"/>
      <c r="D5277" s="112"/>
      <c r="E5277" s="113"/>
      <c r="F5277" s="114" t="s">
        <v>1</v>
      </c>
      <c r="G5277" s="356">
        <f>VLOOKUP(H5275,COSTOS!C:M,9,0)</f>
        <v>0</v>
      </c>
      <c r="H5277" s="357"/>
      <c r="I5277" s="307"/>
    </row>
    <row r="5278" spans="1:14" ht="16.5">
      <c r="A5278" s="231" t="s">
        <v>4226</v>
      </c>
      <c r="B5278" s="75"/>
      <c r="C5278" s="75"/>
      <c r="D5278" s="76"/>
      <c r="E5278" s="209"/>
      <c r="F5278" s="210"/>
      <c r="G5278" s="211" t="s">
        <v>4227</v>
      </c>
      <c r="H5278" s="217">
        <f>H5283+H5300+H5304+H5310</f>
        <v>2490413.9550000001</v>
      </c>
    </row>
    <row r="5279" spans="1:14" ht="39">
      <c r="A5279" s="569" t="s">
        <v>4224</v>
      </c>
      <c r="B5279" s="569"/>
      <c r="C5279" s="569"/>
      <c r="D5279" s="77" t="s">
        <v>0</v>
      </c>
      <c r="E5279" s="207" t="s">
        <v>4228</v>
      </c>
      <c r="F5279" s="208" t="s">
        <v>4215</v>
      </c>
      <c r="G5279" s="74" t="s">
        <v>2</v>
      </c>
      <c r="H5279" s="218" t="s">
        <v>4229</v>
      </c>
      <c r="K5279" s="309"/>
    </row>
    <row r="5280" spans="1:14">
      <c r="A5280" s="536" t="s">
        <v>3946</v>
      </c>
      <c r="B5280" s="570" t="str">
        <f>VLOOKUP(A5280,'Equip, Herr y Transp'!$B$2:$D$739,2,0)</f>
        <v>EQU</v>
      </c>
      <c r="C5280" s="570"/>
      <c r="D5280" s="95" t="str">
        <f>VLOOKUP(A5280,'Equip, Herr y Transp'!$B$2:$D$218,2,0)</f>
        <v>EQU</v>
      </c>
      <c r="E5280" s="95">
        <f>VLOOKUP(A5280,'Equip, Herr y Transp'!$B$2:$D$218,3,0)</f>
        <v>14130</v>
      </c>
      <c r="F5280" s="96">
        <f>H5270</f>
        <v>0.1875</v>
      </c>
      <c r="G5280" s="122">
        <f>F5280*E5280</f>
        <v>2649.375</v>
      </c>
      <c r="H5280" s="118"/>
    </row>
    <row r="5281" spans="1:15">
      <c r="A5281" s="536" t="s">
        <v>3894</v>
      </c>
      <c r="B5281" s="570" t="str">
        <f>VLOOKUP(A5281,'Equip, Herr y Transp'!$B$2:$D$739,2,0)</f>
        <v>TR</v>
      </c>
      <c r="C5281" s="570"/>
      <c r="D5281" s="95" t="str">
        <f>VLOOKUP(A5281,'Equip, Herr y Transp'!$B$2:$D$218,2,0)</f>
        <v>TR</v>
      </c>
      <c r="E5281" s="95">
        <f>VLOOKUP(A5281,'Equip, Herr y Transp'!$B$2:$D$218,3,0)</f>
        <v>960000</v>
      </c>
      <c r="F5281" s="96">
        <f>H5270</f>
        <v>0.1875</v>
      </c>
      <c r="G5281" s="122">
        <f>F5281*E5281</f>
        <v>180000</v>
      </c>
      <c r="H5281" s="117"/>
    </row>
    <row r="5282" spans="1:15">
      <c r="A5282" s="536" t="s">
        <v>8</v>
      </c>
      <c r="B5282" s="570">
        <f>VLOOKUP(A5282,'Equip, Herr y Transp'!$B$2:$D$739,2,0)</f>
        <v>0</v>
      </c>
      <c r="C5282" s="570"/>
      <c r="D5282" s="95">
        <f>VLOOKUP(A5282,'Equip, Herr y Transp'!$B$2:$D$218,2,0)</f>
        <v>0</v>
      </c>
      <c r="E5282" s="95">
        <f>VLOOKUP(A5282,'Equip, Herr y Transp'!$B$2:$D$218,3,0)</f>
        <v>0</v>
      </c>
      <c r="F5282" s="96"/>
      <c r="G5282" s="122">
        <f>F5282*E5282</f>
        <v>0</v>
      </c>
      <c r="H5282" s="117"/>
    </row>
    <row r="5283" spans="1:15" ht="16.5">
      <c r="A5283" s="540" t="s">
        <v>4100</v>
      </c>
      <c r="B5283" s="541"/>
      <c r="C5283" s="541"/>
      <c r="D5283" s="541"/>
      <c r="E5283" s="541"/>
      <c r="F5283" s="541"/>
      <c r="G5283" s="541"/>
      <c r="H5283" s="97">
        <f>SUM(G5280:G5282)</f>
        <v>182649.375</v>
      </c>
    </row>
    <row r="5284" spans="1:15" ht="16.5">
      <c r="A5284" s="571" t="s">
        <v>4230</v>
      </c>
      <c r="B5284" s="572"/>
      <c r="C5284" s="572"/>
      <c r="D5284" s="572"/>
      <c r="E5284" s="572"/>
      <c r="F5284" s="572"/>
      <c r="G5284" s="572"/>
      <c r="H5284" s="573"/>
      <c r="K5284" s="56"/>
      <c r="L5284" s="56"/>
      <c r="M5284" s="56"/>
      <c r="N5284" s="56"/>
      <c r="O5284" s="56"/>
    </row>
    <row r="5285" spans="1:15" ht="30" customHeight="1">
      <c r="A5285" s="574" t="s">
        <v>7</v>
      </c>
      <c r="B5285" s="575"/>
      <c r="C5285" s="109" t="s">
        <v>0</v>
      </c>
      <c r="D5285" s="110" t="s">
        <v>4098</v>
      </c>
      <c r="E5285" s="111" t="s">
        <v>1</v>
      </c>
      <c r="F5285" s="576" t="s">
        <v>4218</v>
      </c>
      <c r="G5285" s="576"/>
      <c r="H5285" s="215"/>
      <c r="K5285" s="56"/>
      <c r="L5285" s="56"/>
      <c r="M5285" s="56"/>
      <c r="N5285" s="56"/>
      <c r="O5285" s="56"/>
    </row>
    <row r="5286" spans="1:15">
      <c r="A5286" s="577" t="s">
        <v>4569</v>
      </c>
      <c r="B5286" s="578"/>
      <c r="C5286" s="98" t="str">
        <f>VLOOKUP(A5286,'Materiales '!$C$2:$F$1302,3,0)</f>
        <v>Und</v>
      </c>
      <c r="D5286" s="99">
        <f>VLOOKUP(A5286,'Materiales '!$C$2:$F$1302,4,0)</f>
        <v>1898050.0000000002</v>
      </c>
      <c r="E5286" s="100">
        <v>1</v>
      </c>
      <c r="F5286" s="538">
        <f>E5286*D5286</f>
        <v>1898050.0000000002</v>
      </c>
      <c r="G5286" s="539"/>
      <c r="H5286" s="121"/>
      <c r="I5286">
        <f>E5286*G5277</f>
        <v>0</v>
      </c>
      <c r="J5286" s="67"/>
      <c r="K5286" s="56"/>
      <c r="L5286" s="56"/>
      <c r="M5286" s="56"/>
      <c r="N5286" s="56"/>
      <c r="O5286" s="56"/>
    </row>
    <row r="5287" spans="1:15">
      <c r="A5287" s="577" t="s">
        <v>4628</v>
      </c>
      <c r="B5287" s="578"/>
      <c r="C5287" s="98" t="str">
        <f>VLOOKUP(A5287,'Materiales '!$C$2:$F$1302,3,0)</f>
        <v>Rollo</v>
      </c>
      <c r="D5287" s="99">
        <f>VLOOKUP(A5287,'Materiales '!$C$2:$F$1302,4,0)</f>
        <v>138230.39999999999</v>
      </c>
      <c r="E5287" s="100">
        <v>0.5</v>
      </c>
      <c r="F5287" s="538">
        <f t="shared" ref="F5287:F5293" si="310">E5287*D5287</f>
        <v>69115.199999999997</v>
      </c>
      <c r="G5287" s="539"/>
      <c r="H5287" s="121"/>
      <c r="I5287">
        <f>E5287*G5277</f>
        <v>0</v>
      </c>
      <c r="J5287" s="67"/>
      <c r="K5287" s="56"/>
      <c r="L5287" s="56"/>
      <c r="M5287" s="56"/>
      <c r="N5287" s="56"/>
      <c r="O5287" s="56"/>
    </row>
    <row r="5288" spans="1:15">
      <c r="A5288" s="536" t="s">
        <v>4544</v>
      </c>
      <c r="B5288" s="537" t="str">
        <f>VLOOKUP(A5288,'Materiales '!$C$2:$F$1302,3,0)</f>
        <v>Ml</v>
      </c>
      <c r="C5288" s="98" t="str">
        <f>VLOOKUP(A5288,'Materiales '!$C$2:$F$1302,3,0)</f>
        <v>Ml</v>
      </c>
      <c r="D5288" s="99">
        <f>VLOOKUP(A5288,'Materiales '!$C$2:$F$1302,4,0)</f>
        <v>9740.2690000000002</v>
      </c>
      <c r="E5288" s="100">
        <v>20</v>
      </c>
      <c r="F5288" s="538">
        <f t="shared" si="310"/>
        <v>194805.38</v>
      </c>
      <c r="G5288" s="539"/>
      <c r="H5288" s="121"/>
      <c r="I5288">
        <f>E5288*G5277</f>
        <v>0</v>
      </c>
      <c r="J5288" s="68"/>
      <c r="K5288" s="56"/>
      <c r="L5288" s="56"/>
      <c r="M5288" s="56"/>
      <c r="N5288" s="56"/>
      <c r="O5288" s="56"/>
    </row>
    <row r="5289" spans="1:15">
      <c r="A5289" s="536" t="s">
        <v>4523</v>
      </c>
      <c r="B5289" s="537" t="str">
        <f>VLOOKUP(A5289,'Materiales '!$C$2:$F$1302,3,0)</f>
        <v>Und</v>
      </c>
      <c r="C5289" s="98" t="str">
        <f>VLOOKUP(A5289,'Materiales '!$C$2:$F$1302,3,0)</f>
        <v>Und</v>
      </c>
      <c r="D5289" s="99">
        <f>VLOOKUP(A5289,'Materiales '!$C$2:$F$1302,4,0)</f>
        <v>9996</v>
      </c>
      <c r="E5289" s="100">
        <v>2</v>
      </c>
      <c r="F5289" s="538">
        <f t="shared" si="310"/>
        <v>19992</v>
      </c>
      <c r="G5289" s="539"/>
      <c r="H5289" s="121"/>
      <c r="I5289">
        <f>E5289*G5277</f>
        <v>0</v>
      </c>
      <c r="J5289" s="68"/>
      <c r="K5289" s="56"/>
      <c r="L5289" s="56"/>
      <c r="M5289" s="56"/>
      <c r="N5289" s="56"/>
      <c r="O5289" s="56"/>
    </row>
    <row r="5290" spans="1:15">
      <c r="A5290" s="536" t="s">
        <v>4600</v>
      </c>
      <c r="B5290" s="537" t="str">
        <f>VLOOKUP(A5290,'Materiales '!$C$2:$F$1302,3,0)</f>
        <v>Und</v>
      </c>
      <c r="C5290" s="98" t="str">
        <f>VLOOKUP(A5290,'Materiales '!$C$2:$F$1302,3,0)</f>
        <v>Und</v>
      </c>
      <c r="D5290" s="99">
        <f>VLOOKUP(A5290,'Materiales '!$C$2:$F$1302,4,0)</f>
        <v>2998.7999999999997</v>
      </c>
      <c r="E5290" s="100">
        <v>1</v>
      </c>
      <c r="F5290" s="538">
        <f t="shared" si="310"/>
        <v>2998.7999999999997</v>
      </c>
      <c r="G5290" s="539"/>
      <c r="H5290" s="121"/>
      <c r="I5290">
        <f>E5290*G5277</f>
        <v>0</v>
      </c>
      <c r="J5290" s="68"/>
      <c r="K5290" s="56"/>
      <c r="L5290" s="56"/>
      <c r="M5290" s="56"/>
      <c r="N5290" s="56"/>
      <c r="O5290" s="56"/>
    </row>
    <row r="5291" spans="1:15">
      <c r="A5291" s="536" t="s">
        <v>4443</v>
      </c>
      <c r="B5291" s="537" t="str">
        <f>VLOOKUP(A5291,'Materiales '!$C$2:$F$1302,3,0)</f>
        <v>Ml</v>
      </c>
      <c r="C5291" s="98" t="str">
        <f>VLOOKUP(A5291,'Materiales '!$C$2:$F$1302,3,0)</f>
        <v>Ml</v>
      </c>
      <c r="D5291" s="99">
        <f>VLOOKUP(A5291,'Materiales '!$C$2:$F$1302,4,0)</f>
        <v>14851.199999999999</v>
      </c>
      <c r="E5291" s="100">
        <v>1</v>
      </c>
      <c r="F5291" s="538">
        <f t="shared" si="310"/>
        <v>14851.199999999999</v>
      </c>
      <c r="G5291" s="539"/>
      <c r="H5291" s="121"/>
      <c r="I5291">
        <f>E5291*G5277</f>
        <v>0</v>
      </c>
      <c r="J5291" s="68"/>
      <c r="K5291" s="56"/>
      <c r="L5291" s="56"/>
      <c r="M5291" s="56"/>
      <c r="N5291" s="56"/>
      <c r="O5291" s="56"/>
    </row>
    <row r="5292" spans="1:15">
      <c r="A5292" s="536" t="s">
        <v>4639</v>
      </c>
      <c r="B5292" s="537" t="str">
        <f>VLOOKUP(A5292,'Materiales '!$C$2:$F$1302,3,0)</f>
        <v>Und</v>
      </c>
      <c r="C5292" s="98" t="str">
        <f>VLOOKUP(A5292,'Materiales '!$C$2:$F$1302,3,0)</f>
        <v>Und</v>
      </c>
      <c r="D5292" s="99">
        <f>VLOOKUP(A5292,'Materiales '!$C$2:$F$1302,4,0)</f>
        <v>35700</v>
      </c>
      <c r="E5292" s="100">
        <v>1</v>
      </c>
      <c r="F5292" s="538">
        <f t="shared" si="310"/>
        <v>35700</v>
      </c>
      <c r="G5292" s="539"/>
      <c r="H5292" s="121"/>
      <c r="I5292">
        <f>E5292*G5277</f>
        <v>0</v>
      </c>
      <c r="J5292" s="68"/>
      <c r="K5292" s="56"/>
      <c r="L5292" s="56"/>
      <c r="M5292" s="56"/>
      <c r="N5292" s="56"/>
      <c r="O5292" s="56"/>
    </row>
    <row r="5293" spans="1:15" ht="21.75" customHeight="1">
      <c r="A5293" s="536" t="s">
        <v>8</v>
      </c>
      <c r="B5293" s="537" t="str">
        <f>VLOOKUP(A5293,'Materiales '!$C$2:$F$1302,3,0)</f>
        <v>-</v>
      </c>
      <c r="C5293" s="98" t="str">
        <f>VLOOKUP(A5293,'Materiales '!$C$2:$F$1302,3,0)</f>
        <v>-</v>
      </c>
      <c r="D5293" s="99">
        <f>VLOOKUP(A5293,'Materiales '!$C$2:$F$1302,4,0)</f>
        <v>0</v>
      </c>
      <c r="E5293" s="100">
        <v>0.5</v>
      </c>
      <c r="F5293" s="538">
        <f t="shared" si="310"/>
        <v>0</v>
      </c>
      <c r="G5293" s="539"/>
      <c r="H5293" s="121"/>
      <c r="I5293">
        <f>E5293*G5277</f>
        <v>0</v>
      </c>
      <c r="J5293" s="68"/>
      <c r="K5293" s="56"/>
      <c r="L5293" s="56"/>
      <c r="M5293" s="56"/>
      <c r="N5293" s="56"/>
      <c r="O5293" s="56"/>
    </row>
    <row r="5294" spans="1:15">
      <c r="A5294" s="536" t="s">
        <v>8</v>
      </c>
      <c r="B5294" s="537" t="str">
        <f>VLOOKUP(A5294,'Materiales '!$C$2:$F$1302,3,0)</f>
        <v>-</v>
      </c>
      <c r="C5294" s="98" t="str">
        <f>VLOOKUP(A5294,'Materiales '!$C$2:$F$1302,3,0)</f>
        <v>-</v>
      </c>
      <c r="D5294" s="99">
        <f>VLOOKUP(A5294,'Materiales '!$C$2:$F$1302,4,0)</f>
        <v>0</v>
      </c>
      <c r="E5294" s="100"/>
      <c r="F5294" s="538">
        <f>E5294*D5294</f>
        <v>0</v>
      </c>
      <c r="G5294" s="539"/>
      <c r="H5294" s="120"/>
      <c r="I5294">
        <f>E5294*G5277</f>
        <v>0</v>
      </c>
      <c r="J5294" s="68"/>
      <c r="K5294" s="56"/>
      <c r="L5294" s="56"/>
      <c r="M5294" s="56"/>
      <c r="N5294" s="56"/>
      <c r="O5294" s="56"/>
    </row>
    <row r="5295" spans="1:15">
      <c r="A5295" s="536" t="s">
        <v>8</v>
      </c>
      <c r="B5295" s="537" t="str">
        <f>VLOOKUP(A5295,'Materiales '!$C$2:$F$1302,3,0)</f>
        <v>-</v>
      </c>
      <c r="C5295" s="98" t="str">
        <f>VLOOKUP(A5295,'Materiales '!$C$2:$F$1302,3,0)</f>
        <v>-</v>
      </c>
      <c r="D5295" s="99">
        <f>VLOOKUP(A5295,'Materiales '!$C$2:$F$1302,4,0)</f>
        <v>0</v>
      </c>
      <c r="E5295" s="100"/>
      <c r="F5295" s="538">
        <f t="shared" ref="F5295:F5298" si="311">E5295*D5295</f>
        <v>0</v>
      </c>
      <c r="G5295" s="539"/>
      <c r="H5295" s="121"/>
      <c r="I5295">
        <f>E5295*G5277</f>
        <v>0</v>
      </c>
      <c r="J5295" s="68"/>
      <c r="K5295" s="56"/>
      <c r="L5295" s="56"/>
      <c r="M5295" s="56"/>
      <c r="N5295" s="56"/>
      <c r="O5295" s="56"/>
    </row>
    <row r="5296" spans="1:15">
      <c r="A5296" s="536" t="s">
        <v>8</v>
      </c>
      <c r="B5296" s="537" t="str">
        <f>VLOOKUP(A5296,'Materiales '!$C$2:$F$1302,3,0)</f>
        <v>-</v>
      </c>
      <c r="C5296" s="98" t="str">
        <f>VLOOKUP(A5296,'Materiales '!$C$2:$F$1302,3,0)</f>
        <v>-</v>
      </c>
      <c r="D5296" s="99">
        <f>VLOOKUP(A5296,'Materiales '!$C$2:$F$1302,4,0)</f>
        <v>0</v>
      </c>
      <c r="E5296" s="100"/>
      <c r="F5296" s="538">
        <f t="shared" si="311"/>
        <v>0</v>
      </c>
      <c r="G5296" s="539"/>
      <c r="H5296" s="121"/>
      <c r="I5296">
        <f>E5296*G5277</f>
        <v>0</v>
      </c>
      <c r="J5296" s="68"/>
      <c r="K5296" s="56"/>
      <c r="L5296" s="56"/>
      <c r="M5296" s="56"/>
      <c r="N5296" s="56"/>
      <c r="O5296" s="56"/>
    </row>
    <row r="5297" spans="1:15">
      <c r="A5297" s="536" t="s">
        <v>8</v>
      </c>
      <c r="B5297" s="537" t="str">
        <f>VLOOKUP(A5297,'Materiales '!$C$2:$F$1302,3,0)</f>
        <v>-</v>
      </c>
      <c r="C5297" s="98" t="str">
        <f>VLOOKUP(A5297,'Materiales '!$C$2:$F$1302,3,0)</f>
        <v>-</v>
      </c>
      <c r="D5297" s="99">
        <f>VLOOKUP(A5297,'Materiales '!$C$2:$F$1302,4,0)</f>
        <v>0</v>
      </c>
      <c r="E5297" s="100"/>
      <c r="F5297" s="538">
        <f t="shared" si="311"/>
        <v>0</v>
      </c>
      <c r="G5297" s="539"/>
      <c r="H5297" s="121"/>
      <c r="I5297">
        <f>E5297*G5277</f>
        <v>0</v>
      </c>
      <c r="J5297" s="68"/>
      <c r="K5297" s="56"/>
      <c r="L5297" s="56"/>
      <c r="M5297" s="56"/>
      <c r="N5297" s="56"/>
      <c r="O5297" s="56"/>
    </row>
    <row r="5298" spans="1:15">
      <c r="A5298" s="536" t="s">
        <v>8</v>
      </c>
      <c r="B5298" s="537" t="str">
        <f>VLOOKUP(A5298,'Materiales '!$C$2:$F$1302,3,0)</f>
        <v>-</v>
      </c>
      <c r="C5298" s="98" t="str">
        <f>VLOOKUP(A5298,'Materiales '!$C$2:$F$1302,3,0)</f>
        <v>-</v>
      </c>
      <c r="D5298" s="99">
        <f>VLOOKUP(A5298,'Materiales '!$C$2:$F$1302,4,0)</f>
        <v>0</v>
      </c>
      <c r="E5298" s="100"/>
      <c r="F5298" s="538">
        <f t="shared" si="311"/>
        <v>0</v>
      </c>
      <c r="G5298" s="539"/>
      <c r="H5298" s="121"/>
      <c r="I5298">
        <f>E5298*G5277</f>
        <v>0</v>
      </c>
      <c r="J5298" s="68"/>
      <c r="K5298" s="56"/>
      <c r="L5298" s="56"/>
      <c r="M5298" s="56"/>
      <c r="N5298" s="56"/>
      <c r="O5298" s="56"/>
    </row>
    <row r="5299" spans="1:15">
      <c r="A5299" s="536" t="s">
        <v>8</v>
      </c>
      <c r="B5299" s="537" t="str">
        <f>VLOOKUP(A5299,'Materiales '!$C$2:$F$1302,3,0)</f>
        <v>-</v>
      </c>
      <c r="C5299" s="98" t="str">
        <f>VLOOKUP(A5299,'Materiales '!$C$2:$F$1302,3,0)</f>
        <v>-</v>
      </c>
      <c r="D5299" s="99">
        <f>VLOOKUP(A5299,'Materiales '!$C$2:$F$1302,4,0)</f>
        <v>0</v>
      </c>
      <c r="E5299" s="100"/>
      <c r="F5299" s="538">
        <f>E5299*D5299</f>
        <v>0</v>
      </c>
      <c r="G5299" s="539"/>
      <c r="H5299" s="120"/>
      <c r="I5299">
        <f>E5299*G5277</f>
        <v>0</v>
      </c>
      <c r="J5299" s="68"/>
      <c r="K5299" s="56"/>
      <c r="L5299" s="56"/>
      <c r="M5299" s="56"/>
      <c r="N5299" s="56"/>
      <c r="O5299" s="56"/>
    </row>
    <row r="5300" spans="1:15" ht="16.5">
      <c r="A5300" s="540" t="s">
        <v>4099</v>
      </c>
      <c r="B5300" s="541"/>
      <c r="C5300" s="541"/>
      <c r="D5300" s="541"/>
      <c r="E5300" s="541"/>
      <c r="F5300" s="541"/>
      <c r="G5300" s="542"/>
      <c r="H5300" s="116">
        <f>SUM(F5286:F5299)</f>
        <v>2235512.58</v>
      </c>
      <c r="J5300" s="68"/>
      <c r="K5300" s="56"/>
      <c r="L5300" s="56"/>
      <c r="M5300" s="56"/>
      <c r="N5300" s="56"/>
      <c r="O5300" s="56"/>
    </row>
    <row r="5301" spans="1:15" ht="16.5">
      <c r="A5301" s="543" t="s">
        <v>4231</v>
      </c>
      <c r="B5301" s="544"/>
      <c r="C5301" s="544"/>
      <c r="D5301" s="544"/>
      <c r="E5301" s="545"/>
      <c r="F5301" s="544"/>
      <c r="G5301" s="544"/>
      <c r="H5301" s="546"/>
      <c r="J5301" s="68"/>
      <c r="K5301" s="56"/>
      <c r="L5301" s="56"/>
      <c r="M5301" s="56"/>
      <c r="N5301" s="56"/>
      <c r="O5301" s="56"/>
    </row>
    <row r="5302" spans="1:15">
      <c r="A5302" s="547" t="s">
        <v>7</v>
      </c>
      <c r="B5302" s="548"/>
      <c r="C5302" s="108" t="s">
        <v>4232</v>
      </c>
      <c r="D5302" s="107" t="s">
        <v>4233</v>
      </c>
      <c r="E5302" s="206" t="s">
        <v>4234</v>
      </c>
      <c r="F5302" s="549" t="s">
        <v>4218</v>
      </c>
      <c r="G5302" s="549"/>
      <c r="H5302" s="119"/>
      <c r="K5302" s="56"/>
      <c r="L5302" s="56"/>
      <c r="M5302" s="56"/>
      <c r="N5302" s="56"/>
      <c r="O5302" s="56"/>
    </row>
    <row r="5303" spans="1:15">
      <c r="A5303" s="550" t="s">
        <v>3928</v>
      </c>
      <c r="B5303" s="551"/>
      <c r="C5303" s="232">
        <v>1</v>
      </c>
      <c r="D5303" s="102">
        <v>0.03</v>
      </c>
      <c r="E5303" s="103">
        <f>VLOOKUP(A5303,'Equip, Herr y Transp'!$B$2:$D$218,3,0)</f>
        <v>160000</v>
      </c>
      <c r="F5303" s="552">
        <f>E5303*D5303*C5303</f>
        <v>4800</v>
      </c>
      <c r="G5303" s="553"/>
      <c r="H5303" s="117"/>
      <c r="M5303" s="56"/>
    </row>
    <row r="5304" spans="1:15" ht="16.5">
      <c r="A5304" s="554" t="s">
        <v>4216</v>
      </c>
      <c r="B5304" s="555"/>
      <c r="C5304" s="555"/>
      <c r="D5304" s="555"/>
      <c r="E5304" s="555"/>
      <c r="F5304" s="555"/>
      <c r="G5304" s="555"/>
      <c r="H5304" s="105">
        <f>F5303</f>
        <v>4800</v>
      </c>
    </row>
    <row r="5305" spans="1:15" ht="16.5">
      <c r="A5305" s="543" t="s">
        <v>4235</v>
      </c>
      <c r="B5305" s="544"/>
      <c r="C5305" s="544"/>
      <c r="D5305" s="544"/>
      <c r="E5305" s="544"/>
      <c r="F5305" s="544"/>
      <c r="G5305" s="544"/>
      <c r="H5305" s="546"/>
    </row>
    <row r="5306" spans="1:15">
      <c r="A5306" s="547" t="s">
        <v>7</v>
      </c>
      <c r="B5306" s="548"/>
      <c r="C5306" s="106" t="s">
        <v>1</v>
      </c>
      <c r="D5306" s="107" t="s">
        <v>4236</v>
      </c>
      <c r="E5306" s="108" t="s">
        <v>4215</v>
      </c>
      <c r="F5306" s="547" t="s">
        <v>5</v>
      </c>
      <c r="G5306" s="556"/>
      <c r="H5306" s="119"/>
    </row>
    <row r="5307" spans="1:15">
      <c r="A5307" s="550" t="s">
        <v>4196</v>
      </c>
      <c r="B5307" s="551"/>
      <c r="C5307" s="101">
        <v>1</v>
      </c>
      <c r="D5307" s="104">
        <f>VLOOKUP(A5307,'Mano Obra'!$B$2:$T$117,19,0)</f>
        <v>166624</v>
      </c>
      <c r="E5307" s="246">
        <f>H5270</f>
        <v>0.1875</v>
      </c>
      <c r="F5307" s="538">
        <f>E5307*D5307*C5307</f>
        <v>31242</v>
      </c>
      <c r="G5307" s="557"/>
      <c r="H5307" s="121"/>
      <c r="I5307" s="69"/>
      <c r="J5307" s="136">
        <f>((('Mano Obra'!$M$4/30)*F5307)/D5307)*G5277</f>
        <v>0</v>
      </c>
    </row>
    <row r="5308" spans="1:15">
      <c r="A5308" s="558" t="s">
        <v>4197</v>
      </c>
      <c r="B5308" s="559">
        <f>VLOOKUP(A5308,'Mano Obra'!$B$3:$D$290,2,0)</f>
        <v>2090000.0000000002</v>
      </c>
      <c r="C5308" s="101">
        <v>1</v>
      </c>
      <c r="D5308" s="104">
        <f>VLOOKUP(A5308,'Mano Obra'!$B$2:$T$117,19,0)</f>
        <v>120456</v>
      </c>
      <c r="E5308" s="246">
        <f>H5270</f>
        <v>0.1875</v>
      </c>
      <c r="F5308" s="538">
        <f t="shared" ref="F5308:F5309" si="312">E5308*D5308*C5308</f>
        <v>22585.5</v>
      </c>
      <c r="G5308" s="557"/>
      <c r="H5308" s="121"/>
      <c r="J5308" s="136">
        <f>((('Mano Obra'!$M$5/30)*F5308)/D5308)*G5277</f>
        <v>0</v>
      </c>
    </row>
    <row r="5309" spans="1:15">
      <c r="A5309" s="558" t="s">
        <v>4186</v>
      </c>
      <c r="B5309" s="559">
        <f>VLOOKUP(A5309,'Mano Obra'!$B$3:$D$290,2,0)</f>
        <v>1100000</v>
      </c>
      <c r="C5309" s="101">
        <v>1</v>
      </c>
      <c r="D5309" s="104">
        <f>VLOOKUP(A5309,'Mano Obra'!$B$2:$T$117,19,0)</f>
        <v>72664</v>
      </c>
      <c r="E5309" s="246">
        <f>H5270</f>
        <v>0.1875</v>
      </c>
      <c r="F5309" s="538">
        <f t="shared" si="312"/>
        <v>13624.5</v>
      </c>
      <c r="G5309" s="557"/>
      <c r="H5309" s="120"/>
      <c r="J5309" s="136">
        <f>((('Mano Obra'!$M$6/30)*F5309)/D5309)*G5277</f>
        <v>0</v>
      </c>
    </row>
    <row r="5310" spans="1:15" ht="16.5">
      <c r="A5310" s="560" t="s">
        <v>4101</v>
      </c>
      <c r="B5310" s="560"/>
      <c r="C5310" s="560"/>
      <c r="D5310" s="560"/>
      <c r="E5310" s="560"/>
      <c r="F5310" s="560"/>
      <c r="G5310" s="560"/>
      <c r="H5310" s="105">
        <f>SUM(F5307:F5309)</f>
        <v>67452</v>
      </c>
      <c r="J5310" s="136"/>
    </row>
    <row r="5311" spans="1:15">
      <c r="A5311" s="227" t="s">
        <v>4237</v>
      </c>
      <c r="B5311" s="205"/>
      <c r="C5311" s="205"/>
      <c r="D5311" s="202"/>
      <c r="E5311" s="203"/>
      <c r="F5311" s="204"/>
      <c r="G5311" s="203"/>
      <c r="H5311" s="212"/>
    </row>
    <row r="5312" spans="1:15">
      <c r="A5312" s="561" t="s">
        <v>4224</v>
      </c>
      <c r="B5312" s="562"/>
      <c r="C5312" s="562"/>
      <c r="D5312" s="562"/>
      <c r="E5312" s="200"/>
      <c r="F5312" s="201" t="s">
        <v>4238</v>
      </c>
      <c r="G5312" s="200" t="s">
        <v>4239</v>
      </c>
      <c r="H5312" s="213"/>
    </row>
    <row r="5313" spans="1:14">
      <c r="A5313" s="223" t="s">
        <v>4097</v>
      </c>
      <c r="B5313" s="72"/>
      <c r="C5313" s="72"/>
      <c r="D5313" s="73"/>
      <c r="E5313" s="78"/>
      <c r="F5313" s="79">
        <v>0</v>
      </c>
      <c r="G5313" s="80">
        <f>F5313*H5278</f>
        <v>0</v>
      </c>
      <c r="H5313" s="212"/>
    </row>
    <row r="5314" spans="1:14">
      <c r="A5314" s="224" t="s">
        <v>4240</v>
      </c>
      <c r="B5314" s="81"/>
      <c r="C5314" s="81"/>
      <c r="D5314" s="82"/>
      <c r="E5314" s="78"/>
      <c r="F5314" s="79">
        <v>0</v>
      </c>
      <c r="G5314" s="80">
        <f>F5314*H5278</f>
        <v>0</v>
      </c>
      <c r="H5314" s="212"/>
    </row>
    <row r="5315" spans="1:14">
      <c r="A5315" s="224" t="s">
        <v>4</v>
      </c>
      <c r="B5315" s="81"/>
      <c r="C5315" s="81"/>
      <c r="D5315" s="82"/>
      <c r="E5315" s="78"/>
      <c r="F5315" s="79">
        <v>0</v>
      </c>
      <c r="G5315" s="80">
        <f>F5315*H5278</f>
        <v>0</v>
      </c>
      <c r="H5315" s="212"/>
    </row>
    <row r="5316" spans="1:14">
      <c r="A5316" s="225"/>
      <c r="B5316" s="83"/>
      <c r="C5316" s="75"/>
      <c r="D5316" s="84"/>
      <c r="E5316" s="85"/>
      <c r="F5316" s="86"/>
      <c r="G5316" s="87"/>
      <c r="H5316" s="214"/>
    </row>
    <row r="5317" spans="1:14">
      <c r="A5317" s="226"/>
      <c r="B5317" s="83"/>
      <c r="C5317" s="83"/>
      <c r="D5317" s="84"/>
      <c r="E5317" s="88"/>
      <c r="F5317" s="563" t="s">
        <v>4241</v>
      </c>
      <c r="G5317" s="564"/>
      <c r="H5317" s="233">
        <f>H5278+G5313+G5314+G5315</f>
        <v>2490413.9550000001</v>
      </c>
    </row>
    <row r="5318" spans="1:14">
      <c r="A5318" s="83"/>
      <c r="B5318" s="83"/>
      <c r="C5318" s="83"/>
      <c r="D5318" s="84"/>
      <c r="E5318" s="388"/>
      <c r="F5318" s="389"/>
      <c r="G5318" s="389"/>
      <c r="H5318" s="390"/>
    </row>
    <row r="5319" spans="1:14" ht="16.5">
      <c r="A5319" s="90"/>
      <c r="B5319" s="90"/>
      <c r="C5319" s="90"/>
      <c r="D5319" s="90"/>
      <c r="E5319" s="90"/>
      <c r="F5319" s="90"/>
      <c r="G5319" s="90"/>
      <c r="H5319" s="381"/>
    </row>
    <row r="5320" spans="1:14">
      <c r="A5320" s="579" t="s">
        <v>4225</v>
      </c>
      <c r="B5320" s="580"/>
      <c r="C5320" s="580"/>
      <c r="D5320" s="580"/>
      <c r="E5320" s="580"/>
      <c r="F5320" s="580"/>
      <c r="G5320" s="580"/>
      <c r="H5320" s="581"/>
    </row>
    <row r="5321" spans="1:14" ht="16.5">
      <c r="A5321" s="91"/>
      <c r="B5321" s="92"/>
      <c r="C5321" s="92"/>
      <c r="D5321" s="92"/>
      <c r="E5321" s="92"/>
      <c r="F5321" s="93"/>
      <c r="G5321" s="94"/>
      <c r="H5321" s="380">
        <f>ROUND((90/60)/8,4)</f>
        <v>0.1875</v>
      </c>
      <c r="I5321" s="115"/>
    </row>
    <row r="5322" spans="1:14">
      <c r="A5322" s="582" t="s">
        <v>4220</v>
      </c>
      <c r="B5322" s="584" t="str">
        <f>COSTOS!$C$14</f>
        <v>MODERNIZACION A TECNOLOGIA LED</v>
      </c>
      <c r="C5322" s="584"/>
      <c r="D5322" s="584"/>
      <c r="E5322" s="584"/>
      <c r="F5322" s="584"/>
      <c r="G5322" s="584"/>
      <c r="H5322" s="585" t="s">
        <v>4221</v>
      </c>
    </row>
    <row r="5323" spans="1:14">
      <c r="A5323" s="583"/>
      <c r="B5323" s="584"/>
      <c r="C5323" s="584"/>
      <c r="D5323" s="584"/>
      <c r="E5323" s="584"/>
      <c r="F5323" s="584"/>
      <c r="G5323" s="584"/>
      <c r="H5323" s="585"/>
    </row>
    <row r="5324" spans="1:14">
      <c r="A5324" s="583"/>
      <c r="B5324" s="584"/>
      <c r="C5324" s="584"/>
      <c r="D5324" s="584"/>
      <c r="E5324" s="584"/>
      <c r="F5324" s="584"/>
      <c r="G5324" s="584"/>
      <c r="H5324" s="585"/>
    </row>
    <row r="5325" spans="1:14" ht="15" customHeight="1">
      <c r="A5325" s="583"/>
      <c r="B5325" s="584"/>
      <c r="C5325" s="584"/>
      <c r="D5325" s="584"/>
      <c r="E5325" s="584"/>
      <c r="F5325" s="584"/>
      <c r="G5325" s="584"/>
      <c r="H5325" s="216">
        <f ca="1">TODAY()</f>
        <v>44889</v>
      </c>
      <c r="K5325" t="s">
        <v>4391</v>
      </c>
      <c r="L5325" t="s">
        <v>4392</v>
      </c>
      <c r="M5325" t="s">
        <v>4393</v>
      </c>
      <c r="N5325" t="s">
        <v>4394</v>
      </c>
    </row>
    <row r="5326" spans="1:14" ht="60.75" customHeight="1">
      <c r="A5326" s="228" t="s">
        <v>4222</v>
      </c>
      <c r="B5326" s="565" t="str">
        <f>COSTOS!$D$16</f>
        <v>Luminarias</v>
      </c>
      <c r="C5326" s="565"/>
      <c r="D5326" s="565"/>
      <c r="E5326" s="565"/>
      <c r="F5326" s="565"/>
      <c r="G5326" s="70" t="s">
        <v>4223</v>
      </c>
      <c r="H5326" s="391">
        <v>2.21</v>
      </c>
      <c r="K5326" s="62">
        <f>H5351</f>
        <v>796395.6</v>
      </c>
      <c r="L5326" s="62">
        <f>H5361</f>
        <v>67452</v>
      </c>
      <c r="M5326" s="62">
        <f>H5334</f>
        <v>182649.375</v>
      </c>
      <c r="N5326" s="62">
        <f>H5355</f>
        <v>4800</v>
      </c>
    </row>
    <row r="5327" spans="1:14" ht="43.15" customHeight="1">
      <c r="A5327" s="229" t="s">
        <v>4224</v>
      </c>
      <c r="B5327" s="566" t="str">
        <f>VLOOKUP(H5326,COSTOS!C:M,2,0)</f>
        <v>Poste de concreto 10 metros x 510kg.f</v>
      </c>
      <c r="C5327" s="567"/>
      <c r="D5327" s="567"/>
      <c r="E5327" s="568"/>
      <c r="F5327" s="71" t="s">
        <v>0</v>
      </c>
      <c r="G5327" s="356" t="str">
        <f>VLOOKUP(H5326,COSTOS!C:M,8,0)</f>
        <v>Und</v>
      </c>
      <c r="H5327" s="276"/>
      <c r="I5327" s="306"/>
      <c r="J5327" s="308"/>
      <c r="K5327" s="308"/>
      <c r="L5327" s="308"/>
    </row>
    <row r="5328" spans="1:14">
      <c r="A5328" s="230"/>
      <c r="B5328" s="112"/>
      <c r="C5328" s="112"/>
      <c r="D5328" s="112"/>
      <c r="E5328" s="113"/>
      <c r="F5328" s="114" t="s">
        <v>1</v>
      </c>
      <c r="G5328" s="356">
        <f>VLOOKUP(H5326,COSTOS!C:M,9,0)</f>
        <v>0</v>
      </c>
      <c r="H5328" s="357"/>
      <c r="I5328" s="307"/>
    </row>
    <row r="5329" spans="1:15" ht="16.5">
      <c r="A5329" s="231" t="s">
        <v>4226</v>
      </c>
      <c r="B5329" s="75"/>
      <c r="C5329" s="75"/>
      <c r="D5329" s="76"/>
      <c r="E5329" s="209"/>
      <c r="F5329" s="210"/>
      <c r="G5329" s="211" t="s">
        <v>4227</v>
      </c>
      <c r="H5329" s="217">
        <f>H5334+H5351+H5355+H5361</f>
        <v>1051296.9750000001</v>
      </c>
    </row>
    <row r="5330" spans="1:15" ht="39">
      <c r="A5330" s="569" t="s">
        <v>4224</v>
      </c>
      <c r="B5330" s="569"/>
      <c r="C5330" s="569"/>
      <c r="D5330" s="77" t="s">
        <v>0</v>
      </c>
      <c r="E5330" s="207" t="s">
        <v>4228</v>
      </c>
      <c r="F5330" s="208" t="s">
        <v>4215</v>
      </c>
      <c r="G5330" s="74" t="s">
        <v>2</v>
      </c>
      <c r="H5330" s="218" t="s">
        <v>4229</v>
      </c>
      <c r="K5330" s="309"/>
    </row>
    <row r="5331" spans="1:15">
      <c r="A5331" s="536" t="s">
        <v>3946</v>
      </c>
      <c r="B5331" s="570" t="str">
        <f>VLOOKUP(A5331,'Equip, Herr y Transp'!$B$2:$D$739,2,0)</f>
        <v>EQU</v>
      </c>
      <c r="C5331" s="570"/>
      <c r="D5331" s="95" t="str">
        <f>VLOOKUP(A5331,'Equip, Herr y Transp'!$B$2:$D$218,2,0)</f>
        <v>EQU</v>
      </c>
      <c r="E5331" s="95">
        <f>VLOOKUP(A5331,'Equip, Herr y Transp'!$B$2:$D$218,3,0)</f>
        <v>14130</v>
      </c>
      <c r="F5331" s="96">
        <f>H5321</f>
        <v>0.1875</v>
      </c>
      <c r="G5331" s="122">
        <f>F5331*E5331</f>
        <v>2649.375</v>
      </c>
      <c r="H5331" s="118"/>
    </row>
    <row r="5332" spans="1:15">
      <c r="A5332" s="536" t="s">
        <v>3894</v>
      </c>
      <c r="B5332" s="570" t="str">
        <f>VLOOKUP(A5332,'Equip, Herr y Transp'!$B$2:$D$739,2,0)</f>
        <v>TR</v>
      </c>
      <c r="C5332" s="570"/>
      <c r="D5332" s="95" t="str">
        <f>VLOOKUP(A5332,'Equip, Herr y Transp'!$B$2:$D$218,2,0)</f>
        <v>TR</v>
      </c>
      <c r="E5332" s="95">
        <f>VLOOKUP(A5332,'Equip, Herr y Transp'!$B$2:$D$218,3,0)</f>
        <v>960000</v>
      </c>
      <c r="F5332" s="96">
        <f>H5321</f>
        <v>0.1875</v>
      </c>
      <c r="G5332" s="122">
        <f>F5332*E5332</f>
        <v>180000</v>
      </c>
      <c r="H5332" s="117"/>
    </row>
    <row r="5333" spans="1:15">
      <c r="A5333" s="536" t="s">
        <v>8</v>
      </c>
      <c r="B5333" s="570">
        <f>VLOOKUP(A5333,'Equip, Herr y Transp'!$B$2:$D$739,2,0)</f>
        <v>0</v>
      </c>
      <c r="C5333" s="570"/>
      <c r="D5333" s="95">
        <f>VLOOKUP(A5333,'Equip, Herr y Transp'!$B$2:$D$218,2,0)</f>
        <v>0</v>
      </c>
      <c r="E5333" s="95">
        <f>VLOOKUP(A5333,'Equip, Herr y Transp'!$B$2:$D$218,3,0)</f>
        <v>0</v>
      </c>
      <c r="F5333" s="96"/>
      <c r="G5333" s="122">
        <f>F5333*E5333</f>
        <v>0</v>
      </c>
      <c r="H5333" s="117"/>
    </row>
    <row r="5334" spans="1:15" ht="16.5">
      <c r="A5334" s="540" t="s">
        <v>4100</v>
      </c>
      <c r="B5334" s="541"/>
      <c r="C5334" s="541"/>
      <c r="D5334" s="541"/>
      <c r="E5334" s="541"/>
      <c r="F5334" s="541"/>
      <c r="G5334" s="541"/>
      <c r="H5334" s="97">
        <f>SUM(G5331:G5333)</f>
        <v>182649.375</v>
      </c>
    </row>
    <row r="5335" spans="1:15" ht="16.5">
      <c r="A5335" s="571" t="s">
        <v>4230</v>
      </c>
      <c r="B5335" s="572"/>
      <c r="C5335" s="572"/>
      <c r="D5335" s="572"/>
      <c r="E5335" s="572"/>
      <c r="F5335" s="572"/>
      <c r="G5335" s="572"/>
      <c r="H5335" s="573"/>
      <c r="K5335" s="56"/>
      <c r="L5335" s="56"/>
      <c r="M5335" s="56"/>
      <c r="N5335" s="56"/>
      <c r="O5335" s="56"/>
    </row>
    <row r="5336" spans="1:15" ht="30" customHeight="1">
      <c r="A5336" s="574" t="s">
        <v>7</v>
      </c>
      <c r="B5336" s="575"/>
      <c r="C5336" s="109" t="s">
        <v>0</v>
      </c>
      <c r="D5336" s="110" t="s">
        <v>4098</v>
      </c>
      <c r="E5336" s="111" t="s">
        <v>1</v>
      </c>
      <c r="F5336" s="576" t="s">
        <v>4218</v>
      </c>
      <c r="G5336" s="576"/>
      <c r="H5336" s="215"/>
      <c r="K5336" s="56"/>
      <c r="L5336" s="56"/>
      <c r="M5336" s="56"/>
      <c r="N5336" s="56"/>
      <c r="O5336" s="56"/>
    </row>
    <row r="5337" spans="1:15">
      <c r="A5337" s="577" t="s">
        <v>4761</v>
      </c>
      <c r="B5337" s="578"/>
      <c r="C5337" s="98" t="str">
        <f>VLOOKUP(A5337,'Materiales '!$C$2:$F$1302,3,0)</f>
        <v>Und</v>
      </c>
      <c r="D5337" s="99">
        <f>VLOOKUP(A5337,'Materiales '!$C$2:$F$1302,4,0)</f>
        <v>727280.4</v>
      </c>
      <c r="E5337" s="100">
        <v>1</v>
      </c>
      <c r="F5337" s="538">
        <f>E5337*D5337</f>
        <v>727280.4</v>
      </c>
      <c r="G5337" s="539"/>
      <c r="H5337" s="121"/>
      <c r="I5337">
        <f>E5337*G5328</f>
        <v>0</v>
      </c>
      <c r="J5337" s="67"/>
      <c r="K5337" s="56"/>
      <c r="L5337" s="56"/>
      <c r="M5337" s="56"/>
      <c r="N5337" s="56"/>
      <c r="O5337" s="56"/>
    </row>
    <row r="5338" spans="1:15">
      <c r="A5338" s="577" t="s">
        <v>4628</v>
      </c>
      <c r="B5338" s="578"/>
      <c r="C5338" s="98" t="str">
        <f>VLOOKUP(A5338,'Materiales '!$C$2:$F$1302,3,0)</f>
        <v>Rollo</v>
      </c>
      <c r="D5338" s="99">
        <f>VLOOKUP(A5338,'Materiales '!$C$2:$F$1302,4,0)</f>
        <v>138230.39999999999</v>
      </c>
      <c r="E5338" s="100">
        <v>0.5</v>
      </c>
      <c r="F5338" s="538">
        <f t="shared" ref="F5338:F5344" si="313">E5338*D5338</f>
        <v>69115.199999999997</v>
      </c>
      <c r="G5338" s="539"/>
      <c r="H5338" s="121"/>
      <c r="I5338">
        <f>E5338*G5328</f>
        <v>0</v>
      </c>
      <c r="J5338" s="67"/>
      <c r="K5338" s="56"/>
      <c r="L5338" s="56"/>
      <c r="M5338" s="56"/>
      <c r="N5338" s="56"/>
      <c r="O5338" s="56"/>
    </row>
    <row r="5339" spans="1:15">
      <c r="A5339" s="536" t="s">
        <v>8</v>
      </c>
      <c r="B5339" s="537" t="str">
        <f>VLOOKUP(A5339,'Materiales '!$C$2:$F$1302,3,0)</f>
        <v>-</v>
      </c>
      <c r="C5339" s="98" t="str">
        <f>VLOOKUP(A5339,'Materiales '!$C$2:$F$1302,3,0)</f>
        <v>-</v>
      </c>
      <c r="D5339" s="99">
        <f>VLOOKUP(A5339,'Materiales '!$C$2:$F$1302,4,0)</f>
        <v>0</v>
      </c>
      <c r="E5339" s="100">
        <v>6</v>
      </c>
      <c r="F5339" s="538">
        <f t="shared" si="313"/>
        <v>0</v>
      </c>
      <c r="G5339" s="539"/>
      <c r="H5339" s="121"/>
      <c r="I5339">
        <f>E5339*G5328</f>
        <v>0</v>
      </c>
      <c r="J5339" s="68"/>
      <c r="K5339" s="56"/>
      <c r="L5339" s="56"/>
      <c r="M5339" s="56"/>
      <c r="N5339" s="56"/>
      <c r="O5339" s="56"/>
    </row>
    <row r="5340" spans="1:15">
      <c r="A5340" s="536" t="s">
        <v>8</v>
      </c>
      <c r="B5340" s="537" t="str">
        <f>VLOOKUP(A5340,'Materiales '!$C$2:$F$1302,3,0)</f>
        <v>-</v>
      </c>
      <c r="C5340" s="98" t="str">
        <f>VLOOKUP(A5340,'Materiales '!$C$2:$F$1302,3,0)</f>
        <v>-</v>
      </c>
      <c r="D5340" s="99">
        <f>VLOOKUP(A5340,'Materiales '!$C$2:$F$1302,4,0)</f>
        <v>0</v>
      </c>
      <c r="E5340" s="100">
        <v>3</v>
      </c>
      <c r="F5340" s="538">
        <f t="shared" si="313"/>
        <v>0</v>
      </c>
      <c r="G5340" s="539"/>
      <c r="H5340" s="121"/>
      <c r="I5340">
        <f>E5340*G5328</f>
        <v>0</v>
      </c>
      <c r="J5340" s="68"/>
      <c r="K5340" s="56"/>
      <c r="L5340" s="56"/>
      <c r="M5340" s="56"/>
      <c r="N5340" s="56"/>
      <c r="O5340" s="56"/>
    </row>
    <row r="5341" spans="1:15">
      <c r="A5341" s="536" t="s">
        <v>8</v>
      </c>
      <c r="B5341" s="537" t="str">
        <f>VLOOKUP(A5341,'Materiales '!$C$2:$F$1302,3,0)</f>
        <v>-</v>
      </c>
      <c r="C5341" s="98" t="str">
        <f>VLOOKUP(A5341,'Materiales '!$C$2:$F$1302,3,0)</f>
        <v>-</v>
      </c>
      <c r="D5341" s="99">
        <f>VLOOKUP(A5341,'Materiales '!$C$2:$F$1302,4,0)</f>
        <v>0</v>
      </c>
      <c r="E5341" s="100">
        <v>2</v>
      </c>
      <c r="F5341" s="538">
        <f t="shared" si="313"/>
        <v>0</v>
      </c>
      <c r="G5341" s="539"/>
      <c r="H5341" s="121"/>
      <c r="I5341">
        <f>E5341*G5328</f>
        <v>0</v>
      </c>
      <c r="J5341" s="68"/>
      <c r="K5341" s="56"/>
      <c r="L5341" s="56"/>
      <c r="M5341" s="56"/>
      <c r="N5341" s="56"/>
      <c r="O5341" s="56"/>
    </row>
    <row r="5342" spans="1:15">
      <c r="A5342" s="536" t="s">
        <v>8</v>
      </c>
      <c r="B5342" s="537" t="str">
        <f>VLOOKUP(A5342,'Materiales '!$C$2:$F$1302,3,0)</f>
        <v>-</v>
      </c>
      <c r="C5342" s="98" t="str">
        <f>VLOOKUP(A5342,'Materiales '!$C$2:$F$1302,3,0)</f>
        <v>-</v>
      </c>
      <c r="D5342" s="99">
        <f>VLOOKUP(A5342,'Materiales '!$C$2:$F$1302,4,0)</f>
        <v>0</v>
      </c>
      <c r="E5342" s="100">
        <v>8</v>
      </c>
      <c r="F5342" s="538">
        <f t="shared" si="313"/>
        <v>0</v>
      </c>
      <c r="G5342" s="539"/>
      <c r="H5342" s="121"/>
      <c r="I5342">
        <f>E5342*G5328</f>
        <v>0</v>
      </c>
      <c r="J5342" s="68"/>
      <c r="K5342" s="56"/>
      <c r="L5342" s="56"/>
      <c r="M5342" s="56"/>
      <c r="N5342" s="56"/>
      <c r="O5342" s="56"/>
    </row>
    <row r="5343" spans="1:15">
      <c r="A5343" s="536" t="s">
        <v>8</v>
      </c>
      <c r="B5343" s="537" t="str">
        <f>VLOOKUP(A5343,'Materiales '!$C$2:$F$1302,3,0)</f>
        <v>-</v>
      </c>
      <c r="C5343" s="98" t="str">
        <f>VLOOKUP(A5343,'Materiales '!$C$2:$F$1302,3,0)</f>
        <v>-</v>
      </c>
      <c r="D5343" s="99">
        <f>VLOOKUP(A5343,'Materiales '!$C$2:$F$1302,4,0)</f>
        <v>0</v>
      </c>
      <c r="E5343" s="100">
        <v>3</v>
      </c>
      <c r="F5343" s="538">
        <f t="shared" si="313"/>
        <v>0</v>
      </c>
      <c r="G5343" s="539"/>
      <c r="H5343" s="121"/>
      <c r="I5343">
        <f>E5343*G5328</f>
        <v>0</v>
      </c>
      <c r="J5343" s="68"/>
      <c r="K5343" s="56"/>
      <c r="L5343" s="56"/>
      <c r="M5343" s="56"/>
      <c r="N5343" s="56"/>
      <c r="O5343" s="56"/>
    </row>
    <row r="5344" spans="1:15" ht="21.75" customHeight="1">
      <c r="A5344" s="536" t="s">
        <v>8</v>
      </c>
      <c r="B5344" s="537" t="str">
        <f>VLOOKUP(A5344,'Materiales '!$C$2:$F$1302,3,0)</f>
        <v>-</v>
      </c>
      <c r="C5344" s="98" t="str">
        <f>VLOOKUP(A5344,'Materiales '!$C$2:$F$1302,3,0)</f>
        <v>-</v>
      </c>
      <c r="D5344" s="99">
        <f>VLOOKUP(A5344,'Materiales '!$C$2:$F$1302,4,0)</f>
        <v>0</v>
      </c>
      <c r="E5344" s="100">
        <v>0.5</v>
      </c>
      <c r="F5344" s="538">
        <f t="shared" si="313"/>
        <v>0</v>
      </c>
      <c r="G5344" s="539"/>
      <c r="H5344" s="121"/>
      <c r="I5344">
        <f>E5344*G5328</f>
        <v>0</v>
      </c>
      <c r="J5344" s="68"/>
      <c r="K5344" s="56"/>
      <c r="L5344" s="56"/>
      <c r="M5344" s="56"/>
      <c r="N5344" s="56"/>
      <c r="O5344" s="56"/>
    </row>
    <row r="5345" spans="1:15">
      <c r="A5345" s="536" t="s">
        <v>8</v>
      </c>
      <c r="B5345" s="537" t="str">
        <f>VLOOKUP(A5345,'Materiales '!$C$2:$F$1302,3,0)</f>
        <v>-</v>
      </c>
      <c r="C5345" s="98" t="str">
        <f>VLOOKUP(A5345,'Materiales '!$C$2:$F$1302,3,0)</f>
        <v>-</v>
      </c>
      <c r="D5345" s="99">
        <f>VLOOKUP(A5345,'Materiales '!$C$2:$F$1302,4,0)</f>
        <v>0</v>
      </c>
      <c r="E5345" s="100"/>
      <c r="F5345" s="538">
        <f>E5345*D5345</f>
        <v>0</v>
      </c>
      <c r="G5345" s="539"/>
      <c r="H5345" s="120"/>
      <c r="I5345">
        <f>E5345*G5328</f>
        <v>0</v>
      </c>
      <c r="J5345" s="68"/>
      <c r="K5345" s="56"/>
      <c r="L5345" s="56"/>
      <c r="M5345" s="56"/>
      <c r="N5345" s="56"/>
      <c r="O5345" s="56"/>
    </row>
    <row r="5346" spans="1:15">
      <c r="A5346" s="536" t="s">
        <v>8</v>
      </c>
      <c r="B5346" s="537" t="str">
        <f>VLOOKUP(A5346,'Materiales '!$C$2:$F$1302,3,0)</f>
        <v>-</v>
      </c>
      <c r="C5346" s="98" t="str">
        <f>VLOOKUP(A5346,'Materiales '!$C$2:$F$1302,3,0)</f>
        <v>-</v>
      </c>
      <c r="D5346" s="99">
        <f>VLOOKUP(A5346,'Materiales '!$C$2:$F$1302,4,0)</f>
        <v>0</v>
      </c>
      <c r="E5346" s="100"/>
      <c r="F5346" s="538">
        <f t="shared" ref="F5346:F5349" si="314">E5346*D5346</f>
        <v>0</v>
      </c>
      <c r="G5346" s="539"/>
      <c r="H5346" s="121"/>
      <c r="I5346">
        <f>E5346*G5328</f>
        <v>0</v>
      </c>
      <c r="J5346" s="68"/>
      <c r="K5346" s="56"/>
      <c r="L5346" s="56"/>
      <c r="M5346" s="56"/>
      <c r="N5346" s="56"/>
      <c r="O5346" s="56"/>
    </row>
    <row r="5347" spans="1:15">
      <c r="A5347" s="536" t="s">
        <v>8</v>
      </c>
      <c r="B5347" s="537" t="str">
        <f>VLOOKUP(A5347,'Materiales '!$C$2:$F$1302,3,0)</f>
        <v>-</v>
      </c>
      <c r="C5347" s="98" t="str">
        <f>VLOOKUP(A5347,'Materiales '!$C$2:$F$1302,3,0)</f>
        <v>-</v>
      </c>
      <c r="D5347" s="99">
        <f>VLOOKUP(A5347,'Materiales '!$C$2:$F$1302,4,0)</f>
        <v>0</v>
      </c>
      <c r="E5347" s="100"/>
      <c r="F5347" s="538">
        <f t="shared" si="314"/>
        <v>0</v>
      </c>
      <c r="G5347" s="539"/>
      <c r="H5347" s="121"/>
      <c r="I5347">
        <f>E5347*G5328</f>
        <v>0</v>
      </c>
      <c r="J5347" s="68"/>
      <c r="K5347" s="56"/>
      <c r="L5347" s="56"/>
      <c r="M5347" s="56"/>
      <c r="N5347" s="56"/>
      <c r="O5347" s="56"/>
    </row>
    <row r="5348" spans="1:15">
      <c r="A5348" s="536" t="s">
        <v>8</v>
      </c>
      <c r="B5348" s="537" t="str">
        <f>VLOOKUP(A5348,'Materiales '!$C$2:$F$1302,3,0)</f>
        <v>-</v>
      </c>
      <c r="C5348" s="98" t="str">
        <f>VLOOKUP(A5348,'Materiales '!$C$2:$F$1302,3,0)</f>
        <v>-</v>
      </c>
      <c r="D5348" s="99">
        <f>VLOOKUP(A5348,'Materiales '!$C$2:$F$1302,4,0)</f>
        <v>0</v>
      </c>
      <c r="E5348" s="100"/>
      <c r="F5348" s="538">
        <f t="shared" si="314"/>
        <v>0</v>
      </c>
      <c r="G5348" s="539"/>
      <c r="H5348" s="121"/>
      <c r="I5348">
        <f>E5348*G5328</f>
        <v>0</v>
      </c>
      <c r="J5348" s="68"/>
      <c r="K5348" s="56"/>
      <c r="L5348" s="56"/>
      <c r="M5348" s="56"/>
      <c r="N5348" s="56"/>
      <c r="O5348" s="56"/>
    </row>
    <row r="5349" spans="1:15">
      <c r="A5349" s="536" t="s">
        <v>8</v>
      </c>
      <c r="B5349" s="537" t="str">
        <f>VLOOKUP(A5349,'Materiales '!$C$2:$F$1302,3,0)</f>
        <v>-</v>
      </c>
      <c r="C5349" s="98" t="str">
        <f>VLOOKUP(A5349,'Materiales '!$C$2:$F$1302,3,0)</f>
        <v>-</v>
      </c>
      <c r="D5349" s="99">
        <f>VLOOKUP(A5349,'Materiales '!$C$2:$F$1302,4,0)</f>
        <v>0</v>
      </c>
      <c r="E5349" s="100"/>
      <c r="F5349" s="538">
        <f t="shared" si="314"/>
        <v>0</v>
      </c>
      <c r="G5349" s="539"/>
      <c r="H5349" s="121"/>
      <c r="I5349">
        <f>E5349*G5328</f>
        <v>0</v>
      </c>
      <c r="J5349" s="68"/>
      <c r="K5349" s="56"/>
      <c r="L5349" s="56"/>
      <c r="M5349" s="56"/>
      <c r="N5349" s="56"/>
      <c r="O5349" s="56"/>
    </row>
    <row r="5350" spans="1:15">
      <c r="A5350" s="536" t="s">
        <v>8</v>
      </c>
      <c r="B5350" s="537" t="str">
        <f>VLOOKUP(A5350,'Materiales '!$C$2:$F$1302,3,0)</f>
        <v>-</v>
      </c>
      <c r="C5350" s="98" t="str">
        <f>VLOOKUP(A5350,'Materiales '!$C$2:$F$1302,3,0)</f>
        <v>-</v>
      </c>
      <c r="D5350" s="99">
        <f>VLOOKUP(A5350,'Materiales '!$C$2:$F$1302,4,0)</f>
        <v>0</v>
      </c>
      <c r="E5350" s="100"/>
      <c r="F5350" s="538">
        <f>E5350*D5350</f>
        <v>0</v>
      </c>
      <c r="G5350" s="539"/>
      <c r="H5350" s="120"/>
      <c r="I5350">
        <f>E5350*G5328</f>
        <v>0</v>
      </c>
      <c r="J5350" s="68"/>
      <c r="K5350" s="56"/>
      <c r="L5350" s="56"/>
      <c r="M5350" s="56"/>
      <c r="N5350" s="56"/>
      <c r="O5350" s="56"/>
    </row>
    <row r="5351" spans="1:15" ht="16.5">
      <c r="A5351" s="540" t="s">
        <v>4099</v>
      </c>
      <c r="B5351" s="541"/>
      <c r="C5351" s="541"/>
      <c r="D5351" s="541"/>
      <c r="E5351" s="541"/>
      <c r="F5351" s="541"/>
      <c r="G5351" s="542"/>
      <c r="H5351" s="116">
        <f>SUM(F5337:F5350)</f>
        <v>796395.6</v>
      </c>
      <c r="J5351" s="68"/>
      <c r="K5351" s="56"/>
      <c r="L5351" s="56"/>
      <c r="M5351" s="56"/>
      <c r="N5351" s="56"/>
      <c r="O5351" s="56"/>
    </row>
    <row r="5352" spans="1:15" ht="16.5">
      <c r="A5352" s="543" t="s">
        <v>4231</v>
      </c>
      <c r="B5352" s="544"/>
      <c r="C5352" s="544"/>
      <c r="D5352" s="544"/>
      <c r="E5352" s="545"/>
      <c r="F5352" s="544"/>
      <c r="G5352" s="544"/>
      <c r="H5352" s="546"/>
      <c r="J5352" s="68"/>
      <c r="K5352" s="56"/>
      <c r="L5352" s="56"/>
      <c r="M5352" s="56"/>
      <c r="N5352" s="56"/>
      <c r="O5352" s="56"/>
    </row>
    <row r="5353" spans="1:15">
      <c r="A5353" s="547" t="s">
        <v>7</v>
      </c>
      <c r="B5353" s="548"/>
      <c r="C5353" s="108" t="s">
        <v>4232</v>
      </c>
      <c r="D5353" s="107" t="s">
        <v>4233</v>
      </c>
      <c r="E5353" s="206" t="s">
        <v>4234</v>
      </c>
      <c r="F5353" s="549" t="s">
        <v>4218</v>
      </c>
      <c r="G5353" s="549"/>
      <c r="H5353" s="119"/>
      <c r="K5353" s="56"/>
      <c r="L5353" s="56"/>
      <c r="M5353" s="56"/>
      <c r="N5353" s="56"/>
      <c r="O5353" s="56"/>
    </row>
    <row r="5354" spans="1:15">
      <c r="A5354" s="550" t="s">
        <v>3928</v>
      </c>
      <c r="B5354" s="551"/>
      <c r="C5354" s="232">
        <v>1</v>
      </c>
      <c r="D5354" s="102">
        <v>0.03</v>
      </c>
      <c r="E5354" s="103">
        <f>VLOOKUP(A5354,'Equip, Herr y Transp'!$B$2:$D$218,3,0)</f>
        <v>160000</v>
      </c>
      <c r="F5354" s="552">
        <f>E5354*D5354*C5354</f>
        <v>4800</v>
      </c>
      <c r="G5354" s="553"/>
      <c r="H5354" s="117"/>
      <c r="M5354" s="56"/>
    </row>
    <row r="5355" spans="1:15" ht="16.5">
      <c r="A5355" s="554" t="s">
        <v>4216</v>
      </c>
      <c r="B5355" s="555"/>
      <c r="C5355" s="555"/>
      <c r="D5355" s="555"/>
      <c r="E5355" s="555"/>
      <c r="F5355" s="555"/>
      <c r="G5355" s="555"/>
      <c r="H5355" s="105">
        <f>F5354</f>
        <v>4800</v>
      </c>
    </row>
    <row r="5356" spans="1:15" ht="16.5">
      <c r="A5356" s="543" t="s">
        <v>4235</v>
      </c>
      <c r="B5356" s="544"/>
      <c r="C5356" s="544"/>
      <c r="D5356" s="544"/>
      <c r="E5356" s="544"/>
      <c r="F5356" s="544"/>
      <c r="G5356" s="544"/>
      <c r="H5356" s="546"/>
    </row>
    <row r="5357" spans="1:15">
      <c r="A5357" s="547" t="s">
        <v>7</v>
      </c>
      <c r="B5357" s="548"/>
      <c r="C5357" s="106" t="s">
        <v>1</v>
      </c>
      <c r="D5357" s="107" t="s">
        <v>4236</v>
      </c>
      <c r="E5357" s="108" t="s">
        <v>4215</v>
      </c>
      <c r="F5357" s="547" t="s">
        <v>5</v>
      </c>
      <c r="G5357" s="556"/>
      <c r="H5357" s="119"/>
    </row>
    <row r="5358" spans="1:15">
      <c r="A5358" s="550" t="s">
        <v>4196</v>
      </c>
      <c r="B5358" s="551"/>
      <c r="C5358" s="101">
        <v>1</v>
      </c>
      <c r="D5358" s="104">
        <f>VLOOKUP(A5358,'Mano Obra'!$B$2:$T$117,19,0)</f>
        <v>166624</v>
      </c>
      <c r="E5358" s="246">
        <f>H5321</f>
        <v>0.1875</v>
      </c>
      <c r="F5358" s="538">
        <f>E5358*D5358*C5358</f>
        <v>31242</v>
      </c>
      <c r="G5358" s="557"/>
      <c r="H5358" s="121"/>
      <c r="I5358" s="69"/>
      <c r="J5358" s="136">
        <f>((('Mano Obra'!$M$4/30)*F5358)/D5358)*G5328</f>
        <v>0</v>
      </c>
    </row>
    <row r="5359" spans="1:15">
      <c r="A5359" s="558" t="s">
        <v>4197</v>
      </c>
      <c r="B5359" s="559">
        <f>VLOOKUP(A5359,'Mano Obra'!$B$3:$D$290,2,0)</f>
        <v>2090000.0000000002</v>
      </c>
      <c r="C5359" s="101">
        <v>1</v>
      </c>
      <c r="D5359" s="104">
        <f>VLOOKUP(A5359,'Mano Obra'!$B$2:$T$117,19,0)</f>
        <v>120456</v>
      </c>
      <c r="E5359" s="246">
        <f>H5321</f>
        <v>0.1875</v>
      </c>
      <c r="F5359" s="538">
        <f t="shared" ref="F5359:F5360" si="315">E5359*D5359*C5359</f>
        <v>22585.5</v>
      </c>
      <c r="G5359" s="557"/>
      <c r="H5359" s="121"/>
      <c r="J5359" s="136">
        <f>((('Mano Obra'!$M$5/30)*F5359)/D5359)*G5328</f>
        <v>0</v>
      </c>
    </row>
    <row r="5360" spans="1:15">
      <c r="A5360" s="558" t="s">
        <v>4186</v>
      </c>
      <c r="B5360" s="559">
        <f>VLOOKUP(A5360,'Mano Obra'!$B$3:$D$290,2,0)</f>
        <v>1100000</v>
      </c>
      <c r="C5360" s="101">
        <v>1</v>
      </c>
      <c r="D5360" s="104">
        <f>VLOOKUP(A5360,'Mano Obra'!$B$2:$T$117,19,0)</f>
        <v>72664</v>
      </c>
      <c r="E5360" s="246">
        <f>H5321</f>
        <v>0.1875</v>
      </c>
      <c r="F5360" s="538">
        <f t="shared" si="315"/>
        <v>13624.5</v>
      </c>
      <c r="G5360" s="557"/>
      <c r="H5360" s="120"/>
      <c r="J5360" s="136">
        <f>((('Mano Obra'!$M$6/30)*F5360)/D5360)*G5328</f>
        <v>0</v>
      </c>
    </row>
    <row r="5361" spans="1:10" ht="16.5">
      <c r="A5361" s="560" t="s">
        <v>4101</v>
      </c>
      <c r="B5361" s="560"/>
      <c r="C5361" s="560"/>
      <c r="D5361" s="560"/>
      <c r="E5361" s="560"/>
      <c r="F5361" s="560"/>
      <c r="G5361" s="560"/>
      <c r="H5361" s="105">
        <f>SUM(F5358:F5360)</f>
        <v>67452</v>
      </c>
      <c r="J5361" s="136"/>
    </row>
    <row r="5362" spans="1:10">
      <c r="A5362" s="227" t="s">
        <v>4237</v>
      </c>
      <c r="B5362" s="205"/>
      <c r="C5362" s="205"/>
      <c r="D5362" s="202"/>
      <c r="E5362" s="203"/>
      <c r="F5362" s="204"/>
      <c r="G5362" s="203"/>
      <c r="H5362" s="212"/>
    </row>
    <row r="5363" spans="1:10">
      <c r="A5363" s="561" t="s">
        <v>4224</v>
      </c>
      <c r="B5363" s="562"/>
      <c r="C5363" s="562"/>
      <c r="D5363" s="562"/>
      <c r="E5363" s="200"/>
      <c r="F5363" s="201" t="s">
        <v>4238</v>
      </c>
      <c r="G5363" s="200" t="s">
        <v>4239</v>
      </c>
      <c r="H5363" s="213"/>
    </row>
    <row r="5364" spans="1:10">
      <c r="A5364" s="223" t="s">
        <v>4097</v>
      </c>
      <c r="B5364" s="72"/>
      <c r="C5364" s="72"/>
      <c r="D5364" s="73"/>
      <c r="E5364" s="78"/>
      <c r="F5364" s="79">
        <v>0</v>
      </c>
      <c r="G5364" s="80">
        <f>F5364*H5329</f>
        <v>0</v>
      </c>
      <c r="H5364" s="212"/>
    </row>
    <row r="5365" spans="1:10">
      <c r="A5365" s="224" t="s">
        <v>4240</v>
      </c>
      <c r="B5365" s="81"/>
      <c r="C5365" s="81"/>
      <c r="D5365" s="82"/>
      <c r="E5365" s="78"/>
      <c r="F5365" s="79">
        <v>0</v>
      </c>
      <c r="G5365" s="80">
        <f>F5365*H5329</f>
        <v>0</v>
      </c>
      <c r="H5365" s="212"/>
    </row>
    <row r="5366" spans="1:10">
      <c r="A5366" s="224" t="s">
        <v>4</v>
      </c>
      <c r="B5366" s="81"/>
      <c r="C5366" s="81"/>
      <c r="D5366" s="82"/>
      <c r="E5366" s="78"/>
      <c r="F5366" s="79">
        <v>0</v>
      </c>
      <c r="G5366" s="80">
        <f>F5366*H5329</f>
        <v>0</v>
      </c>
      <c r="H5366" s="212"/>
    </row>
    <row r="5367" spans="1:10">
      <c r="A5367" s="225"/>
      <c r="B5367" s="83"/>
      <c r="C5367" s="75"/>
      <c r="D5367" s="84"/>
      <c r="E5367" s="85"/>
      <c r="F5367" s="86"/>
      <c r="G5367" s="87"/>
      <c r="H5367" s="214"/>
    </row>
    <row r="5368" spans="1:10">
      <c r="A5368" s="226"/>
      <c r="B5368" s="83"/>
      <c r="C5368" s="83"/>
      <c r="D5368" s="84"/>
      <c r="E5368" s="88"/>
      <c r="F5368" s="563" t="s">
        <v>4241</v>
      </c>
      <c r="G5368" s="564"/>
      <c r="H5368" s="233">
        <f>H5329+G5364+G5365+G5366</f>
        <v>1051296.9750000001</v>
      </c>
    </row>
    <row r="5369" spans="1:10">
      <c r="A5369" s="83"/>
      <c r="B5369" s="83"/>
      <c r="C5369" s="83"/>
      <c r="D5369" s="84"/>
      <c r="E5369" s="388"/>
      <c r="F5369" s="389"/>
      <c r="G5369" s="389"/>
      <c r="H5369" s="390"/>
    </row>
    <row r="5371" spans="1:10" ht="16.5">
      <c r="A5371" s="90"/>
      <c r="B5371" s="90"/>
      <c r="C5371" s="90"/>
      <c r="D5371" s="90"/>
      <c r="E5371" s="90"/>
      <c r="F5371" s="90"/>
      <c r="G5371" s="90"/>
      <c r="H5371" s="381"/>
    </row>
    <row r="5372" spans="1:10">
      <c r="A5372" s="579" t="s">
        <v>4225</v>
      </c>
      <c r="B5372" s="580"/>
      <c r="C5372" s="580"/>
      <c r="D5372" s="580"/>
      <c r="E5372" s="580"/>
      <c r="F5372" s="580"/>
      <c r="G5372" s="580"/>
      <c r="H5372" s="581"/>
    </row>
    <row r="5373" spans="1:10" ht="16.5">
      <c r="A5373" s="91"/>
      <c r="B5373" s="92"/>
      <c r="C5373" s="92"/>
      <c r="D5373" s="92"/>
      <c r="E5373" s="92"/>
      <c r="F5373" s="93"/>
      <c r="G5373" s="94"/>
      <c r="H5373" s="380">
        <f>ROUND((70/60)/8,4)</f>
        <v>0.14580000000000001</v>
      </c>
      <c r="I5373" s="115"/>
    </row>
    <row r="5374" spans="1:10">
      <c r="A5374" s="582" t="s">
        <v>4220</v>
      </c>
      <c r="B5374" s="584" t="str">
        <f>COSTOS!$C$14</f>
        <v>MODERNIZACION A TECNOLOGIA LED</v>
      </c>
      <c r="C5374" s="584"/>
      <c r="D5374" s="584"/>
      <c r="E5374" s="584"/>
      <c r="F5374" s="584"/>
      <c r="G5374" s="584"/>
      <c r="H5374" s="585" t="s">
        <v>4221</v>
      </c>
    </row>
    <row r="5375" spans="1:10">
      <c r="A5375" s="583"/>
      <c r="B5375" s="584"/>
      <c r="C5375" s="584"/>
      <c r="D5375" s="584"/>
      <c r="E5375" s="584"/>
      <c r="F5375" s="584"/>
      <c r="G5375" s="584"/>
      <c r="H5375" s="585"/>
    </row>
    <row r="5376" spans="1:10">
      <c r="A5376" s="583"/>
      <c r="B5376" s="584"/>
      <c r="C5376" s="584"/>
      <c r="D5376" s="584"/>
      <c r="E5376" s="584"/>
      <c r="F5376" s="584"/>
      <c r="G5376" s="584"/>
      <c r="H5376" s="585"/>
    </row>
    <row r="5377" spans="1:15" ht="15" customHeight="1">
      <c r="A5377" s="583"/>
      <c r="B5377" s="584"/>
      <c r="C5377" s="584"/>
      <c r="D5377" s="584"/>
      <c r="E5377" s="584"/>
      <c r="F5377" s="584"/>
      <c r="G5377" s="584"/>
      <c r="H5377" s="216">
        <f ca="1">TODAY()</f>
        <v>44889</v>
      </c>
      <c r="K5377" t="s">
        <v>4391</v>
      </c>
      <c r="L5377" t="s">
        <v>4392</v>
      </c>
      <c r="M5377" t="s">
        <v>4393</v>
      </c>
      <c r="N5377" t="s">
        <v>4394</v>
      </c>
    </row>
    <row r="5378" spans="1:15" ht="60.75" customHeight="1">
      <c r="A5378" s="228" t="s">
        <v>4222</v>
      </c>
      <c r="B5378" s="565" t="str">
        <f>COSTOS!$D$16</f>
        <v>Luminarias</v>
      </c>
      <c r="C5378" s="565"/>
      <c r="D5378" s="565"/>
      <c r="E5378" s="565"/>
      <c r="F5378" s="565"/>
      <c r="G5378" s="70" t="s">
        <v>4223</v>
      </c>
      <c r="H5378" s="387">
        <v>2.2200000000000002</v>
      </c>
      <c r="K5378" s="62">
        <f>H5403</f>
        <v>802155.20000000007</v>
      </c>
      <c r="L5378" s="62">
        <f>H5413</f>
        <v>52450.675200000005</v>
      </c>
      <c r="M5378" s="62">
        <f>H5386</f>
        <v>5949.0045000000009</v>
      </c>
      <c r="N5378" s="62">
        <f>H5407</f>
        <v>4800</v>
      </c>
    </row>
    <row r="5379" spans="1:15" ht="43.15" customHeight="1">
      <c r="A5379" s="229" t="s">
        <v>4224</v>
      </c>
      <c r="B5379" s="566" t="str">
        <f>VLOOKUP(H5378,COSTOS!C:M,2,0)</f>
        <v>Poste Melatico de 2,5m</v>
      </c>
      <c r="C5379" s="567"/>
      <c r="D5379" s="567"/>
      <c r="E5379" s="568"/>
      <c r="F5379" s="71" t="s">
        <v>0</v>
      </c>
      <c r="G5379" s="356" t="str">
        <f>VLOOKUP(H5378,COSTOS!C:M,8,0)</f>
        <v>Und</v>
      </c>
      <c r="H5379" s="276"/>
      <c r="I5379" s="306"/>
      <c r="J5379" s="308"/>
      <c r="K5379" s="308"/>
      <c r="L5379" s="308"/>
    </row>
    <row r="5380" spans="1:15">
      <c r="A5380" s="230"/>
      <c r="B5380" s="112"/>
      <c r="C5380" s="112"/>
      <c r="D5380" s="112"/>
      <c r="E5380" s="113"/>
      <c r="F5380" s="114" t="s">
        <v>1</v>
      </c>
      <c r="G5380" s="356">
        <f>VLOOKUP(H5378,COSTOS!C:M,9,0)</f>
        <v>1</v>
      </c>
      <c r="H5380" s="357"/>
      <c r="I5380" s="307"/>
    </row>
    <row r="5381" spans="1:15" ht="16.5">
      <c r="A5381" s="231" t="s">
        <v>4226</v>
      </c>
      <c r="B5381" s="75"/>
      <c r="C5381" s="75"/>
      <c r="D5381" s="76"/>
      <c r="E5381" s="209"/>
      <c r="F5381" s="210"/>
      <c r="G5381" s="211" t="s">
        <v>4227</v>
      </c>
      <c r="H5381" s="217">
        <f>H5386+H5403+H5407+H5413</f>
        <v>865354.87970000017</v>
      </c>
    </row>
    <row r="5382" spans="1:15" ht="39">
      <c r="A5382" s="569" t="s">
        <v>4224</v>
      </c>
      <c r="B5382" s="569"/>
      <c r="C5382" s="569"/>
      <c r="D5382" s="77" t="s">
        <v>0</v>
      </c>
      <c r="E5382" s="207" t="s">
        <v>4228</v>
      </c>
      <c r="F5382" s="208" t="s">
        <v>4215</v>
      </c>
      <c r="G5382" s="74" t="s">
        <v>2</v>
      </c>
      <c r="H5382" s="218" t="s">
        <v>4229</v>
      </c>
      <c r="K5382" s="309"/>
    </row>
    <row r="5383" spans="1:15">
      <c r="A5383" s="536" t="s">
        <v>3946</v>
      </c>
      <c r="B5383" s="570" t="str">
        <f>VLOOKUP(A5383,'Equip, Herr y Transp'!$B$2:$D$739,2,0)</f>
        <v>EQU</v>
      </c>
      <c r="C5383" s="570"/>
      <c r="D5383" s="95" t="str">
        <f>VLOOKUP(A5383,'Equip, Herr y Transp'!$B$2:$D$218,2,0)</f>
        <v>EQU</v>
      </c>
      <c r="E5383" s="95">
        <f>VLOOKUP(A5383,'Equip, Herr y Transp'!$B$2:$D$218,3,0)</f>
        <v>14130</v>
      </c>
      <c r="F5383" s="96">
        <f>H5373</f>
        <v>0.14580000000000001</v>
      </c>
      <c r="G5383" s="122">
        <f>F5383*E5383</f>
        <v>2060.154</v>
      </c>
      <c r="H5383" s="118"/>
    </row>
    <row r="5384" spans="1:15">
      <c r="A5384" s="536" t="s">
        <v>3904</v>
      </c>
      <c r="B5384" s="570" t="str">
        <f>VLOOKUP(A5384,'Equip, Herr y Transp'!$B$2:$D$739,2,0)</f>
        <v>EQU</v>
      </c>
      <c r="C5384" s="570"/>
      <c r="D5384" s="95" t="str">
        <f>VLOOKUP(A5384,'Equip, Herr y Transp'!$B$2:$D$218,2,0)</f>
        <v>EQU</v>
      </c>
      <c r="E5384" s="95">
        <f>VLOOKUP(A5384,'Equip, Herr y Transp'!$B$2:$D$218,3,0)</f>
        <v>26672.5</v>
      </c>
      <c r="F5384" s="96">
        <f>H5373</f>
        <v>0.14580000000000001</v>
      </c>
      <c r="G5384" s="122">
        <f>F5384*E5384</f>
        <v>3888.8505000000005</v>
      </c>
      <c r="H5384" s="117"/>
    </row>
    <row r="5385" spans="1:15">
      <c r="A5385" s="536" t="s">
        <v>8</v>
      </c>
      <c r="B5385" s="570">
        <f>VLOOKUP(A5385,'Equip, Herr y Transp'!$B$2:$D$739,2,0)</f>
        <v>0</v>
      </c>
      <c r="C5385" s="570"/>
      <c r="D5385" s="95">
        <f>VLOOKUP(A5385,'Equip, Herr y Transp'!$B$2:$D$218,2,0)</f>
        <v>0</v>
      </c>
      <c r="E5385" s="95">
        <f>VLOOKUP(A5385,'Equip, Herr y Transp'!$B$2:$D$218,3,0)</f>
        <v>0</v>
      </c>
      <c r="F5385" s="96"/>
      <c r="G5385" s="122">
        <f>F5385*E5385</f>
        <v>0</v>
      </c>
      <c r="H5385" s="117"/>
    </row>
    <row r="5386" spans="1:15" ht="16.5">
      <c r="A5386" s="540" t="s">
        <v>4100</v>
      </c>
      <c r="B5386" s="541"/>
      <c r="C5386" s="541"/>
      <c r="D5386" s="541"/>
      <c r="E5386" s="541"/>
      <c r="F5386" s="541"/>
      <c r="G5386" s="541"/>
      <c r="H5386" s="97">
        <f>SUM(G5383:G5385)</f>
        <v>5949.0045000000009</v>
      </c>
    </row>
    <row r="5387" spans="1:15" ht="16.5">
      <c r="A5387" s="571" t="s">
        <v>4230</v>
      </c>
      <c r="B5387" s="572"/>
      <c r="C5387" s="572"/>
      <c r="D5387" s="572"/>
      <c r="E5387" s="572"/>
      <c r="F5387" s="572"/>
      <c r="G5387" s="572"/>
      <c r="H5387" s="573"/>
      <c r="K5387" s="56"/>
      <c r="L5387" s="56"/>
      <c r="M5387" s="56"/>
      <c r="N5387" s="56"/>
      <c r="O5387" s="56"/>
    </row>
    <row r="5388" spans="1:15" ht="30" customHeight="1">
      <c r="A5388" s="574" t="s">
        <v>7</v>
      </c>
      <c r="B5388" s="575"/>
      <c r="C5388" s="109" t="s">
        <v>0</v>
      </c>
      <c r="D5388" s="110" t="s">
        <v>4098</v>
      </c>
      <c r="E5388" s="111" t="s">
        <v>1</v>
      </c>
      <c r="F5388" s="576" t="s">
        <v>4218</v>
      </c>
      <c r="G5388" s="576"/>
      <c r="H5388" s="215"/>
      <c r="K5388" s="56"/>
      <c r="L5388" s="56"/>
      <c r="M5388" s="56"/>
      <c r="N5388" s="56"/>
      <c r="O5388" s="56"/>
    </row>
    <row r="5389" spans="1:15">
      <c r="A5389" s="577" t="s">
        <v>4627</v>
      </c>
      <c r="B5389" s="578"/>
      <c r="C5389" s="98" t="str">
        <f>VLOOKUP(A5389,'Materiales '!$C$2:$F$1302,3,0)</f>
        <v>Und</v>
      </c>
      <c r="D5389" s="99">
        <f>VLOOKUP(A5389,'Materiales '!$C$2:$F$1302,4,0)</f>
        <v>733040.00000000012</v>
      </c>
      <c r="E5389" s="100">
        <v>1</v>
      </c>
      <c r="F5389" s="538">
        <f>E5389*D5389</f>
        <v>733040.00000000012</v>
      </c>
      <c r="G5389" s="539"/>
      <c r="H5389" s="121"/>
      <c r="I5389">
        <f>E5389*G5380</f>
        <v>1</v>
      </c>
      <c r="J5389" s="67"/>
      <c r="K5389" s="56"/>
      <c r="L5389" s="56"/>
      <c r="M5389" s="56"/>
      <c r="N5389" s="56"/>
      <c r="O5389" s="56"/>
    </row>
    <row r="5390" spans="1:15">
      <c r="A5390" s="577" t="s">
        <v>4628</v>
      </c>
      <c r="B5390" s="578"/>
      <c r="C5390" s="98" t="str">
        <f>VLOOKUP(A5390,'Materiales '!$C$2:$F$1302,3,0)</f>
        <v>Rollo</v>
      </c>
      <c r="D5390" s="99">
        <f>VLOOKUP(A5390,'Materiales '!$C$2:$F$1302,4,0)</f>
        <v>138230.39999999999</v>
      </c>
      <c r="E5390" s="100">
        <v>0.5</v>
      </c>
      <c r="F5390" s="538">
        <f t="shared" ref="F5390:F5396" si="316">E5390*D5390</f>
        <v>69115.199999999997</v>
      </c>
      <c r="G5390" s="539"/>
      <c r="H5390" s="121"/>
      <c r="I5390">
        <f>E5390*G5380</f>
        <v>0.5</v>
      </c>
      <c r="J5390" s="67"/>
      <c r="K5390" s="56"/>
      <c r="L5390" s="56"/>
      <c r="M5390" s="56"/>
      <c r="N5390" s="56"/>
      <c r="O5390" s="56"/>
    </row>
    <row r="5391" spans="1:15">
      <c r="A5391" s="536" t="s">
        <v>8</v>
      </c>
      <c r="B5391" s="537" t="str">
        <f>VLOOKUP(A5391,'Materiales '!$C$2:$F$1302,3,0)</f>
        <v>-</v>
      </c>
      <c r="C5391" s="98" t="str">
        <f>VLOOKUP(A5391,'Materiales '!$C$2:$F$1302,3,0)</f>
        <v>-</v>
      </c>
      <c r="D5391" s="99">
        <f>VLOOKUP(A5391,'Materiales '!$C$2:$F$1302,4,0)</f>
        <v>0</v>
      </c>
      <c r="E5391" s="100">
        <v>1</v>
      </c>
      <c r="F5391" s="538">
        <f t="shared" si="316"/>
        <v>0</v>
      </c>
      <c r="G5391" s="539"/>
      <c r="H5391" s="121"/>
      <c r="I5391">
        <f>E5391*G5380</f>
        <v>1</v>
      </c>
      <c r="J5391" s="68"/>
      <c r="K5391" s="56"/>
      <c r="L5391" s="56"/>
      <c r="M5391" s="56"/>
      <c r="N5391" s="56"/>
      <c r="O5391" s="56"/>
    </row>
    <row r="5392" spans="1:15">
      <c r="A5392" s="536" t="s">
        <v>8</v>
      </c>
      <c r="B5392" s="537" t="str">
        <f>VLOOKUP(A5392,'Materiales '!$C$2:$F$1302,3,0)</f>
        <v>-</v>
      </c>
      <c r="C5392" s="98" t="str">
        <f>VLOOKUP(A5392,'Materiales '!$C$2:$F$1302,3,0)</f>
        <v>-</v>
      </c>
      <c r="D5392" s="99">
        <f>VLOOKUP(A5392,'Materiales '!$C$2:$F$1302,4,0)</f>
        <v>0</v>
      </c>
      <c r="E5392" s="100">
        <v>3</v>
      </c>
      <c r="F5392" s="538">
        <f t="shared" si="316"/>
        <v>0</v>
      </c>
      <c r="G5392" s="539"/>
      <c r="H5392" s="121"/>
      <c r="I5392">
        <f>E5392*G5380</f>
        <v>3</v>
      </c>
      <c r="J5392" s="68"/>
      <c r="K5392" s="56"/>
      <c r="L5392" s="56"/>
      <c r="M5392" s="56"/>
      <c r="N5392" s="56"/>
      <c r="O5392" s="56"/>
    </row>
    <row r="5393" spans="1:15">
      <c r="A5393" s="536" t="s">
        <v>8</v>
      </c>
      <c r="B5393" s="537" t="str">
        <f>VLOOKUP(A5393,'Materiales '!$C$2:$F$1302,3,0)</f>
        <v>-</v>
      </c>
      <c r="C5393" s="98" t="str">
        <f>VLOOKUP(A5393,'Materiales '!$C$2:$F$1302,3,0)</f>
        <v>-</v>
      </c>
      <c r="D5393" s="99">
        <f>VLOOKUP(A5393,'Materiales '!$C$2:$F$1302,4,0)</f>
        <v>0</v>
      </c>
      <c r="E5393" s="100">
        <v>2</v>
      </c>
      <c r="F5393" s="538">
        <f t="shared" si="316"/>
        <v>0</v>
      </c>
      <c r="G5393" s="539"/>
      <c r="H5393" s="121"/>
      <c r="I5393">
        <f>E5393*G5380</f>
        <v>2</v>
      </c>
      <c r="J5393" s="68"/>
      <c r="K5393" s="56"/>
      <c r="L5393" s="56"/>
      <c r="M5393" s="56"/>
      <c r="N5393" s="56"/>
      <c r="O5393" s="56"/>
    </row>
    <row r="5394" spans="1:15">
      <c r="A5394" s="536" t="s">
        <v>8</v>
      </c>
      <c r="B5394" s="537" t="str">
        <f>VLOOKUP(A5394,'Materiales '!$C$2:$F$1302,3,0)</f>
        <v>-</v>
      </c>
      <c r="C5394" s="98" t="str">
        <f>VLOOKUP(A5394,'Materiales '!$C$2:$F$1302,3,0)</f>
        <v>-</v>
      </c>
      <c r="D5394" s="99">
        <f>VLOOKUP(A5394,'Materiales '!$C$2:$F$1302,4,0)</f>
        <v>0</v>
      </c>
      <c r="E5394" s="100">
        <v>8</v>
      </c>
      <c r="F5394" s="538">
        <f t="shared" si="316"/>
        <v>0</v>
      </c>
      <c r="G5394" s="539"/>
      <c r="H5394" s="121"/>
      <c r="I5394">
        <f>E5394*G5380</f>
        <v>8</v>
      </c>
      <c r="J5394" s="68"/>
      <c r="K5394" s="56"/>
      <c r="L5394" s="56"/>
      <c r="M5394" s="56"/>
      <c r="N5394" s="56"/>
      <c r="O5394" s="56"/>
    </row>
    <row r="5395" spans="1:15">
      <c r="A5395" s="536" t="s">
        <v>8</v>
      </c>
      <c r="B5395" s="537" t="str">
        <f>VLOOKUP(A5395,'Materiales '!$C$2:$F$1302,3,0)</f>
        <v>-</v>
      </c>
      <c r="C5395" s="98" t="str">
        <f>VLOOKUP(A5395,'Materiales '!$C$2:$F$1302,3,0)</f>
        <v>-</v>
      </c>
      <c r="D5395" s="99">
        <f>VLOOKUP(A5395,'Materiales '!$C$2:$F$1302,4,0)</f>
        <v>0</v>
      </c>
      <c r="E5395" s="100">
        <v>3</v>
      </c>
      <c r="F5395" s="538">
        <f t="shared" si="316"/>
        <v>0</v>
      </c>
      <c r="G5395" s="539"/>
      <c r="H5395" s="121"/>
      <c r="I5395">
        <f>E5395*G5380</f>
        <v>3</v>
      </c>
      <c r="J5395" s="68"/>
      <c r="K5395" s="56"/>
      <c r="L5395" s="56"/>
      <c r="M5395" s="56"/>
      <c r="N5395" s="56"/>
      <c r="O5395" s="56"/>
    </row>
    <row r="5396" spans="1:15" ht="21.75" customHeight="1">
      <c r="A5396" s="536" t="s">
        <v>8</v>
      </c>
      <c r="B5396" s="537" t="str">
        <f>VLOOKUP(A5396,'Materiales '!$C$2:$F$1302,3,0)</f>
        <v>-</v>
      </c>
      <c r="C5396" s="98" t="str">
        <f>VLOOKUP(A5396,'Materiales '!$C$2:$F$1302,3,0)</f>
        <v>-</v>
      </c>
      <c r="D5396" s="99">
        <f>VLOOKUP(A5396,'Materiales '!$C$2:$F$1302,4,0)</f>
        <v>0</v>
      </c>
      <c r="E5396" s="100">
        <v>0.5</v>
      </c>
      <c r="F5396" s="538">
        <f t="shared" si="316"/>
        <v>0</v>
      </c>
      <c r="G5396" s="539"/>
      <c r="H5396" s="121"/>
      <c r="I5396">
        <f>E5396*G5380</f>
        <v>0.5</v>
      </c>
      <c r="J5396" s="68"/>
      <c r="K5396" s="56"/>
      <c r="L5396" s="56"/>
      <c r="M5396" s="56"/>
      <c r="N5396" s="56"/>
      <c r="O5396" s="56"/>
    </row>
    <row r="5397" spans="1:15">
      <c r="A5397" s="536" t="s">
        <v>8</v>
      </c>
      <c r="B5397" s="537" t="str">
        <f>VLOOKUP(A5397,'Materiales '!$C$2:$F$1302,3,0)</f>
        <v>-</v>
      </c>
      <c r="C5397" s="98" t="str">
        <f>VLOOKUP(A5397,'Materiales '!$C$2:$F$1302,3,0)</f>
        <v>-</v>
      </c>
      <c r="D5397" s="99">
        <f>VLOOKUP(A5397,'Materiales '!$C$2:$F$1302,4,0)</f>
        <v>0</v>
      </c>
      <c r="E5397" s="100"/>
      <c r="F5397" s="538">
        <f>E5397*D5397</f>
        <v>0</v>
      </c>
      <c r="G5397" s="539"/>
      <c r="H5397" s="120"/>
      <c r="I5397">
        <f>E5397*G5380</f>
        <v>0</v>
      </c>
      <c r="J5397" s="68"/>
      <c r="K5397" s="56"/>
      <c r="L5397" s="56"/>
      <c r="M5397" s="56"/>
      <c r="N5397" s="56"/>
      <c r="O5397" s="56"/>
    </row>
    <row r="5398" spans="1:15">
      <c r="A5398" s="536" t="s">
        <v>8</v>
      </c>
      <c r="B5398" s="537" t="str">
        <f>VLOOKUP(A5398,'Materiales '!$C$2:$F$1302,3,0)</f>
        <v>-</v>
      </c>
      <c r="C5398" s="98" t="str">
        <f>VLOOKUP(A5398,'Materiales '!$C$2:$F$1302,3,0)</f>
        <v>-</v>
      </c>
      <c r="D5398" s="99">
        <f>VLOOKUP(A5398,'Materiales '!$C$2:$F$1302,4,0)</f>
        <v>0</v>
      </c>
      <c r="E5398" s="100"/>
      <c r="F5398" s="538">
        <f t="shared" ref="F5398:F5401" si="317">E5398*D5398</f>
        <v>0</v>
      </c>
      <c r="G5398" s="539"/>
      <c r="H5398" s="121"/>
      <c r="I5398">
        <f>E5398*G5380</f>
        <v>0</v>
      </c>
      <c r="J5398" s="68"/>
      <c r="K5398" s="56"/>
      <c r="L5398" s="56"/>
      <c r="M5398" s="56"/>
      <c r="N5398" s="56"/>
      <c r="O5398" s="56"/>
    </row>
    <row r="5399" spans="1:15">
      <c r="A5399" s="536" t="s">
        <v>8</v>
      </c>
      <c r="B5399" s="537" t="str">
        <f>VLOOKUP(A5399,'Materiales '!$C$2:$F$1302,3,0)</f>
        <v>-</v>
      </c>
      <c r="C5399" s="98" t="str">
        <f>VLOOKUP(A5399,'Materiales '!$C$2:$F$1302,3,0)</f>
        <v>-</v>
      </c>
      <c r="D5399" s="99">
        <f>VLOOKUP(A5399,'Materiales '!$C$2:$F$1302,4,0)</f>
        <v>0</v>
      </c>
      <c r="E5399" s="100"/>
      <c r="F5399" s="538">
        <f t="shared" si="317"/>
        <v>0</v>
      </c>
      <c r="G5399" s="539"/>
      <c r="H5399" s="121"/>
      <c r="I5399">
        <f>E5399*G5380</f>
        <v>0</v>
      </c>
      <c r="J5399" s="68"/>
      <c r="K5399" s="56"/>
      <c r="L5399" s="56"/>
      <c r="M5399" s="56"/>
      <c r="N5399" s="56"/>
      <c r="O5399" s="56"/>
    </row>
    <row r="5400" spans="1:15">
      <c r="A5400" s="536" t="s">
        <v>8</v>
      </c>
      <c r="B5400" s="537" t="str">
        <f>VLOOKUP(A5400,'Materiales '!$C$2:$F$1302,3,0)</f>
        <v>-</v>
      </c>
      <c r="C5400" s="98" t="str">
        <f>VLOOKUP(A5400,'Materiales '!$C$2:$F$1302,3,0)</f>
        <v>-</v>
      </c>
      <c r="D5400" s="99">
        <f>VLOOKUP(A5400,'Materiales '!$C$2:$F$1302,4,0)</f>
        <v>0</v>
      </c>
      <c r="E5400" s="100"/>
      <c r="F5400" s="538">
        <f t="shared" si="317"/>
        <v>0</v>
      </c>
      <c r="G5400" s="539"/>
      <c r="H5400" s="121"/>
      <c r="I5400">
        <f>E5400*G5380</f>
        <v>0</v>
      </c>
      <c r="J5400" s="68"/>
      <c r="K5400" s="56"/>
      <c r="L5400" s="56"/>
      <c r="M5400" s="56"/>
      <c r="N5400" s="56"/>
      <c r="O5400" s="56"/>
    </row>
    <row r="5401" spans="1:15">
      <c r="A5401" s="536" t="s">
        <v>8</v>
      </c>
      <c r="B5401" s="537" t="str">
        <f>VLOOKUP(A5401,'Materiales '!$C$2:$F$1302,3,0)</f>
        <v>-</v>
      </c>
      <c r="C5401" s="98" t="str">
        <f>VLOOKUP(A5401,'Materiales '!$C$2:$F$1302,3,0)</f>
        <v>-</v>
      </c>
      <c r="D5401" s="99">
        <f>VLOOKUP(A5401,'Materiales '!$C$2:$F$1302,4,0)</f>
        <v>0</v>
      </c>
      <c r="E5401" s="100"/>
      <c r="F5401" s="538">
        <f t="shared" si="317"/>
        <v>0</v>
      </c>
      <c r="G5401" s="539"/>
      <c r="H5401" s="121"/>
      <c r="I5401">
        <f>E5401*G5380</f>
        <v>0</v>
      </c>
      <c r="J5401" s="68"/>
      <c r="K5401" s="56"/>
      <c r="L5401" s="56"/>
      <c r="M5401" s="56"/>
      <c r="N5401" s="56"/>
      <c r="O5401" s="56"/>
    </row>
    <row r="5402" spans="1:15">
      <c r="A5402" s="536" t="s">
        <v>8</v>
      </c>
      <c r="B5402" s="537" t="str">
        <f>VLOOKUP(A5402,'Materiales '!$C$2:$F$1302,3,0)</f>
        <v>-</v>
      </c>
      <c r="C5402" s="98" t="str">
        <f>VLOOKUP(A5402,'Materiales '!$C$2:$F$1302,3,0)</f>
        <v>-</v>
      </c>
      <c r="D5402" s="99">
        <f>VLOOKUP(A5402,'Materiales '!$C$2:$F$1302,4,0)</f>
        <v>0</v>
      </c>
      <c r="E5402" s="100"/>
      <c r="F5402" s="538">
        <f>E5402*D5402</f>
        <v>0</v>
      </c>
      <c r="G5402" s="539"/>
      <c r="H5402" s="120"/>
      <c r="I5402">
        <f>E5402*G5380</f>
        <v>0</v>
      </c>
      <c r="J5402" s="68"/>
      <c r="K5402" s="56"/>
      <c r="L5402" s="56"/>
      <c r="M5402" s="56"/>
      <c r="N5402" s="56"/>
      <c r="O5402" s="56"/>
    </row>
    <row r="5403" spans="1:15" ht="16.5">
      <c r="A5403" s="540" t="s">
        <v>4099</v>
      </c>
      <c r="B5403" s="541"/>
      <c r="C5403" s="541"/>
      <c r="D5403" s="541"/>
      <c r="E5403" s="541"/>
      <c r="F5403" s="541"/>
      <c r="G5403" s="542"/>
      <c r="H5403" s="116">
        <f>SUM(F5389:F5402)</f>
        <v>802155.20000000007</v>
      </c>
      <c r="J5403" s="68"/>
      <c r="K5403" s="56"/>
      <c r="L5403" s="56"/>
      <c r="M5403" s="56"/>
      <c r="N5403" s="56"/>
      <c r="O5403" s="56"/>
    </row>
    <row r="5404" spans="1:15" ht="16.5">
      <c r="A5404" s="543" t="s">
        <v>4231</v>
      </c>
      <c r="B5404" s="544"/>
      <c r="C5404" s="544"/>
      <c r="D5404" s="544"/>
      <c r="E5404" s="545"/>
      <c r="F5404" s="544"/>
      <c r="G5404" s="544"/>
      <c r="H5404" s="546"/>
      <c r="J5404" s="68"/>
      <c r="K5404" s="56"/>
      <c r="L5404" s="56"/>
      <c r="M5404" s="56"/>
      <c r="N5404" s="56"/>
      <c r="O5404" s="56"/>
    </row>
    <row r="5405" spans="1:15">
      <c r="A5405" s="547" t="s">
        <v>7</v>
      </c>
      <c r="B5405" s="548"/>
      <c r="C5405" s="108" t="s">
        <v>4232</v>
      </c>
      <c r="D5405" s="107" t="s">
        <v>4233</v>
      </c>
      <c r="E5405" s="206" t="s">
        <v>4234</v>
      </c>
      <c r="F5405" s="549" t="s">
        <v>4218</v>
      </c>
      <c r="G5405" s="549"/>
      <c r="H5405" s="119"/>
      <c r="K5405" s="56"/>
      <c r="L5405" s="56"/>
      <c r="M5405" s="56"/>
      <c r="N5405" s="56"/>
      <c r="O5405" s="56"/>
    </row>
    <row r="5406" spans="1:15">
      <c r="A5406" s="550" t="s">
        <v>3928</v>
      </c>
      <c r="B5406" s="551"/>
      <c r="C5406" s="232">
        <v>1</v>
      </c>
      <c r="D5406" s="102">
        <v>0.03</v>
      </c>
      <c r="E5406" s="103">
        <f>VLOOKUP(A5406,'Equip, Herr y Transp'!$B$2:$D$218,3,0)</f>
        <v>160000</v>
      </c>
      <c r="F5406" s="552">
        <f>E5406*D5406*C5406</f>
        <v>4800</v>
      </c>
      <c r="G5406" s="553"/>
      <c r="H5406" s="117"/>
      <c r="M5406" s="56"/>
    </row>
    <row r="5407" spans="1:15" ht="16.5">
      <c r="A5407" s="554" t="s">
        <v>4216</v>
      </c>
      <c r="B5407" s="555"/>
      <c r="C5407" s="555"/>
      <c r="D5407" s="555"/>
      <c r="E5407" s="555"/>
      <c r="F5407" s="555"/>
      <c r="G5407" s="555"/>
      <c r="H5407" s="105">
        <f>F5406</f>
        <v>4800</v>
      </c>
    </row>
    <row r="5408" spans="1:15" ht="16.5">
      <c r="A5408" s="543" t="s">
        <v>4235</v>
      </c>
      <c r="B5408" s="544"/>
      <c r="C5408" s="544"/>
      <c r="D5408" s="544"/>
      <c r="E5408" s="544"/>
      <c r="F5408" s="544"/>
      <c r="G5408" s="544"/>
      <c r="H5408" s="546"/>
    </row>
    <row r="5409" spans="1:10">
      <c r="A5409" s="547" t="s">
        <v>7</v>
      </c>
      <c r="B5409" s="548"/>
      <c r="C5409" s="106" t="s">
        <v>1</v>
      </c>
      <c r="D5409" s="107" t="s">
        <v>4236</v>
      </c>
      <c r="E5409" s="108" t="s">
        <v>4215</v>
      </c>
      <c r="F5409" s="547" t="s">
        <v>5</v>
      </c>
      <c r="G5409" s="556"/>
      <c r="H5409" s="119"/>
    </row>
    <row r="5410" spans="1:10">
      <c r="A5410" s="550" t="s">
        <v>4196</v>
      </c>
      <c r="B5410" s="551"/>
      <c r="C5410" s="101">
        <v>1</v>
      </c>
      <c r="D5410" s="104">
        <f>VLOOKUP(A5410,'Mano Obra'!$B$2:$T$117,19,0)</f>
        <v>166624</v>
      </c>
      <c r="E5410" s="246">
        <f>H5373</f>
        <v>0.14580000000000001</v>
      </c>
      <c r="F5410" s="538">
        <f>E5410*D5410*C5410</f>
        <v>24293.779200000001</v>
      </c>
      <c r="G5410" s="557"/>
      <c r="H5410" s="121"/>
      <c r="I5410" s="69"/>
      <c r="J5410" s="136">
        <f>((('Mano Obra'!$M$4/30)*F5410)/D5410)*G5380</f>
        <v>1577.6720000999999</v>
      </c>
    </row>
    <row r="5411" spans="1:10">
      <c r="A5411" s="558" t="s">
        <v>4197</v>
      </c>
      <c r="B5411" s="559">
        <f>VLOOKUP(A5411,'Mano Obra'!$B$3:$D$290,2,0)</f>
        <v>2090000.0000000002</v>
      </c>
      <c r="C5411" s="101">
        <v>1</v>
      </c>
      <c r="D5411" s="104">
        <f>VLOOKUP(A5411,'Mano Obra'!$B$2:$T$117,19,0)</f>
        <v>120456</v>
      </c>
      <c r="E5411" s="246">
        <f>H5373</f>
        <v>0.14580000000000001</v>
      </c>
      <c r="F5411" s="538">
        <f t="shared" ref="F5411:F5412" si="318">E5411*D5411*C5411</f>
        <v>17562.484800000002</v>
      </c>
      <c r="G5411" s="557"/>
      <c r="H5411" s="121"/>
      <c r="J5411" s="136">
        <f>((('Mano Obra'!$M$5/30)*F5411)/D5411)*G5380</f>
        <v>1577.6720001000001</v>
      </c>
    </row>
    <row r="5412" spans="1:10">
      <c r="A5412" s="558" t="s">
        <v>4186</v>
      </c>
      <c r="B5412" s="559">
        <f>VLOOKUP(A5412,'Mano Obra'!$B$3:$D$290,2,0)</f>
        <v>1100000</v>
      </c>
      <c r="C5412" s="101">
        <v>1</v>
      </c>
      <c r="D5412" s="104">
        <f>VLOOKUP(A5412,'Mano Obra'!$B$2:$T$117,19,0)</f>
        <v>72664</v>
      </c>
      <c r="E5412" s="246">
        <f>H5373</f>
        <v>0.14580000000000001</v>
      </c>
      <c r="F5412" s="538">
        <f t="shared" si="318"/>
        <v>10594.4112</v>
      </c>
      <c r="G5412" s="557"/>
      <c r="H5412" s="120"/>
      <c r="J5412" s="136">
        <f>((('Mano Obra'!$M$6/30)*F5412)/D5412)*G5380</f>
        <v>1577.6720001000001</v>
      </c>
    </row>
    <row r="5413" spans="1:10" ht="16.5">
      <c r="A5413" s="560" t="s">
        <v>4101</v>
      </c>
      <c r="B5413" s="560"/>
      <c r="C5413" s="560"/>
      <c r="D5413" s="560"/>
      <c r="E5413" s="560"/>
      <c r="F5413" s="560"/>
      <c r="G5413" s="560"/>
      <c r="H5413" s="105">
        <f>SUM(F5410:F5412)</f>
        <v>52450.675200000005</v>
      </c>
      <c r="J5413" s="136"/>
    </row>
    <row r="5414" spans="1:10">
      <c r="A5414" s="227" t="s">
        <v>4237</v>
      </c>
      <c r="B5414" s="205"/>
      <c r="C5414" s="205"/>
      <c r="D5414" s="202"/>
      <c r="E5414" s="203"/>
      <c r="F5414" s="204"/>
      <c r="G5414" s="203"/>
      <c r="H5414" s="212"/>
    </row>
    <row r="5415" spans="1:10">
      <c r="A5415" s="561" t="s">
        <v>4224</v>
      </c>
      <c r="B5415" s="562"/>
      <c r="C5415" s="562"/>
      <c r="D5415" s="562"/>
      <c r="E5415" s="200"/>
      <c r="F5415" s="201" t="s">
        <v>4238</v>
      </c>
      <c r="G5415" s="200" t="s">
        <v>4239</v>
      </c>
      <c r="H5415" s="213"/>
    </row>
    <row r="5416" spans="1:10">
      <c r="A5416" s="223" t="s">
        <v>4097</v>
      </c>
      <c r="B5416" s="72"/>
      <c r="C5416" s="72"/>
      <c r="D5416" s="73"/>
      <c r="E5416" s="78"/>
      <c r="F5416" s="79">
        <v>0</v>
      </c>
      <c r="G5416" s="80">
        <f>F5416*H5381</f>
        <v>0</v>
      </c>
      <c r="H5416" s="212"/>
    </row>
    <row r="5417" spans="1:10">
      <c r="A5417" s="224" t="s">
        <v>4240</v>
      </c>
      <c r="B5417" s="81"/>
      <c r="C5417" s="81"/>
      <c r="D5417" s="82"/>
      <c r="E5417" s="78"/>
      <c r="F5417" s="79">
        <v>0</v>
      </c>
      <c r="G5417" s="80">
        <f>F5417*H5381</f>
        <v>0</v>
      </c>
      <c r="H5417" s="212"/>
    </row>
    <row r="5418" spans="1:10">
      <c r="A5418" s="224" t="s">
        <v>4</v>
      </c>
      <c r="B5418" s="81"/>
      <c r="C5418" s="81"/>
      <c r="D5418" s="82"/>
      <c r="E5418" s="78"/>
      <c r="F5418" s="79">
        <v>0</v>
      </c>
      <c r="G5418" s="80">
        <f>F5418*H5381</f>
        <v>0</v>
      </c>
      <c r="H5418" s="212"/>
    </row>
    <row r="5419" spans="1:10">
      <c r="A5419" s="225"/>
      <c r="B5419" s="83"/>
      <c r="C5419" s="75"/>
      <c r="D5419" s="84"/>
      <c r="E5419" s="85"/>
      <c r="F5419" s="86"/>
      <c r="G5419" s="87"/>
      <c r="H5419" s="214"/>
    </row>
    <row r="5420" spans="1:10">
      <c r="A5420" s="226"/>
      <c r="B5420" s="83"/>
      <c r="C5420" s="83"/>
      <c r="D5420" s="84"/>
      <c r="E5420" s="88"/>
      <c r="F5420" s="563" t="s">
        <v>4241</v>
      </c>
      <c r="G5420" s="564"/>
      <c r="H5420" s="233">
        <f>H5381+G5416+G5417+G5418</f>
        <v>865354.87970000017</v>
      </c>
    </row>
    <row r="5421" spans="1:10">
      <c r="A5421" s="83"/>
      <c r="B5421" s="83"/>
      <c r="C5421" s="83"/>
      <c r="D5421" s="84"/>
      <c r="E5421" s="388"/>
      <c r="F5421" s="389"/>
      <c r="G5421" s="389"/>
      <c r="H5421" s="390"/>
    </row>
    <row r="5422" spans="1:10" ht="16.5">
      <c r="A5422" s="90"/>
      <c r="B5422" s="90"/>
      <c r="C5422" s="90"/>
      <c r="D5422" s="90"/>
      <c r="E5422" s="90"/>
      <c r="F5422" s="90"/>
      <c r="G5422" s="90"/>
      <c r="H5422" s="381"/>
    </row>
    <row r="5423" spans="1:10">
      <c r="A5423" s="579" t="s">
        <v>4225</v>
      </c>
      <c r="B5423" s="580"/>
      <c r="C5423" s="580"/>
      <c r="D5423" s="580"/>
      <c r="E5423" s="580"/>
      <c r="F5423" s="580"/>
      <c r="G5423" s="580"/>
      <c r="H5423" s="581"/>
    </row>
    <row r="5424" spans="1:10" ht="16.5">
      <c r="A5424" s="91"/>
      <c r="B5424" s="92"/>
      <c r="C5424" s="92"/>
      <c r="D5424" s="92"/>
      <c r="E5424" s="92"/>
      <c r="F5424" s="93"/>
      <c r="G5424" s="94"/>
      <c r="H5424" s="380">
        <f>ROUND((90/60)/8,4)</f>
        <v>0.1875</v>
      </c>
      <c r="I5424" s="115"/>
    </row>
    <row r="5425" spans="1:15">
      <c r="A5425" s="582" t="s">
        <v>4220</v>
      </c>
      <c r="B5425" s="584" t="str">
        <f>COSTOS!$C$14</f>
        <v>MODERNIZACION A TECNOLOGIA LED</v>
      </c>
      <c r="C5425" s="584"/>
      <c r="D5425" s="584"/>
      <c r="E5425" s="584"/>
      <c r="F5425" s="584"/>
      <c r="G5425" s="584"/>
      <c r="H5425" s="585" t="s">
        <v>4221</v>
      </c>
    </row>
    <row r="5426" spans="1:15">
      <c r="A5426" s="583"/>
      <c r="B5426" s="584"/>
      <c r="C5426" s="584"/>
      <c r="D5426" s="584"/>
      <c r="E5426" s="584"/>
      <c r="F5426" s="584"/>
      <c r="G5426" s="584"/>
      <c r="H5426" s="585"/>
    </row>
    <row r="5427" spans="1:15">
      <c r="A5427" s="583"/>
      <c r="B5427" s="584"/>
      <c r="C5427" s="584"/>
      <c r="D5427" s="584"/>
      <c r="E5427" s="584"/>
      <c r="F5427" s="584"/>
      <c r="G5427" s="584"/>
      <c r="H5427" s="585"/>
    </row>
    <row r="5428" spans="1:15" ht="15" customHeight="1">
      <c r="A5428" s="583"/>
      <c r="B5428" s="584"/>
      <c r="C5428" s="584"/>
      <c r="D5428" s="584"/>
      <c r="E5428" s="584"/>
      <c r="F5428" s="584"/>
      <c r="G5428" s="584"/>
      <c r="H5428" s="216">
        <f ca="1">TODAY()</f>
        <v>44889</v>
      </c>
      <c r="K5428" t="s">
        <v>4391</v>
      </c>
      <c r="L5428" t="s">
        <v>4392</v>
      </c>
      <c r="M5428" t="s">
        <v>4393</v>
      </c>
      <c r="N5428" t="s">
        <v>4394</v>
      </c>
    </row>
    <row r="5429" spans="1:15" ht="60.75" customHeight="1">
      <c r="A5429" s="228" t="s">
        <v>4222</v>
      </c>
      <c r="B5429" s="565" t="str">
        <f>COSTOS!$D$16</f>
        <v>Luminarias</v>
      </c>
      <c r="C5429" s="565"/>
      <c r="D5429" s="565"/>
      <c r="E5429" s="565"/>
      <c r="F5429" s="565"/>
      <c r="G5429" s="70" t="s">
        <v>4223</v>
      </c>
      <c r="H5429" s="391">
        <v>2.23</v>
      </c>
      <c r="K5429" s="62">
        <f>H5454</f>
        <v>875459.20000000007</v>
      </c>
      <c r="L5429" s="62">
        <f>H5464</f>
        <v>67452</v>
      </c>
      <c r="M5429" s="62">
        <f>H5437</f>
        <v>182649.375</v>
      </c>
      <c r="N5429" s="62">
        <f>H5458</f>
        <v>4800</v>
      </c>
    </row>
    <row r="5430" spans="1:15" ht="43.15" customHeight="1">
      <c r="A5430" s="229" t="s">
        <v>4224</v>
      </c>
      <c r="B5430" s="566" t="str">
        <f>VLOOKUP(H5429,COSTOS!C:M,2,0)</f>
        <v>Poste de concreto 10 metros x 750kg.f</v>
      </c>
      <c r="C5430" s="567"/>
      <c r="D5430" s="567"/>
      <c r="E5430" s="568"/>
      <c r="F5430" s="71" t="s">
        <v>0</v>
      </c>
      <c r="G5430" s="356" t="str">
        <f>VLOOKUP(H5429,COSTOS!C:M,8,0)</f>
        <v>Und</v>
      </c>
      <c r="H5430" s="276"/>
      <c r="I5430" s="306"/>
      <c r="J5430" s="308"/>
      <c r="K5430" s="308"/>
      <c r="L5430" s="308"/>
    </row>
    <row r="5431" spans="1:15">
      <c r="A5431" s="230"/>
      <c r="B5431" s="112"/>
      <c r="C5431" s="112"/>
      <c r="D5431" s="112"/>
      <c r="E5431" s="113"/>
      <c r="F5431" s="114" t="s">
        <v>1</v>
      </c>
      <c r="G5431" s="356">
        <f>VLOOKUP(H5429,COSTOS!C:M,9,0)</f>
        <v>1</v>
      </c>
      <c r="H5431" s="357"/>
      <c r="I5431" s="307"/>
    </row>
    <row r="5432" spans="1:15" ht="16.5">
      <c r="A5432" s="231" t="s">
        <v>4226</v>
      </c>
      <c r="B5432" s="75"/>
      <c r="C5432" s="75"/>
      <c r="D5432" s="76"/>
      <c r="E5432" s="209"/>
      <c r="F5432" s="210"/>
      <c r="G5432" s="211" t="s">
        <v>4227</v>
      </c>
      <c r="H5432" s="217">
        <f>H5437+H5454+H5458+H5464</f>
        <v>1130360.5750000002</v>
      </c>
    </row>
    <row r="5433" spans="1:15" ht="39">
      <c r="A5433" s="569" t="s">
        <v>4224</v>
      </c>
      <c r="B5433" s="569"/>
      <c r="C5433" s="569"/>
      <c r="D5433" s="77" t="s">
        <v>0</v>
      </c>
      <c r="E5433" s="207" t="s">
        <v>4228</v>
      </c>
      <c r="F5433" s="208" t="s">
        <v>4215</v>
      </c>
      <c r="G5433" s="74" t="s">
        <v>2</v>
      </c>
      <c r="H5433" s="218" t="s">
        <v>4229</v>
      </c>
      <c r="K5433" s="309"/>
    </row>
    <row r="5434" spans="1:15">
      <c r="A5434" s="536" t="s">
        <v>3946</v>
      </c>
      <c r="B5434" s="570" t="str">
        <f>VLOOKUP(A5434,'Equip, Herr y Transp'!$B$2:$D$739,2,0)</f>
        <v>EQU</v>
      </c>
      <c r="C5434" s="570"/>
      <c r="D5434" s="95" t="str">
        <f>VLOOKUP(A5434,'Equip, Herr y Transp'!$B$2:$D$218,2,0)</f>
        <v>EQU</v>
      </c>
      <c r="E5434" s="95">
        <f>VLOOKUP(A5434,'Equip, Herr y Transp'!$B$2:$D$218,3,0)</f>
        <v>14130</v>
      </c>
      <c r="F5434" s="96">
        <f>H5424</f>
        <v>0.1875</v>
      </c>
      <c r="G5434" s="122">
        <f>F5434*E5434</f>
        <v>2649.375</v>
      </c>
      <c r="H5434" s="118"/>
    </row>
    <row r="5435" spans="1:15">
      <c r="A5435" s="536" t="s">
        <v>3894</v>
      </c>
      <c r="B5435" s="570" t="str">
        <f>VLOOKUP(A5435,'Equip, Herr y Transp'!$B$2:$D$739,2,0)</f>
        <v>TR</v>
      </c>
      <c r="C5435" s="570"/>
      <c r="D5435" s="95" t="str">
        <f>VLOOKUP(A5435,'Equip, Herr y Transp'!$B$2:$D$218,2,0)</f>
        <v>TR</v>
      </c>
      <c r="E5435" s="95">
        <f>VLOOKUP(A5435,'Equip, Herr y Transp'!$B$2:$D$218,3,0)</f>
        <v>960000</v>
      </c>
      <c r="F5435" s="96">
        <f>H5424</f>
        <v>0.1875</v>
      </c>
      <c r="G5435" s="122">
        <f>F5435*E5435</f>
        <v>180000</v>
      </c>
      <c r="H5435" s="117"/>
    </row>
    <row r="5436" spans="1:15">
      <c r="A5436" s="536" t="s">
        <v>8</v>
      </c>
      <c r="B5436" s="570">
        <f>VLOOKUP(A5436,'Equip, Herr y Transp'!$B$2:$D$739,2,0)</f>
        <v>0</v>
      </c>
      <c r="C5436" s="570"/>
      <c r="D5436" s="95">
        <f>VLOOKUP(A5436,'Equip, Herr y Transp'!$B$2:$D$218,2,0)</f>
        <v>0</v>
      </c>
      <c r="E5436" s="95">
        <f>VLOOKUP(A5436,'Equip, Herr y Transp'!$B$2:$D$218,3,0)</f>
        <v>0</v>
      </c>
      <c r="F5436" s="96"/>
      <c r="G5436" s="122">
        <f>F5436*E5436</f>
        <v>0</v>
      </c>
      <c r="H5436" s="117"/>
    </row>
    <row r="5437" spans="1:15" ht="16.5">
      <c r="A5437" s="540" t="s">
        <v>4100</v>
      </c>
      <c r="B5437" s="541"/>
      <c r="C5437" s="541"/>
      <c r="D5437" s="541"/>
      <c r="E5437" s="541"/>
      <c r="F5437" s="541"/>
      <c r="G5437" s="541"/>
      <c r="H5437" s="97">
        <f>SUM(G5434:G5436)</f>
        <v>182649.375</v>
      </c>
    </row>
    <row r="5438" spans="1:15" ht="16.5">
      <c r="A5438" s="571" t="s">
        <v>4230</v>
      </c>
      <c r="B5438" s="572"/>
      <c r="C5438" s="572"/>
      <c r="D5438" s="572"/>
      <c r="E5438" s="572"/>
      <c r="F5438" s="572"/>
      <c r="G5438" s="572"/>
      <c r="H5438" s="573"/>
      <c r="K5438" s="56"/>
      <c r="L5438" s="56"/>
      <c r="M5438" s="56"/>
      <c r="N5438" s="56"/>
      <c r="O5438" s="56"/>
    </row>
    <row r="5439" spans="1:15" ht="30" customHeight="1">
      <c r="A5439" s="574" t="s">
        <v>7</v>
      </c>
      <c r="B5439" s="575"/>
      <c r="C5439" s="109" t="s">
        <v>0</v>
      </c>
      <c r="D5439" s="110" t="s">
        <v>4098</v>
      </c>
      <c r="E5439" s="111" t="s">
        <v>1</v>
      </c>
      <c r="F5439" s="576" t="s">
        <v>4218</v>
      </c>
      <c r="G5439" s="576"/>
      <c r="H5439" s="215"/>
      <c r="K5439" s="56"/>
      <c r="L5439" s="56"/>
      <c r="M5439" s="56"/>
      <c r="N5439" s="56"/>
      <c r="O5439" s="56"/>
    </row>
    <row r="5440" spans="1:15">
      <c r="A5440" s="577" t="s">
        <v>4565</v>
      </c>
      <c r="B5440" s="578"/>
      <c r="C5440" s="98" t="str">
        <f>VLOOKUP(A5440,'Materiales '!$C$2:$F$1302,3,0)</f>
        <v>Und</v>
      </c>
      <c r="D5440" s="99">
        <f>VLOOKUP(A5440,'Materiales '!$C$2:$F$1302,4,0)</f>
        <v>806344.00000000012</v>
      </c>
      <c r="E5440" s="100">
        <v>1</v>
      </c>
      <c r="F5440" s="538">
        <f>E5440*D5440</f>
        <v>806344.00000000012</v>
      </c>
      <c r="G5440" s="539"/>
      <c r="H5440" s="121"/>
      <c r="I5440">
        <f>E5440*G5431</f>
        <v>1</v>
      </c>
      <c r="J5440" s="67"/>
      <c r="K5440" s="56"/>
      <c r="L5440" s="56"/>
      <c r="M5440" s="56"/>
      <c r="N5440" s="56"/>
      <c r="O5440" s="56"/>
    </row>
    <row r="5441" spans="1:15">
      <c r="A5441" s="577" t="s">
        <v>4628</v>
      </c>
      <c r="B5441" s="578"/>
      <c r="C5441" s="98" t="str">
        <f>VLOOKUP(A5441,'Materiales '!$C$2:$F$1302,3,0)</f>
        <v>Rollo</v>
      </c>
      <c r="D5441" s="99">
        <f>VLOOKUP(A5441,'Materiales '!$C$2:$F$1302,4,0)</f>
        <v>138230.39999999999</v>
      </c>
      <c r="E5441" s="100">
        <v>0.5</v>
      </c>
      <c r="F5441" s="538">
        <f t="shared" ref="F5441:F5447" si="319">E5441*D5441</f>
        <v>69115.199999999997</v>
      </c>
      <c r="G5441" s="539"/>
      <c r="H5441" s="121"/>
      <c r="I5441">
        <f>E5441*G5431</f>
        <v>0.5</v>
      </c>
      <c r="J5441" s="67"/>
      <c r="K5441" s="56"/>
      <c r="L5441" s="56"/>
      <c r="M5441" s="56"/>
      <c r="N5441" s="56"/>
      <c r="O5441" s="56"/>
    </row>
    <row r="5442" spans="1:15">
      <c r="A5442" s="536" t="s">
        <v>8</v>
      </c>
      <c r="B5442" s="537" t="str">
        <f>VLOOKUP(A5442,'Materiales '!$C$2:$F$1302,3,0)</f>
        <v>-</v>
      </c>
      <c r="C5442" s="98" t="str">
        <f>VLOOKUP(A5442,'Materiales '!$C$2:$F$1302,3,0)</f>
        <v>-</v>
      </c>
      <c r="D5442" s="99">
        <f>VLOOKUP(A5442,'Materiales '!$C$2:$F$1302,4,0)</f>
        <v>0</v>
      </c>
      <c r="E5442" s="100">
        <v>6</v>
      </c>
      <c r="F5442" s="538">
        <f t="shared" si="319"/>
        <v>0</v>
      </c>
      <c r="G5442" s="539"/>
      <c r="H5442" s="121"/>
      <c r="I5442">
        <f>E5442*G5431</f>
        <v>6</v>
      </c>
      <c r="J5442" s="68"/>
      <c r="K5442" s="56"/>
      <c r="L5442" s="56"/>
      <c r="M5442" s="56"/>
      <c r="N5442" s="56"/>
      <c r="O5442" s="56"/>
    </row>
    <row r="5443" spans="1:15">
      <c r="A5443" s="536" t="s">
        <v>8</v>
      </c>
      <c r="B5443" s="537" t="str">
        <f>VLOOKUP(A5443,'Materiales '!$C$2:$F$1302,3,0)</f>
        <v>-</v>
      </c>
      <c r="C5443" s="98" t="str">
        <f>VLOOKUP(A5443,'Materiales '!$C$2:$F$1302,3,0)</f>
        <v>-</v>
      </c>
      <c r="D5443" s="99">
        <f>VLOOKUP(A5443,'Materiales '!$C$2:$F$1302,4,0)</f>
        <v>0</v>
      </c>
      <c r="E5443" s="100">
        <v>3</v>
      </c>
      <c r="F5443" s="538">
        <f t="shared" si="319"/>
        <v>0</v>
      </c>
      <c r="G5443" s="539"/>
      <c r="H5443" s="121"/>
      <c r="I5443">
        <f>E5443*G5431</f>
        <v>3</v>
      </c>
      <c r="J5443" s="68"/>
      <c r="K5443" s="56"/>
      <c r="L5443" s="56"/>
      <c r="M5443" s="56"/>
      <c r="N5443" s="56"/>
      <c r="O5443" s="56"/>
    </row>
    <row r="5444" spans="1:15">
      <c r="A5444" s="536" t="s">
        <v>8</v>
      </c>
      <c r="B5444" s="537" t="str">
        <f>VLOOKUP(A5444,'Materiales '!$C$2:$F$1302,3,0)</f>
        <v>-</v>
      </c>
      <c r="C5444" s="98" t="str">
        <f>VLOOKUP(A5444,'Materiales '!$C$2:$F$1302,3,0)</f>
        <v>-</v>
      </c>
      <c r="D5444" s="99">
        <f>VLOOKUP(A5444,'Materiales '!$C$2:$F$1302,4,0)</f>
        <v>0</v>
      </c>
      <c r="E5444" s="100">
        <v>2</v>
      </c>
      <c r="F5444" s="538">
        <f t="shared" si="319"/>
        <v>0</v>
      </c>
      <c r="G5444" s="539"/>
      <c r="H5444" s="121"/>
      <c r="I5444">
        <f>E5444*G5431</f>
        <v>2</v>
      </c>
      <c r="J5444" s="68"/>
      <c r="K5444" s="56"/>
      <c r="L5444" s="56"/>
      <c r="M5444" s="56"/>
      <c r="N5444" s="56"/>
      <c r="O5444" s="56"/>
    </row>
    <row r="5445" spans="1:15">
      <c r="A5445" s="536" t="s">
        <v>8</v>
      </c>
      <c r="B5445" s="537" t="str">
        <f>VLOOKUP(A5445,'Materiales '!$C$2:$F$1302,3,0)</f>
        <v>-</v>
      </c>
      <c r="C5445" s="98" t="str">
        <f>VLOOKUP(A5445,'Materiales '!$C$2:$F$1302,3,0)</f>
        <v>-</v>
      </c>
      <c r="D5445" s="99">
        <f>VLOOKUP(A5445,'Materiales '!$C$2:$F$1302,4,0)</f>
        <v>0</v>
      </c>
      <c r="E5445" s="100">
        <v>8</v>
      </c>
      <c r="F5445" s="538">
        <f t="shared" si="319"/>
        <v>0</v>
      </c>
      <c r="G5445" s="539"/>
      <c r="H5445" s="121"/>
      <c r="I5445">
        <f>E5445*G5431</f>
        <v>8</v>
      </c>
      <c r="J5445" s="68"/>
      <c r="K5445" s="56"/>
      <c r="L5445" s="56"/>
      <c r="M5445" s="56"/>
      <c r="N5445" s="56"/>
      <c r="O5445" s="56"/>
    </row>
    <row r="5446" spans="1:15">
      <c r="A5446" s="536" t="s">
        <v>8</v>
      </c>
      <c r="B5446" s="537" t="str">
        <f>VLOOKUP(A5446,'Materiales '!$C$2:$F$1302,3,0)</f>
        <v>-</v>
      </c>
      <c r="C5446" s="98" t="str">
        <f>VLOOKUP(A5446,'Materiales '!$C$2:$F$1302,3,0)</f>
        <v>-</v>
      </c>
      <c r="D5446" s="99">
        <f>VLOOKUP(A5446,'Materiales '!$C$2:$F$1302,4,0)</f>
        <v>0</v>
      </c>
      <c r="E5446" s="100">
        <v>3</v>
      </c>
      <c r="F5446" s="538">
        <f t="shared" si="319"/>
        <v>0</v>
      </c>
      <c r="G5446" s="539"/>
      <c r="H5446" s="121"/>
      <c r="I5446">
        <f>E5446*G5431</f>
        <v>3</v>
      </c>
      <c r="J5446" s="68"/>
      <c r="K5446" s="56"/>
      <c r="L5446" s="56"/>
      <c r="M5446" s="56"/>
      <c r="N5446" s="56"/>
      <c r="O5446" s="56"/>
    </row>
    <row r="5447" spans="1:15" ht="21.75" customHeight="1">
      <c r="A5447" s="536" t="s">
        <v>8</v>
      </c>
      <c r="B5447" s="537" t="str">
        <f>VLOOKUP(A5447,'Materiales '!$C$2:$F$1302,3,0)</f>
        <v>-</v>
      </c>
      <c r="C5447" s="98" t="str">
        <f>VLOOKUP(A5447,'Materiales '!$C$2:$F$1302,3,0)</f>
        <v>-</v>
      </c>
      <c r="D5447" s="99">
        <f>VLOOKUP(A5447,'Materiales '!$C$2:$F$1302,4,0)</f>
        <v>0</v>
      </c>
      <c r="E5447" s="100">
        <v>0.5</v>
      </c>
      <c r="F5447" s="538">
        <f t="shared" si="319"/>
        <v>0</v>
      </c>
      <c r="G5447" s="539"/>
      <c r="H5447" s="121"/>
      <c r="I5447">
        <f>E5447*G5431</f>
        <v>0.5</v>
      </c>
      <c r="J5447" s="68"/>
      <c r="K5447" s="56"/>
      <c r="L5447" s="56"/>
      <c r="M5447" s="56"/>
      <c r="N5447" s="56"/>
      <c r="O5447" s="56"/>
    </row>
    <row r="5448" spans="1:15">
      <c r="A5448" s="536" t="s">
        <v>8</v>
      </c>
      <c r="B5448" s="537" t="str">
        <f>VLOOKUP(A5448,'Materiales '!$C$2:$F$1302,3,0)</f>
        <v>-</v>
      </c>
      <c r="C5448" s="98" t="str">
        <f>VLOOKUP(A5448,'Materiales '!$C$2:$F$1302,3,0)</f>
        <v>-</v>
      </c>
      <c r="D5448" s="99">
        <f>VLOOKUP(A5448,'Materiales '!$C$2:$F$1302,4,0)</f>
        <v>0</v>
      </c>
      <c r="E5448" s="100"/>
      <c r="F5448" s="538">
        <f>E5448*D5448</f>
        <v>0</v>
      </c>
      <c r="G5448" s="539"/>
      <c r="H5448" s="120"/>
      <c r="I5448">
        <f>E5448*G5431</f>
        <v>0</v>
      </c>
      <c r="J5448" s="68"/>
      <c r="K5448" s="56"/>
      <c r="L5448" s="56"/>
      <c r="M5448" s="56"/>
      <c r="N5448" s="56"/>
      <c r="O5448" s="56"/>
    </row>
    <row r="5449" spans="1:15">
      <c r="A5449" s="536" t="s">
        <v>8</v>
      </c>
      <c r="B5449" s="537" t="str">
        <f>VLOOKUP(A5449,'Materiales '!$C$2:$F$1302,3,0)</f>
        <v>-</v>
      </c>
      <c r="C5449" s="98" t="str">
        <f>VLOOKUP(A5449,'Materiales '!$C$2:$F$1302,3,0)</f>
        <v>-</v>
      </c>
      <c r="D5449" s="99">
        <f>VLOOKUP(A5449,'Materiales '!$C$2:$F$1302,4,0)</f>
        <v>0</v>
      </c>
      <c r="E5449" s="100"/>
      <c r="F5449" s="538">
        <f t="shared" ref="F5449:F5452" si="320">E5449*D5449</f>
        <v>0</v>
      </c>
      <c r="G5449" s="539"/>
      <c r="H5449" s="121"/>
      <c r="I5449">
        <f>E5449*G5431</f>
        <v>0</v>
      </c>
      <c r="J5449" s="68"/>
      <c r="K5449" s="56"/>
      <c r="L5449" s="56"/>
      <c r="M5449" s="56"/>
      <c r="N5449" s="56"/>
      <c r="O5449" s="56"/>
    </row>
    <row r="5450" spans="1:15">
      <c r="A5450" s="536" t="s">
        <v>8</v>
      </c>
      <c r="B5450" s="537" t="str">
        <f>VLOOKUP(A5450,'Materiales '!$C$2:$F$1302,3,0)</f>
        <v>-</v>
      </c>
      <c r="C5450" s="98" t="str">
        <f>VLOOKUP(A5450,'Materiales '!$C$2:$F$1302,3,0)</f>
        <v>-</v>
      </c>
      <c r="D5450" s="99">
        <f>VLOOKUP(A5450,'Materiales '!$C$2:$F$1302,4,0)</f>
        <v>0</v>
      </c>
      <c r="E5450" s="100"/>
      <c r="F5450" s="538">
        <f t="shared" si="320"/>
        <v>0</v>
      </c>
      <c r="G5450" s="539"/>
      <c r="H5450" s="121"/>
      <c r="I5450">
        <f>E5450*G5431</f>
        <v>0</v>
      </c>
      <c r="J5450" s="68"/>
      <c r="K5450" s="56"/>
      <c r="L5450" s="56"/>
      <c r="M5450" s="56"/>
      <c r="N5450" s="56"/>
      <c r="O5450" s="56"/>
    </row>
    <row r="5451" spans="1:15">
      <c r="A5451" s="536" t="s">
        <v>8</v>
      </c>
      <c r="B5451" s="537" t="str">
        <f>VLOOKUP(A5451,'Materiales '!$C$2:$F$1302,3,0)</f>
        <v>-</v>
      </c>
      <c r="C5451" s="98" t="str">
        <f>VLOOKUP(A5451,'Materiales '!$C$2:$F$1302,3,0)</f>
        <v>-</v>
      </c>
      <c r="D5451" s="99">
        <f>VLOOKUP(A5451,'Materiales '!$C$2:$F$1302,4,0)</f>
        <v>0</v>
      </c>
      <c r="E5451" s="100"/>
      <c r="F5451" s="538">
        <f t="shared" si="320"/>
        <v>0</v>
      </c>
      <c r="G5451" s="539"/>
      <c r="H5451" s="121"/>
      <c r="I5451">
        <f>E5451*G5431</f>
        <v>0</v>
      </c>
      <c r="J5451" s="68"/>
      <c r="K5451" s="56"/>
      <c r="L5451" s="56"/>
      <c r="M5451" s="56"/>
      <c r="N5451" s="56"/>
      <c r="O5451" s="56"/>
    </row>
    <row r="5452" spans="1:15">
      <c r="A5452" s="536" t="s">
        <v>8</v>
      </c>
      <c r="B5452" s="537" t="str">
        <f>VLOOKUP(A5452,'Materiales '!$C$2:$F$1302,3,0)</f>
        <v>-</v>
      </c>
      <c r="C5452" s="98" t="str">
        <f>VLOOKUP(A5452,'Materiales '!$C$2:$F$1302,3,0)</f>
        <v>-</v>
      </c>
      <c r="D5452" s="99">
        <f>VLOOKUP(A5452,'Materiales '!$C$2:$F$1302,4,0)</f>
        <v>0</v>
      </c>
      <c r="E5452" s="100"/>
      <c r="F5452" s="538">
        <f t="shared" si="320"/>
        <v>0</v>
      </c>
      <c r="G5452" s="539"/>
      <c r="H5452" s="121"/>
      <c r="I5452">
        <f>E5452*G5431</f>
        <v>0</v>
      </c>
      <c r="J5452" s="68"/>
      <c r="K5452" s="56"/>
      <c r="L5452" s="56"/>
      <c r="M5452" s="56"/>
      <c r="N5452" s="56"/>
      <c r="O5452" s="56"/>
    </row>
    <row r="5453" spans="1:15">
      <c r="A5453" s="536" t="s">
        <v>8</v>
      </c>
      <c r="B5453" s="537" t="str">
        <f>VLOOKUP(A5453,'Materiales '!$C$2:$F$1302,3,0)</f>
        <v>-</v>
      </c>
      <c r="C5453" s="98" t="str">
        <f>VLOOKUP(A5453,'Materiales '!$C$2:$F$1302,3,0)</f>
        <v>-</v>
      </c>
      <c r="D5453" s="99">
        <f>VLOOKUP(A5453,'Materiales '!$C$2:$F$1302,4,0)</f>
        <v>0</v>
      </c>
      <c r="E5453" s="100"/>
      <c r="F5453" s="538">
        <f>E5453*D5453</f>
        <v>0</v>
      </c>
      <c r="G5453" s="539"/>
      <c r="H5453" s="120"/>
      <c r="I5453">
        <f>E5453*G5431</f>
        <v>0</v>
      </c>
      <c r="J5453" s="68"/>
      <c r="K5453" s="56"/>
      <c r="L5453" s="56"/>
      <c r="M5453" s="56"/>
      <c r="N5453" s="56"/>
      <c r="O5453" s="56"/>
    </row>
    <row r="5454" spans="1:15" ht="16.5">
      <c r="A5454" s="540" t="s">
        <v>4099</v>
      </c>
      <c r="B5454" s="541"/>
      <c r="C5454" s="541"/>
      <c r="D5454" s="541"/>
      <c r="E5454" s="541"/>
      <c r="F5454" s="541"/>
      <c r="G5454" s="542"/>
      <c r="H5454" s="116">
        <f>SUM(F5440:F5453)</f>
        <v>875459.20000000007</v>
      </c>
      <c r="J5454" s="68"/>
      <c r="K5454" s="56"/>
      <c r="L5454" s="56"/>
      <c r="M5454" s="56"/>
      <c r="N5454" s="56"/>
      <c r="O5454" s="56"/>
    </row>
    <row r="5455" spans="1:15" ht="16.5">
      <c r="A5455" s="543" t="s">
        <v>4231</v>
      </c>
      <c r="B5455" s="544"/>
      <c r="C5455" s="544"/>
      <c r="D5455" s="544"/>
      <c r="E5455" s="545"/>
      <c r="F5455" s="544"/>
      <c r="G5455" s="544"/>
      <c r="H5455" s="546"/>
      <c r="J5455" s="68"/>
      <c r="K5455" s="56"/>
      <c r="L5455" s="56"/>
      <c r="M5455" s="56"/>
      <c r="N5455" s="56"/>
      <c r="O5455" s="56"/>
    </row>
    <row r="5456" spans="1:15">
      <c r="A5456" s="547" t="s">
        <v>7</v>
      </c>
      <c r="B5456" s="548"/>
      <c r="C5456" s="108" t="s">
        <v>4232</v>
      </c>
      <c r="D5456" s="107" t="s">
        <v>4233</v>
      </c>
      <c r="E5456" s="206" t="s">
        <v>4234</v>
      </c>
      <c r="F5456" s="549" t="s">
        <v>4218</v>
      </c>
      <c r="G5456" s="549"/>
      <c r="H5456" s="119"/>
      <c r="K5456" s="56"/>
      <c r="L5456" s="56"/>
      <c r="M5456" s="56"/>
      <c r="N5456" s="56"/>
      <c r="O5456" s="56"/>
    </row>
    <row r="5457" spans="1:13">
      <c r="A5457" s="550" t="s">
        <v>3928</v>
      </c>
      <c r="B5457" s="551"/>
      <c r="C5457" s="232">
        <v>1</v>
      </c>
      <c r="D5457" s="102">
        <v>0.03</v>
      </c>
      <c r="E5457" s="103">
        <f>VLOOKUP(A5457,'Equip, Herr y Transp'!$B$2:$D$218,3,0)</f>
        <v>160000</v>
      </c>
      <c r="F5457" s="552">
        <f>E5457*D5457*C5457</f>
        <v>4800</v>
      </c>
      <c r="G5457" s="553"/>
      <c r="H5457" s="117"/>
      <c r="M5457" s="56"/>
    </row>
    <row r="5458" spans="1:13" ht="16.5">
      <c r="A5458" s="554" t="s">
        <v>4216</v>
      </c>
      <c r="B5458" s="555"/>
      <c r="C5458" s="555"/>
      <c r="D5458" s="555"/>
      <c r="E5458" s="555"/>
      <c r="F5458" s="555"/>
      <c r="G5458" s="555"/>
      <c r="H5458" s="105">
        <f>F5457</f>
        <v>4800</v>
      </c>
    </row>
    <row r="5459" spans="1:13" ht="16.5">
      <c r="A5459" s="543" t="s">
        <v>4235</v>
      </c>
      <c r="B5459" s="544"/>
      <c r="C5459" s="544"/>
      <c r="D5459" s="544"/>
      <c r="E5459" s="544"/>
      <c r="F5459" s="544"/>
      <c r="G5459" s="544"/>
      <c r="H5459" s="546"/>
    </row>
    <row r="5460" spans="1:13">
      <c r="A5460" s="547" t="s">
        <v>7</v>
      </c>
      <c r="B5460" s="548"/>
      <c r="C5460" s="106" t="s">
        <v>1</v>
      </c>
      <c r="D5460" s="107" t="s">
        <v>4236</v>
      </c>
      <c r="E5460" s="108" t="s">
        <v>4215</v>
      </c>
      <c r="F5460" s="547" t="s">
        <v>5</v>
      </c>
      <c r="G5460" s="556"/>
      <c r="H5460" s="119"/>
    </row>
    <row r="5461" spans="1:13">
      <c r="A5461" s="550" t="s">
        <v>4196</v>
      </c>
      <c r="B5461" s="551"/>
      <c r="C5461" s="101">
        <v>1</v>
      </c>
      <c r="D5461" s="104">
        <f>VLOOKUP(A5461,'Mano Obra'!$B$2:$T$117,19,0)</f>
        <v>166624</v>
      </c>
      <c r="E5461" s="246">
        <f>H5424</f>
        <v>0.1875</v>
      </c>
      <c r="F5461" s="538">
        <f>E5461*D5461*C5461</f>
        <v>31242</v>
      </c>
      <c r="G5461" s="557"/>
      <c r="H5461" s="121"/>
      <c r="I5461" s="69"/>
      <c r="J5461" s="136">
        <f>((('Mano Obra'!$M$4/30)*F5461)/D5461)*G5431</f>
        <v>2028.8991770833331</v>
      </c>
    </row>
    <row r="5462" spans="1:13">
      <c r="A5462" s="558" t="s">
        <v>4197</v>
      </c>
      <c r="B5462" s="559">
        <f>VLOOKUP(A5462,'Mano Obra'!$B$3:$D$290,2,0)</f>
        <v>2090000.0000000002</v>
      </c>
      <c r="C5462" s="101">
        <v>1</v>
      </c>
      <c r="D5462" s="104">
        <f>VLOOKUP(A5462,'Mano Obra'!$B$2:$T$117,19,0)</f>
        <v>120456</v>
      </c>
      <c r="E5462" s="246">
        <f>H5424</f>
        <v>0.1875</v>
      </c>
      <c r="F5462" s="538">
        <f t="shared" ref="F5462:F5463" si="321">E5462*D5462*C5462</f>
        <v>22585.5</v>
      </c>
      <c r="G5462" s="557"/>
      <c r="H5462" s="121"/>
      <c r="J5462" s="136">
        <f>((('Mano Obra'!$M$5/30)*F5462)/D5462)*G5431</f>
        <v>2028.8991770833334</v>
      </c>
    </row>
    <row r="5463" spans="1:13">
      <c r="A5463" s="558" t="s">
        <v>4186</v>
      </c>
      <c r="B5463" s="559">
        <f>VLOOKUP(A5463,'Mano Obra'!$B$3:$D$290,2,0)</f>
        <v>1100000</v>
      </c>
      <c r="C5463" s="101">
        <v>1</v>
      </c>
      <c r="D5463" s="104">
        <f>VLOOKUP(A5463,'Mano Obra'!$B$2:$T$117,19,0)</f>
        <v>72664</v>
      </c>
      <c r="E5463" s="246">
        <f>H5424</f>
        <v>0.1875</v>
      </c>
      <c r="F5463" s="538">
        <f t="shared" si="321"/>
        <v>13624.5</v>
      </c>
      <c r="G5463" s="557"/>
      <c r="H5463" s="120"/>
      <c r="J5463" s="136">
        <f>((('Mano Obra'!$M$6/30)*F5463)/D5463)*G5431</f>
        <v>2028.8991770833331</v>
      </c>
    </row>
    <row r="5464" spans="1:13" ht="16.5">
      <c r="A5464" s="560" t="s">
        <v>4101</v>
      </c>
      <c r="B5464" s="560"/>
      <c r="C5464" s="560"/>
      <c r="D5464" s="560"/>
      <c r="E5464" s="560"/>
      <c r="F5464" s="560"/>
      <c r="G5464" s="560"/>
      <c r="H5464" s="105">
        <f>SUM(F5461:F5463)</f>
        <v>67452</v>
      </c>
      <c r="J5464" s="136"/>
    </row>
    <row r="5465" spans="1:13">
      <c r="A5465" s="227" t="s">
        <v>4237</v>
      </c>
      <c r="B5465" s="205"/>
      <c r="C5465" s="205"/>
      <c r="D5465" s="202"/>
      <c r="E5465" s="203"/>
      <c r="F5465" s="204"/>
      <c r="G5465" s="203"/>
      <c r="H5465" s="212"/>
    </row>
    <row r="5466" spans="1:13">
      <c r="A5466" s="561" t="s">
        <v>4224</v>
      </c>
      <c r="B5466" s="562"/>
      <c r="C5466" s="562"/>
      <c r="D5466" s="562"/>
      <c r="E5466" s="200"/>
      <c r="F5466" s="201" t="s">
        <v>4238</v>
      </c>
      <c r="G5466" s="200" t="s">
        <v>4239</v>
      </c>
      <c r="H5466" s="213"/>
    </row>
    <row r="5467" spans="1:13">
      <c r="A5467" s="223" t="s">
        <v>4097</v>
      </c>
      <c r="B5467" s="72"/>
      <c r="C5467" s="72"/>
      <c r="D5467" s="73"/>
      <c r="E5467" s="78"/>
      <c r="F5467" s="79">
        <v>0</v>
      </c>
      <c r="G5467" s="80">
        <f>F5467*H5432</f>
        <v>0</v>
      </c>
      <c r="H5467" s="212"/>
    </row>
    <row r="5468" spans="1:13">
      <c r="A5468" s="224" t="s">
        <v>4240</v>
      </c>
      <c r="B5468" s="81"/>
      <c r="C5468" s="81"/>
      <c r="D5468" s="82"/>
      <c r="E5468" s="78"/>
      <c r="F5468" s="79">
        <v>0</v>
      </c>
      <c r="G5468" s="80">
        <f>F5468*H5432</f>
        <v>0</v>
      </c>
      <c r="H5468" s="212"/>
    </row>
    <row r="5469" spans="1:13">
      <c r="A5469" s="224" t="s">
        <v>4</v>
      </c>
      <c r="B5469" s="81"/>
      <c r="C5469" s="81"/>
      <c r="D5469" s="82"/>
      <c r="E5469" s="78"/>
      <c r="F5469" s="79">
        <v>0</v>
      </c>
      <c r="G5469" s="80">
        <f>F5469*H5432</f>
        <v>0</v>
      </c>
      <c r="H5469" s="212"/>
    </row>
    <row r="5470" spans="1:13">
      <c r="A5470" s="225"/>
      <c r="B5470" s="83"/>
      <c r="C5470" s="75"/>
      <c r="D5470" s="84"/>
      <c r="E5470" s="85"/>
      <c r="F5470" s="86"/>
      <c r="G5470" s="87"/>
      <c r="H5470" s="214"/>
    </row>
    <row r="5471" spans="1:13">
      <c r="A5471" s="226"/>
      <c r="B5471" s="83"/>
      <c r="C5471" s="83"/>
      <c r="D5471" s="84"/>
      <c r="E5471" s="88"/>
      <c r="F5471" s="563" t="s">
        <v>4241</v>
      </c>
      <c r="G5471" s="564"/>
      <c r="H5471" s="233">
        <f>H5432+G5467+G5468+G5469</f>
        <v>1130360.5750000002</v>
      </c>
    </row>
    <row r="5472" spans="1:13">
      <c r="A5472" s="83"/>
      <c r="B5472" s="83"/>
      <c r="C5472" s="83"/>
      <c r="D5472" s="84"/>
      <c r="E5472" s="388"/>
      <c r="F5472" s="389"/>
      <c r="G5472" s="389"/>
      <c r="H5472" s="390"/>
    </row>
    <row r="5473" spans="1:14" ht="16.5">
      <c r="A5473" s="90"/>
      <c r="B5473" s="90"/>
      <c r="C5473" s="90"/>
      <c r="D5473" s="90"/>
      <c r="E5473" s="90"/>
      <c r="F5473" s="90"/>
      <c r="G5473" s="90"/>
      <c r="H5473" s="381"/>
    </row>
    <row r="5474" spans="1:14">
      <c r="A5474" s="579" t="s">
        <v>4225</v>
      </c>
      <c r="B5474" s="580"/>
      <c r="C5474" s="580"/>
      <c r="D5474" s="580"/>
      <c r="E5474" s="580"/>
      <c r="F5474" s="580"/>
      <c r="G5474" s="580"/>
      <c r="H5474" s="581"/>
    </row>
    <row r="5475" spans="1:14" ht="16.5">
      <c r="A5475" s="91"/>
      <c r="B5475" s="92"/>
      <c r="C5475" s="92"/>
      <c r="D5475" s="92"/>
      <c r="E5475" s="92"/>
      <c r="F5475" s="93"/>
      <c r="G5475" s="94"/>
      <c r="H5475" s="380">
        <f>ROUND((90/60)/8,4)</f>
        <v>0.1875</v>
      </c>
      <c r="I5475" s="115"/>
    </row>
    <row r="5476" spans="1:14">
      <c r="A5476" s="582" t="s">
        <v>4220</v>
      </c>
      <c r="B5476" s="584" t="str">
        <f>COSTOS!$C$14</f>
        <v>MODERNIZACION A TECNOLOGIA LED</v>
      </c>
      <c r="C5476" s="584"/>
      <c r="D5476" s="584"/>
      <c r="E5476" s="584"/>
      <c r="F5476" s="584"/>
      <c r="G5476" s="584"/>
      <c r="H5476" s="585" t="s">
        <v>4221</v>
      </c>
    </row>
    <row r="5477" spans="1:14">
      <c r="A5477" s="583"/>
      <c r="B5477" s="584"/>
      <c r="C5477" s="584"/>
      <c r="D5477" s="584"/>
      <c r="E5477" s="584"/>
      <c r="F5477" s="584"/>
      <c r="G5477" s="584"/>
      <c r="H5477" s="585"/>
    </row>
    <row r="5478" spans="1:14">
      <c r="A5478" s="583"/>
      <c r="B5478" s="584"/>
      <c r="C5478" s="584"/>
      <c r="D5478" s="584"/>
      <c r="E5478" s="584"/>
      <c r="F5478" s="584"/>
      <c r="G5478" s="584"/>
      <c r="H5478" s="585"/>
    </row>
    <row r="5479" spans="1:14" ht="15" customHeight="1">
      <c r="A5479" s="583"/>
      <c r="B5479" s="584"/>
      <c r="C5479" s="584"/>
      <c r="D5479" s="584"/>
      <c r="E5479" s="584"/>
      <c r="F5479" s="584"/>
      <c r="G5479" s="584"/>
      <c r="H5479" s="216">
        <f ca="1">TODAY()</f>
        <v>44889</v>
      </c>
      <c r="K5479" t="s">
        <v>4391</v>
      </c>
      <c r="L5479" t="s">
        <v>4392</v>
      </c>
      <c r="M5479" t="s">
        <v>4393</v>
      </c>
      <c r="N5479" t="s">
        <v>4394</v>
      </c>
    </row>
    <row r="5480" spans="1:14" ht="60.75" customHeight="1">
      <c r="A5480" s="228" t="s">
        <v>4222</v>
      </c>
      <c r="B5480" s="565" t="str">
        <f>COSTOS!$D$16</f>
        <v>Luminarias</v>
      </c>
      <c r="C5480" s="565"/>
      <c r="D5480" s="565"/>
      <c r="E5480" s="565"/>
      <c r="F5480" s="565"/>
      <c r="G5480" s="70" t="s">
        <v>4223</v>
      </c>
      <c r="H5480" s="391">
        <v>2.2400000000000002</v>
      </c>
      <c r="K5480" s="62">
        <f>H5505</f>
        <v>1632846.6</v>
      </c>
      <c r="L5480" s="62">
        <f>H5515</f>
        <v>67452</v>
      </c>
      <c r="M5480" s="62">
        <f>H5488</f>
        <v>182649.375</v>
      </c>
      <c r="N5480" s="62">
        <f>H5509</f>
        <v>4800</v>
      </c>
    </row>
    <row r="5481" spans="1:14" ht="43.15" customHeight="1">
      <c r="A5481" s="229" t="s">
        <v>4224</v>
      </c>
      <c r="B5481" s="566" t="str">
        <f>VLOOKUP(H5480,COSTOS!C:M,2,0)</f>
        <v>Poste de fibra 10 metros x 750kg.f</v>
      </c>
      <c r="C5481" s="567"/>
      <c r="D5481" s="567"/>
      <c r="E5481" s="568"/>
      <c r="F5481" s="71" t="s">
        <v>0</v>
      </c>
      <c r="G5481" s="356" t="str">
        <f>VLOOKUP(H5480,COSTOS!C:M,8,0)</f>
        <v>Und</v>
      </c>
      <c r="H5481" s="276"/>
      <c r="I5481" s="306"/>
      <c r="J5481" s="308"/>
      <c r="K5481" s="308"/>
      <c r="L5481" s="308"/>
    </row>
    <row r="5482" spans="1:14">
      <c r="A5482" s="230"/>
      <c r="B5482" s="112"/>
      <c r="C5482" s="112"/>
      <c r="D5482" s="112"/>
      <c r="E5482" s="113"/>
      <c r="F5482" s="114" t="s">
        <v>1</v>
      </c>
      <c r="G5482" s="356">
        <f>VLOOKUP(H5480,COSTOS!C:M,9,0)</f>
        <v>0</v>
      </c>
      <c r="H5482" s="357"/>
      <c r="I5482" s="307"/>
    </row>
    <row r="5483" spans="1:14" ht="16.5">
      <c r="A5483" s="231" t="s">
        <v>4226</v>
      </c>
      <c r="B5483" s="75"/>
      <c r="C5483" s="75"/>
      <c r="D5483" s="76"/>
      <c r="E5483" s="209"/>
      <c r="F5483" s="210"/>
      <c r="G5483" s="211" t="s">
        <v>4227</v>
      </c>
      <c r="H5483" s="217">
        <f>H5488+H5505+H5509+H5515</f>
        <v>1887747.9750000001</v>
      </c>
    </row>
    <row r="5484" spans="1:14" ht="39">
      <c r="A5484" s="569" t="s">
        <v>4224</v>
      </c>
      <c r="B5484" s="569"/>
      <c r="C5484" s="569"/>
      <c r="D5484" s="77" t="s">
        <v>0</v>
      </c>
      <c r="E5484" s="207" t="s">
        <v>4228</v>
      </c>
      <c r="F5484" s="208" t="s">
        <v>4215</v>
      </c>
      <c r="G5484" s="74" t="s">
        <v>2</v>
      </c>
      <c r="H5484" s="218" t="s">
        <v>4229</v>
      </c>
      <c r="K5484" s="309"/>
    </row>
    <row r="5485" spans="1:14">
      <c r="A5485" s="536" t="s">
        <v>3946</v>
      </c>
      <c r="B5485" s="570" t="str">
        <f>VLOOKUP(A5485,'Equip, Herr y Transp'!$B$2:$D$739,2,0)</f>
        <v>EQU</v>
      </c>
      <c r="C5485" s="570"/>
      <c r="D5485" s="95" t="str">
        <f>VLOOKUP(A5485,'Equip, Herr y Transp'!$B$2:$D$218,2,0)</f>
        <v>EQU</v>
      </c>
      <c r="E5485" s="95">
        <f>VLOOKUP(A5485,'Equip, Herr y Transp'!$B$2:$D$218,3,0)</f>
        <v>14130</v>
      </c>
      <c r="F5485" s="96">
        <f>H5475</f>
        <v>0.1875</v>
      </c>
      <c r="G5485" s="122">
        <f>F5485*E5485</f>
        <v>2649.375</v>
      </c>
      <c r="H5485" s="118"/>
    </row>
    <row r="5486" spans="1:14">
      <c r="A5486" s="536" t="s">
        <v>3894</v>
      </c>
      <c r="B5486" s="570" t="str">
        <f>VLOOKUP(A5486,'Equip, Herr y Transp'!$B$2:$D$739,2,0)</f>
        <v>TR</v>
      </c>
      <c r="C5486" s="570"/>
      <c r="D5486" s="95" t="str">
        <f>VLOOKUP(A5486,'Equip, Herr y Transp'!$B$2:$D$218,2,0)</f>
        <v>TR</v>
      </c>
      <c r="E5486" s="95">
        <f>VLOOKUP(A5486,'Equip, Herr y Transp'!$B$2:$D$218,3,0)</f>
        <v>960000</v>
      </c>
      <c r="F5486" s="96">
        <f>H5475</f>
        <v>0.1875</v>
      </c>
      <c r="G5486" s="122">
        <f>F5486*E5486</f>
        <v>180000</v>
      </c>
      <c r="H5486" s="117"/>
    </row>
    <row r="5487" spans="1:14">
      <c r="A5487" s="536" t="s">
        <v>8</v>
      </c>
      <c r="B5487" s="570">
        <f>VLOOKUP(A5487,'Equip, Herr y Transp'!$B$2:$D$739,2,0)</f>
        <v>0</v>
      </c>
      <c r="C5487" s="570"/>
      <c r="D5487" s="95">
        <f>VLOOKUP(A5487,'Equip, Herr y Transp'!$B$2:$D$218,2,0)</f>
        <v>0</v>
      </c>
      <c r="E5487" s="95">
        <f>VLOOKUP(A5487,'Equip, Herr y Transp'!$B$2:$D$218,3,0)</f>
        <v>0</v>
      </c>
      <c r="F5487" s="96"/>
      <c r="G5487" s="122">
        <f>F5487*E5487</f>
        <v>0</v>
      </c>
      <c r="H5487" s="117"/>
    </row>
    <row r="5488" spans="1:14" ht="16.5">
      <c r="A5488" s="540" t="s">
        <v>4100</v>
      </c>
      <c r="B5488" s="541"/>
      <c r="C5488" s="541"/>
      <c r="D5488" s="541"/>
      <c r="E5488" s="541"/>
      <c r="F5488" s="541"/>
      <c r="G5488" s="541"/>
      <c r="H5488" s="97">
        <f>SUM(G5485:G5487)</f>
        <v>182649.375</v>
      </c>
    </row>
    <row r="5489" spans="1:15" ht="16.5">
      <c r="A5489" s="571" t="s">
        <v>4230</v>
      </c>
      <c r="B5489" s="572"/>
      <c r="C5489" s="572"/>
      <c r="D5489" s="572"/>
      <c r="E5489" s="572"/>
      <c r="F5489" s="572"/>
      <c r="G5489" s="572"/>
      <c r="H5489" s="573"/>
      <c r="K5489" s="56"/>
      <c r="L5489" s="56"/>
      <c r="M5489" s="56"/>
      <c r="N5489" s="56"/>
      <c r="O5489" s="56"/>
    </row>
    <row r="5490" spans="1:15" ht="30" customHeight="1">
      <c r="A5490" s="574" t="s">
        <v>7</v>
      </c>
      <c r="B5490" s="575"/>
      <c r="C5490" s="109" t="s">
        <v>0</v>
      </c>
      <c r="D5490" s="110" t="s">
        <v>4098</v>
      </c>
      <c r="E5490" s="111" t="s">
        <v>1</v>
      </c>
      <c r="F5490" s="576" t="s">
        <v>4218</v>
      </c>
      <c r="G5490" s="576"/>
      <c r="H5490" s="215"/>
      <c r="K5490" s="56"/>
      <c r="L5490" s="56"/>
      <c r="M5490" s="56"/>
      <c r="N5490" s="56"/>
      <c r="O5490" s="56"/>
    </row>
    <row r="5491" spans="1:15">
      <c r="A5491" s="577" t="s">
        <v>4560</v>
      </c>
      <c r="B5491" s="578"/>
      <c r="C5491" s="98" t="str">
        <f>VLOOKUP(A5491,'Materiales '!$C$2:$F$1302,3,0)</f>
        <v>Und</v>
      </c>
      <c r="D5491" s="99">
        <f>VLOOKUP(A5491,'Materiales '!$C$2:$F$1302,4,0)</f>
        <v>1563731.4000000001</v>
      </c>
      <c r="E5491" s="100">
        <v>1</v>
      </c>
      <c r="F5491" s="538">
        <f>E5491*D5491</f>
        <v>1563731.4000000001</v>
      </c>
      <c r="G5491" s="539"/>
      <c r="H5491" s="121"/>
      <c r="I5491">
        <f>E5491*G5482</f>
        <v>0</v>
      </c>
      <c r="J5491" s="67"/>
      <c r="K5491" s="56"/>
      <c r="L5491" s="56"/>
      <c r="M5491" s="56"/>
      <c r="N5491" s="56"/>
      <c r="O5491" s="56"/>
    </row>
    <row r="5492" spans="1:15">
      <c r="A5492" s="577" t="s">
        <v>4628</v>
      </c>
      <c r="B5492" s="578"/>
      <c r="C5492" s="98" t="str">
        <f>VLOOKUP(A5492,'Materiales '!$C$2:$F$1302,3,0)</f>
        <v>Rollo</v>
      </c>
      <c r="D5492" s="99">
        <f>VLOOKUP(A5492,'Materiales '!$C$2:$F$1302,4,0)</f>
        <v>138230.39999999999</v>
      </c>
      <c r="E5492" s="100">
        <v>0.5</v>
      </c>
      <c r="F5492" s="538">
        <f t="shared" ref="F5492:F5498" si="322">E5492*D5492</f>
        <v>69115.199999999997</v>
      </c>
      <c r="G5492" s="539"/>
      <c r="H5492" s="121"/>
      <c r="I5492">
        <f>E5492*G5482</f>
        <v>0</v>
      </c>
      <c r="J5492" s="67"/>
      <c r="K5492" s="56"/>
      <c r="L5492" s="56"/>
      <c r="M5492" s="56"/>
      <c r="N5492" s="56"/>
      <c r="O5492" s="56"/>
    </row>
    <row r="5493" spans="1:15">
      <c r="A5493" s="536" t="s">
        <v>8</v>
      </c>
      <c r="B5493" s="537" t="str">
        <f>VLOOKUP(A5493,'Materiales '!$C$2:$F$1302,3,0)</f>
        <v>-</v>
      </c>
      <c r="C5493" s="98" t="str">
        <f>VLOOKUP(A5493,'Materiales '!$C$2:$F$1302,3,0)</f>
        <v>-</v>
      </c>
      <c r="D5493" s="99">
        <f>VLOOKUP(A5493,'Materiales '!$C$2:$F$1302,4,0)</f>
        <v>0</v>
      </c>
      <c r="E5493" s="100">
        <v>6</v>
      </c>
      <c r="F5493" s="538">
        <f t="shared" si="322"/>
        <v>0</v>
      </c>
      <c r="G5493" s="539"/>
      <c r="H5493" s="121"/>
      <c r="I5493">
        <f>E5493*G5482</f>
        <v>0</v>
      </c>
      <c r="J5493" s="68"/>
      <c r="K5493" s="56"/>
      <c r="L5493" s="56"/>
      <c r="M5493" s="56"/>
      <c r="N5493" s="56"/>
      <c r="O5493" s="56"/>
    </row>
    <row r="5494" spans="1:15">
      <c r="A5494" s="536" t="s">
        <v>8</v>
      </c>
      <c r="B5494" s="537" t="str">
        <f>VLOOKUP(A5494,'Materiales '!$C$2:$F$1302,3,0)</f>
        <v>-</v>
      </c>
      <c r="C5494" s="98" t="str">
        <f>VLOOKUP(A5494,'Materiales '!$C$2:$F$1302,3,0)</f>
        <v>-</v>
      </c>
      <c r="D5494" s="99">
        <f>VLOOKUP(A5494,'Materiales '!$C$2:$F$1302,4,0)</f>
        <v>0</v>
      </c>
      <c r="E5494" s="100">
        <v>3</v>
      </c>
      <c r="F5494" s="538">
        <f t="shared" si="322"/>
        <v>0</v>
      </c>
      <c r="G5494" s="539"/>
      <c r="H5494" s="121"/>
      <c r="I5494">
        <f>E5494*G5482</f>
        <v>0</v>
      </c>
      <c r="J5494" s="68"/>
      <c r="K5494" s="56"/>
      <c r="L5494" s="56"/>
      <c r="M5494" s="56"/>
      <c r="N5494" s="56"/>
      <c r="O5494" s="56"/>
    </row>
    <row r="5495" spans="1:15">
      <c r="A5495" s="536" t="s">
        <v>8</v>
      </c>
      <c r="B5495" s="537" t="str">
        <f>VLOOKUP(A5495,'Materiales '!$C$2:$F$1302,3,0)</f>
        <v>-</v>
      </c>
      <c r="C5495" s="98" t="str">
        <f>VLOOKUP(A5495,'Materiales '!$C$2:$F$1302,3,0)</f>
        <v>-</v>
      </c>
      <c r="D5495" s="99">
        <f>VLOOKUP(A5495,'Materiales '!$C$2:$F$1302,4,0)</f>
        <v>0</v>
      </c>
      <c r="E5495" s="100">
        <v>2</v>
      </c>
      <c r="F5495" s="538">
        <f t="shared" si="322"/>
        <v>0</v>
      </c>
      <c r="G5495" s="539"/>
      <c r="H5495" s="121"/>
      <c r="I5495">
        <f>E5495*G5482</f>
        <v>0</v>
      </c>
      <c r="J5495" s="68"/>
      <c r="K5495" s="56"/>
      <c r="L5495" s="56"/>
      <c r="M5495" s="56"/>
      <c r="N5495" s="56"/>
      <c r="O5495" s="56"/>
    </row>
    <row r="5496" spans="1:15">
      <c r="A5496" s="536" t="s">
        <v>8</v>
      </c>
      <c r="B5496" s="537" t="str">
        <f>VLOOKUP(A5496,'Materiales '!$C$2:$F$1302,3,0)</f>
        <v>-</v>
      </c>
      <c r="C5496" s="98" t="str">
        <f>VLOOKUP(A5496,'Materiales '!$C$2:$F$1302,3,0)</f>
        <v>-</v>
      </c>
      <c r="D5496" s="99">
        <f>VLOOKUP(A5496,'Materiales '!$C$2:$F$1302,4,0)</f>
        <v>0</v>
      </c>
      <c r="E5496" s="100">
        <v>8</v>
      </c>
      <c r="F5496" s="538">
        <f t="shared" si="322"/>
        <v>0</v>
      </c>
      <c r="G5496" s="539"/>
      <c r="H5496" s="121"/>
      <c r="I5496">
        <f>E5496*G5482</f>
        <v>0</v>
      </c>
      <c r="J5496" s="68"/>
      <c r="K5496" s="56"/>
      <c r="L5496" s="56"/>
      <c r="M5496" s="56"/>
      <c r="N5496" s="56"/>
      <c r="O5496" s="56"/>
    </row>
    <row r="5497" spans="1:15">
      <c r="A5497" s="536" t="s">
        <v>8</v>
      </c>
      <c r="B5497" s="537" t="str">
        <f>VLOOKUP(A5497,'Materiales '!$C$2:$F$1302,3,0)</f>
        <v>-</v>
      </c>
      <c r="C5497" s="98" t="str">
        <f>VLOOKUP(A5497,'Materiales '!$C$2:$F$1302,3,0)</f>
        <v>-</v>
      </c>
      <c r="D5497" s="99">
        <f>VLOOKUP(A5497,'Materiales '!$C$2:$F$1302,4,0)</f>
        <v>0</v>
      </c>
      <c r="E5497" s="100">
        <v>3</v>
      </c>
      <c r="F5497" s="538">
        <f t="shared" si="322"/>
        <v>0</v>
      </c>
      <c r="G5497" s="539"/>
      <c r="H5497" s="121"/>
      <c r="I5497">
        <f>E5497*G5482</f>
        <v>0</v>
      </c>
      <c r="J5497" s="68"/>
      <c r="K5497" s="56"/>
      <c r="L5497" s="56"/>
      <c r="M5497" s="56"/>
      <c r="N5497" s="56"/>
      <c r="O5497" s="56"/>
    </row>
    <row r="5498" spans="1:15" ht="21.75" customHeight="1">
      <c r="A5498" s="536" t="s">
        <v>8</v>
      </c>
      <c r="B5498" s="537" t="str">
        <f>VLOOKUP(A5498,'Materiales '!$C$2:$F$1302,3,0)</f>
        <v>-</v>
      </c>
      <c r="C5498" s="98" t="str">
        <f>VLOOKUP(A5498,'Materiales '!$C$2:$F$1302,3,0)</f>
        <v>-</v>
      </c>
      <c r="D5498" s="99">
        <f>VLOOKUP(A5498,'Materiales '!$C$2:$F$1302,4,0)</f>
        <v>0</v>
      </c>
      <c r="E5498" s="100">
        <v>0.5</v>
      </c>
      <c r="F5498" s="538">
        <f t="shared" si="322"/>
        <v>0</v>
      </c>
      <c r="G5498" s="539"/>
      <c r="H5498" s="121"/>
      <c r="I5498">
        <f>E5498*G5482</f>
        <v>0</v>
      </c>
      <c r="J5498" s="68"/>
      <c r="K5498" s="56"/>
      <c r="L5498" s="56"/>
      <c r="M5498" s="56"/>
      <c r="N5498" s="56"/>
      <c r="O5498" s="56"/>
    </row>
    <row r="5499" spans="1:15">
      <c r="A5499" s="536" t="s">
        <v>8</v>
      </c>
      <c r="B5499" s="537" t="str">
        <f>VLOOKUP(A5499,'Materiales '!$C$2:$F$1302,3,0)</f>
        <v>-</v>
      </c>
      <c r="C5499" s="98" t="str">
        <f>VLOOKUP(A5499,'Materiales '!$C$2:$F$1302,3,0)</f>
        <v>-</v>
      </c>
      <c r="D5499" s="99">
        <f>VLOOKUP(A5499,'Materiales '!$C$2:$F$1302,4,0)</f>
        <v>0</v>
      </c>
      <c r="E5499" s="100"/>
      <c r="F5499" s="538">
        <f>E5499*D5499</f>
        <v>0</v>
      </c>
      <c r="G5499" s="539"/>
      <c r="H5499" s="120"/>
      <c r="I5499">
        <f>E5499*G5482</f>
        <v>0</v>
      </c>
      <c r="J5499" s="68"/>
      <c r="K5499" s="56"/>
      <c r="L5499" s="56"/>
      <c r="M5499" s="56"/>
      <c r="N5499" s="56"/>
      <c r="O5499" s="56"/>
    </row>
    <row r="5500" spans="1:15">
      <c r="A5500" s="536" t="s">
        <v>8</v>
      </c>
      <c r="B5500" s="537" t="str">
        <f>VLOOKUP(A5500,'Materiales '!$C$2:$F$1302,3,0)</f>
        <v>-</v>
      </c>
      <c r="C5500" s="98" t="str">
        <f>VLOOKUP(A5500,'Materiales '!$C$2:$F$1302,3,0)</f>
        <v>-</v>
      </c>
      <c r="D5500" s="99">
        <f>VLOOKUP(A5500,'Materiales '!$C$2:$F$1302,4,0)</f>
        <v>0</v>
      </c>
      <c r="E5500" s="100"/>
      <c r="F5500" s="538">
        <f t="shared" ref="F5500:F5503" si="323">E5500*D5500</f>
        <v>0</v>
      </c>
      <c r="G5500" s="539"/>
      <c r="H5500" s="121"/>
      <c r="I5500">
        <f>E5500*G5482</f>
        <v>0</v>
      </c>
      <c r="J5500" s="68"/>
      <c r="K5500" s="56"/>
      <c r="L5500" s="56"/>
      <c r="M5500" s="56"/>
      <c r="N5500" s="56"/>
      <c r="O5500" s="56"/>
    </row>
    <row r="5501" spans="1:15">
      <c r="A5501" s="536" t="s">
        <v>8</v>
      </c>
      <c r="B5501" s="537" t="str">
        <f>VLOOKUP(A5501,'Materiales '!$C$2:$F$1302,3,0)</f>
        <v>-</v>
      </c>
      <c r="C5501" s="98" t="str">
        <f>VLOOKUP(A5501,'Materiales '!$C$2:$F$1302,3,0)</f>
        <v>-</v>
      </c>
      <c r="D5501" s="99">
        <f>VLOOKUP(A5501,'Materiales '!$C$2:$F$1302,4,0)</f>
        <v>0</v>
      </c>
      <c r="E5501" s="100"/>
      <c r="F5501" s="538">
        <f t="shared" si="323"/>
        <v>0</v>
      </c>
      <c r="G5501" s="539"/>
      <c r="H5501" s="121"/>
      <c r="I5501">
        <f>E5501*G5482</f>
        <v>0</v>
      </c>
      <c r="J5501" s="68"/>
      <c r="K5501" s="56"/>
      <c r="L5501" s="56"/>
      <c r="M5501" s="56"/>
      <c r="N5501" s="56"/>
      <c r="O5501" s="56"/>
    </row>
    <row r="5502" spans="1:15">
      <c r="A5502" s="536" t="s">
        <v>8</v>
      </c>
      <c r="B5502" s="537" t="str">
        <f>VLOOKUP(A5502,'Materiales '!$C$2:$F$1302,3,0)</f>
        <v>-</v>
      </c>
      <c r="C5502" s="98" t="str">
        <f>VLOOKUP(A5502,'Materiales '!$C$2:$F$1302,3,0)</f>
        <v>-</v>
      </c>
      <c r="D5502" s="99">
        <f>VLOOKUP(A5502,'Materiales '!$C$2:$F$1302,4,0)</f>
        <v>0</v>
      </c>
      <c r="E5502" s="100"/>
      <c r="F5502" s="538">
        <f t="shared" si="323"/>
        <v>0</v>
      </c>
      <c r="G5502" s="539"/>
      <c r="H5502" s="121"/>
      <c r="I5502">
        <f>E5502*G5482</f>
        <v>0</v>
      </c>
      <c r="J5502" s="68"/>
      <c r="K5502" s="56"/>
      <c r="L5502" s="56"/>
      <c r="M5502" s="56"/>
      <c r="N5502" s="56"/>
      <c r="O5502" s="56"/>
    </row>
    <row r="5503" spans="1:15">
      <c r="A5503" s="536" t="s">
        <v>8</v>
      </c>
      <c r="B5503" s="537" t="str">
        <f>VLOOKUP(A5503,'Materiales '!$C$2:$F$1302,3,0)</f>
        <v>-</v>
      </c>
      <c r="C5503" s="98" t="str">
        <f>VLOOKUP(A5503,'Materiales '!$C$2:$F$1302,3,0)</f>
        <v>-</v>
      </c>
      <c r="D5503" s="99">
        <f>VLOOKUP(A5503,'Materiales '!$C$2:$F$1302,4,0)</f>
        <v>0</v>
      </c>
      <c r="E5503" s="100"/>
      <c r="F5503" s="538">
        <f t="shared" si="323"/>
        <v>0</v>
      </c>
      <c r="G5503" s="539"/>
      <c r="H5503" s="121"/>
      <c r="I5503">
        <f>E5503*G5482</f>
        <v>0</v>
      </c>
      <c r="J5503" s="68"/>
      <c r="K5503" s="56"/>
      <c r="L5503" s="56"/>
      <c r="M5503" s="56"/>
      <c r="N5503" s="56"/>
      <c r="O5503" s="56"/>
    </row>
    <row r="5504" spans="1:15">
      <c r="A5504" s="536" t="s">
        <v>8</v>
      </c>
      <c r="B5504" s="537" t="str">
        <f>VLOOKUP(A5504,'Materiales '!$C$2:$F$1302,3,0)</f>
        <v>-</v>
      </c>
      <c r="C5504" s="98" t="str">
        <f>VLOOKUP(A5504,'Materiales '!$C$2:$F$1302,3,0)</f>
        <v>-</v>
      </c>
      <c r="D5504" s="99">
        <f>VLOOKUP(A5504,'Materiales '!$C$2:$F$1302,4,0)</f>
        <v>0</v>
      </c>
      <c r="E5504" s="100"/>
      <c r="F5504" s="538">
        <f>E5504*D5504</f>
        <v>0</v>
      </c>
      <c r="G5504" s="539"/>
      <c r="H5504" s="120"/>
      <c r="I5504">
        <f>E5504*G5482</f>
        <v>0</v>
      </c>
      <c r="J5504" s="68"/>
      <c r="K5504" s="56"/>
      <c r="L5504" s="56"/>
      <c r="M5504" s="56"/>
      <c r="N5504" s="56"/>
      <c r="O5504" s="56"/>
    </row>
    <row r="5505" spans="1:15" ht="16.5">
      <c r="A5505" s="540" t="s">
        <v>4099</v>
      </c>
      <c r="B5505" s="541"/>
      <c r="C5505" s="541"/>
      <c r="D5505" s="541"/>
      <c r="E5505" s="541"/>
      <c r="F5505" s="541"/>
      <c r="G5505" s="542"/>
      <c r="H5505" s="116">
        <f>SUM(F5491:F5504)</f>
        <v>1632846.6</v>
      </c>
      <c r="J5505" s="68"/>
      <c r="K5505" s="56"/>
      <c r="L5505" s="56"/>
      <c r="M5505" s="56"/>
      <c r="N5505" s="56"/>
      <c r="O5505" s="56"/>
    </row>
    <row r="5506" spans="1:15" ht="16.5">
      <c r="A5506" s="543" t="s">
        <v>4231</v>
      </c>
      <c r="B5506" s="544"/>
      <c r="C5506" s="544"/>
      <c r="D5506" s="544"/>
      <c r="E5506" s="545"/>
      <c r="F5506" s="544"/>
      <c r="G5506" s="544"/>
      <c r="H5506" s="546"/>
      <c r="J5506" s="68"/>
      <c r="K5506" s="56"/>
      <c r="L5506" s="56"/>
      <c r="M5506" s="56"/>
      <c r="N5506" s="56"/>
      <c r="O5506" s="56"/>
    </row>
    <row r="5507" spans="1:15">
      <c r="A5507" s="547" t="s">
        <v>7</v>
      </c>
      <c r="B5507" s="548"/>
      <c r="C5507" s="108" t="s">
        <v>4232</v>
      </c>
      <c r="D5507" s="107" t="s">
        <v>4233</v>
      </c>
      <c r="E5507" s="206" t="s">
        <v>4234</v>
      </c>
      <c r="F5507" s="549" t="s">
        <v>4218</v>
      </c>
      <c r="G5507" s="549"/>
      <c r="H5507" s="119"/>
      <c r="K5507" s="56"/>
      <c r="L5507" s="56"/>
      <c r="M5507" s="56"/>
      <c r="N5507" s="56"/>
      <c r="O5507" s="56"/>
    </row>
    <row r="5508" spans="1:15">
      <c r="A5508" s="550" t="s">
        <v>3928</v>
      </c>
      <c r="B5508" s="551"/>
      <c r="C5508" s="232">
        <v>1</v>
      </c>
      <c r="D5508" s="102">
        <v>0.03</v>
      </c>
      <c r="E5508" s="103">
        <f>VLOOKUP(A5508,'Equip, Herr y Transp'!$B$2:$D$218,3,0)</f>
        <v>160000</v>
      </c>
      <c r="F5508" s="552">
        <f>E5508*D5508*C5508</f>
        <v>4800</v>
      </c>
      <c r="G5508" s="553"/>
      <c r="H5508" s="117"/>
      <c r="M5508" s="56"/>
    </row>
    <row r="5509" spans="1:15" ht="16.5">
      <c r="A5509" s="554" t="s">
        <v>4216</v>
      </c>
      <c r="B5509" s="555"/>
      <c r="C5509" s="555"/>
      <c r="D5509" s="555"/>
      <c r="E5509" s="555"/>
      <c r="F5509" s="555"/>
      <c r="G5509" s="555"/>
      <c r="H5509" s="105">
        <f>F5508</f>
        <v>4800</v>
      </c>
    </row>
    <row r="5510" spans="1:15" ht="16.5">
      <c r="A5510" s="543" t="s">
        <v>4235</v>
      </c>
      <c r="B5510" s="544"/>
      <c r="C5510" s="544"/>
      <c r="D5510" s="544"/>
      <c r="E5510" s="544"/>
      <c r="F5510" s="544"/>
      <c r="G5510" s="544"/>
      <c r="H5510" s="546"/>
    </row>
    <row r="5511" spans="1:15">
      <c r="A5511" s="547" t="s">
        <v>7</v>
      </c>
      <c r="B5511" s="548"/>
      <c r="C5511" s="106" t="s">
        <v>1</v>
      </c>
      <c r="D5511" s="107" t="s">
        <v>4236</v>
      </c>
      <c r="E5511" s="108" t="s">
        <v>4215</v>
      </c>
      <c r="F5511" s="547" t="s">
        <v>5</v>
      </c>
      <c r="G5511" s="556"/>
      <c r="H5511" s="119"/>
    </row>
    <row r="5512" spans="1:15">
      <c r="A5512" s="550" t="s">
        <v>4196</v>
      </c>
      <c r="B5512" s="551"/>
      <c r="C5512" s="101">
        <v>1</v>
      </c>
      <c r="D5512" s="104">
        <f>VLOOKUP(A5512,'Mano Obra'!$B$2:$T$117,19,0)</f>
        <v>166624</v>
      </c>
      <c r="E5512" s="246">
        <f>H5475</f>
        <v>0.1875</v>
      </c>
      <c r="F5512" s="538">
        <f>E5512*D5512*C5512</f>
        <v>31242</v>
      </c>
      <c r="G5512" s="557"/>
      <c r="H5512" s="121"/>
      <c r="I5512" s="69"/>
      <c r="J5512" s="136">
        <f>((('Mano Obra'!$M$4/30)*F5512)/D5512)*G5482</f>
        <v>0</v>
      </c>
    </row>
    <row r="5513" spans="1:15">
      <c r="A5513" s="558" t="s">
        <v>4197</v>
      </c>
      <c r="B5513" s="559">
        <f>VLOOKUP(A5513,'Mano Obra'!$B$3:$D$290,2,0)</f>
        <v>2090000.0000000002</v>
      </c>
      <c r="C5513" s="101">
        <v>1</v>
      </c>
      <c r="D5513" s="104">
        <f>VLOOKUP(A5513,'Mano Obra'!$B$2:$T$117,19,0)</f>
        <v>120456</v>
      </c>
      <c r="E5513" s="246">
        <f>H5475</f>
        <v>0.1875</v>
      </c>
      <c r="F5513" s="538">
        <f t="shared" ref="F5513:F5514" si="324">E5513*D5513*C5513</f>
        <v>22585.5</v>
      </c>
      <c r="G5513" s="557"/>
      <c r="H5513" s="121"/>
      <c r="J5513" s="136">
        <f>((('Mano Obra'!$M$5/30)*F5513)/D5513)*G5482</f>
        <v>0</v>
      </c>
    </row>
    <row r="5514" spans="1:15">
      <c r="A5514" s="558" t="s">
        <v>4186</v>
      </c>
      <c r="B5514" s="559">
        <f>VLOOKUP(A5514,'Mano Obra'!$B$3:$D$290,2,0)</f>
        <v>1100000</v>
      </c>
      <c r="C5514" s="101">
        <v>1</v>
      </c>
      <c r="D5514" s="104">
        <f>VLOOKUP(A5514,'Mano Obra'!$B$2:$T$117,19,0)</f>
        <v>72664</v>
      </c>
      <c r="E5514" s="246">
        <f>H5475</f>
        <v>0.1875</v>
      </c>
      <c r="F5514" s="538">
        <f t="shared" si="324"/>
        <v>13624.5</v>
      </c>
      <c r="G5514" s="557"/>
      <c r="H5514" s="120"/>
      <c r="J5514" s="136">
        <f>((('Mano Obra'!$M$6/30)*F5514)/D5514)*G5482</f>
        <v>0</v>
      </c>
    </row>
    <row r="5515" spans="1:15" ht="16.5">
      <c r="A5515" s="560" t="s">
        <v>4101</v>
      </c>
      <c r="B5515" s="560"/>
      <c r="C5515" s="560"/>
      <c r="D5515" s="560"/>
      <c r="E5515" s="560"/>
      <c r="F5515" s="560"/>
      <c r="G5515" s="560"/>
      <c r="H5515" s="105">
        <f>SUM(F5512:F5514)</f>
        <v>67452</v>
      </c>
      <c r="J5515" s="136"/>
    </row>
    <row r="5516" spans="1:15">
      <c r="A5516" s="227" t="s">
        <v>4237</v>
      </c>
      <c r="B5516" s="205"/>
      <c r="C5516" s="205"/>
      <c r="D5516" s="202"/>
      <c r="E5516" s="203"/>
      <c r="F5516" s="204"/>
      <c r="G5516" s="203"/>
      <c r="H5516" s="212"/>
    </row>
    <row r="5517" spans="1:15">
      <c r="A5517" s="561" t="s">
        <v>4224</v>
      </c>
      <c r="B5517" s="562"/>
      <c r="C5517" s="562"/>
      <c r="D5517" s="562"/>
      <c r="E5517" s="200"/>
      <c r="F5517" s="201" t="s">
        <v>4238</v>
      </c>
      <c r="G5517" s="200" t="s">
        <v>4239</v>
      </c>
      <c r="H5517" s="213"/>
    </row>
    <row r="5518" spans="1:15">
      <c r="A5518" s="223" t="s">
        <v>4097</v>
      </c>
      <c r="B5518" s="72"/>
      <c r="C5518" s="72"/>
      <c r="D5518" s="73"/>
      <c r="E5518" s="78"/>
      <c r="F5518" s="79">
        <v>0</v>
      </c>
      <c r="G5518" s="80">
        <f>F5518*H5483</f>
        <v>0</v>
      </c>
      <c r="H5518" s="212"/>
    </row>
    <row r="5519" spans="1:15">
      <c r="A5519" s="224" t="s">
        <v>4240</v>
      </c>
      <c r="B5519" s="81"/>
      <c r="C5519" s="81"/>
      <c r="D5519" s="82"/>
      <c r="E5519" s="78"/>
      <c r="F5519" s="79">
        <v>0</v>
      </c>
      <c r="G5519" s="80">
        <f>F5519*H5483</f>
        <v>0</v>
      </c>
      <c r="H5519" s="212"/>
    </row>
    <row r="5520" spans="1:15">
      <c r="A5520" s="224" t="s">
        <v>4</v>
      </c>
      <c r="B5520" s="81"/>
      <c r="C5520" s="81"/>
      <c r="D5520" s="82"/>
      <c r="E5520" s="78"/>
      <c r="F5520" s="79">
        <v>0</v>
      </c>
      <c r="G5520" s="80">
        <f>F5520*H5483</f>
        <v>0</v>
      </c>
      <c r="H5520" s="212"/>
    </row>
    <row r="5521" spans="1:14">
      <c r="A5521" s="225"/>
      <c r="B5521" s="83"/>
      <c r="C5521" s="75"/>
      <c r="D5521" s="84"/>
      <c r="E5521" s="85"/>
      <c r="F5521" s="86"/>
      <c r="G5521" s="87"/>
      <c r="H5521" s="214"/>
    </row>
    <row r="5522" spans="1:14">
      <c r="A5522" s="226"/>
      <c r="B5522" s="83"/>
      <c r="C5522" s="83"/>
      <c r="D5522" s="84"/>
      <c r="E5522" s="88"/>
      <c r="F5522" s="563" t="s">
        <v>4241</v>
      </c>
      <c r="G5522" s="564"/>
      <c r="H5522" s="233">
        <f>H5483+G5518+G5519+G5520</f>
        <v>1887747.9750000001</v>
      </c>
    </row>
    <row r="5523" spans="1:14">
      <c r="A5523" s="83"/>
      <c r="B5523" s="83"/>
      <c r="C5523" s="83"/>
      <c r="D5523" s="84"/>
      <c r="E5523" s="388"/>
      <c r="F5523" s="389"/>
      <c r="G5523" s="389"/>
      <c r="H5523" s="390"/>
    </row>
    <row r="5524" spans="1:14" ht="16.5">
      <c r="A5524" s="90"/>
      <c r="B5524" s="90"/>
      <c r="C5524" s="90"/>
      <c r="D5524" s="90"/>
      <c r="E5524" s="90"/>
      <c r="F5524" s="90"/>
      <c r="G5524" s="90"/>
      <c r="H5524" s="381"/>
    </row>
    <row r="5525" spans="1:14">
      <c r="A5525" s="579" t="s">
        <v>4225</v>
      </c>
      <c r="B5525" s="580"/>
      <c r="C5525" s="580"/>
      <c r="D5525" s="580"/>
      <c r="E5525" s="580"/>
      <c r="F5525" s="580"/>
      <c r="G5525" s="580"/>
      <c r="H5525" s="581"/>
    </row>
    <row r="5526" spans="1:14" ht="16.5">
      <c r="A5526" s="91"/>
      <c r="B5526" s="92"/>
      <c r="C5526" s="92"/>
      <c r="D5526" s="92"/>
      <c r="E5526" s="92"/>
      <c r="F5526" s="93"/>
      <c r="G5526" s="94"/>
      <c r="H5526" s="380">
        <f>ROUND((90/60)/8,4)</f>
        <v>0.1875</v>
      </c>
      <c r="I5526" s="115"/>
    </row>
    <row r="5527" spans="1:14">
      <c r="A5527" s="582" t="s">
        <v>4220</v>
      </c>
      <c r="B5527" s="584" t="str">
        <f>COSTOS!$C$14</f>
        <v>MODERNIZACION A TECNOLOGIA LED</v>
      </c>
      <c r="C5527" s="584"/>
      <c r="D5527" s="584"/>
      <c r="E5527" s="584"/>
      <c r="F5527" s="584"/>
      <c r="G5527" s="584"/>
      <c r="H5527" s="585" t="s">
        <v>4221</v>
      </c>
    </row>
    <row r="5528" spans="1:14">
      <c r="A5528" s="583"/>
      <c r="B5528" s="584"/>
      <c r="C5528" s="584"/>
      <c r="D5528" s="584"/>
      <c r="E5528" s="584"/>
      <c r="F5528" s="584"/>
      <c r="G5528" s="584"/>
      <c r="H5528" s="585"/>
    </row>
    <row r="5529" spans="1:14">
      <c r="A5529" s="583"/>
      <c r="B5529" s="584"/>
      <c r="C5529" s="584"/>
      <c r="D5529" s="584"/>
      <c r="E5529" s="584"/>
      <c r="F5529" s="584"/>
      <c r="G5529" s="584"/>
      <c r="H5529" s="585"/>
    </row>
    <row r="5530" spans="1:14" ht="15" customHeight="1">
      <c r="A5530" s="583"/>
      <c r="B5530" s="584"/>
      <c r="C5530" s="584"/>
      <c r="D5530" s="584"/>
      <c r="E5530" s="584"/>
      <c r="F5530" s="584"/>
      <c r="G5530" s="584"/>
      <c r="H5530" s="216">
        <f ca="1">TODAY()</f>
        <v>44889</v>
      </c>
      <c r="K5530" t="s">
        <v>4391</v>
      </c>
      <c r="L5530" t="s">
        <v>4392</v>
      </c>
      <c r="M5530" t="s">
        <v>4393</v>
      </c>
      <c r="N5530" t="s">
        <v>4394</v>
      </c>
    </row>
    <row r="5531" spans="1:14" ht="60.75" customHeight="1">
      <c r="A5531" s="228" t="s">
        <v>4222</v>
      </c>
      <c r="B5531" s="565" t="str">
        <f>COSTOS!$D$16</f>
        <v>Luminarias</v>
      </c>
      <c r="C5531" s="565"/>
      <c r="D5531" s="565"/>
      <c r="E5531" s="565"/>
      <c r="F5531" s="565"/>
      <c r="G5531" s="70" t="s">
        <v>4223</v>
      </c>
      <c r="H5531" s="391">
        <v>2.25</v>
      </c>
      <c r="K5531" s="62">
        <f>H5556</f>
        <v>1454691.7</v>
      </c>
      <c r="L5531" s="62">
        <f>H5566</f>
        <v>67452</v>
      </c>
      <c r="M5531" s="62">
        <f>H5539</f>
        <v>182649.375</v>
      </c>
      <c r="N5531" s="62">
        <f>H5560</f>
        <v>4800</v>
      </c>
    </row>
    <row r="5532" spans="1:14" ht="43.15" customHeight="1">
      <c r="A5532" s="229" t="s">
        <v>4224</v>
      </c>
      <c r="B5532" s="566" t="str">
        <f>VLOOKUP(H5531,COSTOS!C:M,2,0)</f>
        <v>Poste de fibra 10 metros x 510kg.f</v>
      </c>
      <c r="C5532" s="567"/>
      <c r="D5532" s="567"/>
      <c r="E5532" s="568"/>
      <c r="F5532" s="71" t="s">
        <v>0</v>
      </c>
      <c r="G5532" s="356" t="str">
        <f>VLOOKUP(H5531,COSTOS!C:M,8,0)</f>
        <v>Und</v>
      </c>
      <c r="H5532" s="276"/>
      <c r="I5532" s="306"/>
      <c r="J5532" s="308"/>
      <c r="K5532" s="308"/>
      <c r="L5532" s="308"/>
    </row>
    <row r="5533" spans="1:14">
      <c r="A5533" s="230"/>
      <c r="B5533" s="112"/>
      <c r="C5533" s="112"/>
      <c r="D5533" s="112"/>
      <c r="E5533" s="113"/>
      <c r="F5533" s="114" t="s">
        <v>1</v>
      </c>
      <c r="G5533" s="356">
        <f>VLOOKUP(H5531,COSTOS!C:M,9,0)</f>
        <v>0</v>
      </c>
      <c r="H5533" s="357"/>
      <c r="I5533" s="307"/>
    </row>
    <row r="5534" spans="1:14" ht="16.5">
      <c r="A5534" s="231" t="s">
        <v>4226</v>
      </c>
      <c r="B5534" s="75"/>
      <c r="C5534" s="75"/>
      <c r="D5534" s="76"/>
      <c r="E5534" s="209"/>
      <c r="F5534" s="210"/>
      <c r="G5534" s="211" t="s">
        <v>4227</v>
      </c>
      <c r="H5534" s="217">
        <f>H5539+H5556+H5560+H5566</f>
        <v>1709593.075</v>
      </c>
    </row>
    <row r="5535" spans="1:14" ht="39">
      <c r="A5535" s="569" t="s">
        <v>4224</v>
      </c>
      <c r="B5535" s="569"/>
      <c r="C5535" s="569"/>
      <c r="D5535" s="77" t="s">
        <v>0</v>
      </c>
      <c r="E5535" s="207" t="s">
        <v>4228</v>
      </c>
      <c r="F5535" s="208" t="s">
        <v>4215</v>
      </c>
      <c r="G5535" s="74" t="s">
        <v>2</v>
      </c>
      <c r="H5535" s="218" t="s">
        <v>4229</v>
      </c>
      <c r="K5535" s="309"/>
    </row>
    <row r="5536" spans="1:14">
      <c r="A5536" s="536" t="s">
        <v>3946</v>
      </c>
      <c r="B5536" s="570" t="str">
        <f>VLOOKUP(A5536,'Equip, Herr y Transp'!$B$2:$D$739,2,0)</f>
        <v>EQU</v>
      </c>
      <c r="C5536" s="570"/>
      <c r="D5536" s="95" t="str">
        <f>VLOOKUP(A5536,'Equip, Herr y Transp'!$B$2:$D$218,2,0)</f>
        <v>EQU</v>
      </c>
      <c r="E5536" s="95">
        <f>VLOOKUP(A5536,'Equip, Herr y Transp'!$B$2:$D$218,3,0)</f>
        <v>14130</v>
      </c>
      <c r="F5536" s="96">
        <f>H5526</f>
        <v>0.1875</v>
      </c>
      <c r="G5536" s="122">
        <f>F5536*E5536</f>
        <v>2649.375</v>
      </c>
      <c r="H5536" s="118"/>
    </row>
    <row r="5537" spans="1:15">
      <c r="A5537" s="536" t="s">
        <v>3894</v>
      </c>
      <c r="B5537" s="570" t="str">
        <f>VLOOKUP(A5537,'Equip, Herr y Transp'!$B$2:$D$739,2,0)</f>
        <v>TR</v>
      </c>
      <c r="C5537" s="570"/>
      <c r="D5537" s="95" t="str">
        <f>VLOOKUP(A5537,'Equip, Herr y Transp'!$B$2:$D$218,2,0)</f>
        <v>TR</v>
      </c>
      <c r="E5537" s="95">
        <f>VLOOKUP(A5537,'Equip, Herr y Transp'!$B$2:$D$218,3,0)</f>
        <v>960000</v>
      </c>
      <c r="F5537" s="96">
        <f>H5526</f>
        <v>0.1875</v>
      </c>
      <c r="G5537" s="122">
        <f>F5537*E5537</f>
        <v>180000</v>
      </c>
      <c r="H5537" s="117"/>
    </row>
    <row r="5538" spans="1:15">
      <c r="A5538" s="536" t="s">
        <v>8</v>
      </c>
      <c r="B5538" s="570">
        <f>VLOOKUP(A5538,'Equip, Herr y Transp'!$B$2:$D$739,2,0)</f>
        <v>0</v>
      </c>
      <c r="C5538" s="570"/>
      <c r="D5538" s="95">
        <f>VLOOKUP(A5538,'Equip, Herr y Transp'!$B$2:$D$218,2,0)</f>
        <v>0</v>
      </c>
      <c r="E5538" s="95">
        <f>VLOOKUP(A5538,'Equip, Herr y Transp'!$B$2:$D$218,3,0)</f>
        <v>0</v>
      </c>
      <c r="F5538" s="96"/>
      <c r="G5538" s="122">
        <f>F5538*E5538</f>
        <v>0</v>
      </c>
      <c r="H5538" s="117"/>
    </row>
    <row r="5539" spans="1:15" ht="16.5">
      <c r="A5539" s="540" t="s">
        <v>4100</v>
      </c>
      <c r="B5539" s="541"/>
      <c r="C5539" s="541"/>
      <c r="D5539" s="541"/>
      <c r="E5539" s="541"/>
      <c r="F5539" s="541"/>
      <c r="G5539" s="541"/>
      <c r="H5539" s="97">
        <f>SUM(G5536:G5538)</f>
        <v>182649.375</v>
      </c>
    </row>
    <row r="5540" spans="1:15" ht="16.5">
      <c r="A5540" s="571" t="s">
        <v>4230</v>
      </c>
      <c r="B5540" s="572"/>
      <c r="C5540" s="572"/>
      <c r="D5540" s="572"/>
      <c r="E5540" s="572"/>
      <c r="F5540" s="572"/>
      <c r="G5540" s="572"/>
      <c r="H5540" s="573"/>
      <c r="K5540" s="56"/>
      <c r="L5540" s="56"/>
      <c r="M5540" s="56"/>
      <c r="N5540" s="56"/>
      <c r="O5540" s="56"/>
    </row>
    <row r="5541" spans="1:15" ht="30" customHeight="1">
      <c r="A5541" s="574" t="s">
        <v>7</v>
      </c>
      <c r="B5541" s="575"/>
      <c r="C5541" s="109" t="s">
        <v>0</v>
      </c>
      <c r="D5541" s="110" t="s">
        <v>4098</v>
      </c>
      <c r="E5541" s="111" t="s">
        <v>1</v>
      </c>
      <c r="F5541" s="576" t="s">
        <v>4218</v>
      </c>
      <c r="G5541" s="576"/>
      <c r="H5541" s="215"/>
      <c r="K5541" s="56"/>
      <c r="L5541" s="56"/>
      <c r="M5541" s="56"/>
      <c r="N5541" s="56"/>
      <c r="O5541" s="56"/>
    </row>
    <row r="5542" spans="1:15">
      <c r="A5542" s="577" t="s">
        <v>4559</v>
      </c>
      <c r="B5542" s="578"/>
      <c r="C5542" s="98" t="str">
        <f>VLOOKUP(A5542,'Materiales '!$C$2:$F$1302,3,0)</f>
        <v>Und</v>
      </c>
      <c r="D5542" s="99">
        <f>VLOOKUP(A5542,'Materiales '!$C$2:$F$1302,4,0)</f>
        <v>1385576.5</v>
      </c>
      <c r="E5542" s="100">
        <v>1</v>
      </c>
      <c r="F5542" s="538">
        <f>E5542*D5542</f>
        <v>1385576.5</v>
      </c>
      <c r="G5542" s="539"/>
      <c r="H5542" s="121"/>
      <c r="I5542">
        <f>E5542*G5533</f>
        <v>0</v>
      </c>
      <c r="J5542" s="67"/>
      <c r="K5542" s="56"/>
      <c r="L5542" s="56"/>
      <c r="M5542" s="56"/>
      <c r="N5542" s="56"/>
      <c r="O5542" s="56"/>
    </row>
    <row r="5543" spans="1:15">
      <c r="A5543" s="577" t="s">
        <v>4628</v>
      </c>
      <c r="B5543" s="578"/>
      <c r="C5543" s="98" t="str">
        <f>VLOOKUP(A5543,'Materiales '!$C$2:$F$1302,3,0)</f>
        <v>Rollo</v>
      </c>
      <c r="D5543" s="99">
        <f>VLOOKUP(A5543,'Materiales '!$C$2:$F$1302,4,0)</f>
        <v>138230.39999999999</v>
      </c>
      <c r="E5543" s="100">
        <v>0.5</v>
      </c>
      <c r="F5543" s="538">
        <f t="shared" ref="F5543:F5549" si="325">E5543*D5543</f>
        <v>69115.199999999997</v>
      </c>
      <c r="G5543" s="539"/>
      <c r="H5543" s="121"/>
      <c r="I5543">
        <f>E5543*G5533</f>
        <v>0</v>
      </c>
      <c r="J5543" s="67"/>
      <c r="K5543" s="56"/>
      <c r="L5543" s="56"/>
      <c r="M5543" s="56"/>
      <c r="N5543" s="56"/>
      <c r="O5543" s="56"/>
    </row>
    <row r="5544" spans="1:15">
      <c r="A5544" s="536" t="s">
        <v>8</v>
      </c>
      <c r="B5544" s="537" t="str">
        <f>VLOOKUP(A5544,'Materiales '!$C$2:$F$1302,3,0)</f>
        <v>-</v>
      </c>
      <c r="C5544" s="98" t="str">
        <f>VLOOKUP(A5544,'Materiales '!$C$2:$F$1302,3,0)</f>
        <v>-</v>
      </c>
      <c r="D5544" s="99">
        <f>VLOOKUP(A5544,'Materiales '!$C$2:$F$1302,4,0)</f>
        <v>0</v>
      </c>
      <c r="E5544" s="100">
        <v>6</v>
      </c>
      <c r="F5544" s="538">
        <f t="shared" si="325"/>
        <v>0</v>
      </c>
      <c r="G5544" s="539"/>
      <c r="H5544" s="121"/>
      <c r="I5544">
        <f>E5544*G5533</f>
        <v>0</v>
      </c>
      <c r="J5544" s="68"/>
      <c r="K5544" s="56"/>
      <c r="L5544" s="56"/>
      <c r="M5544" s="56"/>
      <c r="N5544" s="56"/>
      <c r="O5544" s="56"/>
    </row>
    <row r="5545" spans="1:15">
      <c r="A5545" s="536" t="s">
        <v>8</v>
      </c>
      <c r="B5545" s="537" t="str">
        <f>VLOOKUP(A5545,'Materiales '!$C$2:$F$1302,3,0)</f>
        <v>-</v>
      </c>
      <c r="C5545" s="98" t="str">
        <f>VLOOKUP(A5545,'Materiales '!$C$2:$F$1302,3,0)</f>
        <v>-</v>
      </c>
      <c r="D5545" s="99">
        <f>VLOOKUP(A5545,'Materiales '!$C$2:$F$1302,4,0)</f>
        <v>0</v>
      </c>
      <c r="E5545" s="100">
        <v>3</v>
      </c>
      <c r="F5545" s="538">
        <f t="shared" si="325"/>
        <v>0</v>
      </c>
      <c r="G5545" s="539"/>
      <c r="H5545" s="121"/>
      <c r="I5545">
        <f>E5545*G5533</f>
        <v>0</v>
      </c>
      <c r="J5545" s="68"/>
      <c r="K5545" s="56"/>
      <c r="L5545" s="56"/>
      <c r="M5545" s="56"/>
      <c r="N5545" s="56"/>
      <c r="O5545" s="56"/>
    </row>
    <row r="5546" spans="1:15">
      <c r="A5546" s="536" t="s">
        <v>8</v>
      </c>
      <c r="B5546" s="537" t="str">
        <f>VLOOKUP(A5546,'Materiales '!$C$2:$F$1302,3,0)</f>
        <v>-</v>
      </c>
      <c r="C5546" s="98" t="str">
        <f>VLOOKUP(A5546,'Materiales '!$C$2:$F$1302,3,0)</f>
        <v>-</v>
      </c>
      <c r="D5546" s="99">
        <f>VLOOKUP(A5546,'Materiales '!$C$2:$F$1302,4,0)</f>
        <v>0</v>
      </c>
      <c r="E5546" s="100">
        <v>2</v>
      </c>
      <c r="F5546" s="538">
        <f t="shared" si="325"/>
        <v>0</v>
      </c>
      <c r="G5546" s="539"/>
      <c r="H5546" s="121"/>
      <c r="I5546">
        <f>E5546*G5533</f>
        <v>0</v>
      </c>
      <c r="J5546" s="68"/>
      <c r="K5546" s="56"/>
      <c r="L5546" s="56"/>
      <c r="M5546" s="56"/>
      <c r="N5546" s="56"/>
      <c r="O5546" s="56"/>
    </row>
    <row r="5547" spans="1:15">
      <c r="A5547" s="536" t="s">
        <v>8</v>
      </c>
      <c r="B5547" s="537" t="str">
        <f>VLOOKUP(A5547,'Materiales '!$C$2:$F$1302,3,0)</f>
        <v>-</v>
      </c>
      <c r="C5547" s="98" t="str">
        <f>VLOOKUP(A5547,'Materiales '!$C$2:$F$1302,3,0)</f>
        <v>-</v>
      </c>
      <c r="D5547" s="99">
        <f>VLOOKUP(A5547,'Materiales '!$C$2:$F$1302,4,0)</f>
        <v>0</v>
      </c>
      <c r="E5547" s="100">
        <v>8</v>
      </c>
      <c r="F5547" s="538">
        <f t="shared" si="325"/>
        <v>0</v>
      </c>
      <c r="G5547" s="539"/>
      <c r="H5547" s="121"/>
      <c r="I5547">
        <f>E5547*G5533</f>
        <v>0</v>
      </c>
      <c r="J5547" s="68"/>
      <c r="K5547" s="56"/>
      <c r="L5547" s="56"/>
      <c r="M5547" s="56"/>
      <c r="N5547" s="56"/>
      <c r="O5547" s="56"/>
    </row>
    <row r="5548" spans="1:15">
      <c r="A5548" s="536" t="s">
        <v>8</v>
      </c>
      <c r="B5548" s="537" t="str">
        <f>VLOOKUP(A5548,'Materiales '!$C$2:$F$1302,3,0)</f>
        <v>-</v>
      </c>
      <c r="C5548" s="98" t="str">
        <f>VLOOKUP(A5548,'Materiales '!$C$2:$F$1302,3,0)</f>
        <v>-</v>
      </c>
      <c r="D5548" s="99">
        <f>VLOOKUP(A5548,'Materiales '!$C$2:$F$1302,4,0)</f>
        <v>0</v>
      </c>
      <c r="E5548" s="100">
        <v>3</v>
      </c>
      <c r="F5548" s="538">
        <f t="shared" si="325"/>
        <v>0</v>
      </c>
      <c r="G5548" s="539"/>
      <c r="H5548" s="121"/>
      <c r="I5548">
        <f>E5548*G5533</f>
        <v>0</v>
      </c>
      <c r="J5548" s="68"/>
      <c r="K5548" s="56"/>
      <c r="L5548" s="56"/>
      <c r="M5548" s="56"/>
      <c r="N5548" s="56"/>
      <c r="O5548" s="56"/>
    </row>
    <row r="5549" spans="1:15" ht="21.75" customHeight="1">
      <c r="A5549" s="536" t="s">
        <v>8</v>
      </c>
      <c r="B5549" s="537" t="str">
        <f>VLOOKUP(A5549,'Materiales '!$C$2:$F$1302,3,0)</f>
        <v>-</v>
      </c>
      <c r="C5549" s="98" t="str">
        <f>VLOOKUP(A5549,'Materiales '!$C$2:$F$1302,3,0)</f>
        <v>-</v>
      </c>
      <c r="D5549" s="99">
        <f>VLOOKUP(A5549,'Materiales '!$C$2:$F$1302,4,0)</f>
        <v>0</v>
      </c>
      <c r="E5549" s="100">
        <v>0.5</v>
      </c>
      <c r="F5549" s="538">
        <f t="shared" si="325"/>
        <v>0</v>
      </c>
      <c r="G5549" s="539"/>
      <c r="H5549" s="121"/>
      <c r="I5549">
        <f>E5549*G5533</f>
        <v>0</v>
      </c>
      <c r="J5549" s="68"/>
      <c r="K5549" s="56"/>
      <c r="L5549" s="56"/>
      <c r="M5549" s="56"/>
      <c r="N5549" s="56"/>
      <c r="O5549" s="56"/>
    </row>
    <row r="5550" spans="1:15">
      <c r="A5550" s="536" t="s">
        <v>8</v>
      </c>
      <c r="B5550" s="537" t="str">
        <f>VLOOKUP(A5550,'Materiales '!$C$2:$F$1302,3,0)</f>
        <v>-</v>
      </c>
      <c r="C5550" s="98" t="str">
        <f>VLOOKUP(A5550,'Materiales '!$C$2:$F$1302,3,0)</f>
        <v>-</v>
      </c>
      <c r="D5550" s="99">
        <f>VLOOKUP(A5550,'Materiales '!$C$2:$F$1302,4,0)</f>
        <v>0</v>
      </c>
      <c r="E5550" s="100"/>
      <c r="F5550" s="538">
        <f>E5550*D5550</f>
        <v>0</v>
      </c>
      <c r="G5550" s="539"/>
      <c r="H5550" s="120"/>
      <c r="I5550">
        <f>E5550*G5533</f>
        <v>0</v>
      </c>
      <c r="J5550" s="68"/>
      <c r="K5550" s="56"/>
      <c r="L5550" s="56"/>
      <c r="M5550" s="56"/>
      <c r="N5550" s="56"/>
      <c r="O5550" s="56"/>
    </row>
    <row r="5551" spans="1:15">
      <c r="A5551" s="536" t="s">
        <v>8</v>
      </c>
      <c r="B5551" s="537" t="str">
        <f>VLOOKUP(A5551,'Materiales '!$C$2:$F$1302,3,0)</f>
        <v>-</v>
      </c>
      <c r="C5551" s="98" t="str">
        <f>VLOOKUP(A5551,'Materiales '!$C$2:$F$1302,3,0)</f>
        <v>-</v>
      </c>
      <c r="D5551" s="99">
        <f>VLOOKUP(A5551,'Materiales '!$C$2:$F$1302,4,0)</f>
        <v>0</v>
      </c>
      <c r="E5551" s="100"/>
      <c r="F5551" s="538">
        <f t="shared" ref="F5551:F5554" si="326">E5551*D5551</f>
        <v>0</v>
      </c>
      <c r="G5551" s="539"/>
      <c r="H5551" s="121"/>
      <c r="I5551">
        <f>E5551*G5533</f>
        <v>0</v>
      </c>
      <c r="J5551" s="68"/>
      <c r="K5551" s="56"/>
      <c r="L5551" s="56"/>
      <c r="M5551" s="56"/>
      <c r="N5551" s="56"/>
      <c r="O5551" s="56"/>
    </row>
    <row r="5552" spans="1:15">
      <c r="A5552" s="536" t="s">
        <v>8</v>
      </c>
      <c r="B5552" s="537" t="str">
        <f>VLOOKUP(A5552,'Materiales '!$C$2:$F$1302,3,0)</f>
        <v>-</v>
      </c>
      <c r="C5552" s="98" t="str">
        <f>VLOOKUP(A5552,'Materiales '!$C$2:$F$1302,3,0)</f>
        <v>-</v>
      </c>
      <c r="D5552" s="99">
        <f>VLOOKUP(A5552,'Materiales '!$C$2:$F$1302,4,0)</f>
        <v>0</v>
      </c>
      <c r="E5552" s="100"/>
      <c r="F5552" s="538">
        <f t="shared" si="326"/>
        <v>0</v>
      </c>
      <c r="G5552" s="539"/>
      <c r="H5552" s="121"/>
      <c r="I5552">
        <f>E5552*G5533</f>
        <v>0</v>
      </c>
      <c r="J5552" s="68"/>
      <c r="K5552" s="56"/>
      <c r="L5552" s="56"/>
      <c r="M5552" s="56"/>
      <c r="N5552" s="56"/>
      <c r="O5552" s="56"/>
    </row>
    <row r="5553" spans="1:15">
      <c r="A5553" s="536" t="s">
        <v>8</v>
      </c>
      <c r="B5553" s="537" t="str">
        <f>VLOOKUP(A5553,'Materiales '!$C$2:$F$1302,3,0)</f>
        <v>-</v>
      </c>
      <c r="C5553" s="98" t="str">
        <f>VLOOKUP(A5553,'Materiales '!$C$2:$F$1302,3,0)</f>
        <v>-</v>
      </c>
      <c r="D5553" s="99">
        <f>VLOOKUP(A5553,'Materiales '!$C$2:$F$1302,4,0)</f>
        <v>0</v>
      </c>
      <c r="E5553" s="100"/>
      <c r="F5553" s="538">
        <f t="shared" si="326"/>
        <v>0</v>
      </c>
      <c r="G5553" s="539"/>
      <c r="H5553" s="121"/>
      <c r="I5553">
        <f>E5553*G5533</f>
        <v>0</v>
      </c>
      <c r="J5553" s="68"/>
      <c r="K5553" s="56"/>
      <c r="L5553" s="56"/>
      <c r="M5553" s="56"/>
      <c r="N5553" s="56"/>
      <c r="O5553" s="56"/>
    </row>
    <row r="5554" spans="1:15">
      <c r="A5554" s="536" t="s">
        <v>8</v>
      </c>
      <c r="B5554" s="537" t="str">
        <f>VLOOKUP(A5554,'Materiales '!$C$2:$F$1302,3,0)</f>
        <v>-</v>
      </c>
      <c r="C5554" s="98" t="str">
        <f>VLOOKUP(A5554,'Materiales '!$C$2:$F$1302,3,0)</f>
        <v>-</v>
      </c>
      <c r="D5554" s="99">
        <f>VLOOKUP(A5554,'Materiales '!$C$2:$F$1302,4,0)</f>
        <v>0</v>
      </c>
      <c r="E5554" s="100"/>
      <c r="F5554" s="538">
        <f t="shared" si="326"/>
        <v>0</v>
      </c>
      <c r="G5554" s="539"/>
      <c r="H5554" s="121"/>
      <c r="I5554">
        <f>E5554*G5533</f>
        <v>0</v>
      </c>
      <c r="J5554" s="68"/>
      <c r="K5554" s="56"/>
      <c r="L5554" s="56"/>
      <c r="M5554" s="56"/>
      <c r="N5554" s="56"/>
      <c r="O5554" s="56"/>
    </row>
    <row r="5555" spans="1:15">
      <c r="A5555" s="536" t="s">
        <v>8</v>
      </c>
      <c r="B5555" s="537" t="str">
        <f>VLOOKUP(A5555,'Materiales '!$C$2:$F$1302,3,0)</f>
        <v>-</v>
      </c>
      <c r="C5555" s="98" t="str">
        <f>VLOOKUP(A5555,'Materiales '!$C$2:$F$1302,3,0)</f>
        <v>-</v>
      </c>
      <c r="D5555" s="99">
        <f>VLOOKUP(A5555,'Materiales '!$C$2:$F$1302,4,0)</f>
        <v>0</v>
      </c>
      <c r="E5555" s="100"/>
      <c r="F5555" s="538">
        <f>E5555*D5555</f>
        <v>0</v>
      </c>
      <c r="G5555" s="539"/>
      <c r="H5555" s="120"/>
      <c r="I5555">
        <f>E5555*G5533</f>
        <v>0</v>
      </c>
      <c r="J5555" s="68"/>
      <c r="K5555" s="56"/>
      <c r="L5555" s="56"/>
      <c r="M5555" s="56"/>
      <c r="N5555" s="56"/>
      <c r="O5555" s="56"/>
    </row>
    <row r="5556" spans="1:15" ht="16.5">
      <c r="A5556" s="540" t="s">
        <v>4099</v>
      </c>
      <c r="B5556" s="541"/>
      <c r="C5556" s="541"/>
      <c r="D5556" s="541"/>
      <c r="E5556" s="541"/>
      <c r="F5556" s="541"/>
      <c r="G5556" s="542"/>
      <c r="H5556" s="116">
        <f>SUM(F5542:F5555)</f>
        <v>1454691.7</v>
      </c>
      <c r="J5556" s="68"/>
      <c r="K5556" s="56"/>
      <c r="L5556" s="56"/>
      <c r="M5556" s="56"/>
      <c r="N5556" s="56"/>
      <c r="O5556" s="56"/>
    </row>
    <row r="5557" spans="1:15" ht="16.5">
      <c r="A5557" s="543" t="s">
        <v>4231</v>
      </c>
      <c r="B5557" s="544"/>
      <c r="C5557" s="544"/>
      <c r="D5557" s="544"/>
      <c r="E5557" s="545"/>
      <c r="F5557" s="544"/>
      <c r="G5557" s="544"/>
      <c r="H5557" s="546"/>
      <c r="J5557" s="68"/>
      <c r="K5557" s="56"/>
      <c r="L5557" s="56"/>
      <c r="M5557" s="56"/>
      <c r="N5557" s="56"/>
      <c r="O5557" s="56"/>
    </row>
    <row r="5558" spans="1:15">
      <c r="A5558" s="547" t="s">
        <v>7</v>
      </c>
      <c r="B5558" s="548"/>
      <c r="C5558" s="108" t="s">
        <v>4232</v>
      </c>
      <c r="D5558" s="107" t="s">
        <v>4233</v>
      </c>
      <c r="E5558" s="206" t="s">
        <v>4234</v>
      </c>
      <c r="F5558" s="549" t="s">
        <v>4218</v>
      </c>
      <c r="G5558" s="549"/>
      <c r="H5558" s="119"/>
      <c r="K5558" s="56"/>
      <c r="L5558" s="56"/>
      <c r="M5558" s="56"/>
      <c r="N5558" s="56"/>
      <c r="O5558" s="56"/>
    </row>
    <row r="5559" spans="1:15">
      <c r="A5559" s="550" t="s">
        <v>3928</v>
      </c>
      <c r="B5559" s="551"/>
      <c r="C5559" s="232">
        <v>1</v>
      </c>
      <c r="D5559" s="102">
        <v>0.03</v>
      </c>
      <c r="E5559" s="103">
        <f>VLOOKUP(A5559,'Equip, Herr y Transp'!$B$2:$D$218,3,0)</f>
        <v>160000</v>
      </c>
      <c r="F5559" s="552">
        <f>E5559*D5559*C5559</f>
        <v>4800</v>
      </c>
      <c r="G5559" s="553"/>
      <c r="H5559" s="117"/>
      <c r="M5559" s="56"/>
    </row>
    <row r="5560" spans="1:15" ht="16.5">
      <c r="A5560" s="554" t="s">
        <v>4216</v>
      </c>
      <c r="B5560" s="555"/>
      <c r="C5560" s="555"/>
      <c r="D5560" s="555"/>
      <c r="E5560" s="555"/>
      <c r="F5560" s="555"/>
      <c r="G5560" s="555"/>
      <c r="H5560" s="105">
        <f>F5559</f>
        <v>4800</v>
      </c>
    </row>
    <row r="5561" spans="1:15" ht="16.5">
      <c r="A5561" s="543" t="s">
        <v>4235</v>
      </c>
      <c r="B5561" s="544"/>
      <c r="C5561" s="544"/>
      <c r="D5561" s="544"/>
      <c r="E5561" s="544"/>
      <c r="F5561" s="544"/>
      <c r="G5561" s="544"/>
      <c r="H5561" s="546"/>
    </row>
    <row r="5562" spans="1:15">
      <c r="A5562" s="547" t="s">
        <v>7</v>
      </c>
      <c r="B5562" s="548"/>
      <c r="C5562" s="106" t="s">
        <v>1</v>
      </c>
      <c r="D5562" s="107" t="s">
        <v>4236</v>
      </c>
      <c r="E5562" s="108" t="s">
        <v>4215</v>
      </c>
      <c r="F5562" s="547" t="s">
        <v>5</v>
      </c>
      <c r="G5562" s="556"/>
      <c r="H5562" s="119"/>
    </row>
    <row r="5563" spans="1:15">
      <c r="A5563" s="550" t="s">
        <v>4196</v>
      </c>
      <c r="B5563" s="551"/>
      <c r="C5563" s="101">
        <v>1</v>
      </c>
      <c r="D5563" s="104">
        <f>VLOOKUP(A5563,'Mano Obra'!$B$2:$T$117,19,0)</f>
        <v>166624</v>
      </c>
      <c r="E5563" s="246">
        <f>H5526</f>
        <v>0.1875</v>
      </c>
      <c r="F5563" s="538">
        <f>E5563*D5563*C5563</f>
        <v>31242</v>
      </c>
      <c r="G5563" s="557"/>
      <c r="H5563" s="121"/>
      <c r="I5563" s="69"/>
      <c r="J5563" s="136">
        <f>((('Mano Obra'!$M$4/30)*F5563)/D5563)*G5533</f>
        <v>0</v>
      </c>
    </row>
    <row r="5564" spans="1:15">
      <c r="A5564" s="558" t="s">
        <v>4197</v>
      </c>
      <c r="B5564" s="559">
        <f>VLOOKUP(A5564,'Mano Obra'!$B$3:$D$290,2,0)</f>
        <v>2090000.0000000002</v>
      </c>
      <c r="C5564" s="101">
        <v>1</v>
      </c>
      <c r="D5564" s="104">
        <f>VLOOKUP(A5564,'Mano Obra'!$B$2:$T$117,19,0)</f>
        <v>120456</v>
      </c>
      <c r="E5564" s="246">
        <f>H5526</f>
        <v>0.1875</v>
      </c>
      <c r="F5564" s="538">
        <f t="shared" ref="F5564:F5565" si="327">E5564*D5564*C5564</f>
        <v>22585.5</v>
      </c>
      <c r="G5564" s="557"/>
      <c r="H5564" s="121"/>
      <c r="J5564" s="136">
        <f>((('Mano Obra'!$M$5/30)*F5564)/D5564)*G5533</f>
        <v>0</v>
      </c>
    </row>
    <row r="5565" spans="1:15">
      <c r="A5565" s="558" t="s">
        <v>4186</v>
      </c>
      <c r="B5565" s="559">
        <f>VLOOKUP(A5565,'Mano Obra'!$B$3:$D$290,2,0)</f>
        <v>1100000</v>
      </c>
      <c r="C5565" s="101">
        <v>1</v>
      </c>
      <c r="D5565" s="104">
        <f>VLOOKUP(A5565,'Mano Obra'!$B$2:$T$117,19,0)</f>
        <v>72664</v>
      </c>
      <c r="E5565" s="246">
        <f>H5526</f>
        <v>0.1875</v>
      </c>
      <c r="F5565" s="538">
        <f t="shared" si="327"/>
        <v>13624.5</v>
      </c>
      <c r="G5565" s="557"/>
      <c r="H5565" s="120"/>
      <c r="J5565" s="136">
        <f>((('Mano Obra'!$M$6/30)*F5565)/D5565)*G5533</f>
        <v>0</v>
      </c>
    </row>
    <row r="5566" spans="1:15" ht="16.5">
      <c r="A5566" s="560" t="s">
        <v>4101</v>
      </c>
      <c r="B5566" s="560"/>
      <c r="C5566" s="560"/>
      <c r="D5566" s="560"/>
      <c r="E5566" s="560"/>
      <c r="F5566" s="560"/>
      <c r="G5566" s="560"/>
      <c r="H5566" s="105">
        <f>SUM(F5563:F5565)</f>
        <v>67452</v>
      </c>
      <c r="J5566" s="136"/>
    </row>
    <row r="5567" spans="1:15">
      <c r="A5567" s="227" t="s">
        <v>4237</v>
      </c>
      <c r="B5567" s="205"/>
      <c r="C5567" s="205"/>
      <c r="D5567" s="202"/>
      <c r="E5567" s="203"/>
      <c r="F5567" s="204"/>
      <c r="G5567" s="203"/>
      <c r="H5567" s="212"/>
    </row>
    <row r="5568" spans="1:15">
      <c r="A5568" s="561" t="s">
        <v>4224</v>
      </c>
      <c r="B5568" s="562"/>
      <c r="C5568" s="562"/>
      <c r="D5568" s="562"/>
      <c r="E5568" s="200"/>
      <c r="F5568" s="201" t="s">
        <v>4238</v>
      </c>
      <c r="G5568" s="200" t="s">
        <v>4239</v>
      </c>
      <c r="H5568" s="213"/>
    </row>
    <row r="5569" spans="1:14">
      <c r="A5569" s="223" t="s">
        <v>4097</v>
      </c>
      <c r="B5569" s="72"/>
      <c r="C5569" s="72"/>
      <c r="D5569" s="73"/>
      <c r="E5569" s="78"/>
      <c r="F5569" s="79">
        <v>0</v>
      </c>
      <c r="G5569" s="80">
        <f>F5569*H5534</f>
        <v>0</v>
      </c>
      <c r="H5569" s="212"/>
    </row>
    <row r="5570" spans="1:14">
      <c r="A5570" s="224" t="s">
        <v>4240</v>
      </c>
      <c r="B5570" s="81"/>
      <c r="C5570" s="81"/>
      <c r="D5570" s="82"/>
      <c r="E5570" s="78"/>
      <c r="F5570" s="79">
        <v>0</v>
      </c>
      <c r="G5570" s="80">
        <f>F5570*H5534</f>
        <v>0</v>
      </c>
      <c r="H5570" s="212"/>
    </row>
    <row r="5571" spans="1:14">
      <c r="A5571" s="224" t="s">
        <v>4</v>
      </c>
      <c r="B5571" s="81"/>
      <c r="C5571" s="81"/>
      <c r="D5571" s="82"/>
      <c r="E5571" s="78"/>
      <c r="F5571" s="79">
        <v>0</v>
      </c>
      <c r="G5571" s="80">
        <f>F5571*H5534</f>
        <v>0</v>
      </c>
      <c r="H5571" s="212"/>
    </row>
    <row r="5572" spans="1:14">
      <c r="A5572" s="225"/>
      <c r="B5572" s="83"/>
      <c r="C5572" s="75"/>
      <c r="D5572" s="84"/>
      <c r="E5572" s="85"/>
      <c r="F5572" s="86"/>
      <c r="G5572" s="87"/>
      <c r="H5572" s="214"/>
    </row>
    <row r="5573" spans="1:14">
      <c r="A5573" s="226"/>
      <c r="B5573" s="83"/>
      <c r="C5573" s="83"/>
      <c r="D5573" s="84"/>
      <c r="E5573" s="88"/>
      <c r="F5573" s="563" t="s">
        <v>4241</v>
      </c>
      <c r="G5573" s="564"/>
      <c r="H5573" s="233">
        <f>H5534+G5569+G5570+G5571</f>
        <v>1709593.075</v>
      </c>
    </row>
    <row r="5574" spans="1:14">
      <c r="A5574" s="83"/>
      <c r="B5574" s="83"/>
      <c r="C5574" s="83"/>
      <c r="D5574" s="84"/>
      <c r="E5574" s="388"/>
      <c r="F5574" s="389"/>
      <c r="G5574" s="389"/>
      <c r="H5574" s="390"/>
    </row>
    <row r="5575" spans="1:14">
      <c r="A5575" s="83"/>
      <c r="B5575" s="83"/>
      <c r="C5575" s="83"/>
      <c r="D5575" s="84"/>
      <c r="E5575" s="388"/>
      <c r="F5575" s="389"/>
      <c r="G5575" s="389"/>
      <c r="H5575" s="390"/>
    </row>
    <row r="5576" spans="1:14" ht="16.5">
      <c r="A5576" s="90"/>
      <c r="B5576" s="90"/>
      <c r="C5576" s="90"/>
      <c r="D5576" s="90"/>
      <c r="E5576" s="90"/>
      <c r="F5576" s="90"/>
      <c r="G5576" s="90"/>
      <c r="H5576" s="381"/>
    </row>
    <row r="5577" spans="1:14">
      <c r="A5577" s="579" t="s">
        <v>4225</v>
      </c>
      <c r="B5577" s="580"/>
      <c r="C5577" s="580"/>
      <c r="D5577" s="580"/>
      <c r="E5577" s="580"/>
      <c r="F5577" s="580"/>
      <c r="G5577" s="580"/>
      <c r="H5577" s="581"/>
    </row>
    <row r="5578" spans="1:14" ht="16.5">
      <c r="A5578" s="91"/>
      <c r="B5578" s="92"/>
      <c r="C5578" s="92"/>
      <c r="D5578" s="92"/>
      <c r="E5578" s="92"/>
      <c r="F5578" s="93"/>
      <c r="G5578" s="94"/>
      <c r="H5578" s="380">
        <f>ROUND((210/60)/8,4)</f>
        <v>0.4375</v>
      </c>
      <c r="I5578" s="115"/>
    </row>
    <row r="5579" spans="1:14">
      <c r="A5579" s="582" t="s">
        <v>4220</v>
      </c>
      <c r="B5579" s="584" t="str">
        <f>COSTOS!$C$14</f>
        <v>MODERNIZACION A TECNOLOGIA LED</v>
      </c>
      <c r="C5579" s="584"/>
      <c r="D5579" s="584"/>
      <c r="E5579" s="584"/>
      <c r="F5579" s="584"/>
      <c r="G5579" s="584"/>
      <c r="H5579" s="585" t="s">
        <v>4221</v>
      </c>
    </row>
    <row r="5580" spans="1:14">
      <c r="A5580" s="583"/>
      <c r="B5580" s="584"/>
      <c r="C5580" s="584"/>
      <c r="D5580" s="584"/>
      <c r="E5580" s="584"/>
      <c r="F5580" s="584"/>
      <c r="G5580" s="584"/>
      <c r="H5580" s="585"/>
    </row>
    <row r="5581" spans="1:14">
      <c r="A5581" s="583"/>
      <c r="B5581" s="584"/>
      <c r="C5581" s="584"/>
      <c r="D5581" s="584"/>
      <c r="E5581" s="584"/>
      <c r="F5581" s="584"/>
      <c r="G5581" s="584"/>
      <c r="H5581" s="585"/>
    </row>
    <row r="5582" spans="1:14" ht="15" customHeight="1">
      <c r="A5582" s="583"/>
      <c r="B5582" s="584"/>
      <c r="C5582" s="584"/>
      <c r="D5582" s="584"/>
      <c r="E5582" s="584"/>
      <c r="F5582" s="584"/>
      <c r="G5582" s="584"/>
      <c r="H5582" s="216">
        <f ca="1">TODAY()</f>
        <v>44889</v>
      </c>
      <c r="K5582" t="s">
        <v>4391</v>
      </c>
      <c r="L5582" t="s">
        <v>4392</v>
      </c>
      <c r="M5582" t="s">
        <v>4393</v>
      </c>
      <c r="N5582" t="s">
        <v>4394</v>
      </c>
    </row>
    <row r="5583" spans="1:14" ht="60.75" customHeight="1">
      <c r="A5583" s="228" t="s">
        <v>4222</v>
      </c>
      <c r="B5583" s="565" t="str">
        <f>COSTOS!$D$16</f>
        <v>Luminarias</v>
      </c>
      <c r="C5583" s="565"/>
      <c r="D5583" s="565"/>
      <c r="E5583" s="565"/>
      <c r="F5583" s="565"/>
      <c r="G5583" s="70" t="s">
        <v>4223</v>
      </c>
      <c r="H5583" s="391">
        <v>2.2599999999999998</v>
      </c>
      <c r="K5583" s="62">
        <f>H5608</f>
        <v>19533421.600000001</v>
      </c>
      <c r="L5583" s="62">
        <f>H5618</f>
        <v>157388</v>
      </c>
      <c r="M5583" s="62">
        <f>H5591</f>
        <v>846181.875</v>
      </c>
      <c r="N5583" s="62">
        <f>H5612</f>
        <v>16000</v>
      </c>
    </row>
    <row r="5584" spans="1:14" ht="43.15" customHeight="1">
      <c r="A5584" s="229" t="s">
        <v>4224</v>
      </c>
      <c r="B5584" s="566" t="str">
        <f>VLOOKUP(H5583,COSTOS!C:M,2,0)</f>
        <v>Torre metalica 20 metros</v>
      </c>
      <c r="C5584" s="567"/>
      <c r="D5584" s="567"/>
      <c r="E5584" s="568"/>
      <c r="F5584" s="71" t="s">
        <v>0</v>
      </c>
      <c r="G5584" s="356" t="str">
        <f>VLOOKUP(H5583,COSTOS!C:M,8,0)</f>
        <v>Und</v>
      </c>
      <c r="H5584" s="276"/>
      <c r="I5584" s="306"/>
      <c r="J5584" s="308"/>
      <c r="K5584" s="308"/>
      <c r="L5584" s="308"/>
    </row>
    <row r="5585" spans="1:15">
      <c r="A5585" s="230"/>
      <c r="B5585" s="112"/>
      <c r="C5585" s="112"/>
      <c r="D5585" s="112"/>
      <c r="E5585" s="113"/>
      <c r="F5585" s="114" t="s">
        <v>1</v>
      </c>
      <c r="G5585" s="356">
        <f>VLOOKUP(H5583,COSTOS!C:M,9,0)</f>
        <v>0</v>
      </c>
      <c r="H5585" s="357"/>
      <c r="I5585" s="307"/>
    </row>
    <row r="5586" spans="1:15" ht="16.5">
      <c r="A5586" s="231" t="s">
        <v>4226</v>
      </c>
      <c r="B5586" s="75"/>
      <c r="C5586" s="75"/>
      <c r="D5586" s="76"/>
      <c r="E5586" s="209"/>
      <c r="F5586" s="210"/>
      <c r="G5586" s="211" t="s">
        <v>4227</v>
      </c>
      <c r="H5586" s="217">
        <f>H5591+H5608+H5612+H5618</f>
        <v>20552991.475000001</v>
      </c>
    </row>
    <row r="5587" spans="1:15" ht="39">
      <c r="A5587" s="569" t="s">
        <v>4224</v>
      </c>
      <c r="B5587" s="569"/>
      <c r="C5587" s="569"/>
      <c r="D5587" s="77" t="s">
        <v>0</v>
      </c>
      <c r="E5587" s="207" t="s">
        <v>4228</v>
      </c>
      <c r="F5587" s="208" t="s">
        <v>4215</v>
      </c>
      <c r="G5587" s="74" t="s">
        <v>2</v>
      </c>
      <c r="H5587" s="218" t="s">
        <v>4229</v>
      </c>
      <c r="K5587" s="309"/>
    </row>
    <row r="5588" spans="1:15">
      <c r="A5588" s="536" t="s">
        <v>3946</v>
      </c>
      <c r="B5588" s="570" t="str">
        <f>VLOOKUP(A5588,'Equip, Herr y Transp'!$B$2:$D$739,2,0)</f>
        <v>EQU</v>
      </c>
      <c r="C5588" s="570"/>
      <c r="D5588" s="95" t="str">
        <f>VLOOKUP(A5588,'Equip, Herr y Transp'!$B$2:$D$218,2,0)</f>
        <v>EQU</v>
      </c>
      <c r="E5588" s="95">
        <f>VLOOKUP(A5588,'Equip, Herr y Transp'!$B$2:$D$218,3,0)</f>
        <v>14130</v>
      </c>
      <c r="F5588" s="96">
        <f>H5578</f>
        <v>0.4375</v>
      </c>
      <c r="G5588" s="122">
        <f>F5588*E5588</f>
        <v>6181.875</v>
      </c>
      <c r="H5588" s="118"/>
    </row>
    <row r="5589" spans="1:15">
      <c r="A5589" s="536" t="s">
        <v>3894</v>
      </c>
      <c r="B5589" s="570" t="str">
        <f>VLOOKUP(A5589,'Equip, Herr y Transp'!$B$2:$D$739,2,0)</f>
        <v>TR</v>
      </c>
      <c r="C5589" s="570"/>
      <c r="D5589" s="95" t="str">
        <f>VLOOKUP(A5589,'Equip, Herr y Transp'!$B$2:$D$218,2,0)</f>
        <v>TR</v>
      </c>
      <c r="E5589" s="95">
        <f>VLOOKUP(A5589,'Equip, Herr y Transp'!$B$2:$D$218,3,0)</f>
        <v>960000</v>
      </c>
      <c r="F5589" s="96">
        <f>H5578</f>
        <v>0.4375</v>
      </c>
      <c r="G5589" s="122">
        <f>F5589*E5589</f>
        <v>420000</v>
      </c>
      <c r="H5589" s="117"/>
    </row>
    <row r="5590" spans="1:15">
      <c r="A5590" s="536" t="s">
        <v>3894</v>
      </c>
      <c r="B5590" s="570" t="str">
        <f>VLOOKUP(A5590,'Equip, Herr y Transp'!$B$2:$D$739,2,0)</f>
        <v>TR</v>
      </c>
      <c r="C5590" s="570"/>
      <c r="D5590" s="95" t="str">
        <f>VLOOKUP(A5590,'Equip, Herr y Transp'!$B$2:$D$218,2,0)</f>
        <v>TR</v>
      </c>
      <c r="E5590" s="95">
        <f>VLOOKUP(A5590,'Equip, Herr y Transp'!$B$2:$D$218,3,0)</f>
        <v>960000</v>
      </c>
      <c r="F5590" s="96">
        <f>F5589</f>
        <v>0.4375</v>
      </c>
      <c r="G5590" s="122">
        <f>F5590*E5590</f>
        <v>420000</v>
      </c>
      <c r="H5590" s="117"/>
    </row>
    <row r="5591" spans="1:15" ht="16.5">
      <c r="A5591" s="540" t="s">
        <v>4100</v>
      </c>
      <c r="B5591" s="541"/>
      <c r="C5591" s="541"/>
      <c r="D5591" s="541"/>
      <c r="E5591" s="541"/>
      <c r="F5591" s="541"/>
      <c r="G5591" s="541"/>
      <c r="H5591" s="97">
        <f>SUM(G5588:G5590)</f>
        <v>846181.875</v>
      </c>
    </row>
    <row r="5592" spans="1:15" ht="16.5">
      <c r="A5592" s="571" t="s">
        <v>4230</v>
      </c>
      <c r="B5592" s="572"/>
      <c r="C5592" s="572"/>
      <c r="D5592" s="572"/>
      <c r="E5592" s="572"/>
      <c r="F5592" s="572"/>
      <c r="G5592" s="572"/>
      <c r="H5592" s="573"/>
      <c r="K5592" s="56"/>
      <c r="L5592" s="56"/>
      <c r="M5592" s="56"/>
      <c r="N5592" s="56"/>
      <c r="O5592" s="56"/>
    </row>
    <row r="5593" spans="1:15" ht="30" customHeight="1">
      <c r="A5593" s="574" t="s">
        <v>7</v>
      </c>
      <c r="B5593" s="575"/>
      <c r="C5593" s="109" t="s">
        <v>0</v>
      </c>
      <c r="D5593" s="110" t="s">
        <v>4098</v>
      </c>
      <c r="E5593" s="111" t="s">
        <v>1</v>
      </c>
      <c r="F5593" s="576" t="s">
        <v>4218</v>
      </c>
      <c r="G5593" s="576"/>
      <c r="H5593" s="215"/>
      <c r="K5593" s="56"/>
      <c r="L5593" s="56"/>
      <c r="M5593" s="56"/>
      <c r="N5593" s="56"/>
      <c r="O5593" s="56"/>
    </row>
    <row r="5594" spans="1:15">
      <c r="A5594" s="577" t="s">
        <v>4804</v>
      </c>
      <c r="B5594" s="578"/>
      <c r="C5594" s="98" t="str">
        <f>VLOOKUP(A5594,'Materiales '!$C$2:$F$1302,3,0)</f>
        <v>Und</v>
      </c>
      <c r="D5594" s="99">
        <f>VLOOKUP(A5594,'Materiales '!$C$2:$F$1302,4,0)</f>
        <v>18980500</v>
      </c>
      <c r="E5594" s="100">
        <v>1</v>
      </c>
      <c r="F5594" s="538">
        <f>E5594*D5594</f>
        <v>18980500</v>
      </c>
      <c r="G5594" s="539"/>
      <c r="H5594" s="121"/>
      <c r="I5594">
        <f>E5594*G5585</f>
        <v>0</v>
      </c>
      <c r="J5594" s="67"/>
      <c r="K5594" s="56"/>
      <c r="L5594" s="56"/>
      <c r="M5594" s="56"/>
      <c r="N5594" s="56"/>
      <c r="O5594" s="56"/>
    </row>
    <row r="5595" spans="1:15">
      <c r="A5595" s="577" t="s">
        <v>4628</v>
      </c>
      <c r="B5595" s="578"/>
      <c r="C5595" s="98" t="str">
        <f>VLOOKUP(A5595,'Materiales '!$C$2:$F$1302,3,0)</f>
        <v>Rollo</v>
      </c>
      <c r="D5595" s="99">
        <f>VLOOKUP(A5595,'Materiales '!$C$2:$F$1302,4,0)</f>
        <v>138230.39999999999</v>
      </c>
      <c r="E5595" s="100">
        <v>4</v>
      </c>
      <c r="F5595" s="538">
        <f t="shared" ref="F5595:F5601" si="328">E5595*D5595</f>
        <v>552921.59999999998</v>
      </c>
      <c r="G5595" s="539"/>
      <c r="H5595" s="121"/>
      <c r="I5595">
        <f>E5595*G5585</f>
        <v>0</v>
      </c>
      <c r="J5595" s="67"/>
      <c r="K5595" s="56"/>
      <c r="L5595" s="56"/>
      <c r="M5595" s="56"/>
      <c r="N5595" s="56"/>
      <c r="O5595" s="56"/>
    </row>
    <row r="5596" spans="1:15">
      <c r="A5596" s="536" t="s">
        <v>8</v>
      </c>
      <c r="B5596" s="537" t="str">
        <f>VLOOKUP(A5596,'Materiales '!$C$2:$F$1302,3,0)</f>
        <v>-</v>
      </c>
      <c r="C5596" s="98" t="str">
        <f>VLOOKUP(A5596,'Materiales '!$C$2:$F$1302,3,0)</f>
        <v>-</v>
      </c>
      <c r="D5596" s="99">
        <f>VLOOKUP(A5596,'Materiales '!$C$2:$F$1302,4,0)</f>
        <v>0</v>
      </c>
      <c r="E5596" s="100">
        <v>6</v>
      </c>
      <c r="F5596" s="538">
        <f t="shared" si="328"/>
        <v>0</v>
      </c>
      <c r="G5596" s="539"/>
      <c r="H5596" s="121"/>
      <c r="I5596">
        <f>E5596*G5585</f>
        <v>0</v>
      </c>
      <c r="J5596" s="68"/>
      <c r="K5596" s="56"/>
      <c r="L5596" s="56"/>
      <c r="M5596" s="56"/>
      <c r="N5596" s="56"/>
      <c r="O5596" s="56"/>
    </row>
    <row r="5597" spans="1:15">
      <c r="A5597" s="536" t="s">
        <v>8</v>
      </c>
      <c r="B5597" s="537" t="str">
        <f>VLOOKUP(A5597,'Materiales '!$C$2:$F$1302,3,0)</f>
        <v>-</v>
      </c>
      <c r="C5597" s="98" t="str">
        <f>VLOOKUP(A5597,'Materiales '!$C$2:$F$1302,3,0)</f>
        <v>-</v>
      </c>
      <c r="D5597" s="99">
        <f>VLOOKUP(A5597,'Materiales '!$C$2:$F$1302,4,0)</f>
        <v>0</v>
      </c>
      <c r="E5597" s="100">
        <v>3</v>
      </c>
      <c r="F5597" s="538">
        <f t="shared" si="328"/>
        <v>0</v>
      </c>
      <c r="G5597" s="539"/>
      <c r="H5597" s="121"/>
      <c r="I5597">
        <f>E5597*G5585</f>
        <v>0</v>
      </c>
      <c r="J5597" s="68"/>
      <c r="K5597" s="56"/>
      <c r="L5597" s="56"/>
      <c r="M5597" s="56"/>
      <c r="N5597" s="56"/>
      <c r="O5597" s="56"/>
    </row>
    <row r="5598" spans="1:15">
      <c r="A5598" s="536" t="s">
        <v>8</v>
      </c>
      <c r="B5598" s="537" t="str">
        <f>VLOOKUP(A5598,'Materiales '!$C$2:$F$1302,3,0)</f>
        <v>-</v>
      </c>
      <c r="C5598" s="98" t="str">
        <f>VLOOKUP(A5598,'Materiales '!$C$2:$F$1302,3,0)</f>
        <v>-</v>
      </c>
      <c r="D5598" s="99">
        <f>VLOOKUP(A5598,'Materiales '!$C$2:$F$1302,4,0)</f>
        <v>0</v>
      </c>
      <c r="E5598" s="100">
        <v>2</v>
      </c>
      <c r="F5598" s="538">
        <f t="shared" si="328"/>
        <v>0</v>
      </c>
      <c r="G5598" s="539"/>
      <c r="H5598" s="121"/>
      <c r="I5598">
        <f>E5598*G5585</f>
        <v>0</v>
      </c>
      <c r="J5598" s="68"/>
      <c r="K5598" s="56"/>
      <c r="L5598" s="56"/>
      <c r="M5598" s="56"/>
      <c r="N5598" s="56"/>
      <c r="O5598" s="56"/>
    </row>
    <row r="5599" spans="1:15">
      <c r="A5599" s="536" t="s">
        <v>8</v>
      </c>
      <c r="B5599" s="537" t="str">
        <f>VLOOKUP(A5599,'Materiales '!$C$2:$F$1302,3,0)</f>
        <v>-</v>
      </c>
      <c r="C5599" s="98" t="str">
        <f>VLOOKUP(A5599,'Materiales '!$C$2:$F$1302,3,0)</f>
        <v>-</v>
      </c>
      <c r="D5599" s="99">
        <f>VLOOKUP(A5599,'Materiales '!$C$2:$F$1302,4,0)</f>
        <v>0</v>
      </c>
      <c r="E5599" s="100">
        <v>8</v>
      </c>
      <c r="F5599" s="538">
        <f t="shared" si="328"/>
        <v>0</v>
      </c>
      <c r="G5599" s="539"/>
      <c r="H5599" s="121"/>
      <c r="I5599">
        <f>E5599*G5585</f>
        <v>0</v>
      </c>
      <c r="J5599" s="68"/>
      <c r="K5599" s="56"/>
      <c r="L5599" s="56"/>
      <c r="M5599" s="56"/>
      <c r="N5599" s="56"/>
      <c r="O5599" s="56"/>
    </row>
    <row r="5600" spans="1:15">
      <c r="A5600" s="536" t="s">
        <v>8</v>
      </c>
      <c r="B5600" s="537" t="str">
        <f>VLOOKUP(A5600,'Materiales '!$C$2:$F$1302,3,0)</f>
        <v>-</v>
      </c>
      <c r="C5600" s="98" t="str">
        <f>VLOOKUP(A5600,'Materiales '!$C$2:$F$1302,3,0)</f>
        <v>-</v>
      </c>
      <c r="D5600" s="99">
        <f>VLOOKUP(A5600,'Materiales '!$C$2:$F$1302,4,0)</f>
        <v>0</v>
      </c>
      <c r="E5600" s="100">
        <v>3</v>
      </c>
      <c r="F5600" s="538">
        <f t="shared" si="328"/>
        <v>0</v>
      </c>
      <c r="G5600" s="539"/>
      <c r="H5600" s="121"/>
      <c r="I5600">
        <f>E5600*G5585</f>
        <v>0</v>
      </c>
      <c r="J5600" s="68"/>
      <c r="K5600" s="56"/>
      <c r="L5600" s="56"/>
      <c r="M5600" s="56"/>
      <c r="N5600" s="56"/>
      <c r="O5600" s="56"/>
    </row>
    <row r="5601" spans="1:15" ht="21.75" customHeight="1">
      <c r="A5601" s="536" t="s">
        <v>8</v>
      </c>
      <c r="B5601" s="537" t="str">
        <f>VLOOKUP(A5601,'Materiales '!$C$2:$F$1302,3,0)</f>
        <v>-</v>
      </c>
      <c r="C5601" s="98" t="str">
        <f>VLOOKUP(A5601,'Materiales '!$C$2:$F$1302,3,0)</f>
        <v>-</v>
      </c>
      <c r="D5601" s="99">
        <f>VLOOKUP(A5601,'Materiales '!$C$2:$F$1302,4,0)</f>
        <v>0</v>
      </c>
      <c r="E5601" s="100">
        <v>0.5</v>
      </c>
      <c r="F5601" s="538">
        <f t="shared" si="328"/>
        <v>0</v>
      </c>
      <c r="G5601" s="539"/>
      <c r="H5601" s="121"/>
      <c r="I5601">
        <f>E5601*G5585</f>
        <v>0</v>
      </c>
      <c r="J5601" s="68"/>
      <c r="K5601" s="56"/>
      <c r="L5601" s="56"/>
      <c r="M5601" s="56"/>
      <c r="N5601" s="56"/>
      <c r="O5601" s="56"/>
    </row>
    <row r="5602" spans="1:15">
      <c r="A5602" s="536" t="s">
        <v>8</v>
      </c>
      <c r="B5602" s="537" t="str">
        <f>VLOOKUP(A5602,'Materiales '!$C$2:$F$1302,3,0)</f>
        <v>-</v>
      </c>
      <c r="C5602" s="98" t="str">
        <f>VLOOKUP(A5602,'Materiales '!$C$2:$F$1302,3,0)</f>
        <v>-</v>
      </c>
      <c r="D5602" s="99">
        <f>VLOOKUP(A5602,'Materiales '!$C$2:$F$1302,4,0)</f>
        <v>0</v>
      </c>
      <c r="E5602" s="100"/>
      <c r="F5602" s="538">
        <f>E5602*D5602</f>
        <v>0</v>
      </c>
      <c r="G5602" s="539"/>
      <c r="H5602" s="120"/>
      <c r="I5602">
        <f>E5602*G5585</f>
        <v>0</v>
      </c>
      <c r="J5602" s="68"/>
      <c r="K5602" s="56"/>
      <c r="L5602" s="56"/>
      <c r="M5602" s="56"/>
      <c r="N5602" s="56"/>
      <c r="O5602" s="56"/>
    </row>
    <row r="5603" spans="1:15">
      <c r="A5603" s="536" t="s">
        <v>8</v>
      </c>
      <c r="B5603" s="537" t="str">
        <f>VLOOKUP(A5603,'Materiales '!$C$2:$F$1302,3,0)</f>
        <v>-</v>
      </c>
      <c r="C5603" s="98" t="str">
        <f>VLOOKUP(A5603,'Materiales '!$C$2:$F$1302,3,0)</f>
        <v>-</v>
      </c>
      <c r="D5603" s="99">
        <f>VLOOKUP(A5603,'Materiales '!$C$2:$F$1302,4,0)</f>
        <v>0</v>
      </c>
      <c r="E5603" s="100"/>
      <c r="F5603" s="538">
        <f t="shared" ref="F5603:F5606" si="329">E5603*D5603</f>
        <v>0</v>
      </c>
      <c r="G5603" s="539"/>
      <c r="H5603" s="121"/>
      <c r="I5603">
        <f>E5603*G5585</f>
        <v>0</v>
      </c>
      <c r="J5603" s="68"/>
      <c r="K5603" s="56"/>
      <c r="L5603" s="56"/>
      <c r="M5603" s="56"/>
      <c r="N5603" s="56"/>
      <c r="O5603" s="56"/>
    </row>
    <row r="5604" spans="1:15">
      <c r="A5604" s="536" t="s">
        <v>8</v>
      </c>
      <c r="B5604" s="537" t="str">
        <f>VLOOKUP(A5604,'Materiales '!$C$2:$F$1302,3,0)</f>
        <v>-</v>
      </c>
      <c r="C5604" s="98" t="str">
        <f>VLOOKUP(A5604,'Materiales '!$C$2:$F$1302,3,0)</f>
        <v>-</v>
      </c>
      <c r="D5604" s="99">
        <f>VLOOKUP(A5604,'Materiales '!$C$2:$F$1302,4,0)</f>
        <v>0</v>
      </c>
      <c r="E5604" s="100"/>
      <c r="F5604" s="538">
        <f t="shared" si="329"/>
        <v>0</v>
      </c>
      <c r="G5604" s="539"/>
      <c r="H5604" s="121"/>
      <c r="I5604">
        <f>E5604*G5585</f>
        <v>0</v>
      </c>
      <c r="J5604" s="68"/>
      <c r="K5604" s="56"/>
      <c r="L5604" s="56"/>
      <c r="M5604" s="56"/>
      <c r="N5604" s="56"/>
      <c r="O5604" s="56"/>
    </row>
    <row r="5605" spans="1:15">
      <c r="A5605" s="536" t="s">
        <v>8</v>
      </c>
      <c r="B5605" s="537" t="str">
        <f>VLOOKUP(A5605,'Materiales '!$C$2:$F$1302,3,0)</f>
        <v>-</v>
      </c>
      <c r="C5605" s="98" t="str">
        <f>VLOOKUP(A5605,'Materiales '!$C$2:$F$1302,3,0)</f>
        <v>-</v>
      </c>
      <c r="D5605" s="99">
        <f>VLOOKUP(A5605,'Materiales '!$C$2:$F$1302,4,0)</f>
        <v>0</v>
      </c>
      <c r="E5605" s="100"/>
      <c r="F5605" s="538">
        <f t="shared" si="329"/>
        <v>0</v>
      </c>
      <c r="G5605" s="539"/>
      <c r="H5605" s="121"/>
      <c r="I5605">
        <f>E5605*G5585</f>
        <v>0</v>
      </c>
      <c r="J5605" s="68"/>
      <c r="K5605" s="56"/>
      <c r="L5605" s="56"/>
      <c r="M5605" s="56"/>
      <c r="N5605" s="56"/>
      <c r="O5605" s="56"/>
    </row>
    <row r="5606" spans="1:15">
      <c r="A5606" s="536" t="s">
        <v>8</v>
      </c>
      <c r="B5606" s="537" t="str">
        <f>VLOOKUP(A5606,'Materiales '!$C$2:$F$1302,3,0)</f>
        <v>-</v>
      </c>
      <c r="C5606" s="98" t="str">
        <f>VLOOKUP(A5606,'Materiales '!$C$2:$F$1302,3,0)</f>
        <v>-</v>
      </c>
      <c r="D5606" s="99">
        <f>VLOOKUP(A5606,'Materiales '!$C$2:$F$1302,4,0)</f>
        <v>0</v>
      </c>
      <c r="E5606" s="100"/>
      <c r="F5606" s="538">
        <f t="shared" si="329"/>
        <v>0</v>
      </c>
      <c r="G5606" s="539"/>
      <c r="H5606" s="121"/>
      <c r="I5606">
        <f>E5606*G5585</f>
        <v>0</v>
      </c>
      <c r="J5606" s="68"/>
      <c r="K5606" s="56"/>
      <c r="L5606" s="56"/>
      <c r="M5606" s="56"/>
      <c r="N5606" s="56"/>
      <c r="O5606" s="56"/>
    </row>
    <row r="5607" spans="1:15">
      <c r="A5607" s="536" t="s">
        <v>8</v>
      </c>
      <c r="B5607" s="537" t="str">
        <f>VLOOKUP(A5607,'Materiales '!$C$2:$F$1302,3,0)</f>
        <v>-</v>
      </c>
      <c r="C5607" s="98" t="str">
        <f>VLOOKUP(A5607,'Materiales '!$C$2:$F$1302,3,0)</f>
        <v>-</v>
      </c>
      <c r="D5607" s="99">
        <f>VLOOKUP(A5607,'Materiales '!$C$2:$F$1302,4,0)</f>
        <v>0</v>
      </c>
      <c r="E5607" s="100"/>
      <c r="F5607" s="538">
        <f>E5607*D5607</f>
        <v>0</v>
      </c>
      <c r="G5607" s="539"/>
      <c r="H5607" s="120"/>
      <c r="I5607">
        <f>E5607*G5585</f>
        <v>0</v>
      </c>
      <c r="J5607" s="68"/>
      <c r="K5607" s="56"/>
      <c r="L5607" s="56"/>
      <c r="M5607" s="56"/>
      <c r="N5607" s="56"/>
      <c r="O5607" s="56"/>
    </row>
    <row r="5608" spans="1:15" ht="16.5">
      <c r="A5608" s="540" t="s">
        <v>4099</v>
      </c>
      <c r="B5608" s="541"/>
      <c r="C5608" s="541"/>
      <c r="D5608" s="541"/>
      <c r="E5608" s="541"/>
      <c r="F5608" s="541"/>
      <c r="G5608" s="542"/>
      <c r="H5608" s="116">
        <f>SUM(F5594:F5607)</f>
        <v>19533421.600000001</v>
      </c>
      <c r="J5608" s="68"/>
      <c r="K5608" s="56"/>
      <c r="L5608" s="56"/>
      <c r="M5608" s="56"/>
      <c r="N5608" s="56"/>
      <c r="O5608" s="56"/>
    </row>
    <row r="5609" spans="1:15" ht="16.5">
      <c r="A5609" s="543" t="s">
        <v>4231</v>
      </c>
      <c r="B5609" s="544"/>
      <c r="C5609" s="544"/>
      <c r="D5609" s="544"/>
      <c r="E5609" s="545"/>
      <c r="F5609" s="544"/>
      <c r="G5609" s="544"/>
      <c r="H5609" s="546"/>
      <c r="J5609" s="68"/>
      <c r="K5609" s="56"/>
      <c r="L5609" s="56"/>
      <c r="M5609" s="56"/>
      <c r="N5609" s="56"/>
      <c r="O5609" s="56"/>
    </row>
    <row r="5610" spans="1:15">
      <c r="A5610" s="547" t="s">
        <v>7</v>
      </c>
      <c r="B5610" s="548"/>
      <c r="C5610" s="108" t="s">
        <v>4232</v>
      </c>
      <c r="D5610" s="107" t="s">
        <v>4233</v>
      </c>
      <c r="E5610" s="206" t="s">
        <v>4234</v>
      </c>
      <c r="F5610" s="549" t="s">
        <v>4218</v>
      </c>
      <c r="G5610" s="549"/>
      <c r="H5610" s="119"/>
      <c r="K5610" s="56"/>
      <c r="L5610" s="56"/>
      <c r="M5610" s="56"/>
      <c r="N5610" s="56"/>
      <c r="O5610" s="56"/>
    </row>
    <row r="5611" spans="1:15">
      <c r="A5611" s="550" t="s">
        <v>3928</v>
      </c>
      <c r="B5611" s="551"/>
      <c r="C5611" s="232">
        <v>1</v>
      </c>
      <c r="D5611" s="102">
        <v>0.1</v>
      </c>
      <c r="E5611" s="103">
        <f>VLOOKUP(A5611,'Equip, Herr y Transp'!$B$2:$D$218,3,0)</f>
        <v>160000</v>
      </c>
      <c r="F5611" s="552">
        <f>E5611*D5611*C5611</f>
        <v>16000</v>
      </c>
      <c r="G5611" s="553"/>
      <c r="H5611" s="117"/>
      <c r="M5611" s="56"/>
    </row>
    <row r="5612" spans="1:15" ht="16.5">
      <c r="A5612" s="554" t="s">
        <v>4216</v>
      </c>
      <c r="B5612" s="555"/>
      <c r="C5612" s="555"/>
      <c r="D5612" s="555"/>
      <c r="E5612" s="555"/>
      <c r="F5612" s="555"/>
      <c r="G5612" s="555"/>
      <c r="H5612" s="105">
        <f>F5611</f>
        <v>16000</v>
      </c>
    </row>
    <row r="5613" spans="1:15" ht="16.5">
      <c r="A5613" s="543" t="s">
        <v>4235</v>
      </c>
      <c r="B5613" s="544"/>
      <c r="C5613" s="544"/>
      <c r="D5613" s="544"/>
      <c r="E5613" s="544"/>
      <c r="F5613" s="544"/>
      <c r="G5613" s="544"/>
      <c r="H5613" s="546"/>
    </row>
    <row r="5614" spans="1:15">
      <c r="A5614" s="547" t="s">
        <v>7</v>
      </c>
      <c r="B5614" s="548"/>
      <c r="C5614" s="106" t="s">
        <v>1</v>
      </c>
      <c r="D5614" s="107" t="s">
        <v>4236</v>
      </c>
      <c r="E5614" s="108" t="s">
        <v>4215</v>
      </c>
      <c r="F5614" s="547" t="s">
        <v>5</v>
      </c>
      <c r="G5614" s="556"/>
      <c r="H5614" s="119"/>
    </row>
    <row r="5615" spans="1:15">
      <c r="A5615" s="550" t="s">
        <v>4196</v>
      </c>
      <c r="B5615" s="551"/>
      <c r="C5615" s="101">
        <v>1</v>
      </c>
      <c r="D5615" s="104">
        <f>VLOOKUP(A5615,'Mano Obra'!$B$2:$T$117,19,0)</f>
        <v>166624</v>
      </c>
      <c r="E5615" s="246">
        <f>H5578</f>
        <v>0.4375</v>
      </c>
      <c r="F5615" s="538">
        <f>E5615*D5615*C5615</f>
        <v>72898</v>
      </c>
      <c r="G5615" s="557"/>
      <c r="H5615" s="121"/>
      <c r="I5615" s="69"/>
      <c r="J5615" s="136">
        <f>((('Mano Obra'!$M$4/30)*F5615)/D5615)*G5585</f>
        <v>0</v>
      </c>
    </row>
    <row r="5616" spans="1:15">
      <c r="A5616" s="558" t="s">
        <v>4197</v>
      </c>
      <c r="B5616" s="559">
        <f>VLOOKUP(A5616,'Mano Obra'!$B$3:$D$290,2,0)</f>
        <v>2090000.0000000002</v>
      </c>
      <c r="C5616" s="101">
        <v>1</v>
      </c>
      <c r="D5616" s="104">
        <f>VLOOKUP(A5616,'Mano Obra'!$B$2:$T$117,19,0)</f>
        <v>120456</v>
      </c>
      <c r="E5616" s="246">
        <f>H5578</f>
        <v>0.4375</v>
      </c>
      <c r="F5616" s="538">
        <f t="shared" ref="F5616:F5617" si="330">E5616*D5616*C5616</f>
        <v>52699.5</v>
      </c>
      <c r="G5616" s="557"/>
      <c r="H5616" s="121"/>
      <c r="J5616" s="136">
        <f>((('Mano Obra'!$M$5/30)*F5616)/D5616)*G5585</f>
        <v>0</v>
      </c>
    </row>
    <row r="5617" spans="1:10">
      <c r="A5617" s="558" t="s">
        <v>4186</v>
      </c>
      <c r="B5617" s="559">
        <f>VLOOKUP(A5617,'Mano Obra'!$B$3:$D$290,2,0)</f>
        <v>1100000</v>
      </c>
      <c r="C5617" s="101">
        <v>1</v>
      </c>
      <c r="D5617" s="104">
        <f>VLOOKUP(A5617,'Mano Obra'!$B$2:$T$117,19,0)</f>
        <v>72664</v>
      </c>
      <c r="E5617" s="246">
        <f>H5578</f>
        <v>0.4375</v>
      </c>
      <c r="F5617" s="538">
        <f t="shared" si="330"/>
        <v>31790.5</v>
      </c>
      <c r="G5617" s="557"/>
      <c r="H5617" s="120"/>
      <c r="J5617" s="136">
        <f>((('Mano Obra'!$M$6/30)*F5617)/D5617)*G5585</f>
        <v>0</v>
      </c>
    </row>
    <row r="5618" spans="1:10" ht="16.5">
      <c r="A5618" s="560" t="s">
        <v>4101</v>
      </c>
      <c r="B5618" s="560"/>
      <c r="C5618" s="560"/>
      <c r="D5618" s="560"/>
      <c r="E5618" s="560"/>
      <c r="F5618" s="560"/>
      <c r="G5618" s="560"/>
      <c r="H5618" s="105">
        <f>SUM(F5615:F5617)</f>
        <v>157388</v>
      </c>
      <c r="J5618" s="136"/>
    </row>
    <row r="5619" spans="1:10">
      <c r="A5619" s="227" t="s">
        <v>4237</v>
      </c>
      <c r="B5619" s="205"/>
      <c r="C5619" s="205"/>
      <c r="D5619" s="202"/>
      <c r="E5619" s="203"/>
      <c r="F5619" s="204"/>
      <c r="G5619" s="203"/>
      <c r="H5619" s="212"/>
    </row>
    <row r="5620" spans="1:10">
      <c r="A5620" s="561" t="s">
        <v>4224</v>
      </c>
      <c r="B5620" s="562"/>
      <c r="C5620" s="562"/>
      <c r="D5620" s="562"/>
      <c r="E5620" s="200"/>
      <c r="F5620" s="201" t="s">
        <v>4238</v>
      </c>
      <c r="G5620" s="200" t="s">
        <v>4239</v>
      </c>
      <c r="H5620" s="213"/>
    </row>
    <row r="5621" spans="1:10">
      <c r="A5621" s="223" t="s">
        <v>4097</v>
      </c>
      <c r="B5621" s="72"/>
      <c r="C5621" s="72"/>
      <c r="D5621" s="73"/>
      <c r="E5621" s="78"/>
      <c r="F5621" s="79">
        <v>0</v>
      </c>
      <c r="G5621" s="80">
        <f>F5621*H5586</f>
        <v>0</v>
      </c>
      <c r="H5621" s="212"/>
    </row>
    <row r="5622" spans="1:10">
      <c r="A5622" s="224" t="s">
        <v>4240</v>
      </c>
      <c r="B5622" s="81"/>
      <c r="C5622" s="81"/>
      <c r="D5622" s="82"/>
      <c r="E5622" s="78"/>
      <c r="F5622" s="79">
        <v>0</v>
      </c>
      <c r="G5622" s="80">
        <f>F5622*H5586</f>
        <v>0</v>
      </c>
      <c r="H5622" s="212"/>
    </row>
    <row r="5623" spans="1:10">
      <c r="A5623" s="224" t="s">
        <v>4</v>
      </c>
      <c r="B5623" s="81"/>
      <c r="C5623" s="81"/>
      <c r="D5623" s="82"/>
      <c r="E5623" s="78"/>
      <c r="F5623" s="79">
        <v>0</v>
      </c>
      <c r="G5623" s="80">
        <f>F5623*H5586</f>
        <v>0</v>
      </c>
      <c r="H5623" s="212"/>
    </row>
    <row r="5624" spans="1:10">
      <c r="A5624" s="225"/>
      <c r="B5624" s="83"/>
      <c r="C5624" s="75"/>
      <c r="D5624" s="84"/>
      <c r="E5624" s="85"/>
      <c r="F5624" s="86"/>
      <c r="G5624" s="87"/>
      <c r="H5624" s="214"/>
    </row>
    <row r="5625" spans="1:10">
      <c r="A5625" s="226"/>
      <c r="B5625" s="83"/>
      <c r="C5625" s="83"/>
      <c r="D5625" s="84"/>
      <c r="E5625" s="88"/>
      <c r="F5625" s="563" t="s">
        <v>4241</v>
      </c>
      <c r="G5625" s="564"/>
      <c r="H5625" s="233">
        <f>H5586+G5621+G5622+G5623</f>
        <v>20552991.475000001</v>
      </c>
    </row>
    <row r="5626" spans="1:10">
      <c r="A5626" s="83"/>
      <c r="B5626" s="83"/>
      <c r="C5626" s="83"/>
      <c r="D5626" s="84"/>
      <c r="E5626" s="388"/>
      <c r="F5626" s="389"/>
      <c r="G5626" s="389"/>
      <c r="H5626" s="390"/>
    </row>
    <row r="5627" spans="1:10" ht="16.5">
      <c r="A5627" s="90"/>
      <c r="B5627" s="90"/>
      <c r="C5627" s="90"/>
      <c r="D5627" s="90"/>
      <c r="E5627" s="90"/>
      <c r="F5627" s="90"/>
      <c r="G5627" s="90"/>
      <c r="H5627" s="381"/>
    </row>
    <row r="5628" spans="1:10">
      <c r="A5628" s="579" t="s">
        <v>4225</v>
      </c>
      <c r="B5628" s="580"/>
      <c r="C5628" s="580"/>
      <c r="D5628" s="580"/>
      <c r="E5628" s="580"/>
      <c r="F5628" s="580"/>
      <c r="G5628" s="580"/>
      <c r="H5628" s="581"/>
    </row>
    <row r="5629" spans="1:10" ht="16.5">
      <c r="A5629" s="91"/>
      <c r="B5629" s="92"/>
      <c r="C5629" s="92"/>
      <c r="D5629" s="92"/>
      <c r="E5629" s="92"/>
      <c r="F5629" s="93"/>
      <c r="G5629" s="94"/>
      <c r="H5629" s="380">
        <f>ROUND((90/60)/8,4)</f>
        <v>0.1875</v>
      </c>
      <c r="I5629" s="115"/>
    </row>
    <row r="5630" spans="1:10">
      <c r="A5630" s="582" t="s">
        <v>4220</v>
      </c>
      <c r="B5630" s="584" t="str">
        <f>COSTOS!$C$14</f>
        <v>MODERNIZACION A TECNOLOGIA LED</v>
      </c>
      <c r="C5630" s="584"/>
      <c r="D5630" s="584"/>
      <c r="E5630" s="584"/>
      <c r="F5630" s="584"/>
      <c r="G5630" s="584"/>
      <c r="H5630" s="585" t="s">
        <v>4221</v>
      </c>
    </row>
    <row r="5631" spans="1:10">
      <c r="A5631" s="583"/>
      <c r="B5631" s="584"/>
      <c r="C5631" s="584"/>
      <c r="D5631" s="584"/>
      <c r="E5631" s="584"/>
      <c r="F5631" s="584"/>
      <c r="G5631" s="584"/>
      <c r="H5631" s="585"/>
    </row>
    <row r="5632" spans="1:10">
      <c r="A5632" s="583"/>
      <c r="B5632" s="584"/>
      <c r="C5632" s="584"/>
      <c r="D5632" s="584"/>
      <c r="E5632" s="584"/>
      <c r="F5632" s="584"/>
      <c r="G5632" s="584"/>
      <c r="H5632" s="585"/>
    </row>
    <row r="5633" spans="1:15" ht="15" customHeight="1">
      <c r="A5633" s="583"/>
      <c r="B5633" s="584"/>
      <c r="C5633" s="584"/>
      <c r="D5633" s="584"/>
      <c r="E5633" s="584"/>
      <c r="F5633" s="584"/>
      <c r="G5633" s="584"/>
      <c r="H5633" s="216">
        <f ca="1">TODAY()</f>
        <v>44889</v>
      </c>
      <c r="K5633" t="s">
        <v>4391</v>
      </c>
      <c r="L5633" t="s">
        <v>4392</v>
      </c>
      <c r="M5633" t="s">
        <v>4393</v>
      </c>
      <c r="N5633" t="s">
        <v>4394</v>
      </c>
    </row>
    <row r="5634" spans="1:15" ht="60.75" customHeight="1">
      <c r="A5634" s="228" t="s">
        <v>4222</v>
      </c>
      <c r="B5634" s="565" t="str">
        <f>COSTOS!$D$16</f>
        <v>Luminarias</v>
      </c>
      <c r="C5634" s="565"/>
      <c r="D5634" s="565"/>
      <c r="E5634" s="565"/>
      <c r="F5634" s="565"/>
      <c r="G5634" s="70" t="s">
        <v>4223</v>
      </c>
      <c r="H5634" s="391">
        <v>2.27</v>
      </c>
      <c r="K5634" s="62">
        <f>H5659</f>
        <v>2036280.4000000001</v>
      </c>
      <c r="L5634" s="62">
        <f>H5669</f>
        <v>67452</v>
      </c>
      <c r="M5634" s="62">
        <f>H5642</f>
        <v>182649.375</v>
      </c>
      <c r="N5634" s="62">
        <f>H5663</f>
        <v>16000</v>
      </c>
    </row>
    <row r="5635" spans="1:15" ht="43.15" customHeight="1">
      <c r="A5635" s="229" t="s">
        <v>4224</v>
      </c>
      <c r="B5635" s="566" t="str">
        <f>VLOOKUP(H5634,COSTOS!C:M,2,0)</f>
        <v>Poste concreto de 14 x 750 kgf</v>
      </c>
      <c r="C5635" s="567"/>
      <c r="D5635" s="567"/>
      <c r="E5635" s="568"/>
      <c r="F5635" s="71" t="s">
        <v>0</v>
      </c>
      <c r="G5635" s="356" t="str">
        <f>VLOOKUP(H5634,COSTOS!C:M,8,0)</f>
        <v>Und</v>
      </c>
      <c r="H5635" s="276"/>
      <c r="I5635" s="306"/>
      <c r="J5635" s="308"/>
      <c r="K5635" s="308"/>
      <c r="L5635" s="308"/>
    </row>
    <row r="5636" spans="1:15">
      <c r="A5636" s="230"/>
      <c r="B5636" s="112"/>
      <c r="C5636" s="112"/>
      <c r="D5636" s="112"/>
      <c r="E5636" s="113"/>
      <c r="F5636" s="114" t="s">
        <v>1</v>
      </c>
      <c r="G5636" s="356">
        <f>VLOOKUP(H5634,COSTOS!C:M,9,0)</f>
        <v>0</v>
      </c>
      <c r="H5636" s="357"/>
      <c r="I5636" s="307"/>
    </row>
    <row r="5637" spans="1:15" ht="16.5">
      <c r="A5637" s="231" t="s">
        <v>4226</v>
      </c>
      <c r="B5637" s="75"/>
      <c r="C5637" s="75"/>
      <c r="D5637" s="76"/>
      <c r="E5637" s="209"/>
      <c r="F5637" s="210"/>
      <c r="G5637" s="211" t="s">
        <v>4227</v>
      </c>
      <c r="H5637" s="217">
        <f>H5642+H5659+H5663+H5669</f>
        <v>2302381.7750000004</v>
      </c>
    </row>
    <row r="5638" spans="1:15" ht="39">
      <c r="A5638" s="569" t="s">
        <v>4224</v>
      </c>
      <c r="B5638" s="569"/>
      <c r="C5638" s="569"/>
      <c r="D5638" s="77" t="s">
        <v>0</v>
      </c>
      <c r="E5638" s="207" t="s">
        <v>4228</v>
      </c>
      <c r="F5638" s="208" t="s">
        <v>4215</v>
      </c>
      <c r="G5638" s="74" t="s">
        <v>2</v>
      </c>
      <c r="H5638" s="218" t="s">
        <v>4229</v>
      </c>
      <c r="K5638" s="309"/>
    </row>
    <row r="5639" spans="1:15">
      <c r="A5639" s="536" t="s">
        <v>3946</v>
      </c>
      <c r="B5639" s="570" t="str">
        <f>VLOOKUP(A5639,'Equip, Herr y Transp'!$B$2:$D$739,2,0)</f>
        <v>EQU</v>
      </c>
      <c r="C5639" s="570"/>
      <c r="D5639" s="95" t="str">
        <f>VLOOKUP(A5639,'Equip, Herr y Transp'!$B$2:$D$218,2,0)</f>
        <v>EQU</v>
      </c>
      <c r="E5639" s="95">
        <f>VLOOKUP(A5639,'Equip, Herr y Transp'!$B$2:$D$218,3,0)</f>
        <v>14130</v>
      </c>
      <c r="F5639" s="96">
        <f>H5629</f>
        <v>0.1875</v>
      </c>
      <c r="G5639" s="122">
        <f>F5639*E5639</f>
        <v>2649.375</v>
      </c>
      <c r="H5639" s="118"/>
    </row>
    <row r="5640" spans="1:15">
      <c r="A5640" s="536" t="s">
        <v>3894</v>
      </c>
      <c r="B5640" s="570" t="str">
        <f>VLOOKUP(A5640,'Equip, Herr y Transp'!$B$2:$D$739,2,0)</f>
        <v>TR</v>
      </c>
      <c r="C5640" s="570"/>
      <c r="D5640" s="95" t="str">
        <f>VLOOKUP(A5640,'Equip, Herr y Transp'!$B$2:$D$218,2,0)</f>
        <v>TR</v>
      </c>
      <c r="E5640" s="95">
        <f>VLOOKUP(A5640,'Equip, Herr y Transp'!$B$2:$D$218,3,0)</f>
        <v>960000</v>
      </c>
      <c r="F5640" s="96">
        <f>H5629</f>
        <v>0.1875</v>
      </c>
      <c r="G5640" s="122">
        <f>F5640*E5640</f>
        <v>180000</v>
      </c>
      <c r="H5640" s="117"/>
    </row>
    <row r="5641" spans="1:15">
      <c r="A5641" s="536" t="s">
        <v>8</v>
      </c>
      <c r="B5641" s="570">
        <f>VLOOKUP(A5641,'Equip, Herr y Transp'!$B$2:$D$739,2,0)</f>
        <v>0</v>
      </c>
      <c r="C5641" s="570"/>
      <c r="D5641" s="95">
        <f>VLOOKUP(A5641,'Equip, Herr y Transp'!$B$2:$D$218,2,0)</f>
        <v>0</v>
      </c>
      <c r="E5641" s="95">
        <f>VLOOKUP(A5641,'Equip, Herr y Transp'!$B$2:$D$218,3,0)</f>
        <v>0</v>
      </c>
      <c r="F5641" s="96">
        <f>F5640</f>
        <v>0.1875</v>
      </c>
      <c r="G5641" s="122">
        <f>F5641*E5641</f>
        <v>0</v>
      </c>
      <c r="H5641" s="117"/>
    </row>
    <row r="5642" spans="1:15" ht="16.5">
      <c r="A5642" s="540" t="s">
        <v>4100</v>
      </c>
      <c r="B5642" s="541"/>
      <c r="C5642" s="541"/>
      <c r="D5642" s="541"/>
      <c r="E5642" s="541"/>
      <c r="F5642" s="541"/>
      <c r="G5642" s="541"/>
      <c r="H5642" s="97">
        <f>SUM(G5639:G5641)</f>
        <v>182649.375</v>
      </c>
    </row>
    <row r="5643" spans="1:15" ht="16.5">
      <c r="A5643" s="571" t="s">
        <v>4230</v>
      </c>
      <c r="B5643" s="572"/>
      <c r="C5643" s="572"/>
      <c r="D5643" s="572"/>
      <c r="E5643" s="572"/>
      <c r="F5643" s="572"/>
      <c r="G5643" s="572"/>
      <c r="H5643" s="573"/>
      <c r="K5643" s="56"/>
      <c r="L5643" s="56"/>
      <c r="M5643" s="56"/>
      <c r="N5643" s="56"/>
      <c r="O5643" s="56"/>
    </row>
    <row r="5644" spans="1:15" ht="30" customHeight="1">
      <c r="A5644" s="574" t="s">
        <v>7</v>
      </c>
      <c r="B5644" s="575"/>
      <c r="C5644" s="109" t="s">
        <v>0</v>
      </c>
      <c r="D5644" s="110" t="s">
        <v>4098</v>
      </c>
      <c r="E5644" s="111" t="s">
        <v>1</v>
      </c>
      <c r="F5644" s="576" t="s">
        <v>4218</v>
      </c>
      <c r="G5644" s="576"/>
      <c r="H5644" s="215"/>
      <c r="K5644" s="56"/>
      <c r="L5644" s="56"/>
      <c r="M5644" s="56"/>
      <c r="N5644" s="56"/>
      <c r="O5644" s="56"/>
    </row>
    <row r="5645" spans="1:15">
      <c r="A5645" s="577" t="s">
        <v>4825</v>
      </c>
      <c r="B5645" s="578"/>
      <c r="C5645" s="98" t="str">
        <f>VLOOKUP(A5645,'Materiales '!$C$2:$F$1302,3,0)</f>
        <v>Und</v>
      </c>
      <c r="D5645" s="99">
        <f>VLOOKUP(A5645,'Materiales '!$C$2:$F$1302,4,0)</f>
        <v>1898050.0000000002</v>
      </c>
      <c r="E5645" s="100">
        <v>1</v>
      </c>
      <c r="F5645" s="538">
        <f>E5645*D5645</f>
        <v>1898050.0000000002</v>
      </c>
      <c r="G5645" s="539"/>
      <c r="H5645" s="121"/>
      <c r="I5645">
        <f>E5645*G5636</f>
        <v>0</v>
      </c>
      <c r="J5645" s="67"/>
      <c r="K5645" s="56"/>
      <c r="L5645" s="56"/>
      <c r="M5645" s="56"/>
      <c r="N5645" s="56"/>
      <c r="O5645" s="56"/>
    </row>
    <row r="5646" spans="1:15">
      <c r="A5646" s="577" t="s">
        <v>4628</v>
      </c>
      <c r="B5646" s="578"/>
      <c r="C5646" s="98" t="str">
        <f>VLOOKUP(A5646,'Materiales '!$C$2:$F$1302,3,0)</f>
        <v>Rollo</v>
      </c>
      <c r="D5646" s="99">
        <f>VLOOKUP(A5646,'Materiales '!$C$2:$F$1302,4,0)</f>
        <v>138230.39999999999</v>
      </c>
      <c r="E5646" s="100">
        <v>1</v>
      </c>
      <c r="F5646" s="538">
        <f t="shared" ref="F5646:F5652" si="331">E5646*D5646</f>
        <v>138230.39999999999</v>
      </c>
      <c r="G5646" s="539"/>
      <c r="H5646" s="121"/>
      <c r="I5646">
        <f>E5646*G5636</f>
        <v>0</v>
      </c>
      <c r="J5646" s="67"/>
      <c r="K5646" s="56"/>
      <c r="L5646" s="56"/>
      <c r="M5646" s="56"/>
      <c r="N5646" s="56"/>
      <c r="O5646" s="56"/>
    </row>
    <row r="5647" spans="1:15">
      <c r="A5647" s="536" t="s">
        <v>8</v>
      </c>
      <c r="B5647" s="537" t="str">
        <f>VLOOKUP(A5647,'Materiales '!$C$2:$F$1302,3,0)</f>
        <v>-</v>
      </c>
      <c r="C5647" s="98" t="str">
        <f>VLOOKUP(A5647,'Materiales '!$C$2:$F$1302,3,0)</f>
        <v>-</v>
      </c>
      <c r="D5647" s="99">
        <f>VLOOKUP(A5647,'Materiales '!$C$2:$F$1302,4,0)</f>
        <v>0</v>
      </c>
      <c r="E5647" s="100">
        <v>6</v>
      </c>
      <c r="F5647" s="538">
        <f t="shared" si="331"/>
        <v>0</v>
      </c>
      <c r="G5647" s="539"/>
      <c r="H5647" s="121"/>
      <c r="I5647">
        <f>E5647*G5636</f>
        <v>0</v>
      </c>
      <c r="J5647" s="68"/>
      <c r="K5647" s="56"/>
      <c r="L5647" s="56"/>
      <c r="M5647" s="56"/>
      <c r="N5647" s="56"/>
      <c r="O5647" s="56"/>
    </row>
    <row r="5648" spans="1:15">
      <c r="A5648" s="536" t="s">
        <v>8</v>
      </c>
      <c r="B5648" s="537" t="str">
        <f>VLOOKUP(A5648,'Materiales '!$C$2:$F$1302,3,0)</f>
        <v>-</v>
      </c>
      <c r="C5648" s="98" t="str">
        <f>VLOOKUP(A5648,'Materiales '!$C$2:$F$1302,3,0)</f>
        <v>-</v>
      </c>
      <c r="D5648" s="99">
        <f>VLOOKUP(A5648,'Materiales '!$C$2:$F$1302,4,0)</f>
        <v>0</v>
      </c>
      <c r="E5648" s="100">
        <v>3</v>
      </c>
      <c r="F5648" s="538">
        <f t="shared" si="331"/>
        <v>0</v>
      </c>
      <c r="G5648" s="539"/>
      <c r="H5648" s="121"/>
      <c r="I5648">
        <f>E5648*G5636</f>
        <v>0</v>
      </c>
      <c r="J5648" s="68"/>
      <c r="K5648" s="56"/>
      <c r="L5648" s="56"/>
      <c r="M5648" s="56"/>
      <c r="N5648" s="56"/>
      <c r="O5648" s="56"/>
    </row>
    <row r="5649" spans="1:15">
      <c r="A5649" s="536" t="s">
        <v>8</v>
      </c>
      <c r="B5649" s="537" t="str">
        <f>VLOOKUP(A5649,'Materiales '!$C$2:$F$1302,3,0)</f>
        <v>-</v>
      </c>
      <c r="C5649" s="98" t="str">
        <f>VLOOKUP(A5649,'Materiales '!$C$2:$F$1302,3,0)</f>
        <v>-</v>
      </c>
      <c r="D5649" s="99">
        <f>VLOOKUP(A5649,'Materiales '!$C$2:$F$1302,4,0)</f>
        <v>0</v>
      </c>
      <c r="E5649" s="100">
        <v>2</v>
      </c>
      <c r="F5649" s="538">
        <f t="shared" si="331"/>
        <v>0</v>
      </c>
      <c r="G5649" s="539"/>
      <c r="H5649" s="121"/>
      <c r="I5649">
        <f>E5649*G5636</f>
        <v>0</v>
      </c>
      <c r="J5649" s="68"/>
      <c r="K5649" s="56"/>
      <c r="L5649" s="56"/>
      <c r="M5649" s="56"/>
      <c r="N5649" s="56"/>
      <c r="O5649" s="56"/>
    </row>
    <row r="5650" spans="1:15">
      <c r="A5650" s="536" t="s">
        <v>8</v>
      </c>
      <c r="B5650" s="537" t="str">
        <f>VLOOKUP(A5650,'Materiales '!$C$2:$F$1302,3,0)</f>
        <v>-</v>
      </c>
      <c r="C5650" s="98" t="str">
        <f>VLOOKUP(A5650,'Materiales '!$C$2:$F$1302,3,0)</f>
        <v>-</v>
      </c>
      <c r="D5650" s="99">
        <f>VLOOKUP(A5650,'Materiales '!$C$2:$F$1302,4,0)</f>
        <v>0</v>
      </c>
      <c r="E5650" s="100">
        <v>8</v>
      </c>
      <c r="F5650" s="538">
        <f t="shared" si="331"/>
        <v>0</v>
      </c>
      <c r="G5650" s="539"/>
      <c r="H5650" s="121"/>
      <c r="I5650">
        <f>E5650*G5636</f>
        <v>0</v>
      </c>
      <c r="J5650" s="68"/>
      <c r="K5650" s="56"/>
      <c r="L5650" s="56"/>
      <c r="M5650" s="56"/>
      <c r="N5650" s="56"/>
      <c r="O5650" s="56"/>
    </row>
    <row r="5651" spans="1:15">
      <c r="A5651" s="536" t="s">
        <v>8</v>
      </c>
      <c r="B5651" s="537" t="str">
        <f>VLOOKUP(A5651,'Materiales '!$C$2:$F$1302,3,0)</f>
        <v>-</v>
      </c>
      <c r="C5651" s="98" t="str">
        <f>VLOOKUP(A5651,'Materiales '!$C$2:$F$1302,3,0)</f>
        <v>-</v>
      </c>
      <c r="D5651" s="99">
        <f>VLOOKUP(A5651,'Materiales '!$C$2:$F$1302,4,0)</f>
        <v>0</v>
      </c>
      <c r="E5651" s="100">
        <v>3</v>
      </c>
      <c r="F5651" s="538">
        <f t="shared" si="331"/>
        <v>0</v>
      </c>
      <c r="G5651" s="539"/>
      <c r="H5651" s="121"/>
      <c r="I5651">
        <f>E5651*G5636</f>
        <v>0</v>
      </c>
      <c r="J5651" s="68"/>
      <c r="K5651" s="56"/>
      <c r="L5651" s="56"/>
      <c r="M5651" s="56"/>
      <c r="N5651" s="56"/>
      <c r="O5651" s="56"/>
    </row>
    <row r="5652" spans="1:15" ht="21.75" customHeight="1">
      <c r="A5652" s="536" t="s">
        <v>8</v>
      </c>
      <c r="B5652" s="537" t="str">
        <f>VLOOKUP(A5652,'Materiales '!$C$2:$F$1302,3,0)</f>
        <v>-</v>
      </c>
      <c r="C5652" s="98" t="str">
        <f>VLOOKUP(A5652,'Materiales '!$C$2:$F$1302,3,0)</f>
        <v>-</v>
      </c>
      <c r="D5652" s="99">
        <f>VLOOKUP(A5652,'Materiales '!$C$2:$F$1302,4,0)</f>
        <v>0</v>
      </c>
      <c r="E5652" s="100">
        <v>0.5</v>
      </c>
      <c r="F5652" s="538">
        <f t="shared" si="331"/>
        <v>0</v>
      </c>
      <c r="G5652" s="539"/>
      <c r="H5652" s="121"/>
      <c r="I5652">
        <f>E5652*G5636</f>
        <v>0</v>
      </c>
      <c r="J5652" s="68"/>
      <c r="K5652" s="56"/>
      <c r="L5652" s="56"/>
      <c r="M5652" s="56"/>
      <c r="N5652" s="56"/>
      <c r="O5652" s="56"/>
    </row>
    <row r="5653" spans="1:15">
      <c r="A5653" s="536" t="s">
        <v>8</v>
      </c>
      <c r="B5653" s="537" t="str">
        <f>VLOOKUP(A5653,'Materiales '!$C$2:$F$1302,3,0)</f>
        <v>-</v>
      </c>
      <c r="C5653" s="98" t="str">
        <f>VLOOKUP(A5653,'Materiales '!$C$2:$F$1302,3,0)</f>
        <v>-</v>
      </c>
      <c r="D5653" s="99">
        <f>VLOOKUP(A5653,'Materiales '!$C$2:$F$1302,4,0)</f>
        <v>0</v>
      </c>
      <c r="E5653" s="100"/>
      <c r="F5653" s="538">
        <f>E5653*D5653</f>
        <v>0</v>
      </c>
      <c r="G5653" s="539"/>
      <c r="H5653" s="120"/>
      <c r="I5653">
        <f>E5653*G5636</f>
        <v>0</v>
      </c>
      <c r="J5653" s="68"/>
      <c r="K5653" s="56"/>
      <c r="L5653" s="56"/>
      <c r="M5653" s="56"/>
      <c r="N5653" s="56"/>
      <c r="O5653" s="56"/>
    </row>
    <row r="5654" spans="1:15">
      <c r="A5654" s="536" t="s">
        <v>8</v>
      </c>
      <c r="B5654" s="537" t="str">
        <f>VLOOKUP(A5654,'Materiales '!$C$2:$F$1302,3,0)</f>
        <v>-</v>
      </c>
      <c r="C5654" s="98" t="str">
        <f>VLOOKUP(A5654,'Materiales '!$C$2:$F$1302,3,0)</f>
        <v>-</v>
      </c>
      <c r="D5654" s="99">
        <f>VLOOKUP(A5654,'Materiales '!$C$2:$F$1302,4,0)</f>
        <v>0</v>
      </c>
      <c r="E5654" s="100"/>
      <c r="F5654" s="538">
        <f t="shared" ref="F5654:F5657" si="332">E5654*D5654</f>
        <v>0</v>
      </c>
      <c r="G5654" s="539"/>
      <c r="H5654" s="121"/>
      <c r="I5654">
        <f>E5654*G5636</f>
        <v>0</v>
      </c>
      <c r="J5654" s="68"/>
      <c r="K5654" s="56"/>
      <c r="L5654" s="56"/>
      <c r="M5654" s="56"/>
      <c r="N5654" s="56"/>
      <c r="O5654" s="56"/>
    </row>
    <row r="5655" spans="1:15">
      <c r="A5655" s="536" t="s">
        <v>8</v>
      </c>
      <c r="B5655" s="537" t="str">
        <f>VLOOKUP(A5655,'Materiales '!$C$2:$F$1302,3,0)</f>
        <v>-</v>
      </c>
      <c r="C5655" s="98" t="str">
        <f>VLOOKUP(A5655,'Materiales '!$C$2:$F$1302,3,0)</f>
        <v>-</v>
      </c>
      <c r="D5655" s="99">
        <f>VLOOKUP(A5655,'Materiales '!$C$2:$F$1302,4,0)</f>
        <v>0</v>
      </c>
      <c r="E5655" s="100"/>
      <c r="F5655" s="538">
        <f t="shared" si="332"/>
        <v>0</v>
      </c>
      <c r="G5655" s="539"/>
      <c r="H5655" s="121"/>
      <c r="I5655">
        <f>E5655*G5636</f>
        <v>0</v>
      </c>
      <c r="J5655" s="68"/>
      <c r="K5655" s="56"/>
      <c r="L5655" s="56"/>
      <c r="M5655" s="56"/>
      <c r="N5655" s="56"/>
      <c r="O5655" s="56"/>
    </row>
    <row r="5656" spans="1:15">
      <c r="A5656" s="536" t="s">
        <v>8</v>
      </c>
      <c r="B5656" s="537" t="str">
        <f>VLOOKUP(A5656,'Materiales '!$C$2:$F$1302,3,0)</f>
        <v>-</v>
      </c>
      <c r="C5656" s="98" t="str">
        <f>VLOOKUP(A5656,'Materiales '!$C$2:$F$1302,3,0)</f>
        <v>-</v>
      </c>
      <c r="D5656" s="99">
        <f>VLOOKUP(A5656,'Materiales '!$C$2:$F$1302,4,0)</f>
        <v>0</v>
      </c>
      <c r="E5656" s="100"/>
      <c r="F5656" s="538">
        <f t="shared" si="332"/>
        <v>0</v>
      </c>
      <c r="G5656" s="539"/>
      <c r="H5656" s="121"/>
      <c r="I5656">
        <f>E5656*G5636</f>
        <v>0</v>
      </c>
      <c r="J5656" s="68"/>
      <c r="K5656" s="56"/>
      <c r="L5656" s="56"/>
      <c r="M5656" s="56"/>
      <c r="N5656" s="56"/>
      <c r="O5656" s="56"/>
    </row>
    <row r="5657" spans="1:15">
      <c r="A5657" s="536" t="s">
        <v>8</v>
      </c>
      <c r="B5657" s="537" t="str">
        <f>VLOOKUP(A5657,'Materiales '!$C$2:$F$1302,3,0)</f>
        <v>-</v>
      </c>
      <c r="C5657" s="98" t="str">
        <f>VLOOKUP(A5657,'Materiales '!$C$2:$F$1302,3,0)</f>
        <v>-</v>
      </c>
      <c r="D5657" s="99">
        <f>VLOOKUP(A5657,'Materiales '!$C$2:$F$1302,4,0)</f>
        <v>0</v>
      </c>
      <c r="E5657" s="100"/>
      <c r="F5657" s="538">
        <f t="shared" si="332"/>
        <v>0</v>
      </c>
      <c r="G5657" s="539"/>
      <c r="H5657" s="121"/>
      <c r="I5657">
        <f>E5657*G5636</f>
        <v>0</v>
      </c>
      <c r="J5657" s="68"/>
      <c r="K5657" s="56"/>
      <c r="L5657" s="56"/>
      <c r="M5657" s="56"/>
      <c r="N5657" s="56"/>
      <c r="O5657" s="56"/>
    </row>
    <row r="5658" spans="1:15">
      <c r="A5658" s="536" t="s">
        <v>8</v>
      </c>
      <c r="B5658" s="537" t="str">
        <f>VLOOKUP(A5658,'Materiales '!$C$2:$F$1302,3,0)</f>
        <v>-</v>
      </c>
      <c r="C5658" s="98" t="str">
        <f>VLOOKUP(A5658,'Materiales '!$C$2:$F$1302,3,0)</f>
        <v>-</v>
      </c>
      <c r="D5658" s="99">
        <f>VLOOKUP(A5658,'Materiales '!$C$2:$F$1302,4,0)</f>
        <v>0</v>
      </c>
      <c r="E5658" s="100"/>
      <c r="F5658" s="538">
        <f>E5658*D5658</f>
        <v>0</v>
      </c>
      <c r="G5658" s="539"/>
      <c r="H5658" s="120"/>
      <c r="I5658">
        <f>E5658*G5636</f>
        <v>0</v>
      </c>
      <c r="J5658" s="68"/>
      <c r="K5658" s="56"/>
      <c r="L5658" s="56"/>
      <c r="M5658" s="56"/>
      <c r="N5658" s="56"/>
      <c r="O5658" s="56"/>
    </row>
    <row r="5659" spans="1:15" ht="16.5">
      <c r="A5659" s="540" t="s">
        <v>4099</v>
      </c>
      <c r="B5659" s="541"/>
      <c r="C5659" s="541"/>
      <c r="D5659" s="541"/>
      <c r="E5659" s="541"/>
      <c r="F5659" s="541"/>
      <c r="G5659" s="542"/>
      <c r="H5659" s="116">
        <f>SUM(F5645:F5658)</f>
        <v>2036280.4000000001</v>
      </c>
      <c r="J5659" s="68"/>
      <c r="K5659" s="56"/>
      <c r="L5659" s="56"/>
      <c r="M5659" s="56"/>
      <c r="N5659" s="56"/>
      <c r="O5659" s="56"/>
    </row>
    <row r="5660" spans="1:15" ht="16.5">
      <c r="A5660" s="543" t="s">
        <v>4231</v>
      </c>
      <c r="B5660" s="544"/>
      <c r="C5660" s="544"/>
      <c r="D5660" s="544"/>
      <c r="E5660" s="545"/>
      <c r="F5660" s="544"/>
      <c r="G5660" s="544"/>
      <c r="H5660" s="546"/>
      <c r="J5660" s="68"/>
      <c r="K5660" s="56"/>
      <c r="L5660" s="56"/>
      <c r="M5660" s="56"/>
      <c r="N5660" s="56"/>
      <c r="O5660" s="56"/>
    </row>
    <row r="5661" spans="1:15">
      <c r="A5661" s="547" t="s">
        <v>7</v>
      </c>
      <c r="B5661" s="548"/>
      <c r="C5661" s="108" t="s">
        <v>4232</v>
      </c>
      <c r="D5661" s="107" t="s">
        <v>4233</v>
      </c>
      <c r="E5661" s="206" t="s">
        <v>4234</v>
      </c>
      <c r="F5661" s="549" t="s">
        <v>4218</v>
      </c>
      <c r="G5661" s="549"/>
      <c r="H5661" s="119"/>
      <c r="K5661" s="56"/>
      <c r="L5661" s="56"/>
      <c r="M5661" s="56"/>
      <c r="N5661" s="56"/>
      <c r="O5661" s="56"/>
    </row>
    <row r="5662" spans="1:15">
      <c r="A5662" s="550" t="s">
        <v>3928</v>
      </c>
      <c r="B5662" s="551"/>
      <c r="C5662" s="232">
        <v>1</v>
      </c>
      <c r="D5662" s="102">
        <v>0.1</v>
      </c>
      <c r="E5662" s="103">
        <f>VLOOKUP(A5662,'Equip, Herr y Transp'!$B$2:$D$218,3,0)</f>
        <v>160000</v>
      </c>
      <c r="F5662" s="552">
        <f>E5662*D5662*C5662</f>
        <v>16000</v>
      </c>
      <c r="G5662" s="553"/>
      <c r="H5662" s="117"/>
      <c r="M5662" s="56"/>
    </row>
    <row r="5663" spans="1:15" ht="16.5">
      <c r="A5663" s="554" t="s">
        <v>4216</v>
      </c>
      <c r="B5663" s="555"/>
      <c r="C5663" s="555"/>
      <c r="D5663" s="555"/>
      <c r="E5663" s="555"/>
      <c r="F5663" s="555"/>
      <c r="G5663" s="555"/>
      <c r="H5663" s="105">
        <f>F5662</f>
        <v>16000</v>
      </c>
    </row>
    <row r="5664" spans="1:15" ht="16.5">
      <c r="A5664" s="543" t="s">
        <v>4235</v>
      </c>
      <c r="B5664" s="544"/>
      <c r="C5664" s="544"/>
      <c r="D5664" s="544"/>
      <c r="E5664" s="544"/>
      <c r="F5664" s="544"/>
      <c r="G5664" s="544"/>
      <c r="H5664" s="546"/>
    </row>
    <row r="5665" spans="1:10">
      <c r="A5665" s="547" t="s">
        <v>7</v>
      </c>
      <c r="B5665" s="548"/>
      <c r="C5665" s="106" t="s">
        <v>1</v>
      </c>
      <c r="D5665" s="107" t="s">
        <v>4236</v>
      </c>
      <c r="E5665" s="108" t="s">
        <v>4215</v>
      </c>
      <c r="F5665" s="547" t="s">
        <v>5</v>
      </c>
      <c r="G5665" s="556"/>
      <c r="H5665" s="119"/>
    </row>
    <row r="5666" spans="1:10">
      <c r="A5666" s="550" t="s">
        <v>4196</v>
      </c>
      <c r="B5666" s="551"/>
      <c r="C5666" s="101">
        <v>1</v>
      </c>
      <c r="D5666" s="104">
        <f>VLOOKUP(A5666,'Mano Obra'!$B$2:$T$117,19,0)</f>
        <v>166624</v>
      </c>
      <c r="E5666" s="246">
        <f>H5629</f>
        <v>0.1875</v>
      </c>
      <c r="F5666" s="538">
        <f>E5666*D5666*C5666</f>
        <v>31242</v>
      </c>
      <c r="G5666" s="557"/>
      <c r="H5666" s="121"/>
      <c r="I5666" s="69"/>
      <c r="J5666" s="136">
        <f>((('Mano Obra'!$M$4/30)*F5666)/D5666)*G5636</f>
        <v>0</v>
      </c>
    </row>
    <row r="5667" spans="1:10">
      <c r="A5667" s="558" t="s">
        <v>4197</v>
      </c>
      <c r="B5667" s="559">
        <f>VLOOKUP(A5667,'Mano Obra'!$B$3:$D$290,2,0)</f>
        <v>2090000.0000000002</v>
      </c>
      <c r="C5667" s="101">
        <v>1</v>
      </c>
      <c r="D5667" s="104">
        <f>VLOOKUP(A5667,'Mano Obra'!$B$2:$T$117,19,0)</f>
        <v>120456</v>
      </c>
      <c r="E5667" s="246">
        <f>H5629</f>
        <v>0.1875</v>
      </c>
      <c r="F5667" s="538">
        <f t="shared" ref="F5667:F5668" si="333">E5667*D5667*C5667</f>
        <v>22585.5</v>
      </c>
      <c r="G5667" s="557"/>
      <c r="H5667" s="121"/>
      <c r="J5667" s="136">
        <f>((('Mano Obra'!$M$5/30)*F5667)/D5667)*G5636</f>
        <v>0</v>
      </c>
    </row>
    <row r="5668" spans="1:10">
      <c r="A5668" s="558" t="s">
        <v>4186</v>
      </c>
      <c r="B5668" s="559">
        <f>VLOOKUP(A5668,'Mano Obra'!$B$3:$D$290,2,0)</f>
        <v>1100000</v>
      </c>
      <c r="C5668" s="101">
        <v>1</v>
      </c>
      <c r="D5668" s="104">
        <f>VLOOKUP(A5668,'Mano Obra'!$B$2:$T$117,19,0)</f>
        <v>72664</v>
      </c>
      <c r="E5668" s="246">
        <f>H5629</f>
        <v>0.1875</v>
      </c>
      <c r="F5668" s="538">
        <f t="shared" si="333"/>
        <v>13624.5</v>
      </c>
      <c r="G5668" s="557"/>
      <c r="H5668" s="120"/>
      <c r="J5668" s="136">
        <f>((('Mano Obra'!$M$6/30)*F5668)/D5668)*G5636</f>
        <v>0</v>
      </c>
    </row>
    <row r="5669" spans="1:10" ht="16.5">
      <c r="A5669" s="560" t="s">
        <v>4101</v>
      </c>
      <c r="B5669" s="560"/>
      <c r="C5669" s="560"/>
      <c r="D5669" s="560"/>
      <c r="E5669" s="560"/>
      <c r="F5669" s="560"/>
      <c r="G5669" s="560"/>
      <c r="H5669" s="105">
        <f>SUM(F5666:F5668)</f>
        <v>67452</v>
      </c>
      <c r="J5669" s="136"/>
    </row>
    <row r="5670" spans="1:10">
      <c r="A5670" s="227" t="s">
        <v>4237</v>
      </c>
      <c r="B5670" s="205"/>
      <c r="C5670" s="205"/>
      <c r="D5670" s="202"/>
      <c r="E5670" s="203"/>
      <c r="F5670" s="204"/>
      <c r="G5670" s="203"/>
      <c r="H5670" s="212"/>
    </row>
    <row r="5671" spans="1:10">
      <c r="A5671" s="561" t="s">
        <v>4224</v>
      </c>
      <c r="B5671" s="562"/>
      <c r="C5671" s="562"/>
      <c r="D5671" s="562"/>
      <c r="E5671" s="200"/>
      <c r="F5671" s="201" t="s">
        <v>4238</v>
      </c>
      <c r="G5671" s="200" t="s">
        <v>4239</v>
      </c>
      <c r="H5671" s="213"/>
    </row>
    <row r="5672" spans="1:10">
      <c r="A5672" s="223" t="s">
        <v>4097</v>
      </c>
      <c r="B5672" s="72"/>
      <c r="C5672" s="72"/>
      <c r="D5672" s="73"/>
      <c r="E5672" s="78"/>
      <c r="F5672" s="79">
        <v>0</v>
      </c>
      <c r="G5672" s="80">
        <f>F5672*H5637</f>
        <v>0</v>
      </c>
      <c r="H5672" s="212"/>
    </row>
    <row r="5673" spans="1:10">
      <c r="A5673" s="224" t="s">
        <v>4240</v>
      </c>
      <c r="B5673" s="81"/>
      <c r="C5673" s="81"/>
      <c r="D5673" s="82"/>
      <c r="E5673" s="78"/>
      <c r="F5673" s="79">
        <v>0</v>
      </c>
      <c r="G5673" s="80">
        <f>F5673*H5637</f>
        <v>0</v>
      </c>
      <c r="H5673" s="212"/>
    </row>
    <row r="5674" spans="1:10">
      <c r="A5674" s="224" t="s">
        <v>4</v>
      </c>
      <c r="B5674" s="81"/>
      <c r="C5674" s="81"/>
      <c r="D5674" s="82"/>
      <c r="E5674" s="78"/>
      <c r="F5674" s="79">
        <v>0</v>
      </c>
      <c r="G5674" s="80">
        <f>F5674*H5637</f>
        <v>0</v>
      </c>
      <c r="H5674" s="212"/>
    </row>
    <row r="5675" spans="1:10">
      <c r="A5675" s="225"/>
      <c r="B5675" s="83"/>
      <c r="C5675" s="75"/>
      <c r="D5675" s="84"/>
      <c r="E5675" s="85"/>
      <c r="F5675" s="86"/>
      <c r="G5675" s="87"/>
      <c r="H5675" s="214"/>
    </row>
    <row r="5676" spans="1:10">
      <c r="A5676" s="226"/>
      <c r="B5676" s="83"/>
      <c r="C5676" s="83"/>
      <c r="D5676" s="84"/>
      <c r="E5676" s="88"/>
      <c r="F5676" s="563" t="s">
        <v>4241</v>
      </c>
      <c r="G5676" s="564"/>
      <c r="H5676" s="233">
        <f>H5637+G5672+G5673+G5674</f>
        <v>2302381.7750000004</v>
      </c>
    </row>
    <row r="5677" spans="1:10">
      <c r="A5677" s="83"/>
      <c r="B5677" s="83"/>
      <c r="C5677" s="83"/>
      <c r="D5677" s="84"/>
      <c r="E5677" s="388"/>
      <c r="F5677" s="389"/>
      <c r="G5677" s="389"/>
      <c r="H5677" s="390"/>
    </row>
    <row r="5678" spans="1:10" ht="16.5">
      <c r="A5678" s="90"/>
      <c r="B5678" s="90"/>
      <c r="C5678" s="90"/>
      <c r="D5678" s="90"/>
      <c r="E5678" s="90"/>
      <c r="F5678" s="90"/>
      <c r="G5678" s="90"/>
      <c r="H5678" s="381"/>
    </row>
    <row r="5679" spans="1:10">
      <c r="A5679" s="579" t="s">
        <v>4225</v>
      </c>
      <c r="B5679" s="580"/>
      <c r="C5679" s="580"/>
      <c r="D5679" s="580"/>
      <c r="E5679" s="580"/>
      <c r="F5679" s="580"/>
      <c r="G5679" s="580"/>
      <c r="H5679" s="581"/>
    </row>
    <row r="5680" spans="1:10" ht="16.5">
      <c r="A5680" s="91"/>
      <c r="B5680" s="92"/>
      <c r="C5680" s="92"/>
      <c r="D5680" s="92"/>
      <c r="E5680" s="92"/>
      <c r="F5680" s="93"/>
      <c r="G5680" s="94"/>
      <c r="H5680" s="380">
        <f>ROUND((140/60)/8,4)</f>
        <v>0.29170000000000001</v>
      </c>
      <c r="I5680" s="115"/>
    </row>
    <row r="5681" spans="1:15">
      <c r="A5681" s="582" t="s">
        <v>4220</v>
      </c>
      <c r="B5681" s="584" t="str">
        <f>COSTOS!$C$14</f>
        <v>MODERNIZACION A TECNOLOGIA LED</v>
      </c>
      <c r="C5681" s="584"/>
      <c r="D5681" s="584"/>
      <c r="E5681" s="584"/>
      <c r="F5681" s="584"/>
      <c r="G5681" s="584"/>
      <c r="H5681" s="585" t="s">
        <v>4221</v>
      </c>
    </row>
    <row r="5682" spans="1:15">
      <c r="A5682" s="583"/>
      <c r="B5682" s="584"/>
      <c r="C5682" s="584"/>
      <c r="D5682" s="584"/>
      <c r="E5682" s="584"/>
      <c r="F5682" s="584"/>
      <c r="G5682" s="584"/>
      <c r="H5682" s="585"/>
    </row>
    <row r="5683" spans="1:15">
      <c r="A5683" s="583"/>
      <c r="B5683" s="584"/>
      <c r="C5683" s="584"/>
      <c r="D5683" s="584"/>
      <c r="E5683" s="584"/>
      <c r="F5683" s="584"/>
      <c r="G5683" s="584"/>
      <c r="H5683" s="585"/>
    </row>
    <row r="5684" spans="1:15" ht="15" customHeight="1">
      <c r="A5684" s="583"/>
      <c r="B5684" s="584"/>
      <c r="C5684" s="584"/>
      <c r="D5684" s="584"/>
      <c r="E5684" s="584"/>
      <c r="F5684" s="584"/>
      <c r="G5684" s="584"/>
      <c r="H5684" s="216">
        <f ca="1">TODAY()</f>
        <v>44889</v>
      </c>
      <c r="K5684" t="s">
        <v>4391</v>
      </c>
      <c r="L5684" t="s">
        <v>4392</v>
      </c>
      <c r="M5684" t="s">
        <v>4393</v>
      </c>
      <c r="N5684" t="s">
        <v>4394</v>
      </c>
    </row>
    <row r="5685" spans="1:15" ht="60.75" customHeight="1">
      <c r="A5685" s="228" t="s">
        <v>4222</v>
      </c>
      <c r="B5685" s="565" t="str">
        <f>COSTOS!$D$16</f>
        <v>Luminarias</v>
      </c>
      <c r="C5685" s="565"/>
      <c r="D5685" s="565"/>
      <c r="E5685" s="565"/>
      <c r="F5685" s="565"/>
      <c r="G5685" s="70" t="s">
        <v>4223</v>
      </c>
      <c r="H5685" s="391">
        <v>2.2799999999999998</v>
      </c>
      <c r="K5685" s="62">
        <f>H5710</f>
        <v>2180270.4000000004</v>
      </c>
      <c r="L5685" s="62">
        <f>H5720</f>
        <v>104937.3248</v>
      </c>
      <c r="M5685" s="62">
        <f>H5693</f>
        <v>284153.72100000002</v>
      </c>
      <c r="N5685" s="62">
        <f>H5714</f>
        <v>76559.999999999985</v>
      </c>
    </row>
    <row r="5686" spans="1:15" ht="43.15" customHeight="1">
      <c r="A5686" s="229" t="s">
        <v>4224</v>
      </c>
      <c r="B5686" s="566" t="str">
        <f>VLOOKUP(H5685,COSTOS!C:M,2,0)</f>
        <v>Poste concreto de 16 x 750 kgf</v>
      </c>
      <c r="C5686" s="567"/>
      <c r="D5686" s="567"/>
      <c r="E5686" s="568"/>
      <c r="F5686" s="71" t="s">
        <v>0</v>
      </c>
      <c r="G5686" s="356" t="str">
        <f>VLOOKUP(H5685,COSTOS!C:M,8,0)</f>
        <v>Und</v>
      </c>
      <c r="H5686" s="276"/>
      <c r="I5686" s="306"/>
      <c r="J5686" s="308"/>
      <c r="K5686" s="308"/>
      <c r="L5686" s="308"/>
    </row>
    <row r="5687" spans="1:15">
      <c r="A5687" s="230"/>
      <c r="B5687" s="112"/>
      <c r="C5687" s="112"/>
      <c r="D5687" s="112"/>
      <c r="E5687" s="113"/>
      <c r="F5687" s="114" t="s">
        <v>1</v>
      </c>
      <c r="G5687" s="356">
        <f>VLOOKUP(H5685,COSTOS!C:M,9,0)</f>
        <v>0</v>
      </c>
      <c r="H5687" s="357"/>
      <c r="I5687" s="307"/>
    </row>
    <row r="5688" spans="1:15" ht="16.5">
      <c r="A5688" s="231" t="s">
        <v>4226</v>
      </c>
      <c r="B5688" s="75"/>
      <c r="C5688" s="75"/>
      <c r="D5688" s="76"/>
      <c r="E5688" s="209"/>
      <c r="F5688" s="210"/>
      <c r="G5688" s="211" t="s">
        <v>4227</v>
      </c>
      <c r="H5688" s="217">
        <f>H5693+H5710+H5714+H5720</f>
        <v>2645921.4458000003</v>
      </c>
    </row>
    <row r="5689" spans="1:15" ht="39">
      <c r="A5689" s="569" t="s">
        <v>4224</v>
      </c>
      <c r="B5689" s="569"/>
      <c r="C5689" s="569"/>
      <c r="D5689" s="77" t="s">
        <v>0</v>
      </c>
      <c r="E5689" s="207" t="s">
        <v>4228</v>
      </c>
      <c r="F5689" s="208" t="s">
        <v>4215</v>
      </c>
      <c r="G5689" s="74" t="s">
        <v>2</v>
      </c>
      <c r="H5689" s="218" t="s">
        <v>4229</v>
      </c>
      <c r="K5689" s="309"/>
    </row>
    <row r="5690" spans="1:15">
      <c r="A5690" s="536" t="s">
        <v>3946</v>
      </c>
      <c r="B5690" s="570" t="str">
        <f>VLOOKUP(A5690,'Equip, Herr y Transp'!$B$2:$D$739,2,0)</f>
        <v>EQU</v>
      </c>
      <c r="C5690" s="570"/>
      <c r="D5690" s="95" t="str">
        <f>VLOOKUP(A5690,'Equip, Herr y Transp'!$B$2:$D$218,2,0)</f>
        <v>EQU</v>
      </c>
      <c r="E5690" s="95">
        <f>VLOOKUP(A5690,'Equip, Herr y Transp'!$B$2:$D$218,3,0)</f>
        <v>14130</v>
      </c>
      <c r="F5690" s="96">
        <f>H5680</f>
        <v>0.29170000000000001</v>
      </c>
      <c r="G5690" s="122">
        <f>F5690*E5690</f>
        <v>4121.7210000000005</v>
      </c>
      <c r="H5690" s="118"/>
    </row>
    <row r="5691" spans="1:15">
      <c r="A5691" s="536" t="s">
        <v>3894</v>
      </c>
      <c r="B5691" s="570" t="str">
        <f>VLOOKUP(A5691,'Equip, Herr y Transp'!$B$2:$D$739,2,0)</f>
        <v>TR</v>
      </c>
      <c r="C5691" s="570"/>
      <c r="D5691" s="95" t="str">
        <f>VLOOKUP(A5691,'Equip, Herr y Transp'!$B$2:$D$218,2,0)</f>
        <v>TR</v>
      </c>
      <c r="E5691" s="95">
        <f>VLOOKUP(A5691,'Equip, Herr y Transp'!$B$2:$D$218,3,0)</f>
        <v>960000</v>
      </c>
      <c r="F5691" s="96">
        <f>H5680</f>
        <v>0.29170000000000001</v>
      </c>
      <c r="G5691" s="122">
        <f>F5691*E5691</f>
        <v>280032</v>
      </c>
      <c r="H5691" s="117"/>
    </row>
    <row r="5692" spans="1:15">
      <c r="A5692" s="536" t="s">
        <v>8</v>
      </c>
      <c r="B5692" s="570">
        <f>VLOOKUP(A5692,'Equip, Herr y Transp'!$B$2:$D$739,2,0)</f>
        <v>0</v>
      </c>
      <c r="C5692" s="570"/>
      <c r="D5692" s="95">
        <f>VLOOKUP(A5692,'Equip, Herr y Transp'!$B$2:$D$218,2,0)</f>
        <v>0</v>
      </c>
      <c r="E5692" s="95">
        <f>VLOOKUP(A5692,'Equip, Herr y Transp'!$B$2:$D$218,3,0)</f>
        <v>0</v>
      </c>
      <c r="F5692" s="96">
        <f>F5691</f>
        <v>0.29170000000000001</v>
      </c>
      <c r="G5692" s="122">
        <f>F5692*E5692</f>
        <v>0</v>
      </c>
      <c r="H5692" s="117"/>
    </row>
    <row r="5693" spans="1:15" ht="16.5">
      <c r="A5693" s="540" t="s">
        <v>4100</v>
      </c>
      <c r="B5693" s="541"/>
      <c r="C5693" s="541"/>
      <c r="D5693" s="541"/>
      <c r="E5693" s="541"/>
      <c r="F5693" s="541"/>
      <c r="G5693" s="541"/>
      <c r="H5693" s="97">
        <f>SUM(G5690:G5692)</f>
        <v>284153.72100000002</v>
      </c>
    </row>
    <row r="5694" spans="1:15" ht="16.5">
      <c r="A5694" s="571" t="s">
        <v>4230</v>
      </c>
      <c r="B5694" s="572"/>
      <c r="C5694" s="572"/>
      <c r="D5694" s="572"/>
      <c r="E5694" s="572"/>
      <c r="F5694" s="572"/>
      <c r="G5694" s="572"/>
      <c r="H5694" s="573"/>
      <c r="K5694" s="56"/>
      <c r="L5694" s="56"/>
      <c r="M5694" s="56"/>
      <c r="N5694" s="56"/>
      <c r="O5694" s="56"/>
    </row>
    <row r="5695" spans="1:15" ht="30" customHeight="1">
      <c r="A5695" s="574" t="s">
        <v>7</v>
      </c>
      <c r="B5695" s="575"/>
      <c r="C5695" s="109" t="s">
        <v>0</v>
      </c>
      <c r="D5695" s="110" t="s">
        <v>4098</v>
      </c>
      <c r="E5695" s="111" t="s">
        <v>1</v>
      </c>
      <c r="F5695" s="576" t="s">
        <v>4218</v>
      </c>
      <c r="G5695" s="576"/>
      <c r="H5695" s="215"/>
      <c r="K5695" s="56"/>
      <c r="L5695" s="56"/>
      <c r="M5695" s="56"/>
      <c r="N5695" s="56"/>
      <c r="O5695" s="56"/>
    </row>
    <row r="5696" spans="1:15">
      <c r="A5696" s="577" t="s">
        <v>4834</v>
      </c>
      <c r="B5696" s="578"/>
      <c r="C5696" s="98" t="str">
        <f>VLOOKUP(A5696,'Materiales '!$C$2:$F$1302,3,0)</f>
        <v>Und</v>
      </c>
      <c r="D5696" s="99">
        <f>VLOOKUP(A5696,'Materiales '!$C$2:$F$1302,4,0)</f>
        <v>2042040.0000000002</v>
      </c>
      <c r="E5696" s="100">
        <v>1</v>
      </c>
      <c r="F5696" s="538">
        <f>E5696*D5696</f>
        <v>2042040.0000000002</v>
      </c>
      <c r="G5696" s="539"/>
      <c r="H5696" s="121"/>
      <c r="I5696">
        <f>E5696*G5687</f>
        <v>0</v>
      </c>
      <c r="J5696" s="67"/>
      <c r="K5696" s="56"/>
      <c r="L5696" s="56"/>
      <c r="M5696" s="56"/>
      <c r="N5696" s="56"/>
      <c r="O5696" s="56"/>
    </row>
    <row r="5697" spans="1:15">
      <c r="A5697" s="577" t="s">
        <v>4628</v>
      </c>
      <c r="B5697" s="578"/>
      <c r="C5697" s="98" t="str">
        <f>VLOOKUP(A5697,'Materiales '!$C$2:$F$1302,3,0)</f>
        <v>Rollo</v>
      </c>
      <c r="D5697" s="99">
        <f>VLOOKUP(A5697,'Materiales '!$C$2:$F$1302,4,0)</f>
        <v>138230.39999999999</v>
      </c>
      <c r="E5697" s="100">
        <v>1</v>
      </c>
      <c r="F5697" s="538">
        <f t="shared" ref="F5697:F5703" si="334">E5697*D5697</f>
        <v>138230.39999999999</v>
      </c>
      <c r="G5697" s="539"/>
      <c r="H5697" s="121"/>
      <c r="I5697">
        <f>E5697*G5687</f>
        <v>0</v>
      </c>
      <c r="J5697" s="67"/>
      <c r="K5697" s="56"/>
      <c r="L5697" s="56"/>
      <c r="M5697" s="56"/>
      <c r="N5697" s="56"/>
      <c r="O5697" s="56"/>
    </row>
    <row r="5698" spans="1:15">
      <c r="A5698" s="536" t="s">
        <v>8</v>
      </c>
      <c r="B5698" s="537" t="str">
        <f>VLOOKUP(A5698,'Materiales '!$C$2:$F$1302,3,0)</f>
        <v>-</v>
      </c>
      <c r="C5698" s="98" t="str">
        <f>VLOOKUP(A5698,'Materiales '!$C$2:$F$1302,3,0)</f>
        <v>-</v>
      </c>
      <c r="D5698" s="99">
        <f>VLOOKUP(A5698,'Materiales '!$C$2:$F$1302,4,0)</f>
        <v>0</v>
      </c>
      <c r="E5698" s="100">
        <v>6</v>
      </c>
      <c r="F5698" s="538">
        <f t="shared" si="334"/>
        <v>0</v>
      </c>
      <c r="G5698" s="539"/>
      <c r="H5698" s="121"/>
      <c r="I5698">
        <f>E5698*G5687</f>
        <v>0</v>
      </c>
      <c r="J5698" s="68"/>
      <c r="K5698" s="56"/>
      <c r="L5698" s="56"/>
      <c r="M5698" s="56"/>
      <c r="N5698" s="56"/>
      <c r="O5698" s="56"/>
    </row>
    <row r="5699" spans="1:15">
      <c r="A5699" s="536" t="s">
        <v>8</v>
      </c>
      <c r="B5699" s="537" t="str">
        <f>VLOOKUP(A5699,'Materiales '!$C$2:$F$1302,3,0)</f>
        <v>-</v>
      </c>
      <c r="C5699" s="98" t="str">
        <f>VLOOKUP(A5699,'Materiales '!$C$2:$F$1302,3,0)</f>
        <v>-</v>
      </c>
      <c r="D5699" s="99">
        <f>VLOOKUP(A5699,'Materiales '!$C$2:$F$1302,4,0)</f>
        <v>0</v>
      </c>
      <c r="E5699" s="100">
        <v>3</v>
      </c>
      <c r="F5699" s="538">
        <f t="shared" si="334"/>
        <v>0</v>
      </c>
      <c r="G5699" s="539"/>
      <c r="H5699" s="121"/>
      <c r="I5699">
        <f>E5699*G5687</f>
        <v>0</v>
      </c>
      <c r="J5699" s="68"/>
      <c r="K5699" s="56"/>
      <c r="L5699" s="56"/>
      <c r="M5699" s="56"/>
      <c r="N5699" s="56"/>
      <c r="O5699" s="56"/>
    </row>
    <row r="5700" spans="1:15">
      <c r="A5700" s="536" t="s">
        <v>8</v>
      </c>
      <c r="B5700" s="537" t="str">
        <f>VLOOKUP(A5700,'Materiales '!$C$2:$F$1302,3,0)</f>
        <v>-</v>
      </c>
      <c r="C5700" s="98" t="str">
        <f>VLOOKUP(A5700,'Materiales '!$C$2:$F$1302,3,0)</f>
        <v>-</v>
      </c>
      <c r="D5700" s="99">
        <f>VLOOKUP(A5700,'Materiales '!$C$2:$F$1302,4,0)</f>
        <v>0</v>
      </c>
      <c r="E5700" s="100">
        <v>2</v>
      </c>
      <c r="F5700" s="538">
        <f t="shared" si="334"/>
        <v>0</v>
      </c>
      <c r="G5700" s="539"/>
      <c r="H5700" s="121"/>
      <c r="I5700">
        <f>E5700*G5687</f>
        <v>0</v>
      </c>
      <c r="J5700" s="68"/>
      <c r="K5700" s="56"/>
      <c r="L5700" s="56"/>
      <c r="M5700" s="56"/>
      <c r="N5700" s="56"/>
      <c r="O5700" s="56"/>
    </row>
    <row r="5701" spans="1:15">
      <c r="A5701" s="536" t="s">
        <v>8</v>
      </c>
      <c r="B5701" s="537" t="str">
        <f>VLOOKUP(A5701,'Materiales '!$C$2:$F$1302,3,0)</f>
        <v>-</v>
      </c>
      <c r="C5701" s="98" t="str">
        <f>VLOOKUP(A5701,'Materiales '!$C$2:$F$1302,3,0)</f>
        <v>-</v>
      </c>
      <c r="D5701" s="99">
        <f>VLOOKUP(A5701,'Materiales '!$C$2:$F$1302,4,0)</f>
        <v>0</v>
      </c>
      <c r="E5701" s="100">
        <v>8</v>
      </c>
      <c r="F5701" s="538">
        <f t="shared" si="334"/>
        <v>0</v>
      </c>
      <c r="G5701" s="539"/>
      <c r="H5701" s="121"/>
      <c r="I5701">
        <f>E5701*G5687</f>
        <v>0</v>
      </c>
      <c r="J5701" s="68"/>
      <c r="K5701" s="56"/>
      <c r="L5701" s="56"/>
      <c r="M5701" s="56"/>
      <c r="N5701" s="56"/>
      <c r="O5701" s="56"/>
    </row>
    <row r="5702" spans="1:15">
      <c r="A5702" s="536" t="s">
        <v>8</v>
      </c>
      <c r="B5702" s="537" t="str">
        <f>VLOOKUP(A5702,'Materiales '!$C$2:$F$1302,3,0)</f>
        <v>-</v>
      </c>
      <c r="C5702" s="98" t="str">
        <f>VLOOKUP(A5702,'Materiales '!$C$2:$F$1302,3,0)</f>
        <v>-</v>
      </c>
      <c r="D5702" s="99">
        <f>VLOOKUP(A5702,'Materiales '!$C$2:$F$1302,4,0)</f>
        <v>0</v>
      </c>
      <c r="E5702" s="100">
        <v>3</v>
      </c>
      <c r="F5702" s="538">
        <f t="shared" si="334"/>
        <v>0</v>
      </c>
      <c r="G5702" s="539"/>
      <c r="H5702" s="121"/>
      <c r="I5702">
        <f>E5702*G5687</f>
        <v>0</v>
      </c>
      <c r="J5702" s="68"/>
      <c r="K5702" s="56"/>
      <c r="L5702" s="56"/>
      <c r="M5702" s="56"/>
      <c r="N5702" s="56"/>
      <c r="O5702" s="56"/>
    </row>
    <row r="5703" spans="1:15" ht="21.75" customHeight="1">
      <c r="A5703" s="536" t="s">
        <v>8</v>
      </c>
      <c r="B5703" s="537" t="str">
        <f>VLOOKUP(A5703,'Materiales '!$C$2:$F$1302,3,0)</f>
        <v>-</v>
      </c>
      <c r="C5703" s="98" t="str">
        <f>VLOOKUP(A5703,'Materiales '!$C$2:$F$1302,3,0)</f>
        <v>-</v>
      </c>
      <c r="D5703" s="99">
        <f>VLOOKUP(A5703,'Materiales '!$C$2:$F$1302,4,0)</f>
        <v>0</v>
      </c>
      <c r="E5703" s="100">
        <v>0.5</v>
      </c>
      <c r="F5703" s="538">
        <f t="shared" si="334"/>
        <v>0</v>
      </c>
      <c r="G5703" s="539"/>
      <c r="H5703" s="121"/>
      <c r="I5703">
        <f>E5703*G5687</f>
        <v>0</v>
      </c>
      <c r="J5703" s="68"/>
      <c r="K5703" s="56"/>
      <c r="L5703" s="56"/>
      <c r="M5703" s="56"/>
      <c r="N5703" s="56"/>
      <c r="O5703" s="56"/>
    </row>
    <row r="5704" spans="1:15">
      <c r="A5704" s="536" t="s">
        <v>8</v>
      </c>
      <c r="B5704" s="537" t="str">
        <f>VLOOKUP(A5704,'Materiales '!$C$2:$F$1302,3,0)</f>
        <v>-</v>
      </c>
      <c r="C5704" s="98" t="str">
        <f>VLOOKUP(A5704,'Materiales '!$C$2:$F$1302,3,0)</f>
        <v>-</v>
      </c>
      <c r="D5704" s="99">
        <f>VLOOKUP(A5704,'Materiales '!$C$2:$F$1302,4,0)</f>
        <v>0</v>
      </c>
      <c r="E5704" s="100"/>
      <c r="F5704" s="538">
        <f>E5704*D5704</f>
        <v>0</v>
      </c>
      <c r="G5704" s="539"/>
      <c r="H5704" s="120"/>
      <c r="I5704">
        <f>E5704*G5687</f>
        <v>0</v>
      </c>
      <c r="J5704" s="68"/>
      <c r="K5704" s="56"/>
      <c r="L5704" s="56"/>
      <c r="M5704" s="56"/>
      <c r="N5704" s="56"/>
      <c r="O5704" s="56"/>
    </row>
    <row r="5705" spans="1:15">
      <c r="A5705" s="536" t="s">
        <v>8</v>
      </c>
      <c r="B5705" s="537" t="str">
        <f>VLOOKUP(A5705,'Materiales '!$C$2:$F$1302,3,0)</f>
        <v>-</v>
      </c>
      <c r="C5705" s="98" t="str">
        <f>VLOOKUP(A5705,'Materiales '!$C$2:$F$1302,3,0)</f>
        <v>-</v>
      </c>
      <c r="D5705" s="99">
        <f>VLOOKUP(A5705,'Materiales '!$C$2:$F$1302,4,0)</f>
        <v>0</v>
      </c>
      <c r="E5705" s="100"/>
      <c r="F5705" s="538">
        <f t="shared" ref="F5705:F5708" si="335">E5705*D5705</f>
        <v>0</v>
      </c>
      <c r="G5705" s="539"/>
      <c r="H5705" s="121"/>
      <c r="I5705">
        <f>E5705*G5687</f>
        <v>0</v>
      </c>
      <c r="J5705" s="68"/>
      <c r="K5705" s="56"/>
      <c r="L5705" s="56"/>
      <c r="M5705" s="56"/>
      <c r="N5705" s="56"/>
      <c r="O5705" s="56"/>
    </row>
    <row r="5706" spans="1:15">
      <c r="A5706" s="536" t="s">
        <v>8</v>
      </c>
      <c r="B5706" s="537" t="str">
        <f>VLOOKUP(A5706,'Materiales '!$C$2:$F$1302,3,0)</f>
        <v>-</v>
      </c>
      <c r="C5706" s="98" t="str">
        <f>VLOOKUP(A5706,'Materiales '!$C$2:$F$1302,3,0)</f>
        <v>-</v>
      </c>
      <c r="D5706" s="99">
        <f>VLOOKUP(A5706,'Materiales '!$C$2:$F$1302,4,0)</f>
        <v>0</v>
      </c>
      <c r="E5706" s="100"/>
      <c r="F5706" s="538">
        <f t="shared" si="335"/>
        <v>0</v>
      </c>
      <c r="G5706" s="539"/>
      <c r="H5706" s="121"/>
      <c r="I5706">
        <f>E5706*G5687</f>
        <v>0</v>
      </c>
      <c r="J5706" s="68"/>
      <c r="K5706" s="56"/>
      <c r="L5706" s="56"/>
      <c r="M5706" s="56"/>
      <c r="N5706" s="56"/>
      <c r="O5706" s="56"/>
    </row>
    <row r="5707" spans="1:15">
      <c r="A5707" s="536" t="s">
        <v>8</v>
      </c>
      <c r="B5707" s="537" t="str">
        <f>VLOOKUP(A5707,'Materiales '!$C$2:$F$1302,3,0)</f>
        <v>-</v>
      </c>
      <c r="C5707" s="98" t="str">
        <f>VLOOKUP(A5707,'Materiales '!$C$2:$F$1302,3,0)</f>
        <v>-</v>
      </c>
      <c r="D5707" s="99">
        <f>VLOOKUP(A5707,'Materiales '!$C$2:$F$1302,4,0)</f>
        <v>0</v>
      </c>
      <c r="E5707" s="100"/>
      <c r="F5707" s="538">
        <f t="shared" si="335"/>
        <v>0</v>
      </c>
      <c r="G5707" s="539"/>
      <c r="H5707" s="121"/>
      <c r="I5707">
        <f>E5707*G5687</f>
        <v>0</v>
      </c>
      <c r="J5707" s="68"/>
      <c r="K5707" s="56"/>
      <c r="L5707" s="56"/>
      <c r="M5707" s="56"/>
      <c r="N5707" s="56"/>
      <c r="O5707" s="56"/>
    </row>
    <row r="5708" spans="1:15">
      <c r="A5708" s="536" t="s">
        <v>8</v>
      </c>
      <c r="B5708" s="537" t="str">
        <f>VLOOKUP(A5708,'Materiales '!$C$2:$F$1302,3,0)</f>
        <v>-</v>
      </c>
      <c r="C5708" s="98" t="str">
        <f>VLOOKUP(A5708,'Materiales '!$C$2:$F$1302,3,0)</f>
        <v>-</v>
      </c>
      <c r="D5708" s="99">
        <f>VLOOKUP(A5708,'Materiales '!$C$2:$F$1302,4,0)</f>
        <v>0</v>
      </c>
      <c r="E5708" s="100"/>
      <c r="F5708" s="538">
        <f t="shared" si="335"/>
        <v>0</v>
      </c>
      <c r="G5708" s="539"/>
      <c r="H5708" s="121"/>
      <c r="I5708">
        <f>E5708*G5687</f>
        <v>0</v>
      </c>
      <c r="J5708" s="68"/>
      <c r="K5708" s="56"/>
      <c r="L5708" s="56"/>
      <c r="M5708" s="56"/>
      <c r="N5708" s="56"/>
      <c r="O5708" s="56"/>
    </row>
    <row r="5709" spans="1:15">
      <c r="A5709" s="536" t="s">
        <v>8</v>
      </c>
      <c r="B5709" s="537" t="str">
        <f>VLOOKUP(A5709,'Materiales '!$C$2:$F$1302,3,0)</f>
        <v>-</v>
      </c>
      <c r="C5709" s="98" t="str">
        <f>VLOOKUP(A5709,'Materiales '!$C$2:$F$1302,3,0)</f>
        <v>-</v>
      </c>
      <c r="D5709" s="99">
        <f>VLOOKUP(A5709,'Materiales '!$C$2:$F$1302,4,0)</f>
        <v>0</v>
      </c>
      <c r="E5709" s="100"/>
      <c r="F5709" s="538">
        <f>E5709*D5709</f>
        <v>0</v>
      </c>
      <c r="G5709" s="539"/>
      <c r="H5709" s="120"/>
      <c r="I5709">
        <f>E5709*G5687</f>
        <v>0</v>
      </c>
      <c r="J5709" s="68"/>
      <c r="K5709" s="56"/>
      <c r="L5709" s="56"/>
      <c r="M5709" s="56"/>
      <c r="N5709" s="56"/>
      <c r="O5709" s="56"/>
    </row>
    <row r="5710" spans="1:15" ht="16.5">
      <c r="A5710" s="540" t="s">
        <v>4099</v>
      </c>
      <c r="B5710" s="541"/>
      <c r="C5710" s="541"/>
      <c r="D5710" s="541"/>
      <c r="E5710" s="541"/>
      <c r="F5710" s="541"/>
      <c r="G5710" s="542"/>
      <c r="H5710" s="116">
        <f>SUM(F5696:F5709)</f>
        <v>2180270.4000000004</v>
      </c>
      <c r="J5710" s="68"/>
      <c r="K5710" s="56"/>
      <c r="L5710" s="56"/>
      <c r="M5710" s="56"/>
      <c r="N5710" s="56"/>
      <c r="O5710" s="56"/>
    </row>
    <row r="5711" spans="1:15" ht="16.5">
      <c r="A5711" s="543" t="s">
        <v>4231</v>
      </c>
      <c r="B5711" s="544"/>
      <c r="C5711" s="544"/>
      <c r="D5711" s="544"/>
      <c r="E5711" s="545"/>
      <c r="F5711" s="544"/>
      <c r="G5711" s="544"/>
      <c r="H5711" s="546"/>
      <c r="J5711" s="68"/>
      <c r="K5711" s="56"/>
      <c r="L5711" s="56"/>
      <c r="M5711" s="56"/>
      <c r="N5711" s="56"/>
      <c r="O5711" s="56"/>
    </row>
    <row r="5712" spans="1:15">
      <c r="A5712" s="547" t="s">
        <v>7</v>
      </c>
      <c r="B5712" s="548"/>
      <c r="C5712" s="108" t="s">
        <v>4232</v>
      </c>
      <c r="D5712" s="107" t="s">
        <v>4233</v>
      </c>
      <c r="E5712" s="206" t="s">
        <v>4234</v>
      </c>
      <c r="F5712" s="549" t="s">
        <v>4218</v>
      </c>
      <c r="G5712" s="549"/>
      <c r="H5712" s="119"/>
      <c r="K5712" s="56"/>
      <c r="L5712" s="56"/>
      <c r="M5712" s="56"/>
      <c r="N5712" s="56"/>
      <c r="O5712" s="56"/>
    </row>
    <row r="5713" spans="1:13">
      <c r="A5713" s="550" t="s">
        <v>3893</v>
      </c>
      <c r="B5713" s="551"/>
      <c r="C5713" s="232">
        <v>1</v>
      </c>
      <c r="D5713" s="102">
        <v>0.3</v>
      </c>
      <c r="E5713" s="103">
        <f>VLOOKUP(A5713,'Equip, Herr y Transp'!$B$2:$D$218,3,0)</f>
        <v>255199.99999999997</v>
      </c>
      <c r="F5713" s="552">
        <f>E5713*D5713*C5713</f>
        <v>76559.999999999985</v>
      </c>
      <c r="G5713" s="553"/>
      <c r="H5713" s="117"/>
      <c r="M5713" s="56"/>
    </row>
    <row r="5714" spans="1:13" ht="16.5">
      <c r="A5714" s="554" t="s">
        <v>4216</v>
      </c>
      <c r="B5714" s="555"/>
      <c r="C5714" s="555"/>
      <c r="D5714" s="555"/>
      <c r="E5714" s="555"/>
      <c r="F5714" s="555"/>
      <c r="G5714" s="555"/>
      <c r="H5714" s="105">
        <f>F5713</f>
        <v>76559.999999999985</v>
      </c>
    </row>
    <row r="5715" spans="1:13" ht="16.5">
      <c r="A5715" s="543" t="s">
        <v>4235</v>
      </c>
      <c r="B5715" s="544"/>
      <c r="C5715" s="544"/>
      <c r="D5715" s="544"/>
      <c r="E5715" s="544"/>
      <c r="F5715" s="544"/>
      <c r="G5715" s="544"/>
      <c r="H5715" s="546"/>
    </row>
    <row r="5716" spans="1:13">
      <c r="A5716" s="547" t="s">
        <v>7</v>
      </c>
      <c r="B5716" s="548"/>
      <c r="C5716" s="106" t="s">
        <v>1</v>
      </c>
      <c r="D5716" s="107" t="s">
        <v>4236</v>
      </c>
      <c r="E5716" s="108" t="s">
        <v>4215</v>
      </c>
      <c r="F5716" s="547" t="s">
        <v>5</v>
      </c>
      <c r="G5716" s="556"/>
      <c r="H5716" s="119"/>
    </row>
    <row r="5717" spans="1:13">
      <c r="A5717" s="550" t="s">
        <v>4196</v>
      </c>
      <c r="B5717" s="551"/>
      <c r="C5717" s="101">
        <v>1</v>
      </c>
      <c r="D5717" s="104">
        <f>VLOOKUP(A5717,'Mano Obra'!$B$2:$T$117,19,0)</f>
        <v>166624</v>
      </c>
      <c r="E5717" s="246">
        <f>H5680</f>
        <v>0.29170000000000001</v>
      </c>
      <c r="F5717" s="538">
        <f>E5717*D5717*C5717</f>
        <v>48604.220800000003</v>
      </c>
      <c r="G5717" s="557"/>
      <c r="H5717" s="121"/>
      <c r="I5717" s="69"/>
      <c r="J5717" s="136">
        <f>((('Mano Obra'!$M$4/30)*F5717)/D5717)*G5687</f>
        <v>0</v>
      </c>
    </row>
    <row r="5718" spans="1:13">
      <c r="A5718" s="558" t="s">
        <v>4197</v>
      </c>
      <c r="B5718" s="559">
        <f>VLOOKUP(A5718,'Mano Obra'!$B$3:$D$290,2,0)</f>
        <v>2090000.0000000002</v>
      </c>
      <c r="C5718" s="101">
        <v>1</v>
      </c>
      <c r="D5718" s="104">
        <f>VLOOKUP(A5718,'Mano Obra'!$B$2:$T$117,19,0)</f>
        <v>120456</v>
      </c>
      <c r="E5718" s="246">
        <f>H5680</f>
        <v>0.29170000000000001</v>
      </c>
      <c r="F5718" s="538">
        <f t="shared" ref="F5718:F5719" si="336">E5718*D5718*C5718</f>
        <v>35137.015200000002</v>
      </c>
      <c r="G5718" s="557"/>
      <c r="H5718" s="121"/>
      <c r="J5718" s="136">
        <f>((('Mano Obra'!$M$5/30)*F5718)/D5718)*G5687</f>
        <v>0</v>
      </c>
    </row>
    <row r="5719" spans="1:13">
      <c r="A5719" s="558" t="s">
        <v>4186</v>
      </c>
      <c r="B5719" s="559">
        <f>VLOOKUP(A5719,'Mano Obra'!$B$3:$D$290,2,0)</f>
        <v>1100000</v>
      </c>
      <c r="C5719" s="101">
        <v>1</v>
      </c>
      <c r="D5719" s="104">
        <f>VLOOKUP(A5719,'Mano Obra'!$B$2:$T$117,19,0)</f>
        <v>72664</v>
      </c>
      <c r="E5719" s="246">
        <f>H5680</f>
        <v>0.29170000000000001</v>
      </c>
      <c r="F5719" s="538">
        <f t="shared" si="336"/>
        <v>21196.088800000001</v>
      </c>
      <c r="G5719" s="557"/>
      <c r="H5719" s="120"/>
      <c r="J5719" s="136">
        <f>((('Mano Obra'!$M$6/30)*F5719)/D5719)*G5687</f>
        <v>0</v>
      </c>
    </row>
    <row r="5720" spans="1:13" ht="16.5">
      <c r="A5720" s="560" t="s">
        <v>4101</v>
      </c>
      <c r="B5720" s="560"/>
      <c r="C5720" s="560"/>
      <c r="D5720" s="560"/>
      <c r="E5720" s="560"/>
      <c r="F5720" s="560"/>
      <c r="G5720" s="560"/>
      <c r="H5720" s="105">
        <f>SUM(F5717:F5719)</f>
        <v>104937.3248</v>
      </c>
      <c r="J5720" s="136"/>
    </row>
    <row r="5721" spans="1:13">
      <c r="A5721" s="227" t="s">
        <v>4237</v>
      </c>
      <c r="B5721" s="205"/>
      <c r="C5721" s="205"/>
      <c r="D5721" s="202"/>
      <c r="E5721" s="203"/>
      <c r="F5721" s="204"/>
      <c r="G5721" s="203"/>
      <c r="H5721" s="212"/>
    </row>
    <row r="5722" spans="1:13">
      <c r="A5722" s="561" t="s">
        <v>4224</v>
      </c>
      <c r="B5722" s="562"/>
      <c r="C5722" s="562"/>
      <c r="D5722" s="562"/>
      <c r="E5722" s="200"/>
      <c r="F5722" s="201" t="s">
        <v>4238</v>
      </c>
      <c r="G5722" s="200" t="s">
        <v>4239</v>
      </c>
      <c r="H5722" s="213"/>
    </row>
    <row r="5723" spans="1:13">
      <c r="A5723" s="223" t="s">
        <v>4097</v>
      </c>
      <c r="B5723" s="72"/>
      <c r="C5723" s="72"/>
      <c r="D5723" s="73"/>
      <c r="E5723" s="78"/>
      <c r="F5723" s="79">
        <v>0</v>
      </c>
      <c r="G5723" s="80">
        <f>F5723*H5688</f>
        <v>0</v>
      </c>
      <c r="H5723" s="212"/>
    </row>
    <row r="5724" spans="1:13">
      <c r="A5724" s="224" t="s">
        <v>4240</v>
      </c>
      <c r="B5724" s="81"/>
      <c r="C5724" s="81"/>
      <c r="D5724" s="82"/>
      <c r="E5724" s="78"/>
      <c r="F5724" s="79">
        <v>0</v>
      </c>
      <c r="G5724" s="80">
        <f>F5724*H5688</f>
        <v>0</v>
      </c>
      <c r="H5724" s="212"/>
    </row>
    <row r="5725" spans="1:13">
      <c r="A5725" s="224" t="s">
        <v>4</v>
      </c>
      <c r="B5725" s="81"/>
      <c r="C5725" s="81"/>
      <c r="D5725" s="82"/>
      <c r="E5725" s="78"/>
      <c r="F5725" s="79">
        <v>0</v>
      </c>
      <c r="G5725" s="80">
        <f>F5725*H5688</f>
        <v>0</v>
      </c>
      <c r="H5725" s="212"/>
    </row>
    <row r="5726" spans="1:13">
      <c r="A5726" s="225"/>
      <c r="B5726" s="83"/>
      <c r="C5726" s="75"/>
      <c r="D5726" s="84"/>
      <c r="E5726" s="85"/>
      <c r="F5726" s="86"/>
      <c r="G5726" s="87"/>
      <c r="H5726" s="214"/>
    </row>
    <row r="5727" spans="1:13">
      <c r="A5727" s="226"/>
      <c r="B5727" s="83"/>
      <c r="C5727" s="83"/>
      <c r="D5727" s="84"/>
      <c r="E5727" s="88"/>
      <c r="F5727" s="563" t="s">
        <v>4241</v>
      </c>
      <c r="G5727" s="564"/>
      <c r="H5727" s="233">
        <f>H5688+G5723+G5724+G5725</f>
        <v>2645921.4458000003</v>
      </c>
    </row>
    <row r="5728" spans="1:13">
      <c r="A5728" s="83"/>
      <c r="B5728" s="83"/>
      <c r="C5728" s="83"/>
      <c r="D5728" s="84"/>
      <c r="E5728" s="388"/>
      <c r="F5728" s="389"/>
      <c r="G5728" s="389"/>
      <c r="H5728" s="390"/>
    </row>
    <row r="5729" spans="1:14" ht="16.5">
      <c r="A5729" s="90"/>
      <c r="B5729" s="90"/>
      <c r="C5729" s="90"/>
      <c r="D5729" s="90"/>
      <c r="E5729" s="90"/>
      <c r="F5729" s="90"/>
      <c r="G5729" s="90"/>
      <c r="H5729" s="381"/>
    </row>
    <row r="5730" spans="1:14">
      <c r="A5730" s="579" t="s">
        <v>4225</v>
      </c>
      <c r="B5730" s="580"/>
      <c r="C5730" s="580"/>
      <c r="D5730" s="580"/>
      <c r="E5730" s="580"/>
      <c r="F5730" s="580"/>
      <c r="G5730" s="580"/>
      <c r="H5730" s="581"/>
    </row>
    <row r="5731" spans="1:14" ht="16.5">
      <c r="A5731" s="91"/>
      <c r="B5731" s="92"/>
      <c r="C5731" s="92"/>
      <c r="D5731" s="92"/>
      <c r="E5731" s="92"/>
      <c r="F5731" s="93"/>
      <c r="G5731" s="94"/>
      <c r="H5731" s="380">
        <f>ROUND((90/60)/8,4)</f>
        <v>0.1875</v>
      </c>
      <c r="I5731" s="115"/>
    </row>
    <row r="5732" spans="1:14">
      <c r="A5732" s="582" t="s">
        <v>4220</v>
      </c>
      <c r="B5732" s="584" t="str">
        <f>COSTOS!$C$14</f>
        <v>MODERNIZACION A TECNOLOGIA LED</v>
      </c>
      <c r="C5732" s="584"/>
      <c r="D5732" s="584"/>
      <c r="E5732" s="584"/>
      <c r="F5732" s="584"/>
      <c r="G5732" s="584"/>
      <c r="H5732" s="585" t="s">
        <v>4221</v>
      </c>
    </row>
    <row r="5733" spans="1:14">
      <c r="A5733" s="583"/>
      <c r="B5733" s="584"/>
      <c r="C5733" s="584"/>
      <c r="D5733" s="584"/>
      <c r="E5733" s="584"/>
      <c r="F5733" s="584"/>
      <c r="G5733" s="584"/>
      <c r="H5733" s="585"/>
    </row>
    <row r="5734" spans="1:14">
      <c r="A5734" s="583"/>
      <c r="B5734" s="584"/>
      <c r="C5734" s="584"/>
      <c r="D5734" s="584"/>
      <c r="E5734" s="584"/>
      <c r="F5734" s="584"/>
      <c r="G5734" s="584"/>
      <c r="H5734" s="585"/>
    </row>
    <row r="5735" spans="1:14" ht="15" customHeight="1">
      <c r="A5735" s="583"/>
      <c r="B5735" s="584"/>
      <c r="C5735" s="584"/>
      <c r="D5735" s="584"/>
      <c r="E5735" s="584"/>
      <c r="F5735" s="584"/>
      <c r="G5735" s="584"/>
      <c r="H5735" s="216">
        <f ca="1">TODAY()</f>
        <v>44889</v>
      </c>
      <c r="K5735" t="s">
        <v>4391</v>
      </c>
      <c r="L5735" t="s">
        <v>4392</v>
      </c>
      <c r="M5735" t="s">
        <v>4393</v>
      </c>
      <c r="N5735" t="s">
        <v>4394</v>
      </c>
    </row>
    <row r="5736" spans="1:14" ht="60.75" customHeight="1">
      <c r="A5736" s="228" t="s">
        <v>4222</v>
      </c>
      <c r="B5736" s="565" t="str">
        <f>COSTOS!$D$16</f>
        <v>Luminarias</v>
      </c>
      <c r="C5736" s="565"/>
      <c r="D5736" s="565"/>
      <c r="E5736" s="565"/>
      <c r="F5736" s="565"/>
      <c r="G5736" s="70" t="s">
        <v>4223</v>
      </c>
      <c r="H5736" s="391">
        <v>2.29</v>
      </c>
      <c r="K5736" s="62">
        <f>H5761</f>
        <v>1643580.4000000001</v>
      </c>
      <c r="L5736" s="62">
        <f>H5771</f>
        <v>67452</v>
      </c>
      <c r="M5736" s="62">
        <f>H5744</f>
        <v>182649.375</v>
      </c>
      <c r="N5736" s="62">
        <f>H5765</f>
        <v>76559.999999999985</v>
      </c>
    </row>
    <row r="5737" spans="1:14" ht="43.15" customHeight="1">
      <c r="A5737" s="229" t="s">
        <v>4224</v>
      </c>
      <c r="B5737" s="566" t="str">
        <f>VLOOKUP(H5736,COSTOS!C:M,2,0)</f>
        <v>Poste concreto de 14 x 510 kgf</v>
      </c>
      <c r="C5737" s="567"/>
      <c r="D5737" s="567"/>
      <c r="E5737" s="568"/>
      <c r="F5737" s="71" t="s">
        <v>0</v>
      </c>
      <c r="G5737" s="356" t="str">
        <f>VLOOKUP(H5736,COSTOS!C:M,8,0)</f>
        <v>Und</v>
      </c>
      <c r="H5737" s="276"/>
      <c r="I5737" s="306"/>
      <c r="J5737" s="308"/>
      <c r="K5737" s="308"/>
      <c r="L5737" s="308"/>
    </row>
    <row r="5738" spans="1:14">
      <c r="A5738" s="230"/>
      <c r="B5738" s="112"/>
      <c r="C5738" s="112"/>
      <c r="D5738" s="112"/>
      <c r="E5738" s="113"/>
      <c r="F5738" s="114" t="s">
        <v>1</v>
      </c>
      <c r="G5738" s="356">
        <f>VLOOKUP(H5736,COSTOS!C:M,9,0)</f>
        <v>0</v>
      </c>
      <c r="H5738" s="357"/>
      <c r="I5738" s="307"/>
    </row>
    <row r="5739" spans="1:14" ht="16.5">
      <c r="A5739" s="231" t="s">
        <v>4226</v>
      </c>
      <c r="B5739" s="75"/>
      <c r="C5739" s="75"/>
      <c r="D5739" s="76"/>
      <c r="E5739" s="209"/>
      <c r="F5739" s="210"/>
      <c r="G5739" s="211" t="s">
        <v>4227</v>
      </c>
      <c r="H5739" s="217">
        <f>H5744+H5761+H5765+H5771</f>
        <v>1970241.7750000001</v>
      </c>
    </row>
    <row r="5740" spans="1:14" ht="39">
      <c r="A5740" s="569" t="s">
        <v>4224</v>
      </c>
      <c r="B5740" s="569"/>
      <c r="C5740" s="569"/>
      <c r="D5740" s="77" t="s">
        <v>0</v>
      </c>
      <c r="E5740" s="207" t="s">
        <v>4228</v>
      </c>
      <c r="F5740" s="208" t="s">
        <v>4215</v>
      </c>
      <c r="G5740" s="74" t="s">
        <v>2</v>
      </c>
      <c r="H5740" s="218" t="s">
        <v>4229</v>
      </c>
      <c r="K5740" s="309"/>
    </row>
    <row r="5741" spans="1:14">
      <c r="A5741" s="536" t="s">
        <v>3946</v>
      </c>
      <c r="B5741" s="570" t="str">
        <f>VLOOKUP(A5741,'Equip, Herr y Transp'!$B$2:$D$739,2,0)</f>
        <v>EQU</v>
      </c>
      <c r="C5741" s="570"/>
      <c r="D5741" s="95" t="str">
        <f>VLOOKUP(A5741,'Equip, Herr y Transp'!$B$2:$D$218,2,0)</f>
        <v>EQU</v>
      </c>
      <c r="E5741" s="95">
        <f>VLOOKUP(A5741,'Equip, Herr y Transp'!$B$2:$D$218,3,0)</f>
        <v>14130</v>
      </c>
      <c r="F5741" s="96">
        <f>H5731</f>
        <v>0.1875</v>
      </c>
      <c r="G5741" s="122">
        <f>F5741*E5741</f>
        <v>2649.375</v>
      </c>
      <c r="H5741" s="118"/>
    </row>
    <row r="5742" spans="1:14">
      <c r="A5742" s="536" t="s">
        <v>3894</v>
      </c>
      <c r="B5742" s="570" t="str">
        <f>VLOOKUP(A5742,'Equip, Herr y Transp'!$B$2:$D$739,2,0)</f>
        <v>TR</v>
      </c>
      <c r="C5742" s="570"/>
      <c r="D5742" s="95" t="str">
        <f>VLOOKUP(A5742,'Equip, Herr y Transp'!$B$2:$D$218,2,0)</f>
        <v>TR</v>
      </c>
      <c r="E5742" s="95">
        <f>VLOOKUP(A5742,'Equip, Herr y Transp'!$B$2:$D$218,3,0)</f>
        <v>960000</v>
      </c>
      <c r="F5742" s="96">
        <f>H5731</f>
        <v>0.1875</v>
      </c>
      <c r="G5742" s="122">
        <f>F5742*E5742</f>
        <v>180000</v>
      </c>
      <c r="H5742" s="117"/>
    </row>
    <row r="5743" spans="1:14">
      <c r="A5743" s="536" t="s">
        <v>8</v>
      </c>
      <c r="B5743" s="570">
        <f>VLOOKUP(A5743,'Equip, Herr y Transp'!$B$2:$D$739,2,0)</f>
        <v>0</v>
      </c>
      <c r="C5743" s="570"/>
      <c r="D5743" s="95">
        <f>VLOOKUP(A5743,'Equip, Herr y Transp'!$B$2:$D$218,2,0)</f>
        <v>0</v>
      </c>
      <c r="E5743" s="95">
        <f>VLOOKUP(A5743,'Equip, Herr y Transp'!$B$2:$D$218,3,0)</f>
        <v>0</v>
      </c>
      <c r="F5743" s="96">
        <f>F5742</f>
        <v>0.1875</v>
      </c>
      <c r="G5743" s="122">
        <f>F5743*E5743</f>
        <v>0</v>
      </c>
      <c r="H5743" s="117"/>
    </row>
    <row r="5744" spans="1:14" ht="16.5">
      <c r="A5744" s="540" t="s">
        <v>4100</v>
      </c>
      <c r="B5744" s="541"/>
      <c r="C5744" s="541"/>
      <c r="D5744" s="541"/>
      <c r="E5744" s="541"/>
      <c r="F5744" s="541"/>
      <c r="G5744" s="541"/>
      <c r="H5744" s="97">
        <f>SUM(G5741:G5743)</f>
        <v>182649.375</v>
      </c>
    </row>
    <row r="5745" spans="1:15" ht="16.5">
      <c r="A5745" s="571" t="s">
        <v>4230</v>
      </c>
      <c r="B5745" s="572"/>
      <c r="C5745" s="572"/>
      <c r="D5745" s="572"/>
      <c r="E5745" s="572"/>
      <c r="F5745" s="572"/>
      <c r="G5745" s="572"/>
      <c r="H5745" s="573"/>
      <c r="K5745" s="56"/>
      <c r="L5745" s="56"/>
      <c r="M5745" s="56"/>
      <c r="N5745" s="56"/>
      <c r="O5745" s="56"/>
    </row>
    <row r="5746" spans="1:15" ht="30" customHeight="1">
      <c r="A5746" s="574" t="s">
        <v>7</v>
      </c>
      <c r="B5746" s="575"/>
      <c r="C5746" s="109" t="s">
        <v>0</v>
      </c>
      <c r="D5746" s="110" t="s">
        <v>4098</v>
      </c>
      <c r="E5746" s="111" t="s">
        <v>1</v>
      </c>
      <c r="F5746" s="576" t="s">
        <v>4218</v>
      </c>
      <c r="G5746" s="576"/>
      <c r="H5746" s="215"/>
      <c r="K5746" s="56"/>
      <c r="L5746" s="56"/>
      <c r="M5746" s="56"/>
      <c r="N5746" s="56"/>
      <c r="O5746" s="56"/>
    </row>
    <row r="5747" spans="1:15">
      <c r="A5747" s="577" t="s">
        <v>4989</v>
      </c>
      <c r="B5747" s="578"/>
      <c r="C5747" s="98" t="str">
        <f>VLOOKUP(A5747,'Materiales '!$C$2:$F$1302,3,0)</f>
        <v>Und</v>
      </c>
      <c r="D5747" s="99">
        <f>VLOOKUP(A5747,'Materiales '!$C$2:$F$1302,4,0)</f>
        <v>1505350.0000000002</v>
      </c>
      <c r="E5747" s="100">
        <v>1</v>
      </c>
      <c r="F5747" s="538">
        <f>E5747*D5747</f>
        <v>1505350.0000000002</v>
      </c>
      <c r="G5747" s="539"/>
      <c r="H5747" s="121"/>
      <c r="I5747">
        <f>E5747*G5738</f>
        <v>0</v>
      </c>
      <c r="J5747" s="67"/>
      <c r="K5747" s="56"/>
      <c r="L5747" s="56"/>
      <c r="M5747" s="56"/>
      <c r="N5747" s="56"/>
      <c r="O5747" s="56"/>
    </row>
    <row r="5748" spans="1:15">
      <c r="A5748" s="577" t="s">
        <v>4628</v>
      </c>
      <c r="B5748" s="578"/>
      <c r="C5748" s="98" t="str">
        <f>VLOOKUP(A5748,'Materiales '!$C$2:$F$1302,3,0)</f>
        <v>Rollo</v>
      </c>
      <c r="D5748" s="99">
        <f>VLOOKUP(A5748,'Materiales '!$C$2:$F$1302,4,0)</f>
        <v>138230.39999999999</v>
      </c>
      <c r="E5748" s="100">
        <v>1</v>
      </c>
      <c r="F5748" s="538">
        <f t="shared" ref="F5748:F5754" si="337">E5748*D5748</f>
        <v>138230.39999999999</v>
      </c>
      <c r="G5748" s="539"/>
      <c r="H5748" s="121"/>
      <c r="I5748">
        <f>E5748*G5738</f>
        <v>0</v>
      </c>
      <c r="J5748" s="67"/>
      <c r="K5748" s="56"/>
      <c r="L5748" s="56"/>
      <c r="M5748" s="56"/>
      <c r="N5748" s="56"/>
      <c r="O5748" s="56"/>
    </row>
    <row r="5749" spans="1:15">
      <c r="A5749" s="536" t="s">
        <v>8</v>
      </c>
      <c r="B5749" s="537" t="str">
        <f>VLOOKUP(A5749,'Materiales '!$C$2:$F$1302,3,0)</f>
        <v>-</v>
      </c>
      <c r="C5749" s="98" t="str">
        <f>VLOOKUP(A5749,'Materiales '!$C$2:$F$1302,3,0)</f>
        <v>-</v>
      </c>
      <c r="D5749" s="99">
        <f>VLOOKUP(A5749,'Materiales '!$C$2:$F$1302,4,0)</f>
        <v>0</v>
      </c>
      <c r="E5749" s="100">
        <v>6</v>
      </c>
      <c r="F5749" s="538">
        <f t="shared" si="337"/>
        <v>0</v>
      </c>
      <c r="G5749" s="539"/>
      <c r="H5749" s="121"/>
      <c r="I5749">
        <f>E5749*G5738</f>
        <v>0</v>
      </c>
      <c r="J5749" s="68"/>
      <c r="K5749" s="56"/>
      <c r="L5749" s="56"/>
      <c r="M5749" s="56"/>
      <c r="N5749" s="56"/>
      <c r="O5749" s="56"/>
    </row>
    <row r="5750" spans="1:15">
      <c r="A5750" s="536" t="s">
        <v>8</v>
      </c>
      <c r="B5750" s="537" t="str">
        <f>VLOOKUP(A5750,'Materiales '!$C$2:$F$1302,3,0)</f>
        <v>-</v>
      </c>
      <c r="C5750" s="98" t="str">
        <f>VLOOKUP(A5750,'Materiales '!$C$2:$F$1302,3,0)</f>
        <v>-</v>
      </c>
      <c r="D5750" s="99">
        <f>VLOOKUP(A5750,'Materiales '!$C$2:$F$1302,4,0)</f>
        <v>0</v>
      </c>
      <c r="E5750" s="100">
        <v>3</v>
      </c>
      <c r="F5750" s="538">
        <f t="shared" si="337"/>
        <v>0</v>
      </c>
      <c r="G5750" s="539"/>
      <c r="H5750" s="121"/>
      <c r="I5750">
        <f>E5750*G5738</f>
        <v>0</v>
      </c>
      <c r="J5750" s="68"/>
      <c r="K5750" s="56"/>
      <c r="L5750" s="56"/>
      <c r="M5750" s="56"/>
      <c r="N5750" s="56"/>
      <c r="O5750" s="56"/>
    </row>
    <row r="5751" spans="1:15">
      <c r="A5751" s="536" t="s">
        <v>8</v>
      </c>
      <c r="B5751" s="537" t="str">
        <f>VLOOKUP(A5751,'Materiales '!$C$2:$F$1302,3,0)</f>
        <v>-</v>
      </c>
      <c r="C5751" s="98" t="str">
        <f>VLOOKUP(A5751,'Materiales '!$C$2:$F$1302,3,0)</f>
        <v>-</v>
      </c>
      <c r="D5751" s="99">
        <f>VLOOKUP(A5751,'Materiales '!$C$2:$F$1302,4,0)</f>
        <v>0</v>
      </c>
      <c r="E5751" s="100">
        <v>2</v>
      </c>
      <c r="F5751" s="538">
        <f t="shared" si="337"/>
        <v>0</v>
      </c>
      <c r="G5751" s="539"/>
      <c r="H5751" s="121"/>
      <c r="I5751">
        <f>E5751*G5738</f>
        <v>0</v>
      </c>
      <c r="J5751" s="68"/>
      <c r="K5751" s="56"/>
      <c r="L5751" s="56"/>
      <c r="M5751" s="56"/>
      <c r="N5751" s="56"/>
      <c r="O5751" s="56"/>
    </row>
    <row r="5752" spans="1:15">
      <c r="A5752" s="536" t="s">
        <v>8</v>
      </c>
      <c r="B5752" s="537" t="str">
        <f>VLOOKUP(A5752,'Materiales '!$C$2:$F$1302,3,0)</f>
        <v>-</v>
      </c>
      <c r="C5752" s="98" t="str">
        <f>VLOOKUP(A5752,'Materiales '!$C$2:$F$1302,3,0)</f>
        <v>-</v>
      </c>
      <c r="D5752" s="99">
        <f>VLOOKUP(A5752,'Materiales '!$C$2:$F$1302,4,0)</f>
        <v>0</v>
      </c>
      <c r="E5752" s="100">
        <v>8</v>
      </c>
      <c r="F5752" s="538">
        <f t="shared" si="337"/>
        <v>0</v>
      </c>
      <c r="G5752" s="539"/>
      <c r="H5752" s="121"/>
      <c r="I5752">
        <f>E5752*G5738</f>
        <v>0</v>
      </c>
      <c r="J5752" s="68"/>
      <c r="K5752" s="56"/>
      <c r="L5752" s="56"/>
      <c r="M5752" s="56"/>
      <c r="N5752" s="56"/>
      <c r="O5752" s="56"/>
    </row>
    <row r="5753" spans="1:15">
      <c r="A5753" s="536" t="s">
        <v>8</v>
      </c>
      <c r="B5753" s="537" t="str">
        <f>VLOOKUP(A5753,'Materiales '!$C$2:$F$1302,3,0)</f>
        <v>-</v>
      </c>
      <c r="C5753" s="98" t="str">
        <f>VLOOKUP(A5753,'Materiales '!$C$2:$F$1302,3,0)</f>
        <v>-</v>
      </c>
      <c r="D5753" s="99">
        <f>VLOOKUP(A5753,'Materiales '!$C$2:$F$1302,4,0)</f>
        <v>0</v>
      </c>
      <c r="E5753" s="100">
        <v>3</v>
      </c>
      <c r="F5753" s="538">
        <f t="shared" si="337"/>
        <v>0</v>
      </c>
      <c r="G5753" s="539"/>
      <c r="H5753" s="121"/>
      <c r="I5753">
        <f>E5753*G5738</f>
        <v>0</v>
      </c>
      <c r="J5753" s="68"/>
      <c r="K5753" s="56"/>
      <c r="L5753" s="56"/>
      <c r="M5753" s="56"/>
      <c r="N5753" s="56"/>
      <c r="O5753" s="56"/>
    </row>
    <row r="5754" spans="1:15" ht="21.75" customHeight="1">
      <c r="A5754" s="536" t="s">
        <v>8</v>
      </c>
      <c r="B5754" s="537" t="str">
        <f>VLOOKUP(A5754,'Materiales '!$C$2:$F$1302,3,0)</f>
        <v>-</v>
      </c>
      <c r="C5754" s="98" t="str">
        <f>VLOOKUP(A5754,'Materiales '!$C$2:$F$1302,3,0)</f>
        <v>-</v>
      </c>
      <c r="D5754" s="99">
        <f>VLOOKUP(A5754,'Materiales '!$C$2:$F$1302,4,0)</f>
        <v>0</v>
      </c>
      <c r="E5754" s="100">
        <v>0.5</v>
      </c>
      <c r="F5754" s="538">
        <f t="shared" si="337"/>
        <v>0</v>
      </c>
      <c r="G5754" s="539"/>
      <c r="H5754" s="121"/>
      <c r="I5754">
        <f>E5754*G5738</f>
        <v>0</v>
      </c>
      <c r="J5754" s="68"/>
      <c r="K5754" s="56"/>
      <c r="L5754" s="56"/>
      <c r="M5754" s="56"/>
      <c r="N5754" s="56"/>
      <c r="O5754" s="56"/>
    </row>
    <row r="5755" spans="1:15">
      <c r="A5755" s="536" t="s">
        <v>8</v>
      </c>
      <c r="B5755" s="537" t="str">
        <f>VLOOKUP(A5755,'Materiales '!$C$2:$F$1302,3,0)</f>
        <v>-</v>
      </c>
      <c r="C5755" s="98" t="str">
        <f>VLOOKUP(A5755,'Materiales '!$C$2:$F$1302,3,0)</f>
        <v>-</v>
      </c>
      <c r="D5755" s="99">
        <f>VLOOKUP(A5755,'Materiales '!$C$2:$F$1302,4,0)</f>
        <v>0</v>
      </c>
      <c r="E5755" s="100"/>
      <c r="F5755" s="538">
        <f>E5755*D5755</f>
        <v>0</v>
      </c>
      <c r="G5755" s="539"/>
      <c r="H5755" s="120"/>
      <c r="I5755">
        <f>E5755*G5738</f>
        <v>0</v>
      </c>
      <c r="J5755" s="68"/>
      <c r="K5755" s="56"/>
      <c r="L5755" s="56"/>
      <c r="M5755" s="56"/>
      <c r="N5755" s="56"/>
      <c r="O5755" s="56"/>
    </row>
    <row r="5756" spans="1:15">
      <c r="A5756" s="536" t="s">
        <v>8</v>
      </c>
      <c r="B5756" s="537" t="str">
        <f>VLOOKUP(A5756,'Materiales '!$C$2:$F$1302,3,0)</f>
        <v>-</v>
      </c>
      <c r="C5756" s="98" t="str">
        <f>VLOOKUP(A5756,'Materiales '!$C$2:$F$1302,3,0)</f>
        <v>-</v>
      </c>
      <c r="D5756" s="99">
        <f>VLOOKUP(A5756,'Materiales '!$C$2:$F$1302,4,0)</f>
        <v>0</v>
      </c>
      <c r="E5756" s="100"/>
      <c r="F5756" s="538">
        <f t="shared" ref="F5756:F5759" si="338">E5756*D5756</f>
        <v>0</v>
      </c>
      <c r="G5756" s="539"/>
      <c r="H5756" s="121"/>
      <c r="I5756">
        <f>E5756*G5738</f>
        <v>0</v>
      </c>
      <c r="J5756" s="68"/>
      <c r="K5756" s="56"/>
      <c r="L5756" s="56"/>
      <c r="M5756" s="56"/>
      <c r="N5756" s="56"/>
      <c r="O5756" s="56"/>
    </row>
    <row r="5757" spans="1:15">
      <c r="A5757" s="536" t="s">
        <v>8</v>
      </c>
      <c r="B5757" s="537" t="str">
        <f>VLOOKUP(A5757,'Materiales '!$C$2:$F$1302,3,0)</f>
        <v>-</v>
      </c>
      <c r="C5757" s="98" t="str">
        <f>VLOOKUP(A5757,'Materiales '!$C$2:$F$1302,3,0)</f>
        <v>-</v>
      </c>
      <c r="D5757" s="99">
        <f>VLOOKUP(A5757,'Materiales '!$C$2:$F$1302,4,0)</f>
        <v>0</v>
      </c>
      <c r="E5757" s="100"/>
      <c r="F5757" s="538">
        <f t="shared" si="338"/>
        <v>0</v>
      </c>
      <c r="G5757" s="539"/>
      <c r="H5757" s="121"/>
      <c r="I5757">
        <f>E5757*G5738</f>
        <v>0</v>
      </c>
      <c r="J5757" s="68"/>
      <c r="K5757" s="56"/>
      <c r="L5757" s="56"/>
      <c r="M5757" s="56"/>
      <c r="N5757" s="56"/>
      <c r="O5757" s="56"/>
    </row>
    <row r="5758" spans="1:15">
      <c r="A5758" s="536" t="s">
        <v>8</v>
      </c>
      <c r="B5758" s="537" t="str">
        <f>VLOOKUP(A5758,'Materiales '!$C$2:$F$1302,3,0)</f>
        <v>-</v>
      </c>
      <c r="C5758" s="98" t="str">
        <f>VLOOKUP(A5758,'Materiales '!$C$2:$F$1302,3,0)</f>
        <v>-</v>
      </c>
      <c r="D5758" s="99">
        <f>VLOOKUP(A5758,'Materiales '!$C$2:$F$1302,4,0)</f>
        <v>0</v>
      </c>
      <c r="E5758" s="100"/>
      <c r="F5758" s="538">
        <f t="shared" si="338"/>
        <v>0</v>
      </c>
      <c r="G5758" s="539"/>
      <c r="H5758" s="121"/>
      <c r="I5758">
        <f>E5758*G5738</f>
        <v>0</v>
      </c>
      <c r="J5758" s="68"/>
      <c r="K5758" s="56"/>
      <c r="L5758" s="56"/>
      <c r="M5758" s="56"/>
      <c r="N5758" s="56"/>
      <c r="O5758" s="56"/>
    </row>
    <row r="5759" spans="1:15">
      <c r="A5759" s="536" t="s">
        <v>8</v>
      </c>
      <c r="B5759" s="537" t="str">
        <f>VLOOKUP(A5759,'Materiales '!$C$2:$F$1302,3,0)</f>
        <v>-</v>
      </c>
      <c r="C5759" s="98" t="str">
        <f>VLOOKUP(A5759,'Materiales '!$C$2:$F$1302,3,0)</f>
        <v>-</v>
      </c>
      <c r="D5759" s="99">
        <f>VLOOKUP(A5759,'Materiales '!$C$2:$F$1302,4,0)</f>
        <v>0</v>
      </c>
      <c r="E5759" s="100"/>
      <c r="F5759" s="538">
        <f t="shared" si="338"/>
        <v>0</v>
      </c>
      <c r="G5759" s="539"/>
      <c r="H5759" s="121"/>
      <c r="I5759">
        <f>E5759*G5738</f>
        <v>0</v>
      </c>
      <c r="J5759" s="68"/>
      <c r="K5759" s="56"/>
      <c r="L5759" s="56"/>
      <c r="M5759" s="56"/>
      <c r="N5759" s="56"/>
      <c r="O5759" s="56"/>
    </row>
    <row r="5760" spans="1:15">
      <c r="A5760" s="536" t="s">
        <v>8</v>
      </c>
      <c r="B5760" s="537" t="str">
        <f>VLOOKUP(A5760,'Materiales '!$C$2:$F$1302,3,0)</f>
        <v>-</v>
      </c>
      <c r="C5760" s="98" t="str">
        <f>VLOOKUP(A5760,'Materiales '!$C$2:$F$1302,3,0)</f>
        <v>-</v>
      </c>
      <c r="D5760" s="99">
        <f>VLOOKUP(A5760,'Materiales '!$C$2:$F$1302,4,0)</f>
        <v>0</v>
      </c>
      <c r="E5760" s="100"/>
      <c r="F5760" s="538">
        <f>E5760*D5760</f>
        <v>0</v>
      </c>
      <c r="G5760" s="539"/>
      <c r="H5760" s="120"/>
      <c r="I5760">
        <f>E5760*G5738</f>
        <v>0</v>
      </c>
      <c r="J5760" s="68"/>
      <c r="K5760" s="56"/>
      <c r="L5760" s="56"/>
      <c r="M5760" s="56"/>
      <c r="N5760" s="56"/>
      <c r="O5760" s="56"/>
    </row>
    <row r="5761" spans="1:15" ht="16.5">
      <c r="A5761" s="540" t="s">
        <v>4099</v>
      </c>
      <c r="B5761" s="541"/>
      <c r="C5761" s="541"/>
      <c r="D5761" s="541"/>
      <c r="E5761" s="541"/>
      <c r="F5761" s="541"/>
      <c r="G5761" s="542"/>
      <c r="H5761" s="116">
        <f>SUM(F5747:F5760)</f>
        <v>1643580.4000000001</v>
      </c>
      <c r="J5761" s="68"/>
      <c r="K5761" s="56"/>
      <c r="L5761" s="56"/>
      <c r="M5761" s="56"/>
      <c r="N5761" s="56"/>
      <c r="O5761" s="56"/>
    </row>
    <row r="5762" spans="1:15" ht="16.5">
      <c r="A5762" s="543" t="s">
        <v>4231</v>
      </c>
      <c r="B5762" s="544"/>
      <c r="C5762" s="544"/>
      <c r="D5762" s="544"/>
      <c r="E5762" s="545"/>
      <c r="F5762" s="544"/>
      <c r="G5762" s="544"/>
      <c r="H5762" s="546"/>
      <c r="J5762" s="68"/>
      <c r="K5762" s="56"/>
      <c r="L5762" s="56"/>
      <c r="M5762" s="56"/>
      <c r="N5762" s="56"/>
      <c r="O5762" s="56"/>
    </row>
    <row r="5763" spans="1:15">
      <c r="A5763" s="547" t="s">
        <v>7</v>
      </c>
      <c r="B5763" s="548"/>
      <c r="C5763" s="108" t="s">
        <v>4232</v>
      </c>
      <c r="D5763" s="107" t="s">
        <v>4233</v>
      </c>
      <c r="E5763" s="206" t="s">
        <v>4234</v>
      </c>
      <c r="F5763" s="549" t="s">
        <v>4218</v>
      </c>
      <c r="G5763" s="549"/>
      <c r="H5763" s="119"/>
      <c r="K5763" s="56"/>
      <c r="L5763" s="56"/>
      <c r="M5763" s="56"/>
      <c r="N5763" s="56"/>
      <c r="O5763" s="56"/>
    </row>
    <row r="5764" spans="1:15">
      <c r="A5764" s="550" t="s">
        <v>3893</v>
      </c>
      <c r="B5764" s="551"/>
      <c r="C5764" s="232">
        <v>1</v>
      </c>
      <c r="D5764" s="102">
        <v>0.3</v>
      </c>
      <c r="E5764" s="103">
        <f>VLOOKUP(A5764,'Equip, Herr y Transp'!$B$2:$D$218,3,0)</f>
        <v>255199.99999999997</v>
      </c>
      <c r="F5764" s="552">
        <f>E5764*D5764*C5764</f>
        <v>76559.999999999985</v>
      </c>
      <c r="G5764" s="553"/>
      <c r="H5764" s="117"/>
      <c r="M5764" s="56"/>
    </row>
    <row r="5765" spans="1:15" ht="16.5">
      <c r="A5765" s="554" t="s">
        <v>4216</v>
      </c>
      <c r="B5765" s="555"/>
      <c r="C5765" s="555"/>
      <c r="D5765" s="555"/>
      <c r="E5765" s="555"/>
      <c r="F5765" s="555"/>
      <c r="G5765" s="555"/>
      <c r="H5765" s="105">
        <f>F5764</f>
        <v>76559.999999999985</v>
      </c>
    </row>
    <row r="5766" spans="1:15" ht="16.5">
      <c r="A5766" s="543" t="s">
        <v>4235</v>
      </c>
      <c r="B5766" s="544"/>
      <c r="C5766" s="544"/>
      <c r="D5766" s="544"/>
      <c r="E5766" s="544"/>
      <c r="F5766" s="544"/>
      <c r="G5766" s="544"/>
      <c r="H5766" s="546"/>
    </row>
    <row r="5767" spans="1:15">
      <c r="A5767" s="547" t="s">
        <v>7</v>
      </c>
      <c r="B5767" s="548"/>
      <c r="C5767" s="106" t="s">
        <v>1</v>
      </c>
      <c r="D5767" s="107" t="s">
        <v>4236</v>
      </c>
      <c r="E5767" s="108" t="s">
        <v>4215</v>
      </c>
      <c r="F5767" s="547" t="s">
        <v>5</v>
      </c>
      <c r="G5767" s="556"/>
      <c r="H5767" s="119"/>
    </row>
    <row r="5768" spans="1:15">
      <c r="A5768" s="550" t="s">
        <v>4196</v>
      </c>
      <c r="B5768" s="551"/>
      <c r="C5768" s="101">
        <v>1</v>
      </c>
      <c r="D5768" s="104">
        <f>VLOOKUP(A5768,'Mano Obra'!$B$2:$T$117,19,0)</f>
        <v>166624</v>
      </c>
      <c r="E5768" s="246">
        <f>H5731</f>
        <v>0.1875</v>
      </c>
      <c r="F5768" s="538">
        <f>E5768*D5768*C5768</f>
        <v>31242</v>
      </c>
      <c r="G5768" s="557"/>
      <c r="H5768" s="121"/>
      <c r="I5768" s="69"/>
      <c r="J5768" s="136">
        <f>((('Mano Obra'!$M$4/30)*F5768)/D5768)*G5738</f>
        <v>0</v>
      </c>
    </row>
    <row r="5769" spans="1:15">
      <c r="A5769" s="558" t="s">
        <v>4197</v>
      </c>
      <c r="B5769" s="559">
        <f>VLOOKUP(A5769,'Mano Obra'!$B$3:$D$290,2,0)</f>
        <v>2090000.0000000002</v>
      </c>
      <c r="C5769" s="101">
        <v>1</v>
      </c>
      <c r="D5769" s="104">
        <f>VLOOKUP(A5769,'Mano Obra'!$B$2:$T$117,19,0)</f>
        <v>120456</v>
      </c>
      <c r="E5769" s="246">
        <f>H5731</f>
        <v>0.1875</v>
      </c>
      <c r="F5769" s="538">
        <f t="shared" ref="F5769:F5770" si="339">E5769*D5769*C5769</f>
        <v>22585.5</v>
      </c>
      <c r="G5769" s="557"/>
      <c r="H5769" s="121"/>
      <c r="J5769" s="136">
        <f>((('Mano Obra'!$M$5/30)*F5769)/D5769)*G5738</f>
        <v>0</v>
      </c>
    </row>
    <row r="5770" spans="1:15">
      <c r="A5770" s="558" t="s">
        <v>4186</v>
      </c>
      <c r="B5770" s="559">
        <f>VLOOKUP(A5770,'Mano Obra'!$B$3:$D$290,2,0)</f>
        <v>1100000</v>
      </c>
      <c r="C5770" s="101">
        <v>1</v>
      </c>
      <c r="D5770" s="104">
        <f>VLOOKUP(A5770,'Mano Obra'!$B$2:$T$117,19,0)</f>
        <v>72664</v>
      </c>
      <c r="E5770" s="246">
        <f>H5731</f>
        <v>0.1875</v>
      </c>
      <c r="F5770" s="538">
        <f t="shared" si="339"/>
        <v>13624.5</v>
      </c>
      <c r="G5770" s="557"/>
      <c r="H5770" s="120"/>
      <c r="J5770" s="136">
        <f>((('Mano Obra'!$M$6/30)*F5770)/D5770)*G5738</f>
        <v>0</v>
      </c>
    </row>
    <row r="5771" spans="1:15" ht="16.5">
      <c r="A5771" s="560" t="s">
        <v>4101</v>
      </c>
      <c r="B5771" s="560"/>
      <c r="C5771" s="560"/>
      <c r="D5771" s="560"/>
      <c r="E5771" s="560"/>
      <c r="F5771" s="560"/>
      <c r="G5771" s="560"/>
      <c r="H5771" s="105">
        <f>SUM(F5768:F5770)</f>
        <v>67452</v>
      </c>
      <c r="J5771" s="136"/>
    </row>
    <row r="5772" spans="1:15">
      <c r="A5772" s="227" t="s">
        <v>4237</v>
      </c>
      <c r="B5772" s="205"/>
      <c r="C5772" s="205"/>
      <c r="D5772" s="202"/>
      <c r="E5772" s="203"/>
      <c r="F5772" s="204"/>
      <c r="G5772" s="203"/>
      <c r="H5772" s="212"/>
    </row>
    <row r="5773" spans="1:15">
      <c r="A5773" s="561" t="s">
        <v>4224</v>
      </c>
      <c r="B5773" s="562"/>
      <c r="C5773" s="562"/>
      <c r="D5773" s="562"/>
      <c r="E5773" s="200"/>
      <c r="F5773" s="201" t="s">
        <v>4238</v>
      </c>
      <c r="G5773" s="200" t="s">
        <v>4239</v>
      </c>
      <c r="H5773" s="213"/>
    </row>
    <row r="5774" spans="1:15">
      <c r="A5774" s="223" t="s">
        <v>4097</v>
      </c>
      <c r="B5774" s="72"/>
      <c r="C5774" s="72"/>
      <c r="D5774" s="73"/>
      <c r="E5774" s="78"/>
      <c r="F5774" s="79">
        <v>0</v>
      </c>
      <c r="G5774" s="80">
        <f>F5774*H5739</f>
        <v>0</v>
      </c>
      <c r="H5774" s="212"/>
    </row>
    <row r="5775" spans="1:15">
      <c r="A5775" s="224" t="s">
        <v>4240</v>
      </c>
      <c r="B5775" s="81"/>
      <c r="C5775" s="81"/>
      <c r="D5775" s="82"/>
      <c r="E5775" s="78"/>
      <c r="F5775" s="79">
        <v>0</v>
      </c>
      <c r="G5775" s="80">
        <f>F5775*H5739</f>
        <v>0</v>
      </c>
      <c r="H5775" s="212"/>
    </row>
    <row r="5776" spans="1:15">
      <c r="A5776" s="224" t="s">
        <v>4</v>
      </c>
      <c r="B5776" s="81"/>
      <c r="C5776" s="81"/>
      <c r="D5776" s="82"/>
      <c r="E5776" s="78"/>
      <c r="F5776" s="79">
        <v>0</v>
      </c>
      <c r="G5776" s="80">
        <f>F5776*H5739</f>
        <v>0</v>
      </c>
      <c r="H5776" s="212"/>
    </row>
    <row r="5777" spans="1:14">
      <c r="A5777" s="225"/>
      <c r="B5777" s="83"/>
      <c r="C5777" s="75"/>
      <c r="D5777" s="84"/>
      <c r="E5777" s="85"/>
      <c r="F5777" s="86"/>
      <c r="G5777" s="87"/>
      <c r="H5777" s="214"/>
    </row>
    <row r="5778" spans="1:14">
      <c r="A5778" s="226"/>
      <c r="B5778" s="83"/>
      <c r="C5778" s="83"/>
      <c r="D5778" s="84"/>
      <c r="E5778" s="88"/>
      <c r="F5778" s="563" t="s">
        <v>4241</v>
      </c>
      <c r="G5778" s="564"/>
      <c r="H5778" s="233">
        <f>H5739+G5774+G5775+G5776</f>
        <v>1970241.7750000001</v>
      </c>
    </row>
    <row r="5779" spans="1:14">
      <c r="A5779" s="83"/>
      <c r="B5779" s="83"/>
      <c r="C5779" s="83"/>
      <c r="D5779" s="84"/>
      <c r="E5779" s="388"/>
      <c r="F5779" s="389"/>
      <c r="G5779" s="389"/>
      <c r="H5779" s="390"/>
    </row>
    <row r="5780" spans="1:14" ht="16.5">
      <c r="A5780" s="90"/>
      <c r="B5780" s="90"/>
      <c r="C5780" s="90"/>
      <c r="D5780" s="90"/>
      <c r="E5780" s="90"/>
      <c r="F5780" s="90"/>
      <c r="G5780" s="90"/>
      <c r="H5780" s="381"/>
    </row>
    <row r="5781" spans="1:14">
      <c r="A5781" s="579" t="s">
        <v>4225</v>
      </c>
      <c r="B5781" s="580"/>
      <c r="C5781" s="580"/>
      <c r="D5781" s="580"/>
      <c r="E5781" s="580"/>
      <c r="F5781" s="580"/>
      <c r="G5781" s="580"/>
      <c r="H5781" s="581"/>
    </row>
    <row r="5782" spans="1:14" ht="16.5">
      <c r="A5782" s="91"/>
      <c r="B5782" s="92"/>
      <c r="C5782" s="92"/>
      <c r="D5782" s="92"/>
      <c r="E5782" s="92"/>
      <c r="F5782" s="93"/>
      <c r="G5782" s="94"/>
      <c r="H5782" s="380">
        <f>ROUND((30/60)/8,4)</f>
        <v>6.25E-2</v>
      </c>
      <c r="I5782" s="115"/>
    </row>
    <row r="5783" spans="1:14">
      <c r="A5783" s="582" t="s">
        <v>4220</v>
      </c>
      <c r="B5783" s="584" t="str">
        <f>COSTOS!$C$14</f>
        <v>MODERNIZACION A TECNOLOGIA LED</v>
      </c>
      <c r="C5783" s="584"/>
      <c r="D5783" s="584"/>
      <c r="E5783" s="584"/>
      <c r="F5783" s="584"/>
      <c r="G5783" s="584"/>
      <c r="H5783" s="585" t="s">
        <v>4221</v>
      </c>
    </row>
    <row r="5784" spans="1:14">
      <c r="A5784" s="583"/>
      <c r="B5784" s="584"/>
      <c r="C5784" s="584"/>
      <c r="D5784" s="584"/>
      <c r="E5784" s="584"/>
      <c r="F5784" s="584"/>
      <c r="G5784" s="584"/>
      <c r="H5784" s="585"/>
    </row>
    <row r="5785" spans="1:14">
      <c r="A5785" s="583"/>
      <c r="B5785" s="584"/>
      <c r="C5785" s="584"/>
      <c r="D5785" s="584"/>
      <c r="E5785" s="584"/>
      <c r="F5785" s="584"/>
      <c r="G5785" s="584"/>
      <c r="H5785" s="585"/>
    </row>
    <row r="5786" spans="1:14" ht="15" customHeight="1">
      <c r="A5786" s="583"/>
      <c r="B5786" s="584"/>
      <c r="C5786" s="584"/>
      <c r="D5786" s="584"/>
      <c r="E5786" s="584"/>
      <c r="F5786" s="584"/>
      <c r="G5786" s="584"/>
      <c r="H5786" s="216">
        <f ca="1">TODAY()</f>
        <v>44889</v>
      </c>
      <c r="K5786" t="s">
        <v>4391</v>
      </c>
      <c r="L5786" t="s">
        <v>4392</v>
      </c>
      <c r="M5786" t="s">
        <v>4393</v>
      </c>
      <c r="N5786" t="s">
        <v>4394</v>
      </c>
    </row>
    <row r="5787" spans="1:14" ht="60.75" customHeight="1">
      <c r="A5787" s="228" t="s">
        <v>4222</v>
      </c>
      <c r="B5787" s="565" t="str">
        <f>COSTOS!$D$16</f>
        <v>Luminarias</v>
      </c>
      <c r="C5787" s="565"/>
      <c r="D5787" s="565"/>
      <c r="E5787" s="565"/>
      <c r="F5787" s="565"/>
      <c r="G5787" s="70" t="s">
        <v>4223</v>
      </c>
      <c r="H5787" s="391">
        <v>2.31</v>
      </c>
      <c r="K5787" s="62">
        <f>H5812</f>
        <v>207345.59999999998</v>
      </c>
      <c r="L5787" s="62">
        <f>H5822</f>
        <v>22484</v>
      </c>
      <c r="M5787" s="62">
        <f>H5795</f>
        <v>883.125</v>
      </c>
      <c r="N5787" s="62">
        <f>H5816</f>
        <v>12760</v>
      </c>
    </row>
    <row r="5788" spans="1:14" ht="43.15" customHeight="1">
      <c r="A5788" s="229" t="s">
        <v>4224</v>
      </c>
      <c r="B5788" s="566" t="str">
        <f>VLOOKUP(H5787,COSTOS!C:M,2,0)</f>
        <v>Cimentacion Posteria</v>
      </c>
      <c r="C5788" s="567"/>
      <c r="D5788" s="567"/>
      <c r="E5788" s="568"/>
      <c r="F5788" s="71" t="s">
        <v>0</v>
      </c>
      <c r="G5788" s="356" t="str">
        <f>VLOOKUP(H5787,COSTOS!C:M,8,0)</f>
        <v>Und</v>
      </c>
      <c r="H5788" s="276"/>
      <c r="I5788" s="306"/>
      <c r="J5788" s="308"/>
      <c r="K5788" s="308"/>
      <c r="L5788" s="308"/>
    </row>
    <row r="5789" spans="1:14">
      <c r="A5789" s="230"/>
      <c r="B5789" s="112"/>
      <c r="C5789" s="112"/>
      <c r="D5789" s="112"/>
      <c r="E5789" s="113"/>
      <c r="F5789" s="114" t="s">
        <v>1</v>
      </c>
      <c r="G5789" s="356">
        <f>VLOOKUP(H5787,COSTOS!C:M,9,0)</f>
        <v>0</v>
      </c>
      <c r="H5789" s="357"/>
      <c r="I5789" s="307"/>
    </row>
    <row r="5790" spans="1:14" ht="16.5">
      <c r="A5790" s="231" t="s">
        <v>4226</v>
      </c>
      <c r="B5790" s="75"/>
      <c r="C5790" s="75"/>
      <c r="D5790" s="76"/>
      <c r="E5790" s="209"/>
      <c r="F5790" s="210"/>
      <c r="G5790" s="211" t="s">
        <v>4227</v>
      </c>
      <c r="H5790" s="217">
        <f>H5795+H5812+H5816+H5822</f>
        <v>243472.72499999998</v>
      </c>
    </row>
    <row r="5791" spans="1:14" ht="39">
      <c r="A5791" s="569" t="s">
        <v>4224</v>
      </c>
      <c r="B5791" s="569"/>
      <c r="C5791" s="569"/>
      <c r="D5791" s="77" t="s">
        <v>0</v>
      </c>
      <c r="E5791" s="207" t="s">
        <v>4228</v>
      </c>
      <c r="F5791" s="208" t="s">
        <v>4215</v>
      </c>
      <c r="G5791" s="74" t="s">
        <v>2</v>
      </c>
      <c r="H5791" s="218" t="s">
        <v>4229</v>
      </c>
      <c r="K5791" s="309"/>
    </row>
    <row r="5792" spans="1:14">
      <c r="A5792" s="536" t="s">
        <v>3946</v>
      </c>
      <c r="B5792" s="570" t="str">
        <f>VLOOKUP(A5792,'Equip, Herr y Transp'!$B$2:$D$739,2,0)</f>
        <v>EQU</v>
      </c>
      <c r="C5792" s="570"/>
      <c r="D5792" s="95" t="str">
        <f>VLOOKUP(A5792,'Equip, Herr y Transp'!$B$2:$D$218,2,0)</f>
        <v>EQU</v>
      </c>
      <c r="E5792" s="95">
        <f>VLOOKUP(A5792,'Equip, Herr y Transp'!$B$2:$D$218,3,0)</f>
        <v>14130</v>
      </c>
      <c r="F5792" s="96">
        <f>H5782</f>
        <v>6.25E-2</v>
      </c>
      <c r="G5792" s="122">
        <f>F5792*E5792</f>
        <v>883.125</v>
      </c>
      <c r="H5792" s="118"/>
    </row>
    <row r="5793" spans="1:15">
      <c r="A5793" s="536" t="s">
        <v>8</v>
      </c>
      <c r="B5793" s="570">
        <f>VLOOKUP(A5793,'Equip, Herr y Transp'!$B$2:$D$739,2,0)</f>
        <v>0</v>
      </c>
      <c r="C5793" s="570"/>
      <c r="D5793" s="95">
        <f>VLOOKUP(A5793,'Equip, Herr y Transp'!$B$2:$D$218,2,0)</f>
        <v>0</v>
      </c>
      <c r="E5793" s="95">
        <f>VLOOKUP(A5793,'Equip, Herr y Transp'!$B$2:$D$218,3,0)</f>
        <v>0</v>
      </c>
      <c r="F5793" s="96">
        <f>H5782</f>
        <v>6.25E-2</v>
      </c>
      <c r="G5793" s="122">
        <f>F5793*E5793</f>
        <v>0</v>
      </c>
      <c r="H5793" s="117"/>
    </row>
    <row r="5794" spans="1:15">
      <c r="A5794" s="536" t="s">
        <v>8</v>
      </c>
      <c r="B5794" s="570">
        <f>VLOOKUP(A5794,'Equip, Herr y Transp'!$B$2:$D$739,2,0)</f>
        <v>0</v>
      </c>
      <c r="C5794" s="570"/>
      <c r="D5794" s="95">
        <f>VLOOKUP(A5794,'Equip, Herr y Transp'!$B$2:$D$218,2,0)</f>
        <v>0</v>
      </c>
      <c r="E5794" s="95">
        <f>VLOOKUP(A5794,'Equip, Herr y Transp'!$B$2:$D$218,3,0)</f>
        <v>0</v>
      </c>
      <c r="F5794" s="96">
        <f>F5793</f>
        <v>6.25E-2</v>
      </c>
      <c r="G5794" s="122">
        <f>F5794*E5794</f>
        <v>0</v>
      </c>
      <c r="H5794" s="117"/>
    </row>
    <row r="5795" spans="1:15" ht="16.5">
      <c r="A5795" s="540" t="s">
        <v>4100</v>
      </c>
      <c r="B5795" s="541"/>
      <c r="C5795" s="541"/>
      <c r="D5795" s="541"/>
      <c r="E5795" s="541"/>
      <c r="F5795" s="541"/>
      <c r="G5795" s="541"/>
      <c r="H5795" s="97">
        <f>SUM(G5792:G5794)</f>
        <v>883.125</v>
      </c>
    </row>
    <row r="5796" spans="1:15" ht="16.5">
      <c r="A5796" s="571" t="s">
        <v>4230</v>
      </c>
      <c r="B5796" s="572"/>
      <c r="C5796" s="572"/>
      <c r="D5796" s="572"/>
      <c r="E5796" s="572"/>
      <c r="F5796" s="572"/>
      <c r="G5796" s="572"/>
      <c r="H5796" s="573"/>
      <c r="K5796" s="56"/>
      <c r="L5796" s="56"/>
      <c r="M5796" s="56"/>
      <c r="N5796" s="56"/>
      <c r="O5796" s="56"/>
    </row>
    <row r="5797" spans="1:15" ht="30" customHeight="1">
      <c r="A5797" s="574" t="s">
        <v>7</v>
      </c>
      <c r="B5797" s="575"/>
      <c r="C5797" s="109" t="s">
        <v>0</v>
      </c>
      <c r="D5797" s="110" t="s">
        <v>4098</v>
      </c>
      <c r="E5797" s="111" t="s">
        <v>1</v>
      </c>
      <c r="F5797" s="576" t="s">
        <v>4218</v>
      </c>
      <c r="G5797" s="576"/>
      <c r="H5797" s="215"/>
      <c r="K5797" s="56"/>
      <c r="L5797" s="56"/>
      <c r="M5797" s="56"/>
      <c r="N5797" s="56"/>
      <c r="O5797" s="56"/>
    </row>
    <row r="5798" spans="1:15">
      <c r="A5798" s="577" t="s">
        <v>8</v>
      </c>
      <c r="B5798" s="578"/>
      <c r="C5798" s="98" t="str">
        <f>VLOOKUP(A5798,'Materiales '!$C$2:$F$1302,3,0)</f>
        <v>-</v>
      </c>
      <c r="D5798" s="99">
        <f>VLOOKUP(A5798,'Materiales '!$C$2:$F$1302,4,0)</f>
        <v>0</v>
      </c>
      <c r="E5798" s="100">
        <v>1</v>
      </c>
      <c r="F5798" s="538">
        <f>E5798*D5798</f>
        <v>0</v>
      </c>
      <c r="G5798" s="539"/>
      <c r="H5798" s="121"/>
      <c r="I5798">
        <f>E5798*G5789</f>
        <v>0</v>
      </c>
      <c r="J5798" s="67"/>
      <c r="K5798" s="56"/>
      <c r="L5798" s="56"/>
      <c r="M5798" s="56"/>
      <c r="N5798" s="56"/>
      <c r="O5798" s="56"/>
    </row>
    <row r="5799" spans="1:15">
      <c r="A5799" s="577" t="s">
        <v>4628</v>
      </c>
      <c r="B5799" s="578"/>
      <c r="C5799" s="98" t="str">
        <f>VLOOKUP(A5799,'Materiales '!$C$2:$F$1302,3,0)</f>
        <v>Rollo</v>
      </c>
      <c r="D5799" s="99">
        <f>VLOOKUP(A5799,'Materiales '!$C$2:$F$1302,4,0)</f>
        <v>138230.39999999999</v>
      </c>
      <c r="E5799" s="100">
        <v>1.5</v>
      </c>
      <c r="F5799" s="538">
        <f t="shared" ref="F5799:F5805" si="340">E5799*D5799</f>
        <v>207345.59999999998</v>
      </c>
      <c r="G5799" s="539"/>
      <c r="H5799" s="121"/>
      <c r="I5799">
        <f>E5799*G5789</f>
        <v>0</v>
      </c>
      <c r="J5799" s="67"/>
      <c r="K5799" s="56"/>
      <c r="L5799" s="56"/>
      <c r="M5799" s="56"/>
      <c r="N5799" s="56"/>
      <c r="O5799" s="56"/>
    </row>
    <row r="5800" spans="1:15">
      <c r="A5800" s="536" t="s">
        <v>8</v>
      </c>
      <c r="B5800" s="537" t="str">
        <f>VLOOKUP(A5800,'Materiales '!$C$2:$F$1302,3,0)</f>
        <v>-</v>
      </c>
      <c r="C5800" s="98" t="str">
        <f>VLOOKUP(A5800,'Materiales '!$C$2:$F$1302,3,0)</f>
        <v>-</v>
      </c>
      <c r="D5800" s="99">
        <f>VLOOKUP(A5800,'Materiales '!$C$2:$F$1302,4,0)</f>
        <v>0</v>
      </c>
      <c r="E5800" s="100">
        <v>6</v>
      </c>
      <c r="F5800" s="538">
        <f t="shared" si="340"/>
        <v>0</v>
      </c>
      <c r="G5800" s="539"/>
      <c r="H5800" s="121"/>
      <c r="I5800">
        <f>E5800*G5789</f>
        <v>0</v>
      </c>
      <c r="J5800" s="68"/>
      <c r="K5800" s="56"/>
      <c r="L5800" s="56"/>
      <c r="M5800" s="56"/>
      <c r="N5800" s="56"/>
      <c r="O5800" s="56"/>
    </row>
    <row r="5801" spans="1:15">
      <c r="A5801" s="536" t="s">
        <v>8</v>
      </c>
      <c r="B5801" s="537" t="str">
        <f>VLOOKUP(A5801,'Materiales '!$C$2:$F$1302,3,0)</f>
        <v>-</v>
      </c>
      <c r="C5801" s="98" t="str">
        <f>VLOOKUP(A5801,'Materiales '!$C$2:$F$1302,3,0)</f>
        <v>-</v>
      </c>
      <c r="D5801" s="99">
        <f>VLOOKUP(A5801,'Materiales '!$C$2:$F$1302,4,0)</f>
        <v>0</v>
      </c>
      <c r="E5801" s="100">
        <v>3</v>
      </c>
      <c r="F5801" s="538">
        <f t="shared" si="340"/>
        <v>0</v>
      </c>
      <c r="G5801" s="539"/>
      <c r="H5801" s="121"/>
      <c r="I5801">
        <f>E5801*G5789</f>
        <v>0</v>
      </c>
      <c r="J5801" s="68"/>
      <c r="K5801" s="56"/>
      <c r="L5801" s="56"/>
      <c r="M5801" s="56"/>
      <c r="N5801" s="56"/>
      <c r="O5801" s="56"/>
    </row>
    <row r="5802" spans="1:15">
      <c r="A5802" s="536" t="s">
        <v>8</v>
      </c>
      <c r="B5802" s="537" t="str">
        <f>VLOOKUP(A5802,'Materiales '!$C$2:$F$1302,3,0)</f>
        <v>-</v>
      </c>
      <c r="C5802" s="98" t="str">
        <f>VLOOKUP(A5802,'Materiales '!$C$2:$F$1302,3,0)</f>
        <v>-</v>
      </c>
      <c r="D5802" s="99">
        <f>VLOOKUP(A5802,'Materiales '!$C$2:$F$1302,4,0)</f>
        <v>0</v>
      </c>
      <c r="E5802" s="100">
        <v>2</v>
      </c>
      <c r="F5802" s="538">
        <f t="shared" si="340"/>
        <v>0</v>
      </c>
      <c r="G5802" s="539"/>
      <c r="H5802" s="121"/>
      <c r="I5802">
        <f>E5802*G5789</f>
        <v>0</v>
      </c>
      <c r="J5802" s="68"/>
      <c r="K5802" s="56"/>
      <c r="L5802" s="56"/>
      <c r="M5802" s="56"/>
      <c r="N5802" s="56"/>
      <c r="O5802" s="56"/>
    </row>
    <row r="5803" spans="1:15">
      <c r="A5803" s="536" t="s">
        <v>8</v>
      </c>
      <c r="B5803" s="537" t="str">
        <f>VLOOKUP(A5803,'Materiales '!$C$2:$F$1302,3,0)</f>
        <v>-</v>
      </c>
      <c r="C5803" s="98" t="str">
        <f>VLOOKUP(A5803,'Materiales '!$C$2:$F$1302,3,0)</f>
        <v>-</v>
      </c>
      <c r="D5803" s="99">
        <f>VLOOKUP(A5803,'Materiales '!$C$2:$F$1302,4,0)</f>
        <v>0</v>
      </c>
      <c r="E5803" s="100">
        <v>8</v>
      </c>
      <c r="F5803" s="538">
        <f t="shared" si="340"/>
        <v>0</v>
      </c>
      <c r="G5803" s="539"/>
      <c r="H5803" s="121"/>
      <c r="I5803">
        <f>E5803*G5789</f>
        <v>0</v>
      </c>
      <c r="J5803" s="68"/>
      <c r="K5803" s="56"/>
      <c r="L5803" s="56"/>
      <c r="M5803" s="56"/>
      <c r="N5803" s="56"/>
      <c r="O5803" s="56"/>
    </row>
    <row r="5804" spans="1:15">
      <c r="A5804" s="536" t="s">
        <v>8</v>
      </c>
      <c r="B5804" s="537" t="str">
        <f>VLOOKUP(A5804,'Materiales '!$C$2:$F$1302,3,0)</f>
        <v>-</v>
      </c>
      <c r="C5804" s="98" t="str">
        <f>VLOOKUP(A5804,'Materiales '!$C$2:$F$1302,3,0)</f>
        <v>-</v>
      </c>
      <c r="D5804" s="99">
        <f>VLOOKUP(A5804,'Materiales '!$C$2:$F$1302,4,0)</f>
        <v>0</v>
      </c>
      <c r="E5804" s="100">
        <v>3</v>
      </c>
      <c r="F5804" s="538">
        <f t="shared" si="340"/>
        <v>0</v>
      </c>
      <c r="G5804" s="539"/>
      <c r="H5804" s="121"/>
      <c r="I5804">
        <f>E5804*G5789</f>
        <v>0</v>
      </c>
      <c r="J5804" s="68"/>
      <c r="K5804" s="56"/>
      <c r="L5804" s="56"/>
      <c r="M5804" s="56"/>
      <c r="N5804" s="56"/>
      <c r="O5804" s="56"/>
    </row>
    <row r="5805" spans="1:15" ht="21.75" customHeight="1">
      <c r="A5805" s="536" t="s">
        <v>8</v>
      </c>
      <c r="B5805" s="537" t="str">
        <f>VLOOKUP(A5805,'Materiales '!$C$2:$F$1302,3,0)</f>
        <v>-</v>
      </c>
      <c r="C5805" s="98" t="str">
        <f>VLOOKUP(A5805,'Materiales '!$C$2:$F$1302,3,0)</f>
        <v>-</v>
      </c>
      <c r="D5805" s="99">
        <f>VLOOKUP(A5805,'Materiales '!$C$2:$F$1302,4,0)</f>
        <v>0</v>
      </c>
      <c r="E5805" s="100">
        <v>0.5</v>
      </c>
      <c r="F5805" s="538">
        <f t="shared" si="340"/>
        <v>0</v>
      </c>
      <c r="G5805" s="539"/>
      <c r="H5805" s="121"/>
      <c r="I5805">
        <f>E5805*G5789</f>
        <v>0</v>
      </c>
      <c r="J5805" s="68"/>
      <c r="K5805" s="56"/>
      <c r="L5805" s="56"/>
      <c r="M5805" s="56"/>
      <c r="N5805" s="56"/>
      <c r="O5805" s="56"/>
    </row>
    <row r="5806" spans="1:15">
      <c r="A5806" s="536" t="s">
        <v>8</v>
      </c>
      <c r="B5806" s="537" t="str">
        <f>VLOOKUP(A5806,'Materiales '!$C$2:$F$1302,3,0)</f>
        <v>-</v>
      </c>
      <c r="C5806" s="98" t="str">
        <f>VLOOKUP(A5806,'Materiales '!$C$2:$F$1302,3,0)</f>
        <v>-</v>
      </c>
      <c r="D5806" s="99">
        <f>VLOOKUP(A5806,'Materiales '!$C$2:$F$1302,4,0)</f>
        <v>0</v>
      </c>
      <c r="E5806" s="100"/>
      <c r="F5806" s="538">
        <f>E5806*D5806</f>
        <v>0</v>
      </c>
      <c r="G5806" s="539"/>
      <c r="H5806" s="120"/>
      <c r="I5806">
        <f>E5806*G5789</f>
        <v>0</v>
      </c>
      <c r="J5806" s="68"/>
      <c r="K5806" s="56"/>
      <c r="L5806" s="56"/>
      <c r="M5806" s="56"/>
      <c r="N5806" s="56"/>
      <c r="O5806" s="56"/>
    </row>
    <row r="5807" spans="1:15">
      <c r="A5807" s="536" t="s">
        <v>8</v>
      </c>
      <c r="B5807" s="537" t="str">
        <f>VLOOKUP(A5807,'Materiales '!$C$2:$F$1302,3,0)</f>
        <v>-</v>
      </c>
      <c r="C5807" s="98" t="str">
        <f>VLOOKUP(A5807,'Materiales '!$C$2:$F$1302,3,0)</f>
        <v>-</v>
      </c>
      <c r="D5807" s="99">
        <f>VLOOKUP(A5807,'Materiales '!$C$2:$F$1302,4,0)</f>
        <v>0</v>
      </c>
      <c r="E5807" s="100"/>
      <c r="F5807" s="538">
        <f t="shared" ref="F5807:F5810" si="341">E5807*D5807</f>
        <v>0</v>
      </c>
      <c r="G5807" s="539"/>
      <c r="H5807" s="121"/>
      <c r="I5807">
        <f>E5807*G5789</f>
        <v>0</v>
      </c>
      <c r="J5807" s="68"/>
      <c r="K5807" s="56"/>
      <c r="L5807" s="56"/>
      <c r="M5807" s="56"/>
      <c r="N5807" s="56"/>
      <c r="O5807" s="56"/>
    </row>
    <row r="5808" spans="1:15">
      <c r="A5808" s="536" t="s">
        <v>8</v>
      </c>
      <c r="B5808" s="537" t="str">
        <f>VLOOKUP(A5808,'Materiales '!$C$2:$F$1302,3,0)</f>
        <v>-</v>
      </c>
      <c r="C5808" s="98" t="str">
        <f>VLOOKUP(A5808,'Materiales '!$C$2:$F$1302,3,0)</f>
        <v>-</v>
      </c>
      <c r="D5808" s="99">
        <f>VLOOKUP(A5808,'Materiales '!$C$2:$F$1302,4,0)</f>
        <v>0</v>
      </c>
      <c r="E5808" s="100"/>
      <c r="F5808" s="538">
        <f t="shared" si="341"/>
        <v>0</v>
      </c>
      <c r="G5808" s="539"/>
      <c r="H5808" s="121"/>
      <c r="I5808">
        <f>E5808*G5789</f>
        <v>0</v>
      </c>
      <c r="J5808" s="68"/>
      <c r="K5808" s="56"/>
      <c r="L5808" s="56"/>
      <c r="M5808" s="56"/>
      <c r="N5808" s="56"/>
      <c r="O5808" s="56"/>
    </row>
    <row r="5809" spans="1:15">
      <c r="A5809" s="536" t="s">
        <v>8</v>
      </c>
      <c r="B5809" s="537" t="str">
        <f>VLOOKUP(A5809,'Materiales '!$C$2:$F$1302,3,0)</f>
        <v>-</v>
      </c>
      <c r="C5809" s="98" t="str">
        <f>VLOOKUP(A5809,'Materiales '!$C$2:$F$1302,3,0)</f>
        <v>-</v>
      </c>
      <c r="D5809" s="99">
        <f>VLOOKUP(A5809,'Materiales '!$C$2:$F$1302,4,0)</f>
        <v>0</v>
      </c>
      <c r="E5809" s="100"/>
      <c r="F5809" s="538">
        <f t="shared" si="341"/>
        <v>0</v>
      </c>
      <c r="G5809" s="539"/>
      <c r="H5809" s="121"/>
      <c r="I5809">
        <f>E5809*G5789</f>
        <v>0</v>
      </c>
      <c r="J5809" s="68"/>
      <c r="K5809" s="56"/>
      <c r="L5809" s="56"/>
      <c r="M5809" s="56"/>
      <c r="N5809" s="56"/>
      <c r="O5809" s="56"/>
    </row>
    <row r="5810" spans="1:15">
      <c r="A5810" s="536" t="s">
        <v>8</v>
      </c>
      <c r="B5810" s="537" t="str">
        <f>VLOOKUP(A5810,'Materiales '!$C$2:$F$1302,3,0)</f>
        <v>-</v>
      </c>
      <c r="C5810" s="98" t="str">
        <f>VLOOKUP(A5810,'Materiales '!$C$2:$F$1302,3,0)</f>
        <v>-</v>
      </c>
      <c r="D5810" s="99">
        <f>VLOOKUP(A5810,'Materiales '!$C$2:$F$1302,4,0)</f>
        <v>0</v>
      </c>
      <c r="E5810" s="100"/>
      <c r="F5810" s="538">
        <f t="shared" si="341"/>
        <v>0</v>
      </c>
      <c r="G5810" s="539"/>
      <c r="H5810" s="121"/>
      <c r="I5810">
        <f>E5810*G5789</f>
        <v>0</v>
      </c>
      <c r="J5810" s="68"/>
      <c r="K5810" s="56"/>
      <c r="L5810" s="56"/>
      <c r="M5810" s="56"/>
      <c r="N5810" s="56"/>
      <c r="O5810" s="56"/>
    </row>
    <row r="5811" spans="1:15">
      <c r="A5811" s="536" t="s">
        <v>8</v>
      </c>
      <c r="B5811" s="537" t="str">
        <f>VLOOKUP(A5811,'Materiales '!$C$2:$F$1302,3,0)</f>
        <v>-</v>
      </c>
      <c r="C5811" s="98" t="str">
        <f>VLOOKUP(A5811,'Materiales '!$C$2:$F$1302,3,0)</f>
        <v>-</v>
      </c>
      <c r="D5811" s="99">
        <f>VLOOKUP(A5811,'Materiales '!$C$2:$F$1302,4,0)</f>
        <v>0</v>
      </c>
      <c r="E5811" s="100"/>
      <c r="F5811" s="538">
        <f>E5811*D5811</f>
        <v>0</v>
      </c>
      <c r="G5811" s="539"/>
      <c r="H5811" s="120"/>
      <c r="I5811">
        <f>E5811*G5789</f>
        <v>0</v>
      </c>
      <c r="J5811" s="68"/>
      <c r="K5811" s="56"/>
      <c r="L5811" s="56"/>
      <c r="M5811" s="56"/>
      <c r="N5811" s="56"/>
      <c r="O5811" s="56"/>
    </row>
    <row r="5812" spans="1:15" ht="16.5">
      <c r="A5812" s="540" t="s">
        <v>4099</v>
      </c>
      <c r="B5812" s="541"/>
      <c r="C5812" s="541"/>
      <c r="D5812" s="541"/>
      <c r="E5812" s="541"/>
      <c r="F5812" s="541"/>
      <c r="G5812" s="542"/>
      <c r="H5812" s="116">
        <f>SUM(F5798:F5811)</f>
        <v>207345.59999999998</v>
      </c>
      <c r="J5812" s="68"/>
      <c r="K5812" s="56"/>
      <c r="L5812" s="56"/>
      <c r="M5812" s="56"/>
      <c r="N5812" s="56"/>
      <c r="O5812" s="56"/>
    </row>
    <row r="5813" spans="1:15" ht="16.5">
      <c r="A5813" s="543" t="s">
        <v>4231</v>
      </c>
      <c r="B5813" s="544"/>
      <c r="C5813" s="544"/>
      <c r="D5813" s="544"/>
      <c r="E5813" s="545"/>
      <c r="F5813" s="544"/>
      <c r="G5813" s="544"/>
      <c r="H5813" s="546"/>
      <c r="J5813" s="68"/>
      <c r="K5813" s="56"/>
      <c r="L5813" s="56"/>
      <c r="M5813" s="56"/>
      <c r="N5813" s="56"/>
      <c r="O5813" s="56"/>
    </row>
    <row r="5814" spans="1:15">
      <c r="A5814" s="547" t="s">
        <v>7</v>
      </c>
      <c r="B5814" s="548"/>
      <c r="C5814" s="108" t="s">
        <v>4232</v>
      </c>
      <c r="D5814" s="107" t="s">
        <v>4233</v>
      </c>
      <c r="E5814" s="206" t="s">
        <v>4234</v>
      </c>
      <c r="F5814" s="549" t="s">
        <v>4218</v>
      </c>
      <c r="G5814" s="549"/>
      <c r="H5814" s="119"/>
      <c r="K5814" s="56"/>
      <c r="L5814" s="56"/>
      <c r="M5814" s="56"/>
      <c r="N5814" s="56"/>
      <c r="O5814" s="56"/>
    </row>
    <row r="5815" spans="1:15">
      <c r="A5815" s="550" t="s">
        <v>3893</v>
      </c>
      <c r="B5815" s="551"/>
      <c r="C5815" s="232">
        <v>1</v>
      </c>
      <c r="D5815" s="102">
        <v>0.05</v>
      </c>
      <c r="E5815" s="103">
        <f>VLOOKUP(A5815,'Equip, Herr y Transp'!$B$2:$D$218,3,0)</f>
        <v>255199.99999999997</v>
      </c>
      <c r="F5815" s="552">
        <f>E5815*D5815*C5815</f>
        <v>12760</v>
      </c>
      <c r="G5815" s="553"/>
      <c r="H5815" s="117"/>
      <c r="M5815" s="56"/>
    </row>
    <row r="5816" spans="1:15" ht="16.5">
      <c r="A5816" s="554" t="s">
        <v>4216</v>
      </c>
      <c r="B5816" s="555"/>
      <c r="C5816" s="555"/>
      <c r="D5816" s="555"/>
      <c r="E5816" s="555"/>
      <c r="F5816" s="555"/>
      <c r="G5816" s="555"/>
      <c r="H5816" s="105">
        <f>F5815</f>
        <v>12760</v>
      </c>
    </row>
    <row r="5817" spans="1:15" ht="16.5">
      <c r="A5817" s="543" t="s">
        <v>4235</v>
      </c>
      <c r="B5817" s="544"/>
      <c r="C5817" s="544"/>
      <c r="D5817" s="544"/>
      <c r="E5817" s="544"/>
      <c r="F5817" s="544"/>
      <c r="G5817" s="544"/>
      <c r="H5817" s="546"/>
    </row>
    <row r="5818" spans="1:15">
      <c r="A5818" s="547" t="s">
        <v>7</v>
      </c>
      <c r="B5818" s="548"/>
      <c r="C5818" s="106" t="s">
        <v>1</v>
      </c>
      <c r="D5818" s="107" t="s">
        <v>4236</v>
      </c>
      <c r="E5818" s="108" t="s">
        <v>4215</v>
      </c>
      <c r="F5818" s="547" t="s">
        <v>5</v>
      </c>
      <c r="G5818" s="556"/>
      <c r="H5818" s="119"/>
    </row>
    <row r="5819" spans="1:15">
      <c r="A5819" s="550" t="s">
        <v>4196</v>
      </c>
      <c r="B5819" s="551"/>
      <c r="C5819" s="101">
        <v>1</v>
      </c>
      <c r="D5819" s="104">
        <f>VLOOKUP(A5819,'Mano Obra'!$B$2:$T$117,19,0)</f>
        <v>166624</v>
      </c>
      <c r="E5819" s="246">
        <f>H5782</f>
        <v>6.25E-2</v>
      </c>
      <c r="F5819" s="538">
        <f>E5819*D5819*C5819</f>
        <v>10414</v>
      </c>
      <c r="G5819" s="557"/>
      <c r="H5819" s="121"/>
      <c r="I5819" s="69"/>
      <c r="J5819" s="136">
        <f>((('Mano Obra'!$M$4/30)*F5819)/D5819)*G5789</f>
        <v>0</v>
      </c>
    </row>
    <row r="5820" spans="1:15">
      <c r="A5820" s="558" t="s">
        <v>4197</v>
      </c>
      <c r="B5820" s="559">
        <f>VLOOKUP(A5820,'Mano Obra'!$B$3:$D$290,2,0)</f>
        <v>2090000.0000000002</v>
      </c>
      <c r="C5820" s="101">
        <v>1</v>
      </c>
      <c r="D5820" s="104">
        <f>VLOOKUP(A5820,'Mano Obra'!$B$2:$T$117,19,0)</f>
        <v>120456</v>
      </c>
      <c r="E5820" s="246">
        <f>H5782</f>
        <v>6.25E-2</v>
      </c>
      <c r="F5820" s="538">
        <f t="shared" ref="F5820:F5821" si="342">E5820*D5820*C5820</f>
        <v>7528.5</v>
      </c>
      <c r="G5820" s="557"/>
      <c r="H5820" s="121"/>
      <c r="J5820" s="136">
        <f>((('Mano Obra'!$M$5/30)*F5820)/D5820)*G5789</f>
        <v>0</v>
      </c>
    </row>
    <row r="5821" spans="1:15">
      <c r="A5821" s="558" t="s">
        <v>4186</v>
      </c>
      <c r="B5821" s="559">
        <f>VLOOKUP(A5821,'Mano Obra'!$B$3:$D$290,2,0)</f>
        <v>1100000</v>
      </c>
      <c r="C5821" s="101">
        <v>1</v>
      </c>
      <c r="D5821" s="104">
        <f>VLOOKUP(A5821,'Mano Obra'!$B$2:$T$117,19,0)</f>
        <v>72664</v>
      </c>
      <c r="E5821" s="246">
        <f>H5782</f>
        <v>6.25E-2</v>
      </c>
      <c r="F5821" s="538">
        <f t="shared" si="342"/>
        <v>4541.5</v>
      </c>
      <c r="G5821" s="557"/>
      <c r="H5821" s="120"/>
      <c r="J5821" s="136">
        <f>((('Mano Obra'!$M$6/30)*F5821)/D5821)*G5789</f>
        <v>0</v>
      </c>
    </row>
    <row r="5822" spans="1:15" ht="16.5">
      <c r="A5822" s="560" t="s">
        <v>4101</v>
      </c>
      <c r="B5822" s="560"/>
      <c r="C5822" s="560"/>
      <c r="D5822" s="560"/>
      <c r="E5822" s="560"/>
      <c r="F5822" s="560"/>
      <c r="G5822" s="560"/>
      <c r="H5822" s="105">
        <f>SUM(F5819:F5821)</f>
        <v>22484</v>
      </c>
      <c r="J5822" s="136"/>
    </row>
    <row r="5823" spans="1:15">
      <c r="A5823" s="227" t="s">
        <v>4237</v>
      </c>
      <c r="B5823" s="205"/>
      <c r="C5823" s="205"/>
      <c r="D5823" s="202"/>
      <c r="E5823" s="203"/>
      <c r="F5823" s="204"/>
      <c r="G5823" s="203"/>
      <c r="H5823" s="212"/>
    </row>
    <row r="5824" spans="1:15">
      <c r="A5824" s="561" t="s">
        <v>4224</v>
      </c>
      <c r="B5824" s="562"/>
      <c r="C5824" s="562"/>
      <c r="D5824" s="562"/>
      <c r="E5824" s="200"/>
      <c r="F5824" s="201" t="s">
        <v>4238</v>
      </c>
      <c r="G5824" s="200" t="s">
        <v>4239</v>
      </c>
      <c r="H5824" s="213"/>
    </row>
    <row r="5825" spans="1:14">
      <c r="A5825" s="223" t="s">
        <v>4097</v>
      </c>
      <c r="B5825" s="72"/>
      <c r="C5825" s="72"/>
      <c r="D5825" s="73"/>
      <c r="E5825" s="78"/>
      <c r="F5825" s="79">
        <v>0</v>
      </c>
      <c r="G5825" s="80">
        <f>F5825*H5790</f>
        <v>0</v>
      </c>
      <c r="H5825" s="212"/>
    </row>
    <row r="5826" spans="1:14">
      <c r="A5826" s="224" t="s">
        <v>4240</v>
      </c>
      <c r="B5826" s="81"/>
      <c r="C5826" s="81"/>
      <c r="D5826" s="82"/>
      <c r="E5826" s="78"/>
      <c r="F5826" s="79">
        <v>0</v>
      </c>
      <c r="G5826" s="80">
        <f>F5826*H5790</f>
        <v>0</v>
      </c>
      <c r="H5826" s="212"/>
    </row>
    <row r="5827" spans="1:14">
      <c r="A5827" s="224" t="s">
        <v>4</v>
      </c>
      <c r="B5827" s="81"/>
      <c r="C5827" s="81"/>
      <c r="D5827" s="82"/>
      <c r="E5827" s="78"/>
      <c r="F5827" s="79">
        <v>0</v>
      </c>
      <c r="G5827" s="80">
        <f>F5827*H5790</f>
        <v>0</v>
      </c>
      <c r="H5827" s="212"/>
    </row>
    <row r="5828" spans="1:14">
      <c r="A5828" s="225"/>
      <c r="B5828" s="83"/>
      <c r="C5828" s="75"/>
      <c r="D5828" s="84"/>
      <c r="E5828" s="85"/>
      <c r="F5828" s="86"/>
      <c r="G5828" s="87"/>
      <c r="H5828" s="214"/>
    </row>
    <row r="5829" spans="1:14">
      <c r="A5829" s="226"/>
      <c r="B5829" s="83"/>
      <c r="C5829" s="83"/>
      <c r="D5829" s="84"/>
      <c r="E5829" s="88"/>
      <c r="F5829" s="563" t="s">
        <v>4241</v>
      </c>
      <c r="G5829" s="564"/>
      <c r="H5829" s="233">
        <f>H5790+G5825+G5826+G5827</f>
        <v>243472.72499999998</v>
      </c>
    </row>
    <row r="5830" spans="1:14">
      <c r="A5830" s="83"/>
      <c r="B5830" s="83"/>
      <c r="C5830" s="83"/>
      <c r="D5830" s="84"/>
      <c r="E5830" s="388"/>
      <c r="F5830" s="389"/>
      <c r="G5830" s="389"/>
      <c r="H5830" s="390"/>
    </row>
    <row r="5831" spans="1:14" ht="16.5">
      <c r="A5831" s="90"/>
      <c r="B5831" s="90"/>
      <c r="C5831" s="90"/>
      <c r="D5831" s="90"/>
      <c r="E5831" s="90"/>
      <c r="F5831" s="90"/>
      <c r="G5831" s="90"/>
      <c r="H5831" s="381"/>
    </row>
    <row r="5832" spans="1:14">
      <c r="A5832" s="579" t="s">
        <v>4225</v>
      </c>
      <c r="B5832" s="580"/>
      <c r="C5832" s="580"/>
      <c r="D5832" s="580"/>
      <c r="E5832" s="580"/>
      <c r="F5832" s="580"/>
      <c r="G5832" s="580"/>
      <c r="H5832" s="581"/>
    </row>
    <row r="5833" spans="1:14" ht="16.5">
      <c r="A5833" s="91"/>
      <c r="B5833" s="92"/>
      <c r="C5833" s="92"/>
      <c r="D5833" s="92"/>
      <c r="E5833" s="92"/>
      <c r="F5833" s="93"/>
      <c r="G5833" s="94"/>
      <c r="H5833" s="380">
        <f>ROUND((80/60)/8,4)</f>
        <v>0.16669999999999999</v>
      </c>
      <c r="I5833" s="115"/>
    </row>
    <row r="5834" spans="1:14">
      <c r="A5834" s="582" t="s">
        <v>4220</v>
      </c>
      <c r="B5834" s="584" t="str">
        <f>COSTOS!$C$14</f>
        <v>MODERNIZACION A TECNOLOGIA LED</v>
      </c>
      <c r="C5834" s="584"/>
      <c r="D5834" s="584"/>
      <c r="E5834" s="584"/>
      <c r="F5834" s="584"/>
      <c r="G5834" s="584"/>
      <c r="H5834" s="585" t="s">
        <v>4221</v>
      </c>
    </row>
    <row r="5835" spans="1:14">
      <c r="A5835" s="583"/>
      <c r="B5835" s="584"/>
      <c r="C5835" s="584"/>
      <c r="D5835" s="584"/>
      <c r="E5835" s="584"/>
      <c r="F5835" s="584"/>
      <c r="G5835" s="584"/>
      <c r="H5835" s="585"/>
    </row>
    <row r="5836" spans="1:14">
      <c r="A5836" s="583"/>
      <c r="B5836" s="584"/>
      <c r="C5836" s="584"/>
      <c r="D5836" s="584"/>
      <c r="E5836" s="584"/>
      <c r="F5836" s="584"/>
      <c r="G5836" s="584"/>
      <c r="H5836" s="585"/>
    </row>
    <row r="5837" spans="1:14" ht="15" customHeight="1">
      <c r="A5837" s="583"/>
      <c r="B5837" s="584"/>
      <c r="C5837" s="584"/>
      <c r="D5837" s="584"/>
      <c r="E5837" s="584"/>
      <c r="F5837" s="584"/>
      <c r="G5837" s="584"/>
      <c r="H5837" s="216">
        <f ca="1">TODAY()</f>
        <v>44889</v>
      </c>
      <c r="K5837" t="s">
        <v>4391</v>
      </c>
      <c r="L5837" t="s">
        <v>4392</v>
      </c>
      <c r="M5837" t="s">
        <v>4393</v>
      </c>
      <c r="N5837" t="s">
        <v>4394</v>
      </c>
    </row>
    <row r="5838" spans="1:14" ht="60.75" customHeight="1">
      <c r="A5838" s="228" t="s">
        <v>4222</v>
      </c>
      <c r="B5838" s="565" t="str">
        <f>COSTOS!$D$16</f>
        <v>Luminarias</v>
      </c>
      <c r="C5838" s="565"/>
      <c r="D5838" s="565"/>
      <c r="E5838" s="565"/>
      <c r="F5838" s="565"/>
      <c r="G5838" s="70" t="s">
        <v>4223</v>
      </c>
      <c r="H5838" s="391">
        <v>2.3199999999999998</v>
      </c>
      <c r="K5838" s="62">
        <f>H5863</f>
        <v>3532662.9312800001</v>
      </c>
      <c r="L5838" s="62">
        <f>H5873</f>
        <v>59969.324799999995</v>
      </c>
      <c r="M5838" s="62">
        <f>H5846</f>
        <v>162387.47099999999</v>
      </c>
      <c r="N5838" s="62">
        <f>H5867</f>
        <v>12760</v>
      </c>
    </row>
    <row r="5839" spans="1:14" ht="43.15" customHeight="1">
      <c r="A5839" s="229" t="s">
        <v>4224</v>
      </c>
      <c r="B5839" s="566" t="str">
        <f>VLOOKUP(H5838,COSTOS!C:M,2,0)</f>
        <v>Poste Traslucido de 12m</v>
      </c>
      <c r="C5839" s="567"/>
      <c r="D5839" s="567"/>
      <c r="E5839" s="568"/>
      <c r="F5839" s="71" t="s">
        <v>0</v>
      </c>
      <c r="G5839" s="356" t="str">
        <f>VLOOKUP(H5838,COSTOS!C:M,8,0)</f>
        <v>Und</v>
      </c>
      <c r="H5839" s="276"/>
      <c r="I5839" s="306"/>
      <c r="J5839" s="308"/>
      <c r="K5839" s="308"/>
      <c r="L5839" s="308"/>
    </row>
    <row r="5840" spans="1:14">
      <c r="A5840" s="230"/>
      <c r="B5840" s="112"/>
      <c r="C5840" s="112"/>
      <c r="D5840" s="112"/>
      <c r="E5840" s="113"/>
      <c r="F5840" s="114" t="s">
        <v>1</v>
      </c>
      <c r="G5840" s="356">
        <f>VLOOKUP(H5838,COSTOS!C:M,9,0)</f>
        <v>0</v>
      </c>
      <c r="H5840" s="357"/>
      <c r="I5840" s="307"/>
    </row>
    <row r="5841" spans="1:15" ht="16.5">
      <c r="A5841" s="231" t="s">
        <v>4226</v>
      </c>
      <c r="B5841" s="75"/>
      <c r="C5841" s="75"/>
      <c r="D5841" s="76"/>
      <c r="E5841" s="209"/>
      <c r="F5841" s="210"/>
      <c r="G5841" s="211" t="s">
        <v>4227</v>
      </c>
      <c r="H5841" s="217">
        <f>H5846+H5863+H5867+H5873</f>
        <v>3767779.7270800001</v>
      </c>
    </row>
    <row r="5842" spans="1:15" ht="39">
      <c r="A5842" s="569" t="s">
        <v>4224</v>
      </c>
      <c r="B5842" s="569"/>
      <c r="C5842" s="569"/>
      <c r="D5842" s="77" t="s">
        <v>0</v>
      </c>
      <c r="E5842" s="207" t="s">
        <v>4228</v>
      </c>
      <c r="F5842" s="208" t="s">
        <v>4215</v>
      </c>
      <c r="G5842" s="74" t="s">
        <v>2</v>
      </c>
      <c r="H5842" s="218" t="s">
        <v>4229</v>
      </c>
      <c r="K5842" s="309"/>
    </row>
    <row r="5843" spans="1:15">
      <c r="A5843" s="536" t="s">
        <v>3946</v>
      </c>
      <c r="B5843" s="570" t="str">
        <f>VLOOKUP(A5843,'Equip, Herr y Transp'!$B$2:$D$739,2,0)</f>
        <v>EQU</v>
      </c>
      <c r="C5843" s="570"/>
      <c r="D5843" s="95" t="str">
        <f>VLOOKUP(A5843,'Equip, Herr y Transp'!$B$2:$D$218,2,0)</f>
        <v>EQU</v>
      </c>
      <c r="E5843" s="95">
        <f>VLOOKUP(A5843,'Equip, Herr y Transp'!$B$2:$D$218,3,0)</f>
        <v>14130</v>
      </c>
      <c r="F5843" s="96">
        <f>H5833</f>
        <v>0.16669999999999999</v>
      </c>
      <c r="G5843" s="122">
        <f>F5843*E5843</f>
        <v>2355.471</v>
      </c>
      <c r="H5843" s="118"/>
    </row>
    <row r="5844" spans="1:15">
      <c r="A5844" s="536" t="s">
        <v>3894</v>
      </c>
      <c r="B5844" s="570" t="str">
        <f>VLOOKUP(A5844,'Equip, Herr y Transp'!$B$2:$D$739,2,0)</f>
        <v>TR</v>
      </c>
      <c r="C5844" s="570"/>
      <c r="D5844" s="95" t="str">
        <f>VLOOKUP(A5844,'Equip, Herr y Transp'!$B$2:$D$218,2,0)</f>
        <v>TR</v>
      </c>
      <c r="E5844" s="95">
        <f>VLOOKUP(A5844,'Equip, Herr y Transp'!$B$2:$D$218,3,0)</f>
        <v>960000</v>
      </c>
      <c r="F5844" s="96">
        <f>H5833</f>
        <v>0.16669999999999999</v>
      </c>
      <c r="G5844" s="122">
        <f>F5844*E5844</f>
        <v>160032</v>
      </c>
      <c r="H5844" s="117"/>
    </row>
    <row r="5845" spans="1:15">
      <c r="A5845" s="536" t="s">
        <v>8</v>
      </c>
      <c r="B5845" s="570">
        <f>VLOOKUP(A5845,'Equip, Herr y Transp'!$B$2:$D$739,2,0)</f>
        <v>0</v>
      </c>
      <c r="C5845" s="570"/>
      <c r="D5845" s="95">
        <f>VLOOKUP(A5845,'Equip, Herr y Transp'!$B$2:$D$218,2,0)</f>
        <v>0</v>
      </c>
      <c r="E5845" s="95">
        <f>VLOOKUP(A5845,'Equip, Herr y Transp'!$B$2:$D$218,3,0)</f>
        <v>0</v>
      </c>
      <c r="F5845" s="96">
        <f>F5844</f>
        <v>0.16669999999999999</v>
      </c>
      <c r="G5845" s="122">
        <f>F5845*E5845</f>
        <v>0</v>
      </c>
      <c r="H5845" s="117"/>
    </row>
    <row r="5846" spans="1:15" ht="16.5">
      <c r="A5846" s="540" t="s">
        <v>4100</v>
      </c>
      <c r="B5846" s="541"/>
      <c r="C5846" s="541"/>
      <c r="D5846" s="541"/>
      <c r="E5846" s="541"/>
      <c r="F5846" s="541"/>
      <c r="G5846" s="541"/>
      <c r="H5846" s="97">
        <f>SUM(G5843:G5845)</f>
        <v>162387.47099999999</v>
      </c>
    </row>
    <row r="5847" spans="1:15" ht="16.5">
      <c r="A5847" s="571" t="s">
        <v>4230</v>
      </c>
      <c r="B5847" s="572"/>
      <c r="C5847" s="572"/>
      <c r="D5847" s="572"/>
      <c r="E5847" s="572"/>
      <c r="F5847" s="572"/>
      <c r="G5847" s="572"/>
      <c r="H5847" s="573"/>
      <c r="K5847" s="56"/>
      <c r="L5847" s="56"/>
      <c r="M5847" s="56"/>
      <c r="N5847" s="56"/>
      <c r="O5847" s="56"/>
    </row>
    <row r="5848" spans="1:15" ht="30" customHeight="1">
      <c r="A5848" s="574" t="s">
        <v>7</v>
      </c>
      <c r="B5848" s="575"/>
      <c r="C5848" s="109" t="s">
        <v>0</v>
      </c>
      <c r="D5848" s="110" t="s">
        <v>4098</v>
      </c>
      <c r="E5848" s="111" t="s">
        <v>1</v>
      </c>
      <c r="F5848" s="576" t="s">
        <v>4218</v>
      </c>
      <c r="G5848" s="576"/>
      <c r="H5848" s="215"/>
      <c r="K5848" s="56"/>
      <c r="L5848" s="56"/>
      <c r="M5848" s="56"/>
      <c r="N5848" s="56"/>
      <c r="O5848" s="56"/>
    </row>
    <row r="5849" spans="1:15">
      <c r="A5849" s="577" t="s">
        <v>4573</v>
      </c>
      <c r="B5849" s="578"/>
      <c r="C5849" s="98" t="str">
        <f>VLOOKUP(A5849,'Materiales '!$C$2:$F$1302,3,0)</f>
        <v>Und</v>
      </c>
      <c r="D5849" s="99">
        <f>VLOOKUP(A5849,'Materiales '!$C$2:$F$1302,4,0)</f>
        <v>3141600.0000000005</v>
      </c>
      <c r="E5849" s="100">
        <v>1</v>
      </c>
      <c r="F5849" s="538">
        <f>E5849*D5849</f>
        <v>3141600.0000000005</v>
      </c>
      <c r="G5849" s="539"/>
      <c r="H5849" s="121"/>
      <c r="I5849">
        <f>E5849*G5840</f>
        <v>0</v>
      </c>
      <c r="J5849" s="67"/>
      <c r="K5849" s="56"/>
      <c r="L5849" s="56"/>
      <c r="M5849" s="56"/>
      <c r="N5849" s="56"/>
      <c r="O5849" s="56"/>
    </row>
    <row r="5850" spans="1:15">
      <c r="A5850" s="577" t="s">
        <v>4628</v>
      </c>
      <c r="B5850" s="578"/>
      <c r="C5850" s="98" t="str">
        <f>VLOOKUP(A5850,'Materiales '!$C$2:$F$1302,3,0)</f>
        <v>Rollo</v>
      </c>
      <c r="D5850" s="99">
        <f>VLOOKUP(A5850,'Materiales '!$C$2:$F$1302,4,0)</f>
        <v>138230.39999999999</v>
      </c>
      <c r="E5850" s="100">
        <v>1</v>
      </c>
      <c r="F5850" s="538">
        <f t="shared" ref="F5850:F5856" si="343">E5850*D5850</f>
        <v>138230.39999999999</v>
      </c>
      <c r="G5850" s="539"/>
      <c r="H5850" s="121"/>
      <c r="I5850">
        <f>E5850*G5840</f>
        <v>0</v>
      </c>
      <c r="J5850" s="67"/>
      <c r="K5850" s="56"/>
      <c r="L5850" s="56"/>
      <c r="M5850" s="56"/>
      <c r="N5850" s="56"/>
      <c r="O5850" s="56"/>
    </row>
    <row r="5851" spans="1:15">
      <c r="A5851" s="536" t="s">
        <v>4544</v>
      </c>
      <c r="B5851" s="537" t="str">
        <f>VLOOKUP(A5851,'Materiales '!$C$2:$F$1302,3,0)</f>
        <v>Ml</v>
      </c>
      <c r="C5851" s="98" t="str">
        <f>VLOOKUP(A5851,'Materiales '!$C$2:$F$1302,3,0)</f>
        <v>Ml</v>
      </c>
      <c r="D5851" s="99">
        <f>VLOOKUP(A5851,'Materiales '!$C$2:$F$1302,4,0)</f>
        <v>9740.2690000000002</v>
      </c>
      <c r="E5851" s="100">
        <v>20</v>
      </c>
      <c r="F5851" s="538">
        <f t="shared" si="343"/>
        <v>194805.38</v>
      </c>
      <c r="G5851" s="539"/>
      <c r="H5851" s="121"/>
      <c r="I5851">
        <f>E5851*G5840</f>
        <v>0</v>
      </c>
      <c r="J5851" s="68"/>
      <c r="K5851" s="56"/>
      <c r="L5851" s="56"/>
      <c r="M5851" s="56"/>
      <c r="N5851" s="56"/>
      <c r="O5851" s="56"/>
    </row>
    <row r="5852" spans="1:15">
      <c r="A5852" s="536" t="s">
        <v>4523</v>
      </c>
      <c r="B5852" s="537" t="str">
        <f>VLOOKUP(A5852,'Materiales '!$C$2:$F$1302,3,0)</f>
        <v>Und</v>
      </c>
      <c r="C5852" s="98" t="str">
        <f>VLOOKUP(A5852,'Materiales '!$C$2:$F$1302,3,0)</f>
        <v>Und</v>
      </c>
      <c r="D5852" s="99">
        <f>VLOOKUP(A5852,'Materiales '!$C$2:$F$1302,4,0)</f>
        <v>9996</v>
      </c>
      <c r="E5852" s="100">
        <v>1</v>
      </c>
      <c r="F5852" s="538">
        <f t="shared" si="343"/>
        <v>9996</v>
      </c>
      <c r="G5852" s="539"/>
      <c r="H5852" s="121"/>
      <c r="I5852">
        <f>E5852*G5840</f>
        <v>0</v>
      </c>
      <c r="J5852" s="68"/>
      <c r="K5852" s="56"/>
      <c r="L5852" s="56"/>
      <c r="M5852" s="56"/>
      <c r="N5852" s="56"/>
      <c r="O5852" s="56"/>
    </row>
    <row r="5853" spans="1:15">
      <c r="A5853" s="536" t="s">
        <v>4424</v>
      </c>
      <c r="B5853" s="537" t="str">
        <f>VLOOKUP(A5853,'Materiales '!$C$2:$F$1302,3,0)</f>
        <v>Und</v>
      </c>
      <c r="C5853" s="98" t="str">
        <f>VLOOKUP(A5853,'Materiales '!$C$2:$F$1302,3,0)</f>
        <v>Und</v>
      </c>
      <c r="D5853" s="99">
        <f>VLOOKUP(A5853,'Materiales '!$C$2:$F$1302,4,0)</f>
        <v>66.002159999999989</v>
      </c>
      <c r="E5853" s="100">
        <v>30</v>
      </c>
      <c r="F5853" s="538">
        <f t="shared" si="343"/>
        <v>1980.0647999999997</v>
      </c>
      <c r="G5853" s="539"/>
      <c r="H5853" s="121"/>
      <c r="I5853">
        <f>E5853*G5840</f>
        <v>0</v>
      </c>
      <c r="J5853" s="68"/>
      <c r="K5853" s="56"/>
      <c r="L5853" s="56"/>
      <c r="M5853" s="56"/>
      <c r="N5853" s="56"/>
      <c r="O5853" s="56"/>
    </row>
    <row r="5854" spans="1:15">
      <c r="A5854" s="536" t="s">
        <v>4443</v>
      </c>
      <c r="B5854" s="537" t="str">
        <f>VLOOKUP(A5854,'Materiales '!$C$2:$F$1302,3,0)</f>
        <v>Ml</v>
      </c>
      <c r="C5854" s="98" t="str">
        <f>VLOOKUP(A5854,'Materiales '!$C$2:$F$1302,3,0)</f>
        <v>Ml</v>
      </c>
      <c r="D5854" s="99">
        <f>VLOOKUP(A5854,'Materiales '!$C$2:$F$1302,4,0)</f>
        <v>14851.199999999999</v>
      </c>
      <c r="E5854" s="100">
        <v>1</v>
      </c>
      <c r="F5854" s="538">
        <f t="shared" si="343"/>
        <v>14851.199999999999</v>
      </c>
      <c r="G5854" s="539"/>
      <c r="H5854" s="121"/>
      <c r="I5854">
        <f>E5854*G5840</f>
        <v>0</v>
      </c>
      <c r="J5854" s="68"/>
      <c r="K5854" s="56"/>
      <c r="L5854" s="56"/>
      <c r="M5854" s="56"/>
      <c r="N5854" s="56"/>
      <c r="O5854" s="56"/>
    </row>
    <row r="5855" spans="1:15">
      <c r="A5855" s="536" t="s">
        <v>4536</v>
      </c>
      <c r="B5855" s="537" t="str">
        <f>VLOOKUP(A5855,'Materiales '!$C$2:$F$1302,3,0)</f>
        <v>Und</v>
      </c>
      <c r="C5855" s="98" t="str">
        <f>VLOOKUP(A5855,'Materiales '!$C$2:$F$1302,3,0)</f>
        <v>Und</v>
      </c>
      <c r="D5855" s="99">
        <f>VLOOKUP(A5855,'Materiales '!$C$2:$F$1302,4,0)</f>
        <v>15599.943239999999</v>
      </c>
      <c r="E5855" s="100">
        <v>2</v>
      </c>
      <c r="F5855" s="538">
        <f t="shared" si="343"/>
        <v>31199.886479999997</v>
      </c>
      <c r="G5855" s="539"/>
      <c r="H5855" s="121"/>
      <c r="I5855">
        <f>E5855*G5840</f>
        <v>0</v>
      </c>
      <c r="J5855" s="68"/>
      <c r="K5855" s="56"/>
      <c r="L5855" s="56"/>
      <c r="M5855" s="56"/>
      <c r="N5855" s="56"/>
      <c r="O5855" s="56"/>
    </row>
    <row r="5856" spans="1:15" ht="21.75" customHeight="1">
      <c r="A5856" s="536" t="s">
        <v>8</v>
      </c>
      <c r="B5856" s="537" t="str">
        <f>VLOOKUP(A5856,'Materiales '!$C$2:$F$1302,3,0)</f>
        <v>-</v>
      </c>
      <c r="C5856" s="98" t="str">
        <f>VLOOKUP(A5856,'Materiales '!$C$2:$F$1302,3,0)</f>
        <v>-</v>
      </c>
      <c r="D5856" s="99">
        <f>VLOOKUP(A5856,'Materiales '!$C$2:$F$1302,4,0)</f>
        <v>0</v>
      </c>
      <c r="E5856" s="100">
        <v>0.5</v>
      </c>
      <c r="F5856" s="538">
        <f t="shared" si="343"/>
        <v>0</v>
      </c>
      <c r="G5856" s="539"/>
      <c r="H5856" s="121"/>
      <c r="I5856">
        <f>E5856*G5840</f>
        <v>0</v>
      </c>
      <c r="J5856" s="68"/>
      <c r="K5856" s="56"/>
      <c r="L5856" s="56"/>
      <c r="M5856" s="56"/>
      <c r="N5856" s="56"/>
      <c r="O5856" s="56"/>
    </row>
    <row r="5857" spans="1:15">
      <c r="A5857" s="536" t="s">
        <v>8</v>
      </c>
      <c r="B5857" s="537" t="str">
        <f>VLOOKUP(A5857,'Materiales '!$C$2:$F$1302,3,0)</f>
        <v>-</v>
      </c>
      <c r="C5857" s="98" t="str">
        <f>VLOOKUP(A5857,'Materiales '!$C$2:$F$1302,3,0)</f>
        <v>-</v>
      </c>
      <c r="D5857" s="99">
        <f>VLOOKUP(A5857,'Materiales '!$C$2:$F$1302,4,0)</f>
        <v>0</v>
      </c>
      <c r="E5857" s="100"/>
      <c r="F5857" s="538">
        <f>E5857*D5857</f>
        <v>0</v>
      </c>
      <c r="G5857" s="539"/>
      <c r="H5857" s="120"/>
      <c r="I5857">
        <f>E5857*G5840</f>
        <v>0</v>
      </c>
      <c r="J5857" s="68"/>
      <c r="K5857" s="56"/>
      <c r="L5857" s="56"/>
      <c r="M5857" s="56"/>
      <c r="N5857" s="56"/>
      <c r="O5857" s="56"/>
    </row>
    <row r="5858" spans="1:15">
      <c r="A5858" s="536" t="s">
        <v>8</v>
      </c>
      <c r="B5858" s="537" t="str">
        <f>VLOOKUP(A5858,'Materiales '!$C$2:$F$1302,3,0)</f>
        <v>-</v>
      </c>
      <c r="C5858" s="98" t="str">
        <f>VLOOKUP(A5858,'Materiales '!$C$2:$F$1302,3,0)</f>
        <v>-</v>
      </c>
      <c r="D5858" s="99">
        <f>VLOOKUP(A5858,'Materiales '!$C$2:$F$1302,4,0)</f>
        <v>0</v>
      </c>
      <c r="E5858" s="100"/>
      <c r="F5858" s="538">
        <f t="shared" ref="F5858:F5861" si="344">E5858*D5858</f>
        <v>0</v>
      </c>
      <c r="G5858" s="539"/>
      <c r="H5858" s="121"/>
      <c r="I5858">
        <f>E5858*G5840</f>
        <v>0</v>
      </c>
      <c r="J5858" s="68"/>
      <c r="K5858" s="56"/>
      <c r="L5858" s="56"/>
      <c r="M5858" s="56"/>
      <c r="N5858" s="56"/>
      <c r="O5858" s="56"/>
    </row>
    <row r="5859" spans="1:15">
      <c r="A5859" s="536" t="s">
        <v>8</v>
      </c>
      <c r="B5859" s="537" t="str">
        <f>VLOOKUP(A5859,'Materiales '!$C$2:$F$1302,3,0)</f>
        <v>-</v>
      </c>
      <c r="C5859" s="98" t="str">
        <f>VLOOKUP(A5859,'Materiales '!$C$2:$F$1302,3,0)</f>
        <v>-</v>
      </c>
      <c r="D5859" s="99">
        <f>VLOOKUP(A5859,'Materiales '!$C$2:$F$1302,4,0)</f>
        <v>0</v>
      </c>
      <c r="E5859" s="100"/>
      <c r="F5859" s="538">
        <f t="shared" si="344"/>
        <v>0</v>
      </c>
      <c r="G5859" s="539"/>
      <c r="H5859" s="121"/>
      <c r="I5859">
        <f>E5859*G5840</f>
        <v>0</v>
      </c>
      <c r="J5859" s="68"/>
      <c r="K5859" s="56"/>
      <c r="L5859" s="56"/>
      <c r="M5859" s="56"/>
      <c r="N5859" s="56"/>
      <c r="O5859" s="56"/>
    </row>
    <row r="5860" spans="1:15">
      <c r="A5860" s="536" t="s">
        <v>8</v>
      </c>
      <c r="B5860" s="537" t="str">
        <f>VLOOKUP(A5860,'Materiales '!$C$2:$F$1302,3,0)</f>
        <v>-</v>
      </c>
      <c r="C5860" s="98" t="str">
        <f>VLOOKUP(A5860,'Materiales '!$C$2:$F$1302,3,0)</f>
        <v>-</v>
      </c>
      <c r="D5860" s="99">
        <f>VLOOKUP(A5860,'Materiales '!$C$2:$F$1302,4,0)</f>
        <v>0</v>
      </c>
      <c r="E5860" s="100"/>
      <c r="F5860" s="538">
        <f t="shared" si="344"/>
        <v>0</v>
      </c>
      <c r="G5860" s="539"/>
      <c r="H5860" s="121"/>
      <c r="I5860">
        <f>E5860*G5840</f>
        <v>0</v>
      </c>
      <c r="J5860" s="68"/>
      <c r="K5860" s="56"/>
      <c r="L5860" s="56"/>
      <c r="M5860" s="56"/>
      <c r="N5860" s="56"/>
      <c r="O5860" s="56"/>
    </row>
    <row r="5861" spans="1:15">
      <c r="A5861" s="536" t="s">
        <v>8</v>
      </c>
      <c r="B5861" s="537" t="str">
        <f>VLOOKUP(A5861,'Materiales '!$C$2:$F$1302,3,0)</f>
        <v>-</v>
      </c>
      <c r="C5861" s="98" t="str">
        <f>VLOOKUP(A5861,'Materiales '!$C$2:$F$1302,3,0)</f>
        <v>-</v>
      </c>
      <c r="D5861" s="99">
        <f>VLOOKUP(A5861,'Materiales '!$C$2:$F$1302,4,0)</f>
        <v>0</v>
      </c>
      <c r="E5861" s="100"/>
      <c r="F5861" s="538">
        <f t="shared" si="344"/>
        <v>0</v>
      </c>
      <c r="G5861" s="539"/>
      <c r="H5861" s="121"/>
      <c r="I5861">
        <f>E5861*G5840</f>
        <v>0</v>
      </c>
      <c r="J5861" s="68"/>
      <c r="K5861" s="56"/>
      <c r="L5861" s="56"/>
      <c r="M5861" s="56"/>
      <c r="N5861" s="56"/>
      <c r="O5861" s="56"/>
    </row>
    <row r="5862" spans="1:15">
      <c r="A5862" s="536" t="s">
        <v>8</v>
      </c>
      <c r="B5862" s="537" t="str">
        <f>VLOOKUP(A5862,'Materiales '!$C$2:$F$1302,3,0)</f>
        <v>-</v>
      </c>
      <c r="C5862" s="98" t="str">
        <f>VLOOKUP(A5862,'Materiales '!$C$2:$F$1302,3,0)</f>
        <v>-</v>
      </c>
      <c r="D5862" s="99">
        <f>VLOOKUP(A5862,'Materiales '!$C$2:$F$1302,4,0)</f>
        <v>0</v>
      </c>
      <c r="E5862" s="100"/>
      <c r="F5862" s="538">
        <f>E5862*D5862</f>
        <v>0</v>
      </c>
      <c r="G5862" s="539"/>
      <c r="H5862" s="120"/>
      <c r="I5862">
        <f>E5862*G5840</f>
        <v>0</v>
      </c>
      <c r="J5862" s="68"/>
      <c r="K5862" s="56"/>
      <c r="L5862" s="56"/>
      <c r="M5862" s="56"/>
      <c r="N5862" s="56"/>
      <c r="O5862" s="56"/>
    </row>
    <row r="5863" spans="1:15" ht="16.5">
      <c r="A5863" s="540" t="s">
        <v>4099</v>
      </c>
      <c r="B5863" s="541"/>
      <c r="C5863" s="541"/>
      <c r="D5863" s="541"/>
      <c r="E5863" s="541"/>
      <c r="F5863" s="541"/>
      <c r="G5863" s="542"/>
      <c r="H5863" s="116">
        <f>SUM(F5849:F5862)</f>
        <v>3532662.9312800001</v>
      </c>
      <c r="J5863" s="68"/>
      <c r="K5863" s="56"/>
      <c r="L5863" s="56"/>
      <c r="M5863" s="56"/>
      <c r="N5863" s="56"/>
      <c r="O5863" s="56"/>
    </row>
    <row r="5864" spans="1:15" ht="16.5">
      <c r="A5864" s="543" t="s">
        <v>4231</v>
      </c>
      <c r="B5864" s="544"/>
      <c r="C5864" s="544"/>
      <c r="D5864" s="544"/>
      <c r="E5864" s="545"/>
      <c r="F5864" s="544"/>
      <c r="G5864" s="544"/>
      <c r="H5864" s="546"/>
      <c r="J5864" s="68"/>
      <c r="K5864" s="56"/>
      <c r="L5864" s="56"/>
      <c r="M5864" s="56"/>
      <c r="N5864" s="56"/>
      <c r="O5864" s="56"/>
    </row>
    <row r="5865" spans="1:15">
      <c r="A5865" s="547" t="s">
        <v>7</v>
      </c>
      <c r="B5865" s="548"/>
      <c r="C5865" s="108" t="s">
        <v>4232</v>
      </c>
      <c r="D5865" s="107" t="s">
        <v>4233</v>
      </c>
      <c r="E5865" s="206" t="s">
        <v>4234</v>
      </c>
      <c r="F5865" s="549" t="s">
        <v>4218</v>
      </c>
      <c r="G5865" s="549"/>
      <c r="H5865" s="119"/>
      <c r="K5865" s="56"/>
      <c r="L5865" s="56"/>
      <c r="M5865" s="56"/>
      <c r="N5865" s="56"/>
      <c r="O5865" s="56"/>
    </row>
    <row r="5866" spans="1:15">
      <c r="A5866" s="550" t="s">
        <v>3893</v>
      </c>
      <c r="B5866" s="551"/>
      <c r="C5866" s="232">
        <v>1</v>
      </c>
      <c r="D5866" s="102">
        <v>0.05</v>
      </c>
      <c r="E5866" s="103">
        <f>VLOOKUP(A5866,'Equip, Herr y Transp'!$B$2:$D$218,3,0)</f>
        <v>255199.99999999997</v>
      </c>
      <c r="F5866" s="552">
        <f>E5866*D5866*C5866</f>
        <v>12760</v>
      </c>
      <c r="G5866" s="553"/>
      <c r="H5866" s="117"/>
      <c r="M5866" s="56"/>
    </row>
    <row r="5867" spans="1:15" ht="16.5">
      <c r="A5867" s="554" t="s">
        <v>4216</v>
      </c>
      <c r="B5867" s="555"/>
      <c r="C5867" s="555"/>
      <c r="D5867" s="555"/>
      <c r="E5867" s="555"/>
      <c r="F5867" s="555"/>
      <c r="G5867" s="555"/>
      <c r="H5867" s="105">
        <f>F5866</f>
        <v>12760</v>
      </c>
    </row>
    <row r="5868" spans="1:15" ht="16.5">
      <c r="A5868" s="543" t="s">
        <v>4235</v>
      </c>
      <c r="B5868" s="544"/>
      <c r="C5868" s="544"/>
      <c r="D5868" s="544"/>
      <c r="E5868" s="544"/>
      <c r="F5868" s="544"/>
      <c r="G5868" s="544"/>
      <c r="H5868" s="546"/>
    </row>
    <row r="5869" spans="1:15">
      <c r="A5869" s="547" t="s">
        <v>7</v>
      </c>
      <c r="B5869" s="548"/>
      <c r="C5869" s="106" t="s">
        <v>1</v>
      </c>
      <c r="D5869" s="107" t="s">
        <v>4236</v>
      </c>
      <c r="E5869" s="108" t="s">
        <v>4215</v>
      </c>
      <c r="F5869" s="547" t="s">
        <v>5</v>
      </c>
      <c r="G5869" s="556"/>
      <c r="H5869" s="119"/>
    </row>
    <row r="5870" spans="1:15">
      <c r="A5870" s="550" t="s">
        <v>4196</v>
      </c>
      <c r="B5870" s="551"/>
      <c r="C5870" s="101">
        <v>1</v>
      </c>
      <c r="D5870" s="104">
        <f>VLOOKUP(A5870,'Mano Obra'!$B$2:$T$117,19,0)</f>
        <v>166624</v>
      </c>
      <c r="E5870" s="246">
        <f>H5833</f>
        <v>0.16669999999999999</v>
      </c>
      <c r="F5870" s="538">
        <f>E5870*D5870*C5870</f>
        <v>27776.220799999999</v>
      </c>
      <c r="G5870" s="557"/>
      <c r="H5870" s="121"/>
      <c r="I5870" s="69"/>
      <c r="J5870" s="136">
        <f>((('Mano Obra'!$M$4/30)*F5870)/D5870)*G5840</f>
        <v>0</v>
      </c>
    </row>
    <row r="5871" spans="1:15">
      <c r="A5871" s="558" t="s">
        <v>4197</v>
      </c>
      <c r="B5871" s="559">
        <f>VLOOKUP(A5871,'Mano Obra'!$B$3:$D$290,2,0)</f>
        <v>2090000.0000000002</v>
      </c>
      <c r="C5871" s="101">
        <v>1</v>
      </c>
      <c r="D5871" s="104">
        <f>VLOOKUP(A5871,'Mano Obra'!$B$2:$T$117,19,0)</f>
        <v>120456</v>
      </c>
      <c r="E5871" s="246">
        <f>H5833</f>
        <v>0.16669999999999999</v>
      </c>
      <c r="F5871" s="538">
        <f t="shared" ref="F5871:F5872" si="345">E5871*D5871*C5871</f>
        <v>20080.015199999998</v>
      </c>
      <c r="G5871" s="557"/>
      <c r="H5871" s="121"/>
      <c r="J5871" s="136">
        <f>((('Mano Obra'!$M$5/30)*F5871)/D5871)*G5840</f>
        <v>0</v>
      </c>
    </row>
    <row r="5872" spans="1:15">
      <c r="A5872" s="558" t="s">
        <v>4186</v>
      </c>
      <c r="B5872" s="559">
        <f>VLOOKUP(A5872,'Mano Obra'!$B$3:$D$290,2,0)</f>
        <v>1100000</v>
      </c>
      <c r="C5872" s="101">
        <v>1</v>
      </c>
      <c r="D5872" s="104">
        <f>VLOOKUP(A5872,'Mano Obra'!$B$2:$T$117,19,0)</f>
        <v>72664</v>
      </c>
      <c r="E5872" s="246">
        <f>H5833</f>
        <v>0.16669999999999999</v>
      </c>
      <c r="F5872" s="538">
        <f t="shared" si="345"/>
        <v>12113.0888</v>
      </c>
      <c r="G5872" s="557"/>
      <c r="H5872" s="120"/>
      <c r="J5872" s="136">
        <f>((('Mano Obra'!$M$6/30)*F5872)/D5872)*G5840</f>
        <v>0</v>
      </c>
    </row>
    <row r="5873" spans="1:10" ht="16.5">
      <c r="A5873" s="560" t="s">
        <v>4101</v>
      </c>
      <c r="B5873" s="560"/>
      <c r="C5873" s="560"/>
      <c r="D5873" s="560"/>
      <c r="E5873" s="560"/>
      <c r="F5873" s="560"/>
      <c r="G5873" s="560"/>
      <c r="H5873" s="105">
        <f>SUM(F5870:F5872)</f>
        <v>59969.324799999995</v>
      </c>
      <c r="J5873" s="136"/>
    </row>
    <row r="5874" spans="1:10">
      <c r="A5874" s="227" t="s">
        <v>4237</v>
      </c>
      <c r="B5874" s="205"/>
      <c r="C5874" s="205"/>
      <c r="D5874" s="202"/>
      <c r="E5874" s="203"/>
      <c r="F5874" s="204"/>
      <c r="G5874" s="203"/>
      <c r="H5874" s="212"/>
    </row>
    <row r="5875" spans="1:10">
      <c r="A5875" s="561" t="s">
        <v>4224</v>
      </c>
      <c r="B5875" s="562"/>
      <c r="C5875" s="562"/>
      <c r="D5875" s="562"/>
      <c r="E5875" s="200"/>
      <c r="F5875" s="201" t="s">
        <v>4238</v>
      </c>
      <c r="G5875" s="200" t="s">
        <v>4239</v>
      </c>
      <c r="H5875" s="213"/>
    </row>
    <row r="5876" spans="1:10">
      <c r="A5876" s="223" t="s">
        <v>4097</v>
      </c>
      <c r="B5876" s="72"/>
      <c r="C5876" s="72"/>
      <c r="D5876" s="73"/>
      <c r="E5876" s="78"/>
      <c r="F5876" s="79">
        <v>0</v>
      </c>
      <c r="G5876" s="80">
        <f>F5876*H5841</f>
        <v>0</v>
      </c>
      <c r="H5876" s="212"/>
    </row>
    <row r="5877" spans="1:10">
      <c r="A5877" s="224" t="s">
        <v>4240</v>
      </c>
      <c r="B5877" s="81"/>
      <c r="C5877" s="81"/>
      <c r="D5877" s="82"/>
      <c r="E5877" s="78"/>
      <c r="F5877" s="79">
        <v>0</v>
      </c>
      <c r="G5877" s="80">
        <f>F5877*H5841</f>
        <v>0</v>
      </c>
      <c r="H5877" s="212"/>
    </row>
    <row r="5878" spans="1:10">
      <c r="A5878" s="224" t="s">
        <v>4</v>
      </c>
      <c r="B5878" s="81"/>
      <c r="C5878" s="81"/>
      <c r="D5878" s="82"/>
      <c r="E5878" s="78"/>
      <c r="F5878" s="79">
        <v>0</v>
      </c>
      <c r="G5878" s="80">
        <f>F5878*H5841</f>
        <v>0</v>
      </c>
      <c r="H5878" s="212"/>
    </row>
    <row r="5879" spans="1:10">
      <c r="A5879" s="225"/>
      <c r="B5879" s="83"/>
      <c r="C5879" s="75"/>
      <c r="D5879" s="84"/>
      <c r="E5879" s="85"/>
      <c r="F5879" s="86"/>
      <c r="G5879" s="87"/>
      <c r="H5879" s="214"/>
    </row>
    <row r="5880" spans="1:10">
      <c r="A5880" s="226"/>
      <c r="B5880" s="83"/>
      <c r="C5880" s="83"/>
      <c r="D5880" s="84"/>
      <c r="E5880" s="88"/>
      <c r="F5880" s="563" t="s">
        <v>4241</v>
      </c>
      <c r="G5880" s="564"/>
      <c r="H5880" s="233">
        <f>H5841+G5876+G5877+G5878</f>
        <v>3767779.7270800001</v>
      </c>
    </row>
    <row r="5881" spans="1:10">
      <c r="A5881" s="83"/>
      <c r="B5881" s="83"/>
      <c r="C5881" s="83"/>
      <c r="D5881" s="84"/>
      <c r="E5881" s="388"/>
      <c r="F5881" s="389"/>
      <c r="G5881" s="389"/>
      <c r="H5881" s="390"/>
    </row>
    <row r="5882" spans="1:10">
      <c r="A5882" s="83"/>
      <c r="B5882" s="83"/>
      <c r="C5882" s="83"/>
      <c r="D5882" s="84"/>
      <c r="E5882" s="388"/>
      <c r="F5882" s="389"/>
      <c r="G5882" s="389"/>
      <c r="H5882" s="390"/>
    </row>
    <row r="5883" spans="1:10">
      <c r="A5883" s="83"/>
      <c r="B5883" s="83"/>
      <c r="C5883" s="83"/>
      <c r="D5883" s="84"/>
      <c r="E5883" s="388"/>
      <c r="F5883" s="389"/>
      <c r="G5883" s="389"/>
      <c r="H5883" s="390"/>
    </row>
    <row r="5885" spans="1:10" ht="16.5">
      <c r="A5885" s="90"/>
      <c r="B5885" s="90"/>
      <c r="C5885" s="90"/>
      <c r="D5885" s="90"/>
      <c r="E5885" s="90"/>
      <c r="F5885" s="90"/>
      <c r="G5885" s="90"/>
      <c r="H5885" s="381"/>
    </row>
    <row r="5886" spans="1:10">
      <c r="A5886" s="579" t="s">
        <v>4225</v>
      </c>
      <c r="B5886" s="580"/>
      <c r="C5886" s="580"/>
      <c r="D5886" s="580"/>
      <c r="E5886" s="580"/>
      <c r="F5886" s="580"/>
      <c r="G5886" s="580"/>
      <c r="H5886" s="581"/>
    </row>
    <row r="5887" spans="1:10" ht="16.5">
      <c r="A5887" s="91"/>
      <c r="B5887" s="92"/>
      <c r="C5887" s="92"/>
      <c r="D5887" s="92"/>
      <c r="E5887" s="92"/>
      <c r="F5887" s="93"/>
      <c r="G5887" s="94"/>
      <c r="H5887" s="380">
        <f>ROUND((13/60)/8,4)</f>
        <v>2.7099999999999999E-2</v>
      </c>
      <c r="I5887" s="115"/>
    </row>
    <row r="5888" spans="1:10">
      <c r="A5888" s="582" t="s">
        <v>4220</v>
      </c>
      <c r="B5888" s="584" t="str">
        <f>COSTOS!$C$14</f>
        <v>MODERNIZACION A TECNOLOGIA LED</v>
      </c>
      <c r="C5888" s="584"/>
      <c r="D5888" s="584"/>
      <c r="E5888" s="584"/>
      <c r="F5888" s="584"/>
      <c r="G5888" s="584"/>
      <c r="H5888" s="585" t="s">
        <v>4221</v>
      </c>
    </row>
    <row r="5889" spans="1:15">
      <c r="A5889" s="583"/>
      <c r="B5889" s="584"/>
      <c r="C5889" s="584"/>
      <c r="D5889" s="584"/>
      <c r="E5889" s="584"/>
      <c r="F5889" s="584"/>
      <c r="G5889" s="584"/>
      <c r="H5889" s="585"/>
    </row>
    <row r="5890" spans="1:15">
      <c r="A5890" s="583"/>
      <c r="B5890" s="584"/>
      <c r="C5890" s="584"/>
      <c r="D5890" s="584"/>
      <c r="E5890" s="584"/>
      <c r="F5890" s="584"/>
      <c r="G5890" s="584"/>
      <c r="H5890" s="585"/>
    </row>
    <row r="5891" spans="1:15" ht="15" customHeight="1">
      <c r="A5891" s="583"/>
      <c r="B5891" s="584"/>
      <c r="C5891" s="584"/>
      <c r="D5891" s="584"/>
      <c r="E5891" s="584"/>
      <c r="F5891" s="584"/>
      <c r="G5891" s="584"/>
      <c r="H5891" s="216">
        <f ca="1">TODAY()</f>
        <v>44889</v>
      </c>
      <c r="K5891" t="s">
        <v>4391</v>
      </c>
      <c r="L5891" t="s">
        <v>4392</v>
      </c>
      <c r="M5891" t="s">
        <v>4393</v>
      </c>
      <c r="N5891" t="s">
        <v>4394</v>
      </c>
    </row>
    <row r="5892" spans="1:15" ht="60.75" customHeight="1">
      <c r="A5892" s="228" t="s">
        <v>4222</v>
      </c>
      <c r="B5892" s="565" t="str">
        <f>COSTOS!$D$16</f>
        <v>Luminarias</v>
      </c>
      <c r="C5892" s="565"/>
      <c r="D5892" s="565"/>
      <c r="E5892" s="565"/>
      <c r="F5892" s="565"/>
      <c r="G5892" s="70" t="s">
        <v>4223</v>
      </c>
      <c r="H5892" s="387">
        <v>3.1</v>
      </c>
      <c r="K5892" s="62">
        <f>H5918</f>
        <v>54203.395679999994</v>
      </c>
      <c r="L5892" s="62">
        <f>H5928</f>
        <v>9749.0624000000007</v>
      </c>
      <c r="M5892" s="62">
        <f>H5901</f>
        <v>2437.3739999999998</v>
      </c>
      <c r="N5892" s="62">
        <f>H5922</f>
        <v>1600</v>
      </c>
    </row>
    <row r="5893" spans="1:15" ht="43.15" customHeight="1">
      <c r="A5893" s="229" t="s">
        <v>4224</v>
      </c>
      <c r="B5893" s="566" t="str">
        <f>VLOOKUP(H5892,COSTOS!C:M,2,0)</f>
        <v>Red de baja tensión  3x14awg Cu en tubo PVC 1/2" subterraneo, para conexionado de BALAS DE PISO. Terreno en concreto, incluye resane y curado en concreto. X 500m</v>
      </c>
      <c r="C5893" s="567"/>
      <c r="D5893" s="567"/>
      <c r="E5893" s="568"/>
      <c r="F5893" s="71" t="s">
        <v>0</v>
      </c>
      <c r="G5893" s="356" t="str">
        <f>VLOOKUP(H5892,COSTOS!C:M,8,0)</f>
        <v>Und</v>
      </c>
      <c r="H5893" s="276"/>
      <c r="I5893" s="306"/>
      <c r="J5893" s="308"/>
      <c r="K5893" s="308"/>
      <c r="L5893" s="308"/>
    </row>
    <row r="5894" spans="1:15">
      <c r="A5894" s="230"/>
      <c r="B5894" s="112"/>
      <c r="C5894" s="112"/>
      <c r="D5894" s="112"/>
      <c r="E5894" s="113"/>
      <c r="F5894" s="114" t="s">
        <v>1</v>
      </c>
      <c r="G5894" s="356">
        <f>VLOOKUP(H5892,COSTOS!C:M,9,0)</f>
        <v>0</v>
      </c>
      <c r="H5894" s="357"/>
      <c r="I5894" s="307"/>
    </row>
    <row r="5895" spans="1:15" ht="16.5">
      <c r="A5895" s="231" t="s">
        <v>4226</v>
      </c>
      <c r="B5895" s="75"/>
      <c r="C5895" s="75"/>
      <c r="D5895" s="76"/>
      <c r="E5895" s="209"/>
      <c r="F5895" s="210"/>
      <c r="G5895" s="211" t="s">
        <v>4227</v>
      </c>
      <c r="H5895" s="217">
        <f>H5901+H5918+H5922+H5928</f>
        <v>67989.832079999993</v>
      </c>
    </row>
    <row r="5896" spans="1:15" ht="39">
      <c r="A5896" s="569" t="s">
        <v>4224</v>
      </c>
      <c r="B5896" s="569"/>
      <c r="C5896" s="569"/>
      <c r="D5896" s="77" t="s">
        <v>0</v>
      </c>
      <c r="E5896" s="207" t="s">
        <v>4228</v>
      </c>
      <c r="F5896" s="208" t="s">
        <v>4215</v>
      </c>
      <c r="G5896" s="74" t="s">
        <v>2</v>
      </c>
      <c r="H5896" s="218" t="s">
        <v>4229</v>
      </c>
      <c r="K5896" s="309"/>
    </row>
    <row r="5897" spans="1:15">
      <c r="A5897" s="536" t="s">
        <v>3946</v>
      </c>
      <c r="B5897" s="570" t="str">
        <f>VLOOKUP(A5897,'Equip, Herr y Transp'!$B$2:$D$739,2,0)</f>
        <v>EQU</v>
      </c>
      <c r="C5897" s="570"/>
      <c r="D5897" s="95" t="str">
        <f>VLOOKUP(A5897,'Equip, Herr y Transp'!$B$2:$D$218,2,0)</f>
        <v>EQU</v>
      </c>
      <c r="E5897" s="95">
        <f>VLOOKUP(A5897,'Equip, Herr y Transp'!$B$2:$D$218,3,0)</f>
        <v>14130</v>
      </c>
      <c r="F5897" s="96">
        <f>H5887</f>
        <v>2.7099999999999999E-2</v>
      </c>
      <c r="G5897" s="122">
        <f>F5897*E5897</f>
        <v>382.923</v>
      </c>
      <c r="H5897" s="118"/>
    </row>
    <row r="5898" spans="1:15">
      <c r="A5898" s="536" t="s">
        <v>3927</v>
      </c>
      <c r="B5898" s="570" t="str">
        <f>VLOOKUP(A5898,'Equip, Herr y Transp'!$B$2:$D$739,2,0)</f>
        <v>EQU</v>
      </c>
      <c r="C5898" s="570"/>
      <c r="D5898" s="95" t="str">
        <f>VLOOKUP(A5898,'Equip, Herr y Transp'!$B$2:$D$218,2,0)</f>
        <v>EQU</v>
      </c>
      <c r="E5898" s="95">
        <f>VLOOKUP(A5898,'Equip, Herr y Transp'!$B$2:$D$218,3,0)</f>
        <v>287.5</v>
      </c>
      <c r="F5898" s="96">
        <f>H5887</f>
        <v>2.7099999999999999E-2</v>
      </c>
      <c r="G5898" s="122">
        <f>F5898*E5898</f>
        <v>7.7912499999999998</v>
      </c>
      <c r="H5898" s="117"/>
    </row>
    <row r="5899" spans="1:15">
      <c r="A5899" s="536" t="s">
        <v>4142</v>
      </c>
      <c r="B5899" s="570" t="str">
        <f>VLOOKUP(A5899,'Equip, Herr y Transp'!$B$2:$D$739,2,0)</f>
        <v>ELEC</v>
      </c>
      <c r="C5899" s="570"/>
      <c r="D5899" s="95" t="str">
        <f>VLOOKUP(A5899,'Equip, Herr y Transp'!$B$2:$D$218,2,0)</f>
        <v>ELEC</v>
      </c>
      <c r="E5899" s="95">
        <f>VLOOKUP(A5899,'Equip, Herr y Transp'!$B$2:$D$218,3,0)</f>
        <v>75000</v>
      </c>
      <c r="F5899" s="96">
        <f>H5887</f>
        <v>2.7099999999999999E-2</v>
      </c>
      <c r="G5899" s="122">
        <f>F5899*E5899</f>
        <v>2032.5</v>
      </c>
      <c r="H5899" s="117"/>
    </row>
    <row r="5900" spans="1:15">
      <c r="A5900" s="536" t="s">
        <v>3926</v>
      </c>
      <c r="B5900" s="570" t="str">
        <f>VLOOKUP(A5900,'Equip, Herr y Transp'!$B$2:$D$739,2,0)</f>
        <v>EQU</v>
      </c>
      <c r="C5900" s="570"/>
      <c r="D5900" s="95" t="str">
        <f>VLOOKUP(A5900,'Equip, Herr y Transp'!$B$2:$D$218,2,0)</f>
        <v>EQU</v>
      </c>
      <c r="E5900" s="95">
        <f>VLOOKUP(A5900,'Equip, Herr y Transp'!$B$2:$D$218,3,0)</f>
        <v>522.5</v>
      </c>
      <c r="F5900" s="96">
        <f>H5887</f>
        <v>2.7099999999999999E-2</v>
      </c>
      <c r="G5900" s="122">
        <f>F5900*E5900</f>
        <v>14.159749999999999</v>
      </c>
      <c r="H5900" s="117"/>
    </row>
    <row r="5901" spans="1:15" ht="16.5">
      <c r="A5901" s="540" t="s">
        <v>4100</v>
      </c>
      <c r="B5901" s="541"/>
      <c r="C5901" s="541"/>
      <c r="D5901" s="541"/>
      <c r="E5901" s="541"/>
      <c r="F5901" s="541"/>
      <c r="G5901" s="541"/>
      <c r="H5901" s="97">
        <f>SUM(G5897:G5900)</f>
        <v>2437.3739999999998</v>
      </c>
    </row>
    <row r="5902" spans="1:15" ht="16.5">
      <c r="A5902" s="571" t="s">
        <v>4230</v>
      </c>
      <c r="B5902" s="572"/>
      <c r="C5902" s="572"/>
      <c r="D5902" s="572"/>
      <c r="E5902" s="572"/>
      <c r="F5902" s="572"/>
      <c r="G5902" s="572"/>
      <c r="H5902" s="573"/>
      <c r="K5902" s="56"/>
      <c r="L5902" s="56"/>
      <c r="M5902" s="56"/>
      <c r="N5902" s="56"/>
      <c r="O5902" s="56"/>
    </row>
    <row r="5903" spans="1:15" ht="30" customHeight="1">
      <c r="A5903" s="574" t="s">
        <v>7</v>
      </c>
      <c r="B5903" s="575"/>
      <c r="C5903" s="109" t="s">
        <v>0</v>
      </c>
      <c r="D5903" s="110" t="s">
        <v>4098</v>
      </c>
      <c r="E5903" s="111" t="s">
        <v>1</v>
      </c>
      <c r="F5903" s="576" t="s">
        <v>4218</v>
      </c>
      <c r="G5903" s="576"/>
      <c r="H5903" s="215"/>
      <c r="K5903" s="56"/>
      <c r="L5903" s="56"/>
      <c r="M5903" s="56"/>
      <c r="N5903" s="56"/>
      <c r="O5903" s="56"/>
    </row>
    <row r="5904" spans="1:15">
      <c r="A5904" s="577" t="s">
        <v>4450</v>
      </c>
      <c r="B5904" s="578"/>
      <c r="C5904" s="98" t="str">
        <f>VLOOKUP(A5904,'Materiales '!$C$2:$F$1302,3,0)</f>
        <v>Ml</v>
      </c>
      <c r="D5904" s="99">
        <f>VLOOKUP(A5904,'Materiales '!$C$2:$F$1302,4,0)</f>
        <v>6791.5679999999993</v>
      </c>
      <c r="E5904" s="100">
        <v>1</v>
      </c>
      <c r="F5904" s="538">
        <f>E5904*D5904</f>
        <v>6791.5679999999993</v>
      </c>
      <c r="G5904" s="539"/>
      <c r="H5904" s="121"/>
      <c r="I5904">
        <f>E5904*G5894</f>
        <v>0</v>
      </c>
      <c r="J5904" s="67"/>
      <c r="K5904" s="56"/>
      <c r="L5904" s="56"/>
      <c r="M5904" s="56"/>
      <c r="N5904" s="56"/>
      <c r="O5904" s="56"/>
    </row>
    <row r="5905" spans="1:15">
      <c r="A5905" s="577" t="s">
        <v>4599</v>
      </c>
      <c r="B5905" s="578"/>
      <c r="C5905" s="98" t="str">
        <f>VLOOKUP(A5905,'Materiales '!$C$2:$F$1302,3,0)</f>
        <v>Und</v>
      </c>
      <c r="D5905" s="99">
        <f>VLOOKUP(A5905,'Materiales '!$C$2:$F$1302,4,0)</f>
        <v>9330.5519999999997</v>
      </c>
      <c r="E5905" s="100">
        <v>0.34</v>
      </c>
      <c r="F5905" s="538">
        <f t="shared" ref="F5905:F5911" si="346">E5905*D5905</f>
        <v>3172.3876800000003</v>
      </c>
      <c r="G5905" s="539"/>
      <c r="H5905" s="121"/>
      <c r="I5905">
        <f>E5905*G5894</f>
        <v>0</v>
      </c>
      <c r="J5905" s="67"/>
      <c r="K5905" s="56"/>
      <c r="L5905" s="56"/>
      <c r="M5905" s="56"/>
      <c r="N5905" s="56"/>
      <c r="O5905" s="56"/>
    </row>
    <row r="5906" spans="1:15">
      <c r="A5906" s="536" t="s">
        <v>4628</v>
      </c>
      <c r="B5906" s="537" t="str">
        <f>VLOOKUP(A5906,'Materiales '!$C$2:$F$1302,3,0)</f>
        <v>Rollo</v>
      </c>
      <c r="C5906" s="98" t="str">
        <f>VLOOKUP(A5906,'Materiales '!$C$2:$F$1302,3,0)</f>
        <v>Rollo</v>
      </c>
      <c r="D5906" s="99">
        <f>VLOOKUP(A5906,'Materiales '!$C$2:$F$1302,4,0)</f>
        <v>138230.39999999999</v>
      </c>
      <c r="E5906" s="100">
        <v>0.3</v>
      </c>
      <c r="F5906" s="538">
        <f t="shared" si="346"/>
        <v>41469.119999999995</v>
      </c>
      <c r="G5906" s="539"/>
      <c r="H5906" s="121"/>
      <c r="I5906">
        <f>E5906*G5894</f>
        <v>0</v>
      </c>
      <c r="J5906" s="68"/>
      <c r="K5906" s="56"/>
      <c r="L5906" s="56"/>
      <c r="M5906" s="56"/>
      <c r="N5906" s="56"/>
      <c r="O5906" s="56"/>
    </row>
    <row r="5907" spans="1:15">
      <c r="A5907" s="536" t="s">
        <v>4581</v>
      </c>
      <c r="B5907" s="537" t="str">
        <f>VLOOKUP(A5907,'Materiales '!$C$2:$F$1302,3,0)</f>
        <v>Und</v>
      </c>
      <c r="C5907" s="98" t="str">
        <f>VLOOKUP(A5907,'Materiales '!$C$2:$F$1302,3,0)</f>
        <v>Und</v>
      </c>
      <c r="D5907" s="99">
        <f>VLOOKUP(A5907,'Materiales '!$C$2:$F$1302,4,0)</f>
        <v>34629</v>
      </c>
      <c r="E5907" s="100">
        <v>0.08</v>
      </c>
      <c r="F5907" s="538">
        <f t="shared" si="346"/>
        <v>2770.32</v>
      </c>
      <c r="G5907" s="539"/>
      <c r="H5907" s="121"/>
      <c r="I5907">
        <f>E5907*G5894</f>
        <v>0</v>
      </c>
      <c r="J5907" s="68"/>
      <c r="K5907" s="56"/>
      <c r="L5907" s="56"/>
      <c r="M5907" s="56"/>
      <c r="N5907" s="56"/>
      <c r="O5907" s="56"/>
    </row>
    <row r="5908" spans="1:15">
      <c r="A5908" s="536" t="s">
        <v>8</v>
      </c>
      <c r="B5908" s="537" t="str">
        <f>VLOOKUP(A5908,'Materiales '!$C$2:$F$1302,3,0)</f>
        <v>-</v>
      </c>
      <c r="C5908" s="98" t="str">
        <f>VLOOKUP(A5908,'Materiales '!$C$2:$F$1302,3,0)</f>
        <v>-</v>
      </c>
      <c r="D5908" s="99">
        <f>VLOOKUP(A5908,'Materiales '!$C$2:$F$1302,4,0)</f>
        <v>0</v>
      </c>
      <c r="E5908" s="100">
        <v>2</v>
      </c>
      <c r="F5908" s="538">
        <f t="shared" si="346"/>
        <v>0</v>
      </c>
      <c r="G5908" s="539"/>
      <c r="H5908" s="121"/>
      <c r="I5908">
        <f>E5908*G5894</f>
        <v>0</v>
      </c>
      <c r="J5908" s="68"/>
      <c r="K5908" s="56"/>
      <c r="L5908" s="56"/>
      <c r="M5908" s="56"/>
      <c r="N5908" s="56"/>
      <c r="O5908" s="56"/>
    </row>
    <row r="5909" spans="1:15">
      <c r="A5909" s="536" t="s">
        <v>8</v>
      </c>
      <c r="B5909" s="537" t="str">
        <f>VLOOKUP(A5909,'Materiales '!$C$2:$F$1302,3,0)</f>
        <v>-</v>
      </c>
      <c r="C5909" s="98" t="str">
        <f>VLOOKUP(A5909,'Materiales '!$C$2:$F$1302,3,0)</f>
        <v>-</v>
      </c>
      <c r="D5909" s="99">
        <f>VLOOKUP(A5909,'Materiales '!$C$2:$F$1302,4,0)</f>
        <v>0</v>
      </c>
      <c r="E5909" s="100">
        <v>8</v>
      </c>
      <c r="F5909" s="538">
        <f t="shared" si="346"/>
        <v>0</v>
      </c>
      <c r="G5909" s="539"/>
      <c r="H5909" s="121"/>
      <c r="I5909">
        <f>E5909*G5894</f>
        <v>0</v>
      </c>
      <c r="J5909" s="68"/>
      <c r="K5909" s="56"/>
      <c r="L5909" s="56"/>
      <c r="M5909" s="56"/>
      <c r="N5909" s="56"/>
      <c r="O5909" s="56"/>
    </row>
    <row r="5910" spans="1:15">
      <c r="A5910" s="536" t="s">
        <v>8</v>
      </c>
      <c r="B5910" s="537" t="str">
        <f>VLOOKUP(A5910,'Materiales '!$C$2:$F$1302,3,0)</f>
        <v>-</v>
      </c>
      <c r="C5910" s="98" t="str">
        <f>VLOOKUP(A5910,'Materiales '!$C$2:$F$1302,3,0)</f>
        <v>-</v>
      </c>
      <c r="D5910" s="99">
        <f>VLOOKUP(A5910,'Materiales '!$C$2:$F$1302,4,0)</f>
        <v>0</v>
      </c>
      <c r="E5910" s="100">
        <v>3</v>
      </c>
      <c r="F5910" s="538">
        <f t="shared" si="346"/>
        <v>0</v>
      </c>
      <c r="G5910" s="539"/>
      <c r="H5910" s="121"/>
      <c r="I5910">
        <f>E5910*G5894</f>
        <v>0</v>
      </c>
      <c r="J5910" s="68"/>
      <c r="K5910" s="56"/>
      <c r="L5910" s="56"/>
      <c r="M5910" s="56"/>
      <c r="N5910" s="56"/>
      <c r="O5910" s="56"/>
    </row>
    <row r="5911" spans="1:15" ht="21.75" customHeight="1">
      <c r="A5911" s="536" t="s">
        <v>8</v>
      </c>
      <c r="B5911" s="537" t="str">
        <f>VLOOKUP(A5911,'Materiales '!$C$2:$F$1302,3,0)</f>
        <v>-</v>
      </c>
      <c r="C5911" s="98" t="str">
        <f>VLOOKUP(A5911,'Materiales '!$C$2:$F$1302,3,0)</f>
        <v>-</v>
      </c>
      <c r="D5911" s="99">
        <f>VLOOKUP(A5911,'Materiales '!$C$2:$F$1302,4,0)</f>
        <v>0</v>
      </c>
      <c r="E5911" s="100">
        <v>0.5</v>
      </c>
      <c r="F5911" s="538">
        <f t="shared" si="346"/>
        <v>0</v>
      </c>
      <c r="G5911" s="539"/>
      <c r="H5911" s="121"/>
      <c r="I5911">
        <f>E5911*G5894</f>
        <v>0</v>
      </c>
      <c r="J5911" s="68"/>
      <c r="K5911" s="56"/>
      <c r="L5911" s="56"/>
      <c r="M5911" s="56"/>
      <c r="N5911" s="56"/>
      <c r="O5911" s="56"/>
    </row>
    <row r="5912" spans="1:15">
      <c r="A5912" s="536" t="s">
        <v>8</v>
      </c>
      <c r="B5912" s="537" t="str">
        <f>VLOOKUP(A5912,'Materiales '!$C$2:$F$1302,3,0)</f>
        <v>-</v>
      </c>
      <c r="C5912" s="98" t="str">
        <f>VLOOKUP(A5912,'Materiales '!$C$2:$F$1302,3,0)</f>
        <v>-</v>
      </c>
      <c r="D5912" s="99">
        <f>VLOOKUP(A5912,'Materiales '!$C$2:$F$1302,4,0)</f>
        <v>0</v>
      </c>
      <c r="E5912" s="100"/>
      <c r="F5912" s="538">
        <f>E5912*D5912</f>
        <v>0</v>
      </c>
      <c r="G5912" s="539"/>
      <c r="H5912" s="120"/>
      <c r="I5912">
        <f>E5912*G5894</f>
        <v>0</v>
      </c>
      <c r="J5912" s="68"/>
      <c r="K5912" s="56"/>
      <c r="L5912" s="56"/>
      <c r="M5912" s="56"/>
      <c r="N5912" s="56"/>
      <c r="O5912" s="56"/>
    </row>
    <row r="5913" spans="1:15">
      <c r="A5913" s="536" t="s">
        <v>8</v>
      </c>
      <c r="B5913" s="537" t="str">
        <f>VLOOKUP(A5913,'Materiales '!$C$2:$F$1302,3,0)</f>
        <v>-</v>
      </c>
      <c r="C5913" s="98" t="str">
        <f>VLOOKUP(A5913,'Materiales '!$C$2:$F$1302,3,0)</f>
        <v>-</v>
      </c>
      <c r="D5913" s="99">
        <f>VLOOKUP(A5913,'Materiales '!$C$2:$F$1302,4,0)</f>
        <v>0</v>
      </c>
      <c r="E5913" s="100"/>
      <c r="F5913" s="538">
        <f t="shared" ref="F5913:F5916" si="347">E5913*D5913</f>
        <v>0</v>
      </c>
      <c r="G5913" s="539"/>
      <c r="H5913" s="121"/>
      <c r="I5913">
        <f>E5913*G5894</f>
        <v>0</v>
      </c>
      <c r="J5913" s="68"/>
      <c r="K5913" s="56"/>
      <c r="L5913" s="56"/>
      <c r="M5913" s="56"/>
      <c r="N5913" s="56"/>
      <c r="O5913" s="56"/>
    </row>
    <row r="5914" spans="1:15">
      <c r="A5914" s="536" t="s">
        <v>8</v>
      </c>
      <c r="B5914" s="537" t="str">
        <f>VLOOKUP(A5914,'Materiales '!$C$2:$F$1302,3,0)</f>
        <v>-</v>
      </c>
      <c r="C5914" s="98" t="str">
        <f>VLOOKUP(A5914,'Materiales '!$C$2:$F$1302,3,0)</f>
        <v>-</v>
      </c>
      <c r="D5914" s="99">
        <f>VLOOKUP(A5914,'Materiales '!$C$2:$F$1302,4,0)</f>
        <v>0</v>
      </c>
      <c r="E5914" s="100"/>
      <c r="F5914" s="538">
        <f t="shared" si="347"/>
        <v>0</v>
      </c>
      <c r="G5914" s="539"/>
      <c r="H5914" s="121"/>
      <c r="I5914">
        <f>E5914*G5894</f>
        <v>0</v>
      </c>
      <c r="J5914" s="68"/>
      <c r="K5914" s="56"/>
      <c r="L5914" s="56"/>
      <c r="M5914" s="56"/>
      <c r="N5914" s="56"/>
      <c r="O5914" s="56"/>
    </row>
    <row r="5915" spans="1:15">
      <c r="A5915" s="536" t="s">
        <v>8</v>
      </c>
      <c r="B5915" s="537" t="str">
        <f>VLOOKUP(A5915,'Materiales '!$C$2:$F$1302,3,0)</f>
        <v>-</v>
      </c>
      <c r="C5915" s="98" t="str">
        <f>VLOOKUP(A5915,'Materiales '!$C$2:$F$1302,3,0)</f>
        <v>-</v>
      </c>
      <c r="D5915" s="99">
        <f>VLOOKUP(A5915,'Materiales '!$C$2:$F$1302,4,0)</f>
        <v>0</v>
      </c>
      <c r="E5915" s="100"/>
      <c r="F5915" s="538">
        <f t="shared" si="347"/>
        <v>0</v>
      </c>
      <c r="G5915" s="539"/>
      <c r="H5915" s="121"/>
      <c r="I5915">
        <f>E5915*G5894</f>
        <v>0</v>
      </c>
      <c r="J5915" s="68"/>
      <c r="K5915" s="56"/>
      <c r="L5915" s="56"/>
      <c r="M5915" s="56"/>
      <c r="N5915" s="56"/>
      <c r="O5915" s="56"/>
    </row>
    <row r="5916" spans="1:15">
      <c r="A5916" s="536" t="s">
        <v>8</v>
      </c>
      <c r="B5916" s="537" t="str">
        <f>VLOOKUP(A5916,'Materiales '!$C$2:$F$1302,3,0)</f>
        <v>-</v>
      </c>
      <c r="C5916" s="98" t="str">
        <f>VLOOKUP(A5916,'Materiales '!$C$2:$F$1302,3,0)</f>
        <v>-</v>
      </c>
      <c r="D5916" s="99">
        <f>VLOOKUP(A5916,'Materiales '!$C$2:$F$1302,4,0)</f>
        <v>0</v>
      </c>
      <c r="E5916" s="100"/>
      <c r="F5916" s="538">
        <f t="shared" si="347"/>
        <v>0</v>
      </c>
      <c r="G5916" s="539"/>
      <c r="H5916" s="121"/>
      <c r="I5916">
        <f>E5916*G5894</f>
        <v>0</v>
      </c>
      <c r="J5916" s="68"/>
      <c r="K5916" s="56"/>
      <c r="L5916" s="56"/>
      <c r="M5916" s="56"/>
      <c r="N5916" s="56"/>
      <c r="O5916" s="56"/>
    </row>
    <row r="5917" spans="1:15">
      <c r="A5917" s="536" t="s">
        <v>8</v>
      </c>
      <c r="B5917" s="537" t="str">
        <f>VLOOKUP(A5917,'Materiales '!$C$2:$F$1302,3,0)</f>
        <v>-</v>
      </c>
      <c r="C5917" s="98" t="str">
        <f>VLOOKUP(A5917,'Materiales '!$C$2:$F$1302,3,0)</f>
        <v>-</v>
      </c>
      <c r="D5917" s="99">
        <f>VLOOKUP(A5917,'Materiales '!$C$2:$F$1302,4,0)</f>
        <v>0</v>
      </c>
      <c r="E5917" s="100"/>
      <c r="F5917" s="538">
        <f>E5917*D5917</f>
        <v>0</v>
      </c>
      <c r="G5917" s="539"/>
      <c r="H5917" s="120"/>
      <c r="I5917">
        <f>E5917*G5894</f>
        <v>0</v>
      </c>
      <c r="J5917" s="68"/>
      <c r="K5917" s="56"/>
      <c r="L5917" s="56"/>
      <c r="M5917" s="56"/>
      <c r="N5917" s="56"/>
      <c r="O5917" s="56"/>
    </row>
    <row r="5918" spans="1:15" ht="16.5">
      <c r="A5918" s="540" t="s">
        <v>4099</v>
      </c>
      <c r="B5918" s="541"/>
      <c r="C5918" s="541"/>
      <c r="D5918" s="541"/>
      <c r="E5918" s="541"/>
      <c r="F5918" s="541"/>
      <c r="G5918" s="542"/>
      <c r="H5918" s="116">
        <f>SUM(F5904:F5917)</f>
        <v>54203.395679999994</v>
      </c>
      <c r="J5918" s="68"/>
      <c r="K5918" s="56"/>
      <c r="L5918" s="56"/>
      <c r="M5918" s="56"/>
      <c r="N5918" s="56"/>
      <c r="O5918" s="56"/>
    </row>
    <row r="5919" spans="1:15" ht="16.5">
      <c r="A5919" s="543" t="s">
        <v>4231</v>
      </c>
      <c r="B5919" s="544"/>
      <c r="C5919" s="544"/>
      <c r="D5919" s="544"/>
      <c r="E5919" s="545"/>
      <c r="F5919" s="544"/>
      <c r="G5919" s="544"/>
      <c r="H5919" s="546"/>
      <c r="J5919" s="68"/>
      <c r="K5919" s="56"/>
      <c r="L5919" s="56"/>
      <c r="M5919" s="56"/>
      <c r="N5919" s="56"/>
      <c r="O5919" s="56"/>
    </row>
    <row r="5920" spans="1:15">
      <c r="A5920" s="547" t="s">
        <v>7</v>
      </c>
      <c r="B5920" s="548"/>
      <c r="C5920" s="108" t="s">
        <v>4232</v>
      </c>
      <c r="D5920" s="107" t="s">
        <v>4233</v>
      </c>
      <c r="E5920" s="206" t="s">
        <v>4234</v>
      </c>
      <c r="F5920" s="549" t="s">
        <v>4218</v>
      </c>
      <c r="G5920" s="549"/>
      <c r="H5920" s="119"/>
      <c r="K5920" s="56"/>
      <c r="L5920" s="56"/>
      <c r="M5920" s="56"/>
      <c r="N5920" s="56"/>
      <c r="O5920" s="56"/>
    </row>
    <row r="5921" spans="1:13">
      <c r="A5921" s="550" t="s">
        <v>3928</v>
      </c>
      <c r="B5921" s="551"/>
      <c r="C5921" s="232">
        <v>1</v>
      </c>
      <c r="D5921" s="102">
        <v>0.01</v>
      </c>
      <c r="E5921" s="103">
        <f>VLOOKUP(A5921,'Equip, Herr y Transp'!$B$2:$D$218,3,0)</f>
        <v>160000</v>
      </c>
      <c r="F5921" s="552">
        <f>E5921*D5921*C5921</f>
        <v>1600</v>
      </c>
      <c r="G5921" s="553"/>
      <c r="H5921" s="117"/>
      <c r="M5921" s="56"/>
    </row>
    <row r="5922" spans="1:13" ht="16.5">
      <c r="A5922" s="554" t="s">
        <v>4216</v>
      </c>
      <c r="B5922" s="555"/>
      <c r="C5922" s="555"/>
      <c r="D5922" s="555"/>
      <c r="E5922" s="555"/>
      <c r="F5922" s="555"/>
      <c r="G5922" s="555"/>
      <c r="H5922" s="105">
        <f>F5921</f>
        <v>1600</v>
      </c>
    </row>
    <row r="5923" spans="1:13" ht="16.5">
      <c r="A5923" s="543" t="s">
        <v>4235</v>
      </c>
      <c r="B5923" s="544"/>
      <c r="C5923" s="544"/>
      <c r="D5923" s="544"/>
      <c r="E5923" s="544"/>
      <c r="F5923" s="544"/>
      <c r="G5923" s="544"/>
      <c r="H5923" s="546"/>
    </row>
    <row r="5924" spans="1:13">
      <c r="A5924" s="547" t="s">
        <v>7</v>
      </c>
      <c r="B5924" s="548"/>
      <c r="C5924" s="106" t="s">
        <v>1</v>
      </c>
      <c r="D5924" s="107" t="s">
        <v>4236</v>
      </c>
      <c r="E5924" s="108" t="s">
        <v>4215</v>
      </c>
      <c r="F5924" s="547" t="s">
        <v>5</v>
      </c>
      <c r="G5924" s="556"/>
      <c r="H5924" s="119"/>
    </row>
    <row r="5925" spans="1:13">
      <c r="A5925" s="550" t="s">
        <v>4196</v>
      </c>
      <c r="B5925" s="551"/>
      <c r="C5925" s="101">
        <v>1</v>
      </c>
      <c r="D5925" s="104">
        <f>VLOOKUP(A5925,'Mano Obra'!$B$2:$T$117,19,0)</f>
        <v>166624</v>
      </c>
      <c r="E5925" s="246">
        <f>H5887</f>
        <v>2.7099999999999999E-2</v>
      </c>
      <c r="F5925" s="538">
        <f>E5925*D5925*C5925</f>
        <v>4515.5104000000001</v>
      </c>
      <c r="G5925" s="557"/>
      <c r="H5925" s="121"/>
      <c r="I5925" s="69"/>
      <c r="J5925" s="136">
        <f>((('Mano Obra'!$M$4/30)*F5925)/D5925)*G5894</f>
        <v>0</v>
      </c>
    </row>
    <row r="5926" spans="1:13">
      <c r="A5926" s="558" t="s">
        <v>4197</v>
      </c>
      <c r="B5926" s="559">
        <f>VLOOKUP(A5926,'Mano Obra'!$B$3:$D$290,2,0)</f>
        <v>2090000.0000000002</v>
      </c>
      <c r="C5926" s="101">
        <v>1</v>
      </c>
      <c r="D5926" s="104">
        <f>VLOOKUP(A5926,'Mano Obra'!$B$2:$T$117,19,0)</f>
        <v>120456</v>
      </c>
      <c r="E5926" s="246">
        <f>H5887</f>
        <v>2.7099999999999999E-2</v>
      </c>
      <c r="F5926" s="538">
        <f t="shared" ref="F5926:F5927" si="348">E5926*D5926*C5926</f>
        <v>3264.3575999999998</v>
      </c>
      <c r="G5926" s="557"/>
      <c r="H5926" s="121"/>
      <c r="J5926" s="136">
        <f>((('Mano Obra'!$M$5/30)*F5926)/D5926)*G5894</f>
        <v>0</v>
      </c>
    </row>
    <row r="5927" spans="1:13">
      <c r="A5927" s="558" t="s">
        <v>4186</v>
      </c>
      <c r="B5927" s="559">
        <f>VLOOKUP(A5927,'Mano Obra'!$B$3:$D$290,2,0)</f>
        <v>1100000</v>
      </c>
      <c r="C5927" s="101">
        <v>1</v>
      </c>
      <c r="D5927" s="104">
        <f>VLOOKUP(A5927,'Mano Obra'!$B$2:$T$117,19,0)</f>
        <v>72664</v>
      </c>
      <c r="E5927" s="246">
        <f>H5887</f>
        <v>2.7099999999999999E-2</v>
      </c>
      <c r="F5927" s="538">
        <f t="shared" si="348"/>
        <v>1969.1943999999999</v>
      </c>
      <c r="G5927" s="557"/>
      <c r="H5927" s="120"/>
      <c r="J5927" s="136">
        <f>((('Mano Obra'!$M$6/30)*F5927)/D5927)*G5894</f>
        <v>0</v>
      </c>
    </row>
    <row r="5928" spans="1:13" ht="16.5">
      <c r="A5928" s="560" t="s">
        <v>4101</v>
      </c>
      <c r="B5928" s="560"/>
      <c r="C5928" s="560"/>
      <c r="D5928" s="560"/>
      <c r="E5928" s="560"/>
      <c r="F5928" s="560"/>
      <c r="G5928" s="560"/>
      <c r="H5928" s="105">
        <f>SUM(F5925:F5927)</f>
        <v>9749.0624000000007</v>
      </c>
      <c r="J5928" s="136"/>
    </row>
    <row r="5929" spans="1:13">
      <c r="A5929" s="227" t="s">
        <v>4237</v>
      </c>
      <c r="B5929" s="205"/>
      <c r="C5929" s="205"/>
      <c r="D5929" s="202"/>
      <c r="E5929" s="203"/>
      <c r="F5929" s="204"/>
      <c r="G5929" s="203"/>
      <c r="H5929" s="212"/>
    </row>
    <row r="5930" spans="1:13">
      <c r="A5930" s="561" t="s">
        <v>4224</v>
      </c>
      <c r="B5930" s="562"/>
      <c r="C5930" s="562"/>
      <c r="D5930" s="562"/>
      <c r="E5930" s="200"/>
      <c r="F5930" s="201" t="s">
        <v>4238</v>
      </c>
      <c r="G5930" s="200" t="s">
        <v>4239</v>
      </c>
      <c r="H5930" s="213"/>
    </row>
    <row r="5931" spans="1:13">
      <c r="A5931" s="223" t="s">
        <v>4097</v>
      </c>
      <c r="B5931" s="72"/>
      <c r="C5931" s="72"/>
      <c r="D5931" s="73"/>
      <c r="E5931" s="78"/>
      <c r="F5931" s="79">
        <v>0</v>
      </c>
      <c r="G5931" s="80">
        <f>F5931*H5895</f>
        <v>0</v>
      </c>
      <c r="H5931" s="212"/>
    </row>
    <row r="5932" spans="1:13">
      <c r="A5932" s="224" t="s">
        <v>4240</v>
      </c>
      <c r="B5932" s="81"/>
      <c r="C5932" s="81"/>
      <c r="D5932" s="82"/>
      <c r="E5932" s="78"/>
      <c r="F5932" s="79">
        <v>0</v>
      </c>
      <c r="G5932" s="80">
        <f>F5932*H5895</f>
        <v>0</v>
      </c>
      <c r="H5932" s="212"/>
    </row>
    <row r="5933" spans="1:13">
      <c r="A5933" s="224" t="s">
        <v>4</v>
      </c>
      <c r="B5933" s="81"/>
      <c r="C5933" s="81"/>
      <c r="D5933" s="82"/>
      <c r="E5933" s="78"/>
      <c r="F5933" s="79">
        <v>0</v>
      </c>
      <c r="G5933" s="80">
        <f>F5933*H5895</f>
        <v>0</v>
      </c>
      <c r="H5933" s="212"/>
    </row>
    <row r="5934" spans="1:13">
      <c r="A5934" s="225"/>
      <c r="B5934" s="83"/>
      <c r="C5934" s="75"/>
      <c r="D5934" s="84"/>
      <c r="E5934" s="85"/>
      <c r="F5934" s="86"/>
      <c r="G5934" s="87"/>
      <c r="H5934" s="214"/>
    </row>
    <row r="5935" spans="1:13">
      <c r="A5935" s="226"/>
      <c r="B5935" s="83"/>
      <c r="C5935" s="83"/>
      <c r="D5935" s="84"/>
      <c r="E5935" s="88"/>
      <c r="F5935" s="563" t="s">
        <v>4241</v>
      </c>
      <c r="G5935" s="564"/>
      <c r="H5935" s="233">
        <f>H5895+G5931+G5932+G5933</f>
        <v>67989.832079999993</v>
      </c>
    </row>
    <row r="5937" spans="1:14" ht="16.5">
      <c r="A5937" s="90"/>
      <c r="B5937" s="90"/>
      <c r="C5937" s="90"/>
      <c r="D5937" s="90"/>
      <c r="E5937" s="90"/>
      <c r="F5937" s="90"/>
      <c r="G5937" s="90"/>
      <c r="H5937" s="381"/>
    </row>
    <row r="5938" spans="1:14">
      <c r="A5938" s="579" t="s">
        <v>4225</v>
      </c>
      <c r="B5938" s="580"/>
      <c r="C5938" s="580"/>
      <c r="D5938" s="580"/>
      <c r="E5938" s="580"/>
      <c r="F5938" s="580"/>
      <c r="G5938" s="580"/>
      <c r="H5938" s="581"/>
    </row>
    <row r="5939" spans="1:14" ht="16.5">
      <c r="A5939" s="91"/>
      <c r="B5939" s="92"/>
      <c r="C5939" s="92"/>
      <c r="D5939" s="92"/>
      <c r="E5939" s="92"/>
      <c r="F5939" s="93"/>
      <c r="G5939" s="94"/>
      <c r="H5939" s="380">
        <f>ROUND((7/60)/8,4)</f>
        <v>1.46E-2</v>
      </c>
      <c r="I5939" s="115"/>
    </row>
    <row r="5940" spans="1:14">
      <c r="A5940" s="582" t="s">
        <v>4220</v>
      </c>
      <c r="B5940" s="584" t="str">
        <f>COSTOS!$C$14</f>
        <v>MODERNIZACION A TECNOLOGIA LED</v>
      </c>
      <c r="C5940" s="584"/>
      <c r="D5940" s="584"/>
      <c r="E5940" s="584"/>
      <c r="F5940" s="584"/>
      <c r="G5940" s="584"/>
      <c r="H5940" s="585" t="s">
        <v>4221</v>
      </c>
    </row>
    <row r="5941" spans="1:14">
      <c r="A5941" s="583"/>
      <c r="B5941" s="584"/>
      <c r="C5941" s="584"/>
      <c r="D5941" s="584"/>
      <c r="E5941" s="584"/>
      <c r="F5941" s="584"/>
      <c r="G5941" s="584"/>
      <c r="H5941" s="585"/>
    </row>
    <row r="5942" spans="1:14">
      <c r="A5942" s="583"/>
      <c r="B5942" s="584"/>
      <c r="C5942" s="584"/>
      <c r="D5942" s="584"/>
      <c r="E5942" s="584"/>
      <c r="F5942" s="584"/>
      <c r="G5942" s="584"/>
      <c r="H5942" s="585"/>
    </row>
    <row r="5943" spans="1:14" ht="15" customHeight="1">
      <c r="A5943" s="583"/>
      <c r="B5943" s="584"/>
      <c r="C5943" s="584"/>
      <c r="D5943" s="584"/>
      <c r="E5943" s="584"/>
      <c r="F5943" s="584"/>
      <c r="G5943" s="584"/>
      <c r="H5943" s="216">
        <f ca="1">TODAY()</f>
        <v>44889</v>
      </c>
      <c r="K5943" t="s">
        <v>4391</v>
      </c>
      <c r="L5943" t="s">
        <v>4392</v>
      </c>
      <c r="M5943" t="s">
        <v>4393</v>
      </c>
      <c r="N5943" t="s">
        <v>4394</v>
      </c>
    </row>
    <row r="5944" spans="1:14" ht="60.75" customHeight="1">
      <c r="A5944" s="228" t="s">
        <v>4222</v>
      </c>
      <c r="B5944" s="565" t="str">
        <f>COSTOS!$D$16</f>
        <v>Luminarias</v>
      </c>
      <c r="C5944" s="565"/>
      <c r="D5944" s="565"/>
      <c r="E5944" s="565"/>
      <c r="F5944" s="565"/>
      <c r="G5944" s="70" t="s">
        <v>4223</v>
      </c>
      <c r="H5944" s="387">
        <v>3.2</v>
      </c>
      <c r="K5944" s="62">
        <f>H5970</f>
        <v>20769.546000000002</v>
      </c>
      <c r="L5944" s="62">
        <f>H5980</f>
        <v>5252.2624000000005</v>
      </c>
      <c r="M5944" s="62">
        <f>H5953</f>
        <v>1419.923</v>
      </c>
      <c r="N5944" s="62">
        <f>H5974</f>
        <v>1600</v>
      </c>
    </row>
    <row r="5945" spans="1:14" ht="43.15" customHeight="1">
      <c r="A5945" s="229" t="s">
        <v>4224</v>
      </c>
      <c r="B5945" s="566" t="str">
        <f>VLOOKUP(H5944,COSTOS!C:M,2,0)</f>
        <v>Tubería EMT de 1/2" con red 3x12 awg para instalacion de luminarias. Adosado en pared. Incluye instalacion de elementos de fijacion, soporte y conexionado x 500 m</v>
      </c>
      <c r="C5945" s="567"/>
      <c r="D5945" s="567"/>
      <c r="E5945" s="568"/>
      <c r="F5945" s="71" t="s">
        <v>0</v>
      </c>
      <c r="G5945" s="356" t="str">
        <f>VLOOKUP(H5944,COSTOS!C:M,8,0)</f>
        <v>Und</v>
      </c>
      <c r="H5945" s="276"/>
      <c r="I5945" s="306"/>
      <c r="J5945" s="308"/>
      <c r="K5945" s="308"/>
      <c r="L5945" s="308"/>
    </row>
    <row r="5946" spans="1:14">
      <c r="A5946" s="230"/>
      <c r="B5946" s="112"/>
      <c r="C5946" s="112"/>
      <c r="D5946" s="112"/>
      <c r="E5946" s="113"/>
      <c r="F5946" s="114" t="s">
        <v>1</v>
      </c>
      <c r="G5946" s="356">
        <f>VLOOKUP(H5944,COSTOS!C:M,9,0)</f>
        <v>0</v>
      </c>
      <c r="H5946" s="357"/>
      <c r="I5946" s="307"/>
    </row>
    <row r="5947" spans="1:14" ht="16.5">
      <c r="A5947" s="231" t="s">
        <v>4226</v>
      </c>
      <c r="B5947" s="75"/>
      <c r="C5947" s="75"/>
      <c r="D5947" s="76"/>
      <c r="E5947" s="209"/>
      <c r="F5947" s="210"/>
      <c r="G5947" s="211" t="s">
        <v>4227</v>
      </c>
      <c r="H5947" s="217">
        <f>H5953+H5970+H5974+H5980</f>
        <v>29041.731400000001</v>
      </c>
    </row>
    <row r="5948" spans="1:14" ht="39">
      <c r="A5948" s="569" t="s">
        <v>4224</v>
      </c>
      <c r="B5948" s="569"/>
      <c r="C5948" s="569"/>
      <c r="D5948" s="77" t="s">
        <v>0</v>
      </c>
      <c r="E5948" s="207" t="s">
        <v>4228</v>
      </c>
      <c r="F5948" s="208" t="s">
        <v>4215</v>
      </c>
      <c r="G5948" s="74" t="s">
        <v>2</v>
      </c>
      <c r="H5948" s="218" t="s">
        <v>4229</v>
      </c>
      <c r="K5948" s="309"/>
    </row>
    <row r="5949" spans="1:14">
      <c r="A5949" s="536" t="s">
        <v>3946</v>
      </c>
      <c r="B5949" s="570" t="str">
        <f>VLOOKUP(A5949,'Equip, Herr y Transp'!$B$2:$D$739,2,0)</f>
        <v>EQU</v>
      </c>
      <c r="C5949" s="570"/>
      <c r="D5949" s="95" t="str">
        <f>VLOOKUP(A5949,'Equip, Herr y Transp'!$B$2:$D$218,2,0)</f>
        <v>EQU</v>
      </c>
      <c r="E5949" s="95">
        <f>VLOOKUP(A5949,'Equip, Herr y Transp'!$B$2:$D$218,3,0)</f>
        <v>14130</v>
      </c>
      <c r="F5949" s="96">
        <f>H5939</f>
        <v>1.46E-2</v>
      </c>
      <c r="G5949" s="122">
        <f>F5949*E5949</f>
        <v>206.298</v>
      </c>
      <c r="H5949" s="118"/>
    </row>
    <row r="5950" spans="1:14">
      <c r="A5950" s="536" t="s">
        <v>3902</v>
      </c>
      <c r="B5950" s="570" t="str">
        <f>VLOOKUP(A5950,'Equip, Herr y Transp'!$B$2:$D$739,2,0)</f>
        <v>EQU</v>
      </c>
      <c r="C5950" s="570"/>
      <c r="D5950" s="95" t="str">
        <f>VLOOKUP(A5950,'Equip, Herr y Transp'!$B$2:$D$218,2,0)</f>
        <v>EQU</v>
      </c>
      <c r="E5950" s="95">
        <f>VLOOKUP(A5950,'Equip, Herr y Transp'!$B$2:$D$218,3,0)</f>
        <v>1875</v>
      </c>
      <c r="F5950" s="96">
        <f>H5939</f>
        <v>1.46E-2</v>
      </c>
      <c r="G5950" s="122">
        <f>F5950*E5950</f>
        <v>27.375</v>
      </c>
      <c r="H5950" s="117"/>
    </row>
    <row r="5951" spans="1:14">
      <c r="A5951" s="536" t="s">
        <v>4144</v>
      </c>
      <c r="B5951" s="570" t="str">
        <f>VLOOKUP(A5951,'Equip, Herr y Transp'!$B$2:$D$739,2,0)</f>
        <v>EQU</v>
      </c>
      <c r="C5951" s="570"/>
      <c r="D5951" s="95" t="str">
        <f>VLOOKUP(A5951,'Equip, Herr y Transp'!$B$2:$D$218,2,0)</f>
        <v>EQU</v>
      </c>
      <c r="E5951" s="95">
        <f>VLOOKUP(A5951,'Equip, Herr y Transp'!$B$2:$D$218,3,0)</f>
        <v>75000</v>
      </c>
      <c r="F5951" s="96">
        <f>H5939</f>
        <v>1.46E-2</v>
      </c>
      <c r="G5951" s="122">
        <f>F5951*E5951</f>
        <v>1095</v>
      </c>
      <c r="H5951" s="117"/>
    </row>
    <row r="5952" spans="1:14">
      <c r="A5952" s="536" t="s">
        <v>3914</v>
      </c>
      <c r="B5952" s="570" t="str">
        <f>VLOOKUP(A5952,'Equip, Herr y Transp'!$B$2:$D$739,2,0)</f>
        <v>EQU</v>
      </c>
      <c r="C5952" s="570"/>
      <c r="D5952" s="95" t="str">
        <f>VLOOKUP(A5952,'Equip, Herr y Transp'!$B$2:$D$218,2,0)</f>
        <v>EQU</v>
      </c>
      <c r="E5952" s="95">
        <f>VLOOKUP(A5952,'Equip, Herr y Transp'!$B$2:$D$218,3,0)</f>
        <v>6250</v>
      </c>
      <c r="F5952" s="96">
        <f>H5939</f>
        <v>1.46E-2</v>
      </c>
      <c r="G5952" s="122">
        <f>F5952*E5952</f>
        <v>91.25</v>
      </c>
      <c r="H5952" s="117"/>
    </row>
    <row r="5953" spans="1:15" ht="16.5">
      <c r="A5953" s="540" t="s">
        <v>4100</v>
      </c>
      <c r="B5953" s="541"/>
      <c r="C5953" s="541"/>
      <c r="D5953" s="541"/>
      <c r="E5953" s="541"/>
      <c r="F5953" s="541"/>
      <c r="G5953" s="541"/>
      <c r="H5953" s="97">
        <f>SUM(G5949:G5952)</f>
        <v>1419.923</v>
      </c>
    </row>
    <row r="5954" spans="1:15" ht="16.5">
      <c r="A5954" s="571" t="s">
        <v>4230</v>
      </c>
      <c r="B5954" s="572"/>
      <c r="C5954" s="572"/>
      <c r="D5954" s="572"/>
      <c r="E5954" s="572"/>
      <c r="F5954" s="572"/>
      <c r="G5954" s="572"/>
      <c r="H5954" s="573"/>
      <c r="K5954" s="56"/>
      <c r="L5954" s="56"/>
      <c r="M5954" s="56"/>
      <c r="N5954" s="56"/>
      <c r="O5954" s="56"/>
    </row>
    <row r="5955" spans="1:15" ht="30" customHeight="1">
      <c r="A5955" s="574" t="s">
        <v>7</v>
      </c>
      <c r="B5955" s="575"/>
      <c r="C5955" s="109" t="s">
        <v>0</v>
      </c>
      <c r="D5955" s="110" t="s">
        <v>4098</v>
      </c>
      <c r="E5955" s="111" t="s">
        <v>1</v>
      </c>
      <c r="F5955" s="576" t="s">
        <v>4218</v>
      </c>
      <c r="G5955" s="576"/>
      <c r="H5955" s="215"/>
      <c r="K5955" s="56"/>
      <c r="L5955" s="56"/>
      <c r="M5955" s="56"/>
      <c r="N5955" s="56"/>
      <c r="O5955" s="56"/>
    </row>
    <row r="5956" spans="1:15">
      <c r="A5956" s="577" t="s">
        <v>4649</v>
      </c>
      <c r="B5956" s="578"/>
      <c r="C5956" s="98" t="str">
        <f>VLOOKUP(A5956,'Materiales '!$C$2:$F$1302,3,0)</f>
        <v>Ml</v>
      </c>
      <c r="D5956" s="99">
        <f>VLOOKUP(A5956,'Materiales '!$C$2:$F$1302,4,0)</f>
        <v>3073.056</v>
      </c>
      <c r="E5956" s="100">
        <v>3</v>
      </c>
      <c r="F5956" s="538">
        <f>E5956*D5956</f>
        <v>9219.1679999999997</v>
      </c>
      <c r="G5956" s="539"/>
      <c r="H5956" s="121"/>
      <c r="I5956">
        <f>E5956*G5946</f>
        <v>0</v>
      </c>
      <c r="J5956" s="67"/>
      <c r="K5956" s="56"/>
      <c r="L5956" s="56"/>
      <c r="M5956" s="56"/>
      <c r="N5956" s="56"/>
      <c r="O5956" s="56"/>
    </row>
    <row r="5957" spans="1:15">
      <c r="A5957" s="577" t="s">
        <v>4650</v>
      </c>
      <c r="B5957" s="578"/>
      <c r="C5957" s="98" t="str">
        <f>VLOOKUP(A5957,'Materiales '!$C$2:$F$1302,3,0)</f>
        <v>Und</v>
      </c>
      <c r="D5957" s="99">
        <f>VLOOKUP(A5957,'Materiales '!$C$2:$F$1302,4,0)</f>
        <v>27132</v>
      </c>
      <c r="E5957" s="100">
        <v>0.34</v>
      </c>
      <c r="F5957" s="538">
        <f t="shared" ref="F5957:F5963" si="349">E5957*D5957</f>
        <v>9224.880000000001</v>
      </c>
      <c r="G5957" s="539"/>
      <c r="H5957" s="121"/>
      <c r="I5957">
        <f>E5957*G5946</f>
        <v>0</v>
      </c>
      <c r="J5957" s="67"/>
      <c r="K5957" s="56"/>
      <c r="L5957" s="56"/>
      <c r="M5957" s="56"/>
      <c r="N5957" s="56"/>
      <c r="O5957" s="56"/>
    </row>
    <row r="5958" spans="1:15">
      <c r="A5958" s="536" t="s">
        <v>4651</v>
      </c>
      <c r="B5958" s="537" t="str">
        <f>VLOOKUP(A5958,'Materiales '!$C$2:$F$1302,3,0)</f>
        <v>Und</v>
      </c>
      <c r="C5958" s="98" t="str">
        <f>VLOOKUP(A5958,'Materiales '!$C$2:$F$1302,3,0)</f>
        <v>Und</v>
      </c>
      <c r="D5958" s="99">
        <f>VLOOKUP(A5958,'Materiales '!$C$2:$F$1302,4,0)</f>
        <v>928.19999999999993</v>
      </c>
      <c r="E5958" s="100">
        <v>0.1</v>
      </c>
      <c r="F5958" s="538">
        <f t="shared" si="349"/>
        <v>92.82</v>
      </c>
      <c r="G5958" s="539"/>
      <c r="H5958" s="121"/>
      <c r="I5958">
        <f>E5958*G5946</f>
        <v>0</v>
      </c>
      <c r="J5958" s="68"/>
      <c r="K5958" s="56"/>
      <c r="L5958" s="56"/>
      <c r="M5958" s="56"/>
      <c r="N5958" s="56"/>
      <c r="O5958" s="56"/>
    </row>
    <row r="5959" spans="1:15">
      <c r="A5959" s="536" t="s">
        <v>4652</v>
      </c>
      <c r="B5959" s="537" t="str">
        <f>VLOOKUP(A5959,'Materiales '!$C$2:$F$1302,3,0)</f>
        <v>Und</v>
      </c>
      <c r="C5959" s="98" t="str">
        <f>VLOOKUP(A5959,'Materiales '!$C$2:$F$1302,3,0)</f>
        <v>Und</v>
      </c>
      <c r="D5959" s="99">
        <f>VLOOKUP(A5959,'Materiales '!$C$2:$F$1302,4,0)</f>
        <v>1356.6</v>
      </c>
      <c r="E5959" s="100">
        <v>0.33</v>
      </c>
      <c r="F5959" s="538">
        <f t="shared" si="349"/>
        <v>447.678</v>
      </c>
      <c r="G5959" s="539"/>
      <c r="H5959" s="121"/>
      <c r="I5959">
        <f>E5959*G5946</f>
        <v>0</v>
      </c>
      <c r="J5959" s="68"/>
      <c r="K5959" s="56"/>
      <c r="L5959" s="56"/>
      <c r="M5959" s="56"/>
      <c r="N5959" s="56"/>
      <c r="O5959" s="56"/>
    </row>
    <row r="5960" spans="1:15">
      <c r="A5960" s="536" t="s">
        <v>4639</v>
      </c>
      <c r="B5960" s="537" t="str">
        <f>VLOOKUP(A5960,'Materiales '!$C$2:$F$1302,3,0)</f>
        <v>Und</v>
      </c>
      <c r="C5960" s="98" t="str">
        <f>VLOOKUP(A5960,'Materiales '!$C$2:$F$1302,3,0)</f>
        <v>Und</v>
      </c>
      <c r="D5960" s="99">
        <f>VLOOKUP(A5960,'Materiales '!$C$2:$F$1302,4,0)</f>
        <v>35700</v>
      </c>
      <c r="E5960" s="100">
        <v>0.05</v>
      </c>
      <c r="F5960" s="538">
        <f t="shared" si="349"/>
        <v>1785</v>
      </c>
      <c r="G5960" s="539"/>
      <c r="H5960" s="121"/>
      <c r="I5960">
        <f>E5960*G5946</f>
        <v>0</v>
      </c>
      <c r="J5960" s="68"/>
      <c r="K5960" s="56"/>
      <c r="L5960" s="56"/>
      <c r="M5960" s="56"/>
      <c r="N5960" s="56"/>
      <c r="O5960" s="56"/>
    </row>
    <row r="5961" spans="1:15">
      <c r="A5961" s="536" t="s">
        <v>8</v>
      </c>
      <c r="B5961" s="537" t="str">
        <f>VLOOKUP(A5961,'Materiales '!$C$2:$F$1302,3,0)</f>
        <v>-</v>
      </c>
      <c r="C5961" s="98" t="str">
        <f>VLOOKUP(A5961,'Materiales '!$C$2:$F$1302,3,0)</f>
        <v>-</v>
      </c>
      <c r="D5961" s="99">
        <f>VLOOKUP(A5961,'Materiales '!$C$2:$F$1302,4,0)</f>
        <v>0</v>
      </c>
      <c r="E5961" s="100">
        <v>8</v>
      </c>
      <c r="F5961" s="538">
        <f t="shared" si="349"/>
        <v>0</v>
      </c>
      <c r="G5961" s="539"/>
      <c r="H5961" s="121"/>
      <c r="I5961">
        <f>E5961*G5946</f>
        <v>0</v>
      </c>
      <c r="J5961" s="68"/>
      <c r="K5961" s="56"/>
      <c r="L5961" s="56"/>
      <c r="M5961" s="56"/>
      <c r="N5961" s="56"/>
      <c r="O5961" s="56"/>
    </row>
    <row r="5962" spans="1:15">
      <c r="A5962" s="536" t="s">
        <v>8</v>
      </c>
      <c r="B5962" s="537" t="str">
        <f>VLOOKUP(A5962,'Materiales '!$C$2:$F$1302,3,0)</f>
        <v>-</v>
      </c>
      <c r="C5962" s="98" t="str">
        <f>VLOOKUP(A5962,'Materiales '!$C$2:$F$1302,3,0)</f>
        <v>-</v>
      </c>
      <c r="D5962" s="99">
        <f>VLOOKUP(A5962,'Materiales '!$C$2:$F$1302,4,0)</f>
        <v>0</v>
      </c>
      <c r="E5962" s="100">
        <v>3</v>
      </c>
      <c r="F5962" s="538">
        <f t="shared" si="349"/>
        <v>0</v>
      </c>
      <c r="G5962" s="539"/>
      <c r="H5962" s="121"/>
      <c r="I5962">
        <f>E5962*G5946</f>
        <v>0</v>
      </c>
      <c r="J5962" s="68"/>
      <c r="K5962" s="56"/>
      <c r="L5962" s="56"/>
      <c r="M5962" s="56"/>
      <c r="N5962" s="56"/>
      <c r="O5962" s="56"/>
    </row>
    <row r="5963" spans="1:15" ht="21.75" customHeight="1">
      <c r="A5963" s="536" t="s">
        <v>8</v>
      </c>
      <c r="B5963" s="537" t="str">
        <f>VLOOKUP(A5963,'Materiales '!$C$2:$F$1302,3,0)</f>
        <v>-</v>
      </c>
      <c r="C5963" s="98" t="str">
        <f>VLOOKUP(A5963,'Materiales '!$C$2:$F$1302,3,0)</f>
        <v>-</v>
      </c>
      <c r="D5963" s="99">
        <f>VLOOKUP(A5963,'Materiales '!$C$2:$F$1302,4,0)</f>
        <v>0</v>
      </c>
      <c r="E5963" s="100">
        <v>0.5</v>
      </c>
      <c r="F5963" s="538">
        <f t="shared" si="349"/>
        <v>0</v>
      </c>
      <c r="G5963" s="539"/>
      <c r="H5963" s="121"/>
      <c r="I5963">
        <f>E5963*G5946</f>
        <v>0</v>
      </c>
      <c r="J5963" s="68"/>
      <c r="K5963" s="56"/>
      <c r="L5963" s="56"/>
      <c r="M5963" s="56"/>
      <c r="N5963" s="56"/>
      <c r="O5963" s="56"/>
    </row>
    <row r="5964" spans="1:15">
      <c r="A5964" s="536" t="s">
        <v>8</v>
      </c>
      <c r="B5964" s="537" t="str">
        <f>VLOOKUP(A5964,'Materiales '!$C$2:$F$1302,3,0)</f>
        <v>-</v>
      </c>
      <c r="C5964" s="98" t="str">
        <f>VLOOKUP(A5964,'Materiales '!$C$2:$F$1302,3,0)</f>
        <v>-</v>
      </c>
      <c r="D5964" s="99">
        <f>VLOOKUP(A5964,'Materiales '!$C$2:$F$1302,4,0)</f>
        <v>0</v>
      </c>
      <c r="E5964" s="100"/>
      <c r="F5964" s="538">
        <f>E5964*D5964</f>
        <v>0</v>
      </c>
      <c r="G5964" s="539"/>
      <c r="H5964" s="120"/>
      <c r="I5964">
        <f>E5964*G5946</f>
        <v>0</v>
      </c>
      <c r="J5964" s="68"/>
      <c r="K5964" s="56"/>
      <c r="L5964" s="56"/>
      <c r="M5964" s="56"/>
      <c r="N5964" s="56"/>
      <c r="O5964" s="56"/>
    </row>
    <row r="5965" spans="1:15">
      <c r="A5965" s="536" t="s">
        <v>8</v>
      </c>
      <c r="B5965" s="537" t="str">
        <f>VLOOKUP(A5965,'Materiales '!$C$2:$F$1302,3,0)</f>
        <v>-</v>
      </c>
      <c r="C5965" s="98" t="str">
        <f>VLOOKUP(A5965,'Materiales '!$C$2:$F$1302,3,0)</f>
        <v>-</v>
      </c>
      <c r="D5965" s="99">
        <f>VLOOKUP(A5965,'Materiales '!$C$2:$F$1302,4,0)</f>
        <v>0</v>
      </c>
      <c r="E5965" s="100"/>
      <c r="F5965" s="538">
        <f t="shared" ref="F5965:F5968" si="350">E5965*D5965</f>
        <v>0</v>
      </c>
      <c r="G5965" s="539"/>
      <c r="H5965" s="121"/>
      <c r="I5965">
        <f>E5965*G5946</f>
        <v>0</v>
      </c>
      <c r="J5965" s="68"/>
      <c r="K5965" s="56"/>
      <c r="L5965" s="56"/>
      <c r="M5965" s="56"/>
      <c r="N5965" s="56"/>
      <c r="O5965" s="56"/>
    </row>
    <row r="5966" spans="1:15">
      <c r="A5966" s="536" t="s">
        <v>8</v>
      </c>
      <c r="B5966" s="537" t="str">
        <f>VLOOKUP(A5966,'Materiales '!$C$2:$F$1302,3,0)</f>
        <v>-</v>
      </c>
      <c r="C5966" s="98" t="str">
        <f>VLOOKUP(A5966,'Materiales '!$C$2:$F$1302,3,0)</f>
        <v>-</v>
      </c>
      <c r="D5966" s="99">
        <f>VLOOKUP(A5966,'Materiales '!$C$2:$F$1302,4,0)</f>
        <v>0</v>
      </c>
      <c r="E5966" s="100"/>
      <c r="F5966" s="538">
        <f t="shared" si="350"/>
        <v>0</v>
      </c>
      <c r="G5966" s="539"/>
      <c r="H5966" s="121"/>
      <c r="I5966">
        <f>E5966*G5946</f>
        <v>0</v>
      </c>
      <c r="J5966" s="68"/>
      <c r="K5966" s="56"/>
      <c r="L5966" s="56"/>
      <c r="M5966" s="56"/>
      <c r="N5966" s="56"/>
      <c r="O5966" s="56"/>
    </row>
    <row r="5967" spans="1:15">
      <c r="A5967" s="536" t="s">
        <v>8</v>
      </c>
      <c r="B5967" s="537" t="str">
        <f>VLOOKUP(A5967,'Materiales '!$C$2:$F$1302,3,0)</f>
        <v>-</v>
      </c>
      <c r="C5967" s="98" t="str">
        <f>VLOOKUP(A5967,'Materiales '!$C$2:$F$1302,3,0)</f>
        <v>-</v>
      </c>
      <c r="D5967" s="99">
        <f>VLOOKUP(A5967,'Materiales '!$C$2:$F$1302,4,0)</f>
        <v>0</v>
      </c>
      <c r="E5967" s="100"/>
      <c r="F5967" s="538">
        <f t="shared" si="350"/>
        <v>0</v>
      </c>
      <c r="G5967" s="539"/>
      <c r="H5967" s="121"/>
      <c r="I5967">
        <f>E5967*G5946</f>
        <v>0</v>
      </c>
      <c r="J5967" s="68"/>
      <c r="K5967" s="56"/>
      <c r="L5967" s="56"/>
      <c r="M5967" s="56"/>
      <c r="N5967" s="56"/>
      <c r="O5967" s="56"/>
    </row>
    <row r="5968" spans="1:15">
      <c r="A5968" s="536" t="s">
        <v>8</v>
      </c>
      <c r="B5968" s="537" t="str">
        <f>VLOOKUP(A5968,'Materiales '!$C$2:$F$1302,3,0)</f>
        <v>-</v>
      </c>
      <c r="C5968" s="98" t="str">
        <f>VLOOKUP(A5968,'Materiales '!$C$2:$F$1302,3,0)</f>
        <v>-</v>
      </c>
      <c r="D5968" s="99">
        <f>VLOOKUP(A5968,'Materiales '!$C$2:$F$1302,4,0)</f>
        <v>0</v>
      </c>
      <c r="E5968" s="100"/>
      <c r="F5968" s="538">
        <f t="shared" si="350"/>
        <v>0</v>
      </c>
      <c r="G5968" s="539"/>
      <c r="H5968" s="121"/>
      <c r="I5968">
        <f>E5968*G5946</f>
        <v>0</v>
      </c>
      <c r="J5968" s="68"/>
      <c r="K5968" s="56"/>
      <c r="L5968" s="56"/>
      <c r="M5968" s="56"/>
      <c r="N5968" s="56"/>
      <c r="O5968" s="56"/>
    </row>
    <row r="5969" spans="1:15">
      <c r="A5969" s="536" t="s">
        <v>8</v>
      </c>
      <c r="B5969" s="537" t="str">
        <f>VLOOKUP(A5969,'Materiales '!$C$2:$F$1302,3,0)</f>
        <v>-</v>
      </c>
      <c r="C5969" s="98" t="str">
        <f>VLOOKUP(A5969,'Materiales '!$C$2:$F$1302,3,0)</f>
        <v>-</v>
      </c>
      <c r="D5969" s="99">
        <f>VLOOKUP(A5969,'Materiales '!$C$2:$F$1302,4,0)</f>
        <v>0</v>
      </c>
      <c r="E5969" s="100"/>
      <c r="F5969" s="538">
        <f>E5969*D5969</f>
        <v>0</v>
      </c>
      <c r="G5969" s="539"/>
      <c r="H5969" s="120"/>
      <c r="I5969">
        <f>E5969*G5946</f>
        <v>0</v>
      </c>
      <c r="J5969" s="68"/>
      <c r="K5969" s="56"/>
      <c r="L5969" s="56"/>
      <c r="M5969" s="56"/>
      <c r="N5969" s="56"/>
      <c r="O5969" s="56"/>
    </row>
    <row r="5970" spans="1:15" ht="16.5">
      <c r="A5970" s="540" t="s">
        <v>4099</v>
      </c>
      <c r="B5970" s="541"/>
      <c r="C5970" s="541"/>
      <c r="D5970" s="541"/>
      <c r="E5970" s="541"/>
      <c r="F5970" s="541"/>
      <c r="G5970" s="542"/>
      <c r="H5970" s="116">
        <f>SUM(F5956:F5969)</f>
        <v>20769.546000000002</v>
      </c>
      <c r="J5970" s="68"/>
      <c r="K5970" s="56"/>
      <c r="L5970" s="56"/>
      <c r="M5970" s="56"/>
      <c r="N5970" s="56"/>
      <c r="O5970" s="56"/>
    </row>
    <row r="5971" spans="1:15" ht="16.5">
      <c r="A5971" s="543" t="s">
        <v>4231</v>
      </c>
      <c r="B5971" s="544"/>
      <c r="C5971" s="544"/>
      <c r="D5971" s="544"/>
      <c r="E5971" s="545"/>
      <c r="F5971" s="544"/>
      <c r="G5971" s="544"/>
      <c r="H5971" s="546"/>
      <c r="J5971" s="68"/>
      <c r="K5971" s="56"/>
      <c r="L5971" s="56"/>
      <c r="M5971" s="56"/>
      <c r="N5971" s="56"/>
      <c r="O5971" s="56"/>
    </row>
    <row r="5972" spans="1:15">
      <c r="A5972" s="547" t="s">
        <v>7</v>
      </c>
      <c r="B5972" s="548"/>
      <c r="C5972" s="108" t="s">
        <v>4232</v>
      </c>
      <c r="D5972" s="107" t="s">
        <v>4233</v>
      </c>
      <c r="E5972" s="206" t="s">
        <v>4234</v>
      </c>
      <c r="F5972" s="549" t="s">
        <v>4218</v>
      </c>
      <c r="G5972" s="549"/>
      <c r="H5972" s="119"/>
      <c r="K5972" s="56"/>
      <c r="L5972" s="56"/>
      <c r="M5972" s="56"/>
      <c r="N5972" s="56"/>
      <c r="O5972" s="56"/>
    </row>
    <row r="5973" spans="1:15">
      <c r="A5973" s="550" t="s">
        <v>3928</v>
      </c>
      <c r="B5973" s="551"/>
      <c r="C5973" s="232">
        <v>1</v>
      </c>
      <c r="D5973" s="102">
        <v>0.01</v>
      </c>
      <c r="E5973" s="103">
        <f>VLOOKUP(A5973,'Equip, Herr y Transp'!$B$2:$D$218,3,0)</f>
        <v>160000</v>
      </c>
      <c r="F5973" s="552">
        <f>E5973*D5973*C5973</f>
        <v>1600</v>
      </c>
      <c r="G5973" s="553"/>
      <c r="H5973" s="117"/>
      <c r="M5973" s="56"/>
    </row>
    <row r="5974" spans="1:15" ht="16.5">
      <c r="A5974" s="554" t="s">
        <v>4216</v>
      </c>
      <c r="B5974" s="555"/>
      <c r="C5974" s="555"/>
      <c r="D5974" s="555"/>
      <c r="E5974" s="555"/>
      <c r="F5974" s="555"/>
      <c r="G5974" s="555"/>
      <c r="H5974" s="105">
        <f>F5973</f>
        <v>1600</v>
      </c>
    </row>
    <row r="5975" spans="1:15" ht="16.5">
      <c r="A5975" s="543" t="s">
        <v>4235</v>
      </c>
      <c r="B5975" s="544"/>
      <c r="C5975" s="544"/>
      <c r="D5975" s="544"/>
      <c r="E5975" s="544"/>
      <c r="F5975" s="544"/>
      <c r="G5975" s="544"/>
      <c r="H5975" s="546"/>
    </row>
    <row r="5976" spans="1:15">
      <c r="A5976" s="547" t="s">
        <v>7</v>
      </c>
      <c r="B5976" s="548"/>
      <c r="C5976" s="106" t="s">
        <v>1</v>
      </c>
      <c r="D5976" s="107" t="s">
        <v>4236</v>
      </c>
      <c r="E5976" s="108" t="s">
        <v>4215</v>
      </c>
      <c r="F5976" s="547" t="s">
        <v>5</v>
      </c>
      <c r="G5976" s="556"/>
      <c r="H5976" s="119"/>
    </row>
    <row r="5977" spans="1:15">
      <c r="A5977" s="550" t="s">
        <v>4196</v>
      </c>
      <c r="B5977" s="551"/>
      <c r="C5977" s="101">
        <v>1</v>
      </c>
      <c r="D5977" s="104">
        <f>VLOOKUP(A5977,'Mano Obra'!$B$2:$T$117,19,0)</f>
        <v>166624</v>
      </c>
      <c r="E5977" s="246">
        <f>H5939</f>
        <v>1.46E-2</v>
      </c>
      <c r="F5977" s="538">
        <f>E5977*D5977*C5977</f>
        <v>2432.7103999999999</v>
      </c>
      <c r="G5977" s="557"/>
      <c r="H5977" s="121"/>
      <c r="I5977" s="69"/>
      <c r="J5977" s="136">
        <f>((('Mano Obra'!$M$4/30)*F5977)/D5977)*G5946</f>
        <v>0</v>
      </c>
    </row>
    <row r="5978" spans="1:15">
      <c r="A5978" s="558" t="s">
        <v>4197</v>
      </c>
      <c r="B5978" s="559">
        <f>VLOOKUP(A5978,'Mano Obra'!$B$3:$D$290,2,0)</f>
        <v>2090000.0000000002</v>
      </c>
      <c r="C5978" s="101">
        <v>1</v>
      </c>
      <c r="D5978" s="104">
        <f>VLOOKUP(A5978,'Mano Obra'!$B$2:$T$117,19,0)</f>
        <v>120456</v>
      </c>
      <c r="E5978" s="246">
        <f>H5939</f>
        <v>1.46E-2</v>
      </c>
      <c r="F5978" s="538">
        <f t="shared" ref="F5978:F5979" si="351">E5978*D5978*C5978</f>
        <v>1758.6576</v>
      </c>
      <c r="G5978" s="557"/>
      <c r="H5978" s="121"/>
      <c r="J5978" s="136">
        <f>((('Mano Obra'!$M$5/30)*F5978)/D5978)*G5946</f>
        <v>0</v>
      </c>
    </row>
    <row r="5979" spans="1:15">
      <c r="A5979" s="558" t="s">
        <v>4186</v>
      </c>
      <c r="B5979" s="559">
        <f>VLOOKUP(A5979,'Mano Obra'!$B$3:$D$290,2,0)</f>
        <v>1100000</v>
      </c>
      <c r="C5979" s="101">
        <v>1</v>
      </c>
      <c r="D5979" s="104">
        <f>VLOOKUP(A5979,'Mano Obra'!$B$2:$T$117,19,0)</f>
        <v>72664</v>
      </c>
      <c r="E5979" s="246">
        <f>H5939</f>
        <v>1.46E-2</v>
      </c>
      <c r="F5979" s="538">
        <f t="shared" si="351"/>
        <v>1060.8943999999999</v>
      </c>
      <c r="G5979" s="557"/>
      <c r="H5979" s="120"/>
      <c r="J5979" s="136">
        <f>((('Mano Obra'!$M$6/30)*F5979)/D5979)*G5946</f>
        <v>0</v>
      </c>
    </row>
    <row r="5980" spans="1:15" ht="16.5">
      <c r="A5980" s="560" t="s">
        <v>4101</v>
      </c>
      <c r="B5980" s="560"/>
      <c r="C5980" s="560"/>
      <c r="D5980" s="560"/>
      <c r="E5980" s="560"/>
      <c r="F5980" s="560"/>
      <c r="G5980" s="560"/>
      <c r="H5980" s="105">
        <f>SUM(F5977:F5979)</f>
        <v>5252.2624000000005</v>
      </c>
      <c r="J5980" s="136"/>
    </row>
    <row r="5981" spans="1:15">
      <c r="A5981" s="227" t="s">
        <v>4237</v>
      </c>
      <c r="B5981" s="205"/>
      <c r="C5981" s="205"/>
      <c r="D5981" s="202"/>
      <c r="E5981" s="203"/>
      <c r="F5981" s="204"/>
      <c r="G5981" s="203"/>
      <c r="H5981" s="212"/>
    </row>
    <row r="5982" spans="1:15">
      <c r="A5982" s="561" t="s">
        <v>4224</v>
      </c>
      <c r="B5982" s="562"/>
      <c r="C5982" s="562"/>
      <c r="D5982" s="562"/>
      <c r="E5982" s="200"/>
      <c r="F5982" s="201" t="s">
        <v>4238</v>
      </c>
      <c r="G5982" s="200" t="s">
        <v>4239</v>
      </c>
      <c r="H5982" s="213"/>
    </row>
    <row r="5983" spans="1:15">
      <c r="A5983" s="223" t="s">
        <v>4097</v>
      </c>
      <c r="B5983" s="72"/>
      <c r="C5983" s="72"/>
      <c r="D5983" s="73"/>
      <c r="E5983" s="78"/>
      <c r="F5983" s="79">
        <v>0</v>
      </c>
      <c r="G5983" s="80">
        <f>F5983*H5947</f>
        <v>0</v>
      </c>
      <c r="H5983" s="212"/>
    </row>
    <row r="5984" spans="1:15">
      <c r="A5984" s="224" t="s">
        <v>4240</v>
      </c>
      <c r="B5984" s="81"/>
      <c r="C5984" s="81"/>
      <c r="D5984" s="82"/>
      <c r="E5984" s="78"/>
      <c r="F5984" s="79">
        <v>0</v>
      </c>
      <c r="G5984" s="80">
        <f>F5984*H5947</f>
        <v>0</v>
      </c>
      <c r="H5984" s="212"/>
    </row>
    <row r="5985" spans="1:14">
      <c r="A5985" s="224" t="s">
        <v>4</v>
      </c>
      <c r="B5985" s="81"/>
      <c r="C5985" s="81"/>
      <c r="D5985" s="82"/>
      <c r="E5985" s="78"/>
      <c r="F5985" s="79">
        <v>0</v>
      </c>
      <c r="G5985" s="80">
        <f>F5985*H5947</f>
        <v>0</v>
      </c>
      <c r="H5985" s="212"/>
    </row>
    <row r="5986" spans="1:14">
      <c r="A5986" s="225"/>
      <c r="B5986" s="83"/>
      <c r="C5986" s="75"/>
      <c r="D5986" s="84"/>
      <c r="E5986" s="85"/>
      <c r="F5986" s="86"/>
      <c r="G5986" s="87"/>
      <c r="H5986" s="214"/>
    </row>
    <row r="5987" spans="1:14">
      <c r="A5987" s="226"/>
      <c r="B5987" s="83"/>
      <c r="C5987" s="83"/>
      <c r="D5987" s="84"/>
      <c r="E5987" s="88"/>
      <c r="F5987" s="563" t="s">
        <v>4241</v>
      </c>
      <c r="G5987" s="564"/>
      <c r="H5987" s="233">
        <f>H5947+G5983+G5984+G5985</f>
        <v>29041.731400000001</v>
      </c>
    </row>
    <row r="5989" spans="1:14" ht="16.5">
      <c r="A5989" s="90"/>
      <c r="B5989" s="90"/>
      <c r="C5989" s="90"/>
      <c r="D5989" s="90"/>
      <c r="E5989" s="90"/>
      <c r="F5989" s="90"/>
      <c r="G5989" s="90"/>
      <c r="H5989" s="381"/>
    </row>
    <row r="5990" spans="1:14">
      <c r="A5990" s="579" t="s">
        <v>4225</v>
      </c>
      <c r="B5990" s="580"/>
      <c r="C5990" s="580"/>
      <c r="D5990" s="580"/>
      <c r="E5990" s="580"/>
      <c r="F5990" s="580"/>
      <c r="G5990" s="580"/>
      <c r="H5990" s="581"/>
    </row>
    <row r="5991" spans="1:14" ht="16.5">
      <c r="A5991" s="91"/>
      <c r="B5991" s="92"/>
      <c r="C5991" s="92"/>
      <c r="D5991" s="92"/>
      <c r="E5991" s="92"/>
      <c r="F5991" s="93"/>
      <c r="G5991" s="94"/>
      <c r="H5991" s="380">
        <f>ROUND((9/60)/8,4)</f>
        <v>1.8800000000000001E-2</v>
      </c>
      <c r="I5991" s="115"/>
    </row>
    <row r="5992" spans="1:14">
      <c r="A5992" s="582" t="s">
        <v>4220</v>
      </c>
      <c r="B5992" s="584" t="str">
        <f>COSTOS!$C$14</f>
        <v>MODERNIZACION A TECNOLOGIA LED</v>
      </c>
      <c r="C5992" s="584"/>
      <c r="D5992" s="584"/>
      <c r="E5992" s="584"/>
      <c r="F5992" s="584"/>
      <c r="G5992" s="584"/>
      <c r="H5992" s="585" t="s">
        <v>4221</v>
      </c>
    </row>
    <row r="5993" spans="1:14">
      <c r="A5993" s="583"/>
      <c r="B5993" s="584"/>
      <c r="C5993" s="584"/>
      <c r="D5993" s="584"/>
      <c r="E5993" s="584"/>
      <c r="F5993" s="584"/>
      <c r="G5993" s="584"/>
      <c r="H5993" s="585"/>
    </row>
    <row r="5994" spans="1:14">
      <c r="A5994" s="583"/>
      <c r="B5994" s="584"/>
      <c r="C5994" s="584"/>
      <c r="D5994" s="584"/>
      <c r="E5994" s="584"/>
      <c r="F5994" s="584"/>
      <c r="G5994" s="584"/>
      <c r="H5994" s="585"/>
    </row>
    <row r="5995" spans="1:14" ht="15" customHeight="1">
      <c r="A5995" s="583"/>
      <c r="B5995" s="584"/>
      <c r="C5995" s="584"/>
      <c r="D5995" s="584"/>
      <c r="E5995" s="584"/>
      <c r="F5995" s="584"/>
      <c r="G5995" s="584"/>
      <c r="H5995" s="216">
        <f ca="1">TODAY()</f>
        <v>44889</v>
      </c>
      <c r="K5995" t="s">
        <v>4391</v>
      </c>
      <c r="L5995" t="s">
        <v>4392</v>
      </c>
      <c r="M5995" t="s">
        <v>4393</v>
      </c>
      <c r="N5995" t="s">
        <v>4394</v>
      </c>
    </row>
    <row r="5996" spans="1:14" ht="60.75" customHeight="1">
      <c r="A5996" s="228" t="s">
        <v>4222</v>
      </c>
      <c r="B5996" s="565" t="str">
        <f>COSTOS!$D$16</f>
        <v>Luminarias</v>
      </c>
      <c r="C5996" s="565"/>
      <c r="D5996" s="565"/>
      <c r="E5996" s="565"/>
      <c r="F5996" s="565"/>
      <c r="G5996" s="70" t="s">
        <v>4223</v>
      </c>
      <c r="H5996" s="387">
        <v>3.3</v>
      </c>
      <c r="K5996" s="62">
        <f>H6022</f>
        <v>31981.487999999998</v>
      </c>
      <c r="L5996" s="62">
        <f>H6032</f>
        <v>6763.1871999999994</v>
      </c>
      <c r="M5996" s="62">
        <f>H6005</f>
        <v>1828.394</v>
      </c>
      <c r="N5996" s="62">
        <f>H6026</f>
        <v>1600</v>
      </c>
    </row>
    <row r="5997" spans="1:14" ht="43.15" customHeight="1">
      <c r="A5997" s="229" t="s">
        <v>4224</v>
      </c>
      <c r="B5997" s="566" t="str">
        <f>VLOOKUP(H5996,COSTOS!C:M,2,0)</f>
        <v>Tubería IMC de 1/2" con red 3x12 awg para instalacion de luminarias. Adosado en pared. Incluye instalacion de elementos de fijacion, soporte y conexionado x 500m</v>
      </c>
      <c r="C5997" s="567"/>
      <c r="D5997" s="567"/>
      <c r="E5997" s="568"/>
      <c r="F5997" s="71" t="s">
        <v>0</v>
      </c>
      <c r="G5997" s="356" t="str">
        <f>VLOOKUP(H5996,COSTOS!C:M,8,0)</f>
        <v>Und</v>
      </c>
      <c r="H5997" s="276"/>
      <c r="I5997" s="306"/>
      <c r="J5997" s="308"/>
      <c r="K5997" s="308"/>
      <c r="L5997" s="308"/>
    </row>
    <row r="5998" spans="1:14">
      <c r="A5998" s="230"/>
      <c r="B5998" s="112"/>
      <c r="C5998" s="112"/>
      <c r="D5998" s="112"/>
      <c r="E5998" s="113"/>
      <c r="F5998" s="114" t="s">
        <v>1</v>
      </c>
      <c r="G5998" s="356">
        <f>VLOOKUP(H5996,COSTOS!C:M,9,0)</f>
        <v>0</v>
      </c>
      <c r="H5998" s="357"/>
      <c r="I5998" s="307"/>
    </row>
    <row r="5999" spans="1:14" ht="16.5">
      <c r="A5999" s="231" t="s">
        <v>4226</v>
      </c>
      <c r="B5999" s="75"/>
      <c r="C5999" s="75"/>
      <c r="D5999" s="76"/>
      <c r="E5999" s="209"/>
      <c r="F5999" s="210"/>
      <c r="G5999" s="211" t="s">
        <v>4227</v>
      </c>
      <c r="H5999" s="217">
        <f>H6005+H6022+H6026+H6032</f>
        <v>42173.069199999998</v>
      </c>
    </row>
    <row r="6000" spans="1:14" ht="39">
      <c r="A6000" s="569" t="s">
        <v>4224</v>
      </c>
      <c r="B6000" s="569"/>
      <c r="C6000" s="569"/>
      <c r="D6000" s="77" t="s">
        <v>0</v>
      </c>
      <c r="E6000" s="207" t="s">
        <v>4228</v>
      </c>
      <c r="F6000" s="208" t="s">
        <v>4215</v>
      </c>
      <c r="G6000" s="74" t="s">
        <v>2</v>
      </c>
      <c r="H6000" s="218" t="s">
        <v>4229</v>
      </c>
      <c r="K6000" s="309"/>
    </row>
    <row r="6001" spans="1:15">
      <c r="A6001" s="536" t="s">
        <v>3946</v>
      </c>
      <c r="B6001" s="570" t="str">
        <f>VLOOKUP(A6001,'Equip, Herr y Transp'!$B$2:$D$739,2,0)</f>
        <v>EQU</v>
      </c>
      <c r="C6001" s="570"/>
      <c r="D6001" s="95" t="str">
        <f>VLOOKUP(A6001,'Equip, Herr y Transp'!$B$2:$D$218,2,0)</f>
        <v>EQU</v>
      </c>
      <c r="E6001" s="95">
        <f>VLOOKUP(A6001,'Equip, Herr y Transp'!$B$2:$D$218,3,0)</f>
        <v>14130</v>
      </c>
      <c r="F6001" s="96">
        <f>H5991</f>
        <v>1.8800000000000001E-2</v>
      </c>
      <c r="G6001" s="122">
        <f>F6001*E6001</f>
        <v>265.64400000000001</v>
      </c>
      <c r="H6001" s="118"/>
    </row>
    <row r="6002" spans="1:15">
      <c r="A6002" s="536" t="s">
        <v>3902</v>
      </c>
      <c r="B6002" s="570" t="str">
        <f>VLOOKUP(A6002,'Equip, Herr y Transp'!$B$2:$D$739,2,0)</f>
        <v>EQU</v>
      </c>
      <c r="C6002" s="570"/>
      <c r="D6002" s="95" t="str">
        <f>VLOOKUP(A6002,'Equip, Herr y Transp'!$B$2:$D$218,2,0)</f>
        <v>EQU</v>
      </c>
      <c r="E6002" s="95">
        <f>VLOOKUP(A6002,'Equip, Herr y Transp'!$B$2:$D$218,3,0)</f>
        <v>1875</v>
      </c>
      <c r="F6002" s="96">
        <f>H5991</f>
        <v>1.8800000000000001E-2</v>
      </c>
      <c r="G6002" s="122">
        <f>F6002*E6002</f>
        <v>35.25</v>
      </c>
      <c r="H6002" s="117"/>
    </row>
    <row r="6003" spans="1:15">
      <c r="A6003" s="536" t="s">
        <v>4144</v>
      </c>
      <c r="B6003" s="570" t="str">
        <f>VLOOKUP(A6003,'Equip, Herr y Transp'!$B$2:$D$739,2,0)</f>
        <v>EQU</v>
      </c>
      <c r="C6003" s="570"/>
      <c r="D6003" s="95" t="str">
        <f>VLOOKUP(A6003,'Equip, Herr y Transp'!$B$2:$D$218,2,0)</f>
        <v>EQU</v>
      </c>
      <c r="E6003" s="95">
        <f>VLOOKUP(A6003,'Equip, Herr y Transp'!$B$2:$D$218,3,0)</f>
        <v>75000</v>
      </c>
      <c r="F6003" s="96">
        <f>H5991</f>
        <v>1.8800000000000001E-2</v>
      </c>
      <c r="G6003" s="122">
        <f>F6003*E6003</f>
        <v>1410</v>
      </c>
      <c r="H6003" s="117"/>
    </row>
    <row r="6004" spans="1:15">
      <c r="A6004" s="536" t="s">
        <v>3914</v>
      </c>
      <c r="B6004" s="570" t="str">
        <f>VLOOKUP(A6004,'Equip, Herr y Transp'!$B$2:$D$739,2,0)</f>
        <v>EQU</v>
      </c>
      <c r="C6004" s="570"/>
      <c r="D6004" s="95" t="str">
        <f>VLOOKUP(A6004,'Equip, Herr y Transp'!$B$2:$D$218,2,0)</f>
        <v>EQU</v>
      </c>
      <c r="E6004" s="95">
        <f>VLOOKUP(A6004,'Equip, Herr y Transp'!$B$2:$D$218,3,0)</f>
        <v>6250</v>
      </c>
      <c r="F6004" s="96">
        <f>H5991</f>
        <v>1.8800000000000001E-2</v>
      </c>
      <c r="G6004" s="122">
        <f>F6004*E6004</f>
        <v>117.5</v>
      </c>
      <c r="H6004" s="117"/>
    </row>
    <row r="6005" spans="1:15" ht="16.5">
      <c r="A6005" s="540" t="s">
        <v>4100</v>
      </c>
      <c r="B6005" s="541"/>
      <c r="C6005" s="541"/>
      <c r="D6005" s="541"/>
      <c r="E6005" s="541"/>
      <c r="F6005" s="541"/>
      <c r="G6005" s="541"/>
      <c r="H6005" s="97">
        <f>SUM(G6001:G6004)</f>
        <v>1828.394</v>
      </c>
    </row>
    <row r="6006" spans="1:15" ht="16.5">
      <c r="A6006" s="571" t="s">
        <v>4230</v>
      </c>
      <c r="B6006" s="572"/>
      <c r="C6006" s="572"/>
      <c r="D6006" s="572"/>
      <c r="E6006" s="572"/>
      <c r="F6006" s="572"/>
      <c r="G6006" s="572"/>
      <c r="H6006" s="573"/>
      <c r="K6006" s="56"/>
      <c r="L6006" s="56"/>
      <c r="M6006" s="56"/>
      <c r="N6006" s="56"/>
      <c r="O6006" s="56"/>
    </row>
    <row r="6007" spans="1:15" ht="30" customHeight="1">
      <c r="A6007" s="574" t="s">
        <v>7</v>
      </c>
      <c r="B6007" s="575"/>
      <c r="C6007" s="109" t="s">
        <v>0</v>
      </c>
      <c r="D6007" s="110" t="s">
        <v>4098</v>
      </c>
      <c r="E6007" s="111" t="s">
        <v>1</v>
      </c>
      <c r="F6007" s="576" t="s">
        <v>4218</v>
      </c>
      <c r="G6007" s="576"/>
      <c r="H6007" s="215"/>
      <c r="K6007" s="56"/>
      <c r="L6007" s="56"/>
      <c r="M6007" s="56"/>
      <c r="N6007" s="56"/>
      <c r="O6007" s="56"/>
    </row>
    <row r="6008" spans="1:15">
      <c r="A6008" s="577" t="s">
        <v>4649</v>
      </c>
      <c r="B6008" s="578"/>
      <c r="C6008" s="98" t="str">
        <f>VLOOKUP(A6008,'Materiales '!$C$2:$F$1302,3,0)</f>
        <v>Ml</v>
      </c>
      <c r="D6008" s="99">
        <f>VLOOKUP(A6008,'Materiales '!$C$2:$F$1302,4,0)</f>
        <v>3073.056</v>
      </c>
      <c r="E6008" s="100">
        <v>3</v>
      </c>
      <c r="F6008" s="538">
        <f>E6008*D6008</f>
        <v>9219.1679999999997</v>
      </c>
      <c r="G6008" s="539"/>
      <c r="H6008" s="121"/>
      <c r="I6008">
        <f>E6008*G5998</f>
        <v>0</v>
      </c>
      <c r="J6008" s="67"/>
      <c r="K6008" s="56"/>
      <c r="L6008" s="56"/>
      <c r="M6008" s="56"/>
      <c r="N6008" s="56"/>
      <c r="O6008" s="56"/>
    </row>
    <row r="6009" spans="1:15">
      <c r="A6009" s="577" t="s">
        <v>4653</v>
      </c>
      <c r="B6009" s="578"/>
      <c r="C6009" s="98" t="str">
        <f>VLOOKUP(A6009,'Materiales '!$C$2:$F$1302,3,0)</f>
        <v>Und</v>
      </c>
      <c r="D6009" s="99">
        <f>VLOOKUP(A6009,'Materiales '!$C$2:$F$1302,4,0)</f>
        <v>58548</v>
      </c>
      <c r="E6009" s="100">
        <v>0.34</v>
      </c>
      <c r="F6009" s="538">
        <f t="shared" ref="F6009:F6015" si="352">E6009*D6009</f>
        <v>19906.32</v>
      </c>
      <c r="G6009" s="539"/>
      <c r="H6009" s="121"/>
      <c r="I6009">
        <f>E6009*G5998</f>
        <v>0</v>
      </c>
      <c r="J6009" s="67"/>
      <c r="K6009" s="56"/>
      <c r="L6009" s="56"/>
      <c r="M6009" s="56"/>
      <c r="N6009" s="56"/>
      <c r="O6009" s="56"/>
    </row>
    <row r="6010" spans="1:15">
      <c r="A6010" s="536" t="s">
        <v>4639</v>
      </c>
      <c r="B6010" s="537" t="str">
        <f>VLOOKUP(A6010,'Materiales '!$C$2:$F$1302,3,0)</f>
        <v>Und</v>
      </c>
      <c r="C6010" s="98" t="str">
        <f>VLOOKUP(A6010,'Materiales '!$C$2:$F$1302,3,0)</f>
        <v>Und</v>
      </c>
      <c r="D6010" s="99">
        <f>VLOOKUP(A6010,'Materiales '!$C$2:$F$1302,4,0)</f>
        <v>35700</v>
      </c>
      <c r="E6010" s="100">
        <v>0.08</v>
      </c>
      <c r="F6010" s="538">
        <f t="shared" si="352"/>
        <v>2856</v>
      </c>
      <c r="G6010" s="539"/>
      <c r="H6010" s="121"/>
      <c r="I6010">
        <f>E6010*G5998</f>
        <v>0</v>
      </c>
      <c r="J6010" s="68"/>
      <c r="K6010" s="56"/>
      <c r="L6010" s="56"/>
      <c r="M6010" s="56"/>
      <c r="N6010" s="56"/>
      <c r="O6010" s="56"/>
    </row>
    <row r="6011" spans="1:15">
      <c r="A6011" s="536" t="s">
        <v>8</v>
      </c>
      <c r="B6011" s="537" t="str">
        <f>VLOOKUP(A6011,'Materiales '!$C$2:$F$1302,3,0)</f>
        <v>-</v>
      </c>
      <c r="C6011" s="98" t="str">
        <f>VLOOKUP(A6011,'Materiales '!$C$2:$F$1302,3,0)</f>
        <v>-</v>
      </c>
      <c r="D6011" s="99">
        <f>VLOOKUP(A6011,'Materiales '!$C$2:$F$1302,4,0)</f>
        <v>0</v>
      </c>
      <c r="E6011" s="100"/>
      <c r="F6011" s="538">
        <f t="shared" si="352"/>
        <v>0</v>
      </c>
      <c r="G6011" s="539"/>
      <c r="H6011" s="121"/>
      <c r="I6011">
        <f>E6011*G5998</f>
        <v>0</v>
      </c>
      <c r="J6011" s="68"/>
      <c r="K6011" s="56"/>
      <c r="L6011" s="56"/>
      <c r="M6011" s="56"/>
      <c r="N6011" s="56"/>
      <c r="O6011" s="56"/>
    </row>
    <row r="6012" spans="1:15">
      <c r="A6012" s="536" t="s">
        <v>8</v>
      </c>
      <c r="B6012" s="537" t="str">
        <f>VLOOKUP(A6012,'Materiales '!$C$2:$F$1302,3,0)</f>
        <v>-</v>
      </c>
      <c r="C6012" s="98" t="str">
        <f>VLOOKUP(A6012,'Materiales '!$C$2:$F$1302,3,0)</f>
        <v>-</v>
      </c>
      <c r="D6012" s="99">
        <f>VLOOKUP(A6012,'Materiales '!$C$2:$F$1302,4,0)</f>
        <v>0</v>
      </c>
      <c r="E6012" s="100"/>
      <c r="F6012" s="538">
        <f t="shared" si="352"/>
        <v>0</v>
      </c>
      <c r="G6012" s="539"/>
      <c r="H6012" s="121"/>
      <c r="I6012">
        <f>E6012*G5998</f>
        <v>0</v>
      </c>
      <c r="J6012" s="68"/>
      <c r="K6012" s="56"/>
      <c r="L6012" s="56"/>
      <c r="M6012" s="56"/>
      <c r="N6012" s="56"/>
      <c r="O6012" s="56"/>
    </row>
    <row r="6013" spans="1:15">
      <c r="A6013" s="536" t="s">
        <v>8</v>
      </c>
      <c r="B6013" s="537" t="str">
        <f>VLOOKUP(A6013,'Materiales '!$C$2:$F$1302,3,0)</f>
        <v>-</v>
      </c>
      <c r="C6013" s="98" t="str">
        <f>VLOOKUP(A6013,'Materiales '!$C$2:$F$1302,3,0)</f>
        <v>-</v>
      </c>
      <c r="D6013" s="99">
        <f>VLOOKUP(A6013,'Materiales '!$C$2:$F$1302,4,0)</f>
        <v>0</v>
      </c>
      <c r="E6013" s="100"/>
      <c r="F6013" s="538">
        <f t="shared" si="352"/>
        <v>0</v>
      </c>
      <c r="G6013" s="539"/>
      <c r="H6013" s="121"/>
      <c r="I6013">
        <f>E6013*G5998</f>
        <v>0</v>
      </c>
      <c r="J6013" s="68"/>
      <c r="K6013" s="56"/>
      <c r="L6013" s="56"/>
      <c r="M6013" s="56"/>
      <c r="N6013" s="56"/>
      <c r="O6013" s="56"/>
    </row>
    <row r="6014" spans="1:15">
      <c r="A6014" s="536" t="s">
        <v>8</v>
      </c>
      <c r="B6014" s="537" t="str">
        <f>VLOOKUP(A6014,'Materiales '!$C$2:$F$1302,3,0)</f>
        <v>-</v>
      </c>
      <c r="C6014" s="98" t="str">
        <f>VLOOKUP(A6014,'Materiales '!$C$2:$F$1302,3,0)</f>
        <v>-</v>
      </c>
      <c r="D6014" s="99">
        <f>VLOOKUP(A6014,'Materiales '!$C$2:$F$1302,4,0)</f>
        <v>0</v>
      </c>
      <c r="E6014" s="100"/>
      <c r="F6014" s="538">
        <f t="shared" si="352"/>
        <v>0</v>
      </c>
      <c r="G6014" s="539"/>
      <c r="H6014" s="121"/>
      <c r="I6014">
        <f>E6014*G5998</f>
        <v>0</v>
      </c>
      <c r="J6014" s="68"/>
      <c r="K6014" s="56"/>
      <c r="L6014" s="56"/>
      <c r="M6014" s="56"/>
      <c r="N6014" s="56"/>
      <c r="O6014" s="56"/>
    </row>
    <row r="6015" spans="1:15" ht="21.75" customHeight="1">
      <c r="A6015" s="536" t="s">
        <v>8</v>
      </c>
      <c r="B6015" s="537" t="str">
        <f>VLOOKUP(A6015,'Materiales '!$C$2:$F$1302,3,0)</f>
        <v>-</v>
      </c>
      <c r="C6015" s="98" t="str">
        <f>VLOOKUP(A6015,'Materiales '!$C$2:$F$1302,3,0)</f>
        <v>-</v>
      </c>
      <c r="D6015" s="99">
        <f>VLOOKUP(A6015,'Materiales '!$C$2:$F$1302,4,0)</f>
        <v>0</v>
      </c>
      <c r="E6015" s="100"/>
      <c r="F6015" s="538">
        <f t="shared" si="352"/>
        <v>0</v>
      </c>
      <c r="G6015" s="539"/>
      <c r="H6015" s="121"/>
      <c r="I6015">
        <f>E6015*G5998</f>
        <v>0</v>
      </c>
      <c r="J6015" s="68"/>
      <c r="K6015" s="56"/>
      <c r="L6015" s="56"/>
      <c r="M6015" s="56"/>
      <c r="N6015" s="56"/>
      <c r="O6015" s="56"/>
    </row>
    <row r="6016" spans="1:15">
      <c r="A6016" s="536" t="s">
        <v>8</v>
      </c>
      <c r="B6016" s="537" t="str">
        <f>VLOOKUP(A6016,'Materiales '!$C$2:$F$1302,3,0)</f>
        <v>-</v>
      </c>
      <c r="C6016" s="98" t="str">
        <f>VLOOKUP(A6016,'Materiales '!$C$2:$F$1302,3,0)</f>
        <v>-</v>
      </c>
      <c r="D6016" s="99">
        <f>VLOOKUP(A6016,'Materiales '!$C$2:$F$1302,4,0)</f>
        <v>0</v>
      </c>
      <c r="E6016" s="100"/>
      <c r="F6016" s="538">
        <f>E6016*D6016</f>
        <v>0</v>
      </c>
      <c r="G6016" s="539"/>
      <c r="H6016" s="120"/>
      <c r="I6016">
        <f>E6016*G5998</f>
        <v>0</v>
      </c>
      <c r="J6016" s="68"/>
      <c r="K6016" s="56"/>
      <c r="L6016" s="56"/>
      <c r="M6016" s="56"/>
      <c r="N6016" s="56"/>
      <c r="O6016" s="56"/>
    </row>
    <row r="6017" spans="1:15">
      <c r="A6017" s="536" t="s">
        <v>8</v>
      </c>
      <c r="B6017" s="537" t="str">
        <f>VLOOKUP(A6017,'Materiales '!$C$2:$F$1302,3,0)</f>
        <v>-</v>
      </c>
      <c r="C6017" s="98" t="str">
        <f>VLOOKUP(A6017,'Materiales '!$C$2:$F$1302,3,0)</f>
        <v>-</v>
      </c>
      <c r="D6017" s="99">
        <f>VLOOKUP(A6017,'Materiales '!$C$2:$F$1302,4,0)</f>
        <v>0</v>
      </c>
      <c r="E6017" s="100"/>
      <c r="F6017" s="538">
        <f t="shared" ref="F6017:F6020" si="353">E6017*D6017</f>
        <v>0</v>
      </c>
      <c r="G6017" s="539"/>
      <c r="H6017" s="121"/>
      <c r="I6017">
        <f>E6017*G5998</f>
        <v>0</v>
      </c>
      <c r="J6017" s="68"/>
      <c r="K6017" s="56"/>
      <c r="L6017" s="56"/>
      <c r="M6017" s="56"/>
      <c r="N6017" s="56"/>
      <c r="O6017" s="56"/>
    </row>
    <row r="6018" spans="1:15">
      <c r="A6018" s="536" t="s">
        <v>8</v>
      </c>
      <c r="B6018" s="537" t="str">
        <f>VLOOKUP(A6018,'Materiales '!$C$2:$F$1302,3,0)</f>
        <v>-</v>
      </c>
      <c r="C6018" s="98" t="str">
        <f>VLOOKUP(A6018,'Materiales '!$C$2:$F$1302,3,0)</f>
        <v>-</v>
      </c>
      <c r="D6018" s="99">
        <f>VLOOKUP(A6018,'Materiales '!$C$2:$F$1302,4,0)</f>
        <v>0</v>
      </c>
      <c r="E6018" s="100"/>
      <c r="F6018" s="538">
        <f t="shared" si="353"/>
        <v>0</v>
      </c>
      <c r="G6018" s="539"/>
      <c r="H6018" s="121"/>
      <c r="I6018">
        <f>E6018*G5998</f>
        <v>0</v>
      </c>
      <c r="J6018" s="68"/>
      <c r="K6018" s="56"/>
      <c r="L6018" s="56"/>
      <c r="M6018" s="56"/>
      <c r="N6018" s="56"/>
      <c r="O6018" s="56"/>
    </row>
    <row r="6019" spans="1:15">
      <c r="A6019" s="536" t="s">
        <v>8</v>
      </c>
      <c r="B6019" s="537" t="str">
        <f>VLOOKUP(A6019,'Materiales '!$C$2:$F$1302,3,0)</f>
        <v>-</v>
      </c>
      <c r="C6019" s="98" t="str">
        <f>VLOOKUP(A6019,'Materiales '!$C$2:$F$1302,3,0)</f>
        <v>-</v>
      </c>
      <c r="D6019" s="99">
        <f>VLOOKUP(A6019,'Materiales '!$C$2:$F$1302,4,0)</f>
        <v>0</v>
      </c>
      <c r="E6019" s="100"/>
      <c r="F6019" s="538">
        <f t="shared" si="353"/>
        <v>0</v>
      </c>
      <c r="G6019" s="539"/>
      <c r="H6019" s="121"/>
      <c r="I6019">
        <f>E6019*G5998</f>
        <v>0</v>
      </c>
      <c r="J6019" s="68"/>
      <c r="K6019" s="56"/>
      <c r="L6019" s="56"/>
      <c r="M6019" s="56"/>
      <c r="N6019" s="56"/>
      <c r="O6019" s="56"/>
    </row>
    <row r="6020" spans="1:15">
      <c r="A6020" s="536" t="s">
        <v>8</v>
      </c>
      <c r="B6020" s="537" t="str">
        <f>VLOOKUP(A6020,'Materiales '!$C$2:$F$1302,3,0)</f>
        <v>-</v>
      </c>
      <c r="C6020" s="98" t="str">
        <f>VLOOKUP(A6020,'Materiales '!$C$2:$F$1302,3,0)</f>
        <v>-</v>
      </c>
      <c r="D6020" s="99">
        <f>VLOOKUP(A6020,'Materiales '!$C$2:$F$1302,4,0)</f>
        <v>0</v>
      </c>
      <c r="E6020" s="100"/>
      <c r="F6020" s="538">
        <f t="shared" si="353"/>
        <v>0</v>
      </c>
      <c r="G6020" s="539"/>
      <c r="H6020" s="121"/>
      <c r="I6020">
        <f>E6020*G5998</f>
        <v>0</v>
      </c>
      <c r="J6020" s="68"/>
      <c r="K6020" s="56"/>
      <c r="L6020" s="56"/>
      <c r="M6020" s="56"/>
      <c r="N6020" s="56"/>
      <c r="O6020" s="56"/>
    </row>
    <row r="6021" spans="1:15">
      <c r="A6021" s="536" t="s">
        <v>8</v>
      </c>
      <c r="B6021" s="537" t="str">
        <f>VLOOKUP(A6021,'Materiales '!$C$2:$F$1302,3,0)</f>
        <v>-</v>
      </c>
      <c r="C6021" s="98" t="str">
        <f>VLOOKUP(A6021,'Materiales '!$C$2:$F$1302,3,0)</f>
        <v>-</v>
      </c>
      <c r="D6021" s="99">
        <f>VLOOKUP(A6021,'Materiales '!$C$2:$F$1302,4,0)</f>
        <v>0</v>
      </c>
      <c r="E6021" s="100"/>
      <c r="F6021" s="538">
        <f>E6021*D6021</f>
        <v>0</v>
      </c>
      <c r="G6021" s="539"/>
      <c r="H6021" s="120"/>
      <c r="I6021">
        <f>E6021*G5998</f>
        <v>0</v>
      </c>
      <c r="J6021" s="68"/>
      <c r="K6021" s="56"/>
      <c r="L6021" s="56"/>
      <c r="M6021" s="56"/>
      <c r="N6021" s="56"/>
      <c r="O6021" s="56"/>
    </row>
    <row r="6022" spans="1:15" ht="16.5">
      <c r="A6022" s="540" t="s">
        <v>4099</v>
      </c>
      <c r="B6022" s="541"/>
      <c r="C6022" s="541"/>
      <c r="D6022" s="541"/>
      <c r="E6022" s="541"/>
      <c r="F6022" s="541"/>
      <c r="G6022" s="542"/>
      <c r="H6022" s="116">
        <f>SUM(F6008:F6021)</f>
        <v>31981.487999999998</v>
      </c>
      <c r="J6022" s="68"/>
      <c r="K6022" s="56"/>
      <c r="L6022" s="56"/>
      <c r="M6022" s="56"/>
      <c r="N6022" s="56"/>
      <c r="O6022" s="56"/>
    </row>
    <row r="6023" spans="1:15" ht="16.5">
      <c r="A6023" s="543" t="s">
        <v>4231</v>
      </c>
      <c r="B6023" s="544"/>
      <c r="C6023" s="544"/>
      <c r="D6023" s="544"/>
      <c r="E6023" s="545"/>
      <c r="F6023" s="544"/>
      <c r="G6023" s="544"/>
      <c r="H6023" s="546"/>
      <c r="J6023" s="68"/>
      <c r="K6023" s="56"/>
      <c r="L6023" s="56"/>
      <c r="M6023" s="56"/>
      <c r="N6023" s="56"/>
      <c r="O6023" s="56"/>
    </row>
    <row r="6024" spans="1:15">
      <c r="A6024" s="547" t="s">
        <v>7</v>
      </c>
      <c r="B6024" s="548"/>
      <c r="C6024" s="108" t="s">
        <v>4232</v>
      </c>
      <c r="D6024" s="107" t="s">
        <v>4233</v>
      </c>
      <c r="E6024" s="206" t="s">
        <v>4234</v>
      </c>
      <c r="F6024" s="549" t="s">
        <v>4218</v>
      </c>
      <c r="G6024" s="549"/>
      <c r="H6024" s="119"/>
      <c r="K6024" s="56"/>
      <c r="L6024" s="56"/>
      <c r="M6024" s="56"/>
      <c r="N6024" s="56"/>
      <c r="O6024" s="56"/>
    </row>
    <row r="6025" spans="1:15">
      <c r="A6025" s="550" t="s">
        <v>3928</v>
      </c>
      <c r="B6025" s="551"/>
      <c r="C6025" s="232">
        <v>1</v>
      </c>
      <c r="D6025" s="102">
        <v>0.01</v>
      </c>
      <c r="E6025" s="103">
        <f>VLOOKUP(A6025,'Equip, Herr y Transp'!$B$2:$D$218,3,0)</f>
        <v>160000</v>
      </c>
      <c r="F6025" s="552">
        <f>E6025*D6025*C6025</f>
        <v>1600</v>
      </c>
      <c r="G6025" s="553"/>
      <c r="H6025" s="117"/>
      <c r="M6025" s="56"/>
    </row>
    <row r="6026" spans="1:15" ht="16.5">
      <c r="A6026" s="554" t="s">
        <v>4216</v>
      </c>
      <c r="B6026" s="555"/>
      <c r="C6026" s="555"/>
      <c r="D6026" s="555"/>
      <c r="E6026" s="555"/>
      <c r="F6026" s="555"/>
      <c r="G6026" s="555"/>
      <c r="H6026" s="105">
        <f>F6025</f>
        <v>1600</v>
      </c>
    </row>
    <row r="6027" spans="1:15" ht="16.5">
      <c r="A6027" s="543" t="s">
        <v>4235</v>
      </c>
      <c r="B6027" s="544"/>
      <c r="C6027" s="544"/>
      <c r="D6027" s="544"/>
      <c r="E6027" s="544"/>
      <c r="F6027" s="544"/>
      <c r="G6027" s="544"/>
      <c r="H6027" s="546"/>
    </row>
    <row r="6028" spans="1:15">
      <c r="A6028" s="547" t="s">
        <v>7</v>
      </c>
      <c r="B6028" s="548"/>
      <c r="C6028" s="106" t="s">
        <v>1</v>
      </c>
      <c r="D6028" s="107" t="s">
        <v>4236</v>
      </c>
      <c r="E6028" s="108" t="s">
        <v>4215</v>
      </c>
      <c r="F6028" s="547" t="s">
        <v>5</v>
      </c>
      <c r="G6028" s="556"/>
      <c r="H6028" s="119"/>
    </row>
    <row r="6029" spans="1:15">
      <c r="A6029" s="550" t="s">
        <v>4196</v>
      </c>
      <c r="B6029" s="551"/>
      <c r="C6029" s="101">
        <v>1</v>
      </c>
      <c r="D6029" s="104">
        <f>VLOOKUP(A6029,'Mano Obra'!$B$2:$T$117,19,0)</f>
        <v>166624</v>
      </c>
      <c r="E6029" s="246">
        <f>H5991</f>
        <v>1.8800000000000001E-2</v>
      </c>
      <c r="F6029" s="538">
        <f>E6029*D6029*C6029</f>
        <v>3132.5311999999999</v>
      </c>
      <c r="G6029" s="557"/>
      <c r="H6029" s="121"/>
      <c r="I6029" s="69"/>
      <c r="J6029" s="136">
        <f>((('Mano Obra'!$M$4/30)*F6029)/D6029)*G5998</f>
        <v>0</v>
      </c>
    </row>
    <row r="6030" spans="1:15">
      <c r="A6030" s="558" t="s">
        <v>4197</v>
      </c>
      <c r="B6030" s="559">
        <f>VLOOKUP(A6030,'Mano Obra'!$B$3:$D$290,2,0)</f>
        <v>2090000.0000000002</v>
      </c>
      <c r="C6030" s="101">
        <v>1</v>
      </c>
      <c r="D6030" s="104">
        <f>VLOOKUP(A6030,'Mano Obra'!$B$2:$T$117,19,0)</f>
        <v>120456</v>
      </c>
      <c r="E6030" s="246">
        <f>H5991</f>
        <v>1.8800000000000001E-2</v>
      </c>
      <c r="F6030" s="538">
        <f t="shared" ref="F6030:F6031" si="354">E6030*D6030*C6030</f>
        <v>2264.5727999999999</v>
      </c>
      <c r="G6030" s="557"/>
      <c r="H6030" s="121"/>
      <c r="J6030" s="136">
        <f>((('Mano Obra'!$M$5/30)*F6030)/D6030)*G5998</f>
        <v>0</v>
      </c>
    </row>
    <row r="6031" spans="1:15">
      <c r="A6031" s="558" t="s">
        <v>4186</v>
      </c>
      <c r="B6031" s="559">
        <f>VLOOKUP(A6031,'Mano Obra'!$B$3:$D$290,2,0)</f>
        <v>1100000</v>
      </c>
      <c r="C6031" s="101">
        <v>1</v>
      </c>
      <c r="D6031" s="104">
        <f>VLOOKUP(A6031,'Mano Obra'!$B$2:$T$117,19,0)</f>
        <v>72664</v>
      </c>
      <c r="E6031" s="246">
        <f>H5991</f>
        <v>1.8800000000000001E-2</v>
      </c>
      <c r="F6031" s="538">
        <f t="shared" si="354"/>
        <v>1366.0832</v>
      </c>
      <c r="G6031" s="557"/>
      <c r="H6031" s="120"/>
      <c r="J6031" s="136">
        <f>((('Mano Obra'!$M$6/30)*F6031)/D6031)*G5998</f>
        <v>0</v>
      </c>
    </row>
    <row r="6032" spans="1:15" ht="16.5">
      <c r="A6032" s="560" t="s">
        <v>4101</v>
      </c>
      <c r="B6032" s="560"/>
      <c r="C6032" s="560"/>
      <c r="D6032" s="560"/>
      <c r="E6032" s="560"/>
      <c r="F6032" s="560"/>
      <c r="G6032" s="560"/>
      <c r="H6032" s="105">
        <f>SUM(F6029:F6031)</f>
        <v>6763.1871999999994</v>
      </c>
      <c r="J6032" s="136"/>
    </row>
    <row r="6033" spans="1:14">
      <c r="A6033" s="227" t="s">
        <v>4237</v>
      </c>
      <c r="B6033" s="205"/>
      <c r="C6033" s="205"/>
      <c r="D6033" s="202"/>
      <c r="E6033" s="203"/>
      <c r="F6033" s="204"/>
      <c r="G6033" s="203"/>
      <c r="H6033" s="212"/>
    </row>
    <row r="6034" spans="1:14">
      <c r="A6034" s="561" t="s">
        <v>4224</v>
      </c>
      <c r="B6034" s="562"/>
      <c r="C6034" s="562"/>
      <c r="D6034" s="562"/>
      <c r="E6034" s="200"/>
      <c r="F6034" s="201" t="s">
        <v>4238</v>
      </c>
      <c r="G6034" s="200" t="s">
        <v>4239</v>
      </c>
      <c r="H6034" s="213"/>
    </row>
    <row r="6035" spans="1:14">
      <c r="A6035" s="223" t="s">
        <v>4097</v>
      </c>
      <c r="B6035" s="72"/>
      <c r="C6035" s="72"/>
      <c r="D6035" s="73"/>
      <c r="E6035" s="78"/>
      <c r="F6035" s="79">
        <v>0</v>
      </c>
      <c r="G6035" s="80">
        <f>F6035*H5999</f>
        <v>0</v>
      </c>
      <c r="H6035" s="212"/>
    </row>
    <row r="6036" spans="1:14">
      <c r="A6036" s="224" t="s">
        <v>4240</v>
      </c>
      <c r="B6036" s="81"/>
      <c r="C6036" s="81"/>
      <c r="D6036" s="82"/>
      <c r="E6036" s="78"/>
      <c r="F6036" s="79">
        <v>0</v>
      </c>
      <c r="G6036" s="80">
        <f>F6036*H5999</f>
        <v>0</v>
      </c>
      <c r="H6036" s="212"/>
    </row>
    <row r="6037" spans="1:14">
      <c r="A6037" s="224" t="s">
        <v>4</v>
      </c>
      <c r="B6037" s="81"/>
      <c r="C6037" s="81"/>
      <c r="D6037" s="82"/>
      <c r="E6037" s="78"/>
      <c r="F6037" s="79">
        <v>0</v>
      </c>
      <c r="G6037" s="80">
        <f>F6037*H5999</f>
        <v>0</v>
      </c>
      <c r="H6037" s="212"/>
    </row>
    <row r="6038" spans="1:14">
      <c r="A6038" s="225"/>
      <c r="B6038" s="83"/>
      <c r="C6038" s="75"/>
      <c r="D6038" s="84"/>
      <c r="E6038" s="85"/>
      <c r="F6038" s="86"/>
      <c r="G6038" s="87"/>
      <c r="H6038" s="214"/>
    </row>
    <row r="6039" spans="1:14">
      <c r="A6039" s="226"/>
      <c r="B6039" s="83"/>
      <c r="C6039" s="83"/>
      <c r="D6039" s="84"/>
      <c r="E6039" s="88"/>
      <c r="F6039" s="563" t="s">
        <v>4241</v>
      </c>
      <c r="G6039" s="564"/>
      <c r="H6039" s="233">
        <f>H5999+G6035+G6036+G6037</f>
        <v>42173.069199999998</v>
      </c>
    </row>
    <row r="6041" spans="1:14" ht="16.5">
      <c r="A6041" s="90"/>
      <c r="B6041" s="90"/>
      <c r="C6041" s="90"/>
      <c r="D6041" s="90"/>
      <c r="E6041" s="90"/>
      <c r="F6041" s="90"/>
      <c r="G6041" s="90"/>
      <c r="H6041" s="381"/>
    </row>
    <row r="6042" spans="1:14">
      <c r="A6042" s="579" t="s">
        <v>4225</v>
      </c>
      <c r="B6042" s="580"/>
      <c r="C6042" s="580"/>
      <c r="D6042" s="580"/>
      <c r="E6042" s="580"/>
      <c r="F6042" s="580"/>
      <c r="G6042" s="580"/>
      <c r="H6042" s="581"/>
    </row>
    <row r="6043" spans="1:14" ht="16.5">
      <c r="A6043" s="91"/>
      <c r="B6043" s="92"/>
      <c r="C6043" s="92"/>
      <c r="D6043" s="92"/>
      <c r="E6043" s="92"/>
      <c r="F6043" s="93"/>
      <c r="G6043" s="94"/>
      <c r="H6043" s="380">
        <f>ROUND((5/60)/8,4)</f>
        <v>1.04E-2</v>
      </c>
      <c r="I6043" s="115"/>
    </row>
    <row r="6044" spans="1:14">
      <c r="A6044" s="582" t="s">
        <v>4220</v>
      </c>
      <c r="B6044" s="584" t="str">
        <f>COSTOS!$C$14</f>
        <v>MODERNIZACION A TECNOLOGIA LED</v>
      </c>
      <c r="C6044" s="584"/>
      <c r="D6044" s="584"/>
      <c r="E6044" s="584"/>
      <c r="F6044" s="584"/>
      <c r="G6044" s="584"/>
      <c r="H6044" s="585" t="s">
        <v>4221</v>
      </c>
    </row>
    <row r="6045" spans="1:14">
      <c r="A6045" s="583"/>
      <c r="B6045" s="584"/>
      <c r="C6045" s="584"/>
      <c r="D6045" s="584"/>
      <c r="E6045" s="584"/>
      <c r="F6045" s="584"/>
      <c r="G6045" s="584"/>
      <c r="H6045" s="585"/>
    </row>
    <row r="6046" spans="1:14">
      <c r="A6046" s="583"/>
      <c r="B6046" s="584"/>
      <c r="C6046" s="584"/>
      <c r="D6046" s="584"/>
      <c r="E6046" s="584"/>
      <c r="F6046" s="584"/>
      <c r="G6046" s="584"/>
      <c r="H6046" s="585"/>
    </row>
    <row r="6047" spans="1:14" ht="15" customHeight="1">
      <c r="A6047" s="583"/>
      <c r="B6047" s="584"/>
      <c r="C6047" s="584"/>
      <c r="D6047" s="584"/>
      <c r="E6047" s="584"/>
      <c r="F6047" s="584"/>
      <c r="G6047" s="584"/>
      <c r="H6047" s="216">
        <f ca="1">TODAY()</f>
        <v>44889</v>
      </c>
      <c r="K6047" t="s">
        <v>4391</v>
      </c>
      <c r="L6047" t="s">
        <v>4392</v>
      </c>
      <c r="M6047" t="s">
        <v>4393</v>
      </c>
      <c r="N6047" t="s">
        <v>4394</v>
      </c>
    </row>
    <row r="6048" spans="1:14" ht="60.75" customHeight="1">
      <c r="A6048" s="228" t="s">
        <v>4222</v>
      </c>
      <c r="B6048" s="565" t="str">
        <f>COSTOS!$D$16</f>
        <v>Luminarias</v>
      </c>
      <c r="C6048" s="565"/>
      <c r="D6048" s="565"/>
      <c r="E6048" s="565"/>
      <c r="F6048" s="565"/>
      <c r="G6048" s="70" t="s">
        <v>4223</v>
      </c>
      <c r="H6048" s="387">
        <v>3.4</v>
      </c>
      <c r="K6048" s="62">
        <f>H6074</f>
        <v>8568</v>
      </c>
      <c r="L6048" s="62">
        <f>H6084</f>
        <v>3741.3375999999998</v>
      </c>
      <c r="M6048" s="62">
        <f>H6057</f>
        <v>424.346</v>
      </c>
      <c r="N6048" s="62">
        <f>H6078</f>
        <v>800</v>
      </c>
    </row>
    <row r="6049" spans="1:15" ht="43.15" customHeight="1">
      <c r="A6049" s="229" t="s">
        <v>4224</v>
      </c>
      <c r="B6049" s="566" t="str">
        <f>VLOOKUP(H6048,COSTOS!C:M,2,0)</f>
        <v>Red Aerea 2x6+6 AWG AL x 500m</v>
      </c>
      <c r="C6049" s="567"/>
      <c r="D6049" s="567"/>
      <c r="E6049" s="568"/>
      <c r="F6049" s="71" t="s">
        <v>0</v>
      </c>
      <c r="G6049" s="356" t="str">
        <f>VLOOKUP(H6048,COSTOS!C:M,8,0)</f>
        <v>Und</v>
      </c>
      <c r="H6049" s="276"/>
      <c r="I6049" s="306"/>
      <c r="J6049" s="308"/>
      <c r="K6049" s="308"/>
      <c r="L6049" s="308"/>
    </row>
    <row r="6050" spans="1:15">
      <c r="A6050" s="230"/>
      <c r="B6050" s="112"/>
      <c r="C6050" s="112"/>
      <c r="D6050" s="112"/>
      <c r="E6050" s="113"/>
      <c r="F6050" s="114" t="s">
        <v>1</v>
      </c>
      <c r="G6050" s="356">
        <f>VLOOKUP(H6048,COSTOS!C:M,9,0)</f>
        <v>0</v>
      </c>
      <c r="H6050" s="357"/>
      <c r="I6050" s="307"/>
    </row>
    <row r="6051" spans="1:15" ht="16.5">
      <c r="A6051" s="231" t="s">
        <v>4226</v>
      </c>
      <c r="B6051" s="75"/>
      <c r="C6051" s="75"/>
      <c r="D6051" s="76"/>
      <c r="E6051" s="209"/>
      <c r="F6051" s="210"/>
      <c r="G6051" s="211" t="s">
        <v>4227</v>
      </c>
      <c r="H6051" s="217">
        <f>H6057+H6074+H6078+H6084</f>
        <v>13533.6836</v>
      </c>
    </row>
    <row r="6052" spans="1:15" ht="39">
      <c r="A6052" s="569" t="s">
        <v>4224</v>
      </c>
      <c r="B6052" s="569"/>
      <c r="C6052" s="569"/>
      <c r="D6052" s="77" t="s">
        <v>0</v>
      </c>
      <c r="E6052" s="207" t="s">
        <v>4228</v>
      </c>
      <c r="F6052" s="208" t="s">
        <v>4215</v>
      </c>
      <c r="G6052" s="74" t="s">
        <v>2</v>
      </c>
      <c r="H6052" s="218" t="s">
        <v>4229</v>
      </c>
      <c r="K6052" s="309"/>
    </row>
    <row r="6053" spans="1:15">
      <c r="A6053" s="536" t="s">
        <v>3946</v>
      </c>
      <c r="B6053" s="570" t="str">
        <f>VLOOKUP(A6053,'Equip, Herr y Transp'!$B$2:$D$739,2,0)</f>
        <v>EQU</v>
      </c>
      <c r="C6053" s="570"/>
      <c r="D6053" s="95" t="str">
        <f>VLOOKUP(A6053,'Equip, Herr y Transp'!$B$2:$D$218,2,0)</f>
        <v>EQU</v>
      </c>
      <c r="E6053" s="95">
        <f>VLOOKUP(A6053,'Equip, Herr y Transp'!$B$2:$D$218,3,0)</f>
        <v>14130</v>
      </c>
      <c r="F6053" s="96">
        <f>H6043</f>
        <v>1.04E-2</v>
      </c>
      <c r="G6053" s="122">
        <f>F6053*E6053</f>
        <v>146.952</v>
      </c>
      <c r="H6053" s="118"/>
    </row>
    <row r="6054" spans="1:15">
      <c r="A6054" s="536" t="s">
        <v>3904</v>
      </c>
      <c r="B6054" s="570" t="str">
        <f>VLOOKUP(A6054,'Equip, Herr y Transp'!$B$2:$D$739,2,0)</f>
        <v>EQU</v>
      </c>
      <c r="C6054" s="570"/>
      <c r="D6054" s="95" t="str">
        <f>VLOOKUP(A6054,'Equip, Herr y Transp'!$B$2:$D$218,2,0)</f>
        <v>EQU</v>
      </c>
      <c r="E6054" s="95">
        <f>VLOOKUP(A6054,'Equip, Herr y Transp'!$B$2:$D$218,3,0)</f>
        <v>26672.5</v>
      </c>
      <c r="F6054" s="96">
        <f>H6043</f>
        <v>1.04E-2</v>
      </c>
      <c r="G6054" s="122">
        <f>F6054*E6054</f>
        <v>277.39400000000001</v>
      </c>
      <c r="H6054" s="117"/>
    </row>
    <row r="6055" spans="1:15">
      <c r="A6055" s="536" t="s">
        <v>8</v>
      </c>
      <c r="B6055" s="570">
        <f>VLOOKUP(A6055,'Equip, Herr y Transp'!$B$2:$D$739,2,0)</f>
        <v>0</v>
      </c>
      <c r="C6055" s="570"/>
      <c r="D6055" s="95">
        <f>VLOOKUP(A6055,'Equip, Herr y Transp'!$B$2:$D$218,2,0)</f>
        <v>0</v>
      </c>
      <c r="E6055" s="95">
        <f>VLOOKUP(A6055,'Equip, Herr y Transp'!$B$2:$D$218,3,0)</f>
        <v>0</v>
      </c>
      <c r="F6055" s="96">
        <f>H6043</f>
        <v>1.04E-2</v>
      </c>
      <c r="G6055" s="122">
        <f>F6055*E6055</f>
        <v>0</v>
      </c>
      <c r="H6055" s="117"/>
    </row>
    <row r="6056" spans="1:15">
      <c r="A6056" s="536" t="s">
        <v>8</v>
      </c>
      <c r="B6056" s="570">
        <f>VLOOKUP(A6056,'Equip, Herr y Transp'!$B$2:$D$739,2,0)</f>
        <v>0</v>
      </c>
      <c r="C6056" s="570"/>
      <c r="D6056" s="95">
        <f>VLOOKUP(A6056,'Equip, Herr y Transp'!$B$2:$D$218,2,0)</f>
        <v>0</v>
      </c>
      <c r="E6056" s="95">
        <f>VLOOKUP(A6056,'Equip, Herr y Transp'!$B$2:$D$218,3,0)</f>
        <v>0</v>
      </c>
      <c r="F6056" s="96">
        <f>H6043</f>
        <v>1.04E-2</v>
      </c>
      <c r="G6056" s="122">
        <f>F6056*E6056</f>
        <v>0</v>
      </c>
      <c r="H6056" s="117"/>
    </row>
    <row r="6057" spans="1:15" ht="16.5">
      <c r="A6057" s="540" t="s">
        <v>4100</v>
      </c>
      <c r="B6057" s="541"/>
      <c r="C6057" s="541"/>
      <c r="D6057" s="541"/>
      <c r="E6057" s="541"/>
      <c r="F6057" s="541"/>
      <c r="G6057" s="541"/>
      <c r="H6057" s="97">
        <f>SUM(G6053:G6056)</f>
        <v>424.346</v>
      </c>
    </row>
    <row r="6058" spans="1:15" ht="16.5">
      <c r="A6058" s="571" t="s">
        <v>4230</v>
      </c>
      <c r="B6058" s="572"/>
      <c r="C6058" s="572"/>
      <c r="D6058" s="572"/>
      <c r="E6058" s="572"/>
      <c r="F6058" s="572"/>
      <c r="G6058" s="572"/>
      <c r="H6058" s="573"/>
      <c r="K6058" s="56"/>
      <c r="L6058" s="56"/>
      <c r="M6058" s="56"/>
      <c r="N6058" s="56"/>
      <c r="O6058" s="56"/>
    </row>
    <row r="6059" spans="1:15" ht="30" customHeight="1">
      <c r="A6059" s="574" t="s">
        <v>7</v>
      </c>
      <c r="B6059" s="575"/>
      <c r="C6059" s="109" t="s">
        <v>0</v>
      </c>
      <c r="D6059" s="110" t="s">
        <v>4098</v>
      </c>
      <c r="E6059" s="111" t="s">
        <v>1</v>
      </c>
      <c r="F6059" s="576" t="s">
        <v>4218</v>
      </c>
      <c r="G6059" s="576"/>
      <c r="H6059" s="215"/>
      <c r="K6059" s="56"/>
      <c r="L6059" s="56"/>
      <c r="M6059" s="56"/>
      <c r="N6059" s="56"/>
      <c r="O6059" s="56"/>
    </row>
    <row r="6060" spans="1:15">
      <c r="A6060" s="577" t="s">
        <v>4446</v>
      </c>
      <c r="B6060" s="578"/>
      <c r="C6060" s="98" t="str">
        <f>VLOOKUP(A6060,'Materiales '!$C$2:$F$1302,3,0)</f>
        <v>Ml</v>
      </c>
      <c r="D6060" s="99">
        <f>VLOOKUP(A6060,'Materiales '!$C$2:$F$1302,4,0)</f>
        <v>2856</v>
      </c>
      <c r="E6060" s="100">
        <v>3</v>
      </c>
      <c r="F6060" s="538">
        <f>E6060*D6060</f>
        <v>8568</v>
      </c>
      <c r="G6060" s="539"/>
      <c r="H6060" s="121"/>
      <c r="I6060">
        <f>E6060*G6050</f>
        <v>0</v>
      </c>
      <c r="J6060" s="67"/>
      <c r="K6060" s="56"/>
      <c r="L6060" s="56"/>
      <c r="M6060" s="56"/>
      <c r="N6060" s="56"/>
      <c r="O6060" s="56"/>
    </row>
    <row r="6061" spans="1:15">
      <c r="A6061" s="577" t="s">
        <v>8</v>
      </c>
      <c r="B6061" s="578"/>
      <c r="C6061" s="98" t="str">
        <f>VLOOKUP(A6061,'Materiales '!$C$2:$F$1302,3,0)</f>
        <v>-</v>
      </c>
      <c r="D6061" s="99">
        <f>VLOOKUP(A6061,'Materiales '!$C$2:$F$1302,4,0)</f>
        <v>0</v>
      </c>
      <c r="E6061" s="100"/>
      <c r="F6061" s="538">
        <f t="shared" ref="F6061:F6067" si="355">E6061*D6061</f>
        <v>0</v>
      </c>
      <c r="G6061" s="539"/>
      <c r="H6061" s="121"/>
      <c r="I6061">
        <f>E6061*G6050</f>
        <v>0</v>
      </c>
      <c r="J6061" s="67"/>
      <c r="K6061" s="56"/>
      <c r="L6061" s="56"/>
      <c r="M6061" s="56"/>
      <c r="N6061" s="56"/>
      <c r="O6061" s="56"/>
    </row>
    <row r="6062" spans="1:15">
      <c r="A6062" s="536" t="s">
        <v>8</v>
      </c>
      <c r="B6062" s="537" t="str">
        <f>VLOOKUP(A6062,'Materiales '!$C$2:$F$1302,3,0)</f>
        <v>-</v>
      </c>
      <c r="C6062" s="98" t="str">
        <f>VLOOKUP(A6062,'Materiales '!$C$2:$F$1302,3,0)</f>
        <v>-</v>
      </c>
      <c r="D6062" s="99">
        <f>VLOOKUP(A6062,'Materiales '!$C$2:$F$1302,4,0)</f>
        <v>0</v>
      </c>
      <c r="E6062" s="100"/>
      <c r="F6062" s="538">
        <f t="shared" si="355"/>
        <v>0</v>
      </c>
      <c r="G6062" s="539"/>
      <c r="H6062" s="121"/>
      <c r="I6062">
        <f>E6062*G6050</f>
        <v>0</v>
      </c>
      <c r="J6062" s="68"/>
      <c r="K6062" s="56"/>
      <c r="L6062" s="56"/>
      <c r="M6062" s="56"/>
      <c r="N6062" s="56"/>
      <c r="O6062" s="56"/>
    </row>
    <row r="6063" spans="1:15">
      <c r="A6063" s="536" t="s">
        <v>8</v>
      </c>
      <c r="B6063" s="537" t="str">
        <f>VLOOKUP(A6063,'Materiales '!$C$2:$F$1302,3,0)</f>
        <v>-</v>
      </c>
      <c r="C6063" s="98" t="str">
        <f>VLOOKUP(A6063,'Materiales '!$C$2:$F$1302,3,0)</f>
        <v>-</v>
      </c>
      <c r="D6063" s="99">
        <f>VLOOKUP(A6063,'Materiales '!$C$2:$F$1302,4,0)</f>
        <v>0</v>
      </c>
      <c r="E6063" s="100"/>
      <c r="F6063" s="538">
        <f t="shared" si="355"/>
        <v>0</v>
      </c>
      <c r="G6063" s="539"/>
      <c r="H6063" s="121"/>
      <c r="I6063">
        <f>E6063*G6050</f>
        <v>0</v>
      </c>
      <c r="J6063" s="68"/>
      <c r="K6063" s="56"/>
      <c r="L6063" s="56"/>
      <c r="M6063" s="56"/>
      <c r="N6063" s="56"/>
      <c r="O6063" s="56"/>
    </row>
    <row r="6064" spans="1:15">
      <c r="A6064" s="536" t="s">
        <v>8</v>
      </c>
      <c r="B6064" s="537" t="str">
        <f>VLOOKUP(A6064,'Materiales '!$C$2:$F$1302,3,0)</f>
        <v>-</v>
      </c>
      <c r="C6064" s="98" t="str">
        <f>VLOOKUP(A6064,'Materiales '!$C$2:$F$1302,3,0)</f>
        <v>-</v>
      </c>
      <c r="D6064" s="99">
        <f>VLOOKUP(A6064,'Materiales '!$C$2:$F$1302,4,0)</f>
        <v>0</v>
      </c>
      <c r="E6064" s="100"/>
      <c r="F6064" s="538">
        <f t="shared" si="355"/>
        <v>0</v>
      </c>
      <c r="G6064" s="539"/>
      <c r="H6064" s="121"/>
      <c r="I6064">
        <f>E6064*G6050</f>
        <v>0</v>
      </c>
      <c r="J6064" s="68"/>
      <c r="K6064" s="56"/>
      <c r="L6064" s="56"/>
      <c r="M6064" s="56"/>
      <c r="N6064" s="56"/>
      <c r="O6064" s="56"/>
    </row>
    <row r="6065" spans="1:15">
      <c r="A6065" s="536" t="s">
        <v>8</v>
      </c>
      <c r="B6065" s="537" t="str">
        <f>VLOOKUP(A6065,'Materiales '!$C$2:$F$1302,3,0)</f>
        <v>-</v>
      </c>
      <c r="C6065" s="98" t="str">
        <f>VLOOKUP(A6065,'Materiales '!$C$2:$F$1302,3,0)</f>
        <v>-</v>
      </c>
      <c r="D6065" s="99">
        <f>VLOOKUP(A6065,'Materiales '!$C$2:$F$1302,4,0)</f>
        <v>0</v>
      </c>
      <c r="E6065" s="100"/>
      <c r="F6065" s="538">
        <f t="shared" si="355"/>
        <v>0</v>
      </c>
      <c r="G6065" s="539"/>
      <c r="H6065" s="121"/>
      <c r="I6065">
        <f>E6065*G6050</f>
        <v>0</v>
      </c>
      <c r="J6065" s="68"/>
      <c r="K6065" s="56"/>
      <c r="L6065" s="56"/>
      <c r="M6065" s="56"/>
      <c r="N6065" s="56"/>
      <c r="O6065" s="56"/>
    </row>
    <row r="6066" spans="1:15">
      <c r="A6066" s="536" t="s">
        <v>8</v>
      </c>
      <c r="B6066" s="537" t="str">
        <f>VLOOKUP(A6066,'Materiales '!$C$2:$F$1302,3,0)</f>
        <v>-</v>
      </c>
      <c r="C6066" s="98" t="str">
        <f>VLOOKUP(A6066,'Materiales '!$C$2:$F$1302,3,0)</f>
        <v>-</v>
      </c>
      <c r="D6066" s="99">
        <f>VLOOKUP(A6066,'Materiales '!$C$2:$F$1302,4,0)</f>
        <v>0</v>
      </c>
      <c r="E6066" s="100"/>
      <c r="F6066" s="538">
        <f t="shared" si="355"/>
        <v>0</v>
      </c>
      <c r="G6066" s="539"/>
      <c r="H6066" s="121"/>
      <c r="I6066">
        <f>E6066*G6050</f>
        <v>0</v>
      </c>
      <c r="J6066" s="68"/>
      <c r="K6066" s="56"/>
      <c r="L6066" s="56"/>
      <c r="M6066" s="56"/>
      <c r="N6066" s="56"/>
      <c r="O6066" s="56"/>
    </row>
    <row r="6067" spans="1:15" ht="21.75" customHeight="1">
      <c r="A6067" s="536" t="s">
        <v>8</v>
      </c>
      <c r="B6067" s="537" t="str">
        <f>VLOOKUP(A6067,'Materiales '!$C$2:$F$1302,3,0)</f>
        <v>-</v>
      </c>
      <c r="C6067" s="98" t="str">
        <f>VLOOKUP(A6067,'Materiales '!$C$2:$F$1302,3,0)</f>
        <v>-</v>
      </c>
      <c r="D6067" s="99">
        <f>VLOOKUP(A6067,'Materiales '!$C$2:$F$1302,4,0)</f>
        <v>0</v>
      </c>
      <c r="E6067" s="100"/>
      <c r="F6067" s="538">
        <f t="shared" si="355"/>
        <v>0</v>
      </c>
      <c r="G6067" s="539"/>
      <c r="H6067" s="121"/>
      <c r="I6067">
        <f>E6067*G6050</f>
        <v>0</v>
      </c>
      <c r="J6067" s="68"/>
      <c r="K6067" s="56"/>
      <c r="L6067" s="56"/>
      <c r="M6067" s="56"/>
      <c r="N6067" s="56"/>
      <c r="O6067" s="56"/>
    </row>
    <row r="6068" spans="1:15">
      <c r="A6068" s="536" t="s">
        <v>8</v>
      </c>
      <c r="B6068" s="537" t="str">
        <f>VLOOKUP(A6068,'Materiales '!$C$2:$F$1302,3,0)</f>
        <v>-</v>
      </c>
      <c r="C6068" s="98" t="str">
        <f>VLOOKUP(A6068,'Materiales '!$C$2:$F$1302,3,0)</f>
        <v>-</v>
      </c>
      <c r="D6068" s="99">
        <f>VLOOKUP(A6068,'Materiales '!$C$2:$F$1302,4,0)</f>
        <v>0</v>
      </c>
      <c r="E6068" s="100"/>
      <c r="F6068" s="538">
        <f>E6068*D6068</f>
        <v>0</v>
      </c>
      <c r="G6068" s="539"/>
      <c r="H6068" s="120"/>
      <c r="I6068">
        <f>E6068*G6050</f>
        <v>0</v>
      </c>
      <c r="J6068" s="68"/>
      <c r="K6068" s="56"/>
      <c r="L6068" s="56"/>
      <c r="M6068" s="56"/>
      <c r="N6068" s="56"/>
      <c r="O6068" s="56"/>
    </row>
    <row r="6069" spans="1:15">
      <c r="A6069" s="536" t="s">
        <v>8</v>
      </c>
      <c r="B6069" s="537" t="str">
        <f>VLOOKUP(A6069,'Materiales '!$C$2:$F$1302,3,0)</f>
        <v>-</v>
      </c>
      <c r="C6069" s="98" t="str">
        <f>VLOOKUP(A6069,'Materiales '!$C$2:$F$1302,3,0)</f>
        <v>-</v>
      </c>
      <c r="D6069" s="99">
        <f>VLOOKUP(A6069,'Materiales '!$C$2:$F$1302,4,0)</f>
        <v>0</v>
      </c>
      <c r="E6069" s="100"/>
      <c r="F6069" s="538">
        <f t="shared" ref="F6069:F6072" si="356">E6069*D6069</f>
        <v>0</v>
      </c>
      <c r="G6069" s="539"/>
      <c r="H6069" s="121"/>
      <c r="I6069">
        <f>E6069*G6050</f>
        <v>0</v>
      </c>
      <c r="J6069" s="68"/>
      <c r="K6069" s="56"/>
      <c r="L6069" s="56"/>
      <c r="M6069" s="56"/>
      <c r="N6069" s="56"/>
      <c r="O6069" s="56"/>
    </row>
    <row r="6070" spans="1:15">
      <c r="A6070" s="536" t="s">
        <v>8</v>
      </c>
      <c r="B6070" s="537" t="str">
        <f>VLOOKUP(A6070,'Materiales '!$C$2:$F$1302,3,0)</f>
        <v>-</v>
      </c>
      <c r="C6070" s="98" t="str">
        <f>VLOOKUP(A6070,'Materiales '!$C$2:$F$1302,3,0)</f>
        <v>-</v>
      </c>
      <c r="D6070" s="99">
        <f>VLOOKUP(A6070,'Materiales '!$C$2:$F$1302,4,0)</f>
        <v>0</v>
      </c>
      <c r="E6070" s="100"/>
      <c r="F6070" s="538">
        <f t="shared" si="356"/>
        <v>0</v>
      </c>
      <c r="G6070" s="539"/>
      <c r="H6070" s="121"/>
      <c r="I6070">
        <f>E6070*G6050</f>
        <v>0</v>
      </c>
      <c r="J6070" s="68"/>
      <c r="K6070" s="56"/>
      <c r="L6070" s="56"/>
      <c r="M6070" s="56"/>
      <c r="N6070" s="56"/>
      <c r="O6070" s="56"/>
    </row>
    <row r="6071" spans="1:15">
      <c r="A6071" s="536" t="s">
        <v>8</v>
      </c>
      <c r="B6071" s="537" t="str">
        <f>VLOOKUP(A6071,'Materiales '!$C$2:$F$1302,3,0)</f>
        <v>-</v>
      </c>
      <c r="C6071" s="98" t="str">
        <f>VLOOKUP(A6071,'Materiales '!$C$2:$F$1302,3,0)</f>
        <v>-</v>
      </c>
      <c r="D6071" s="99">
        <f>VLOOKUP(A6071,'Materiales '!$C$2:$F$1302,4,0)</f>
        <v>0</v>
      </c>
      <c r="E6071" s="100"/>
      <c r="F6071" s="538">
        <f t="shared" si="356"/>
        <v>0</v>
      </c>
      <c r="G6071" s="539"/>
      <c r="H6071" s="121"/>
      <c r="I6071">
        <f>E6071*G6050</f>
        <v>0</v>
      </c>
      <c r="J6071" s="68"/>
      <c r="K6071" s="56"/>
      <c r="L6071" s="56"/>
      <c r="M6071" s="56"/>
      <c r="N6071" s="56"/>
      <c r="O6071" s="56"/>
    </row>
    <row r="6072" spans="1:15">
      <c r="A6072" s="536" t="s">
        <v>8</v>
      </c>
      <c r="B6072" s="537" t="str">
        <f>VLOOKUP(A6072,'Materiales '!$C$2:$F$1302,3,0)</f>
        <v>-</v>
      </c>
      <c r="C6072" s="98" t="str">
        <f>VLOOKUP(A6072,'Materiales '!$C$2:$F$1302,3,0)</f>
        <v>-</v>
      </c>
      <c r="D6072" s="99">
        <f>VLOOKUP(A6072,'Materiales '!$C$2:$F$1302,4,0)</f>
        <v>0</v>
      </c>
      <c r="E6072" s="100"/>
      <c r="F6072" s="538">
        <f t="shared" si="356"/>
        <v>0</v>
      </c>
      <c r="G6072" s="539"/>
      <c r="H6072" s="121"/>
      <c r="I6072">
        <f>E6072*G6050</f>
        <v>0</v>
      </c>
      <c r="J6072" s="68"/>
      <c r="K6072" s="56"/>
      <c r="L6072" s="56"/>
      <c r="M6072" s="56"/>
      <c r="N6072" s="56"/>
      <c r="O6072" s="56"/>
    </row>
    <row r="6073" spans="1:15">
      <c r="A6073" s="536" t="s">
        <v>8</v>
      </c>
      <c r="B6073" s="537" t="str">
        <f>VLOOKUP(A6073,'Materiales '!$C$2:$F$1302,3,0)</f>
        <v>-</v>
      </c>
      <c r="C6073" s="98" t="str">
        <f>VLOOKUP(A6073,'Materiales '!$C$2:$F$1302,3,0)</f>
        <v>-</v>
      </c>
      <c r="D6073" s="99">
        <f>VLOOKUP(A6073,'Materiales '!$C$2:$F$1302,4,0)</f>
        <v>0</v>
      </c>
      <c r="E6073" s="100"/>
      <c r="F6073" s="538">
        <f>E6073*D6073</f>
        <v>0</v>
      </c>
      <c r="G6073" s="539"/>
      <c r="H6073" s="120"/>
      <c r="I6073">
        <f>E6073*G6050</f>
        <v>0</v>
      </c>
      <c r="J6073" s="68"/>
      <c r="K6073" s="56"/>
      <c r="L6073" s="56"/>
      <c r="M6073" s="56"/>
      <c r="N6073" s="56"/>
      <c r="O6073" s="56"/>
    </row>
    <row r="6074" spans="1:15" ht="16.5">
      <c r="A6074" s="540" t="s">
        <v>4099</v>
      </c>
      <c r="B6074" s="541"/>
      <c r="C6074" s="541"/>
      <c r="D6074" s="541"/>
      <c r="E6074" s="541"/>
      <c r="F6074" s="541"/>
      <c r="G6074" s="542"/>
      <c r="H6074" s="116">
        <f>SUM(F6060:F6073)</f>
        <v>8568</v>
      </c>
      <c r="J6074" s="68"/>
      <c r="K6074" s="56"/>
      <c r="L6074" s="56"/>
      <c r="M6074" s="56"/>
      <c r="N6074" s="56"/>
      <c r="O6074" s="56"/>
    </row>
    <row r="6075" spans="1:15" ht="16.5">
      <c r="A6075" s="543" t="s">
        <v>4231</v>
      </c>
      <c r="B6075" s="544"/>
      <c r="C6075" s="544"/>
      <c r="D6075" s="544"/>
      <c r="E6075" s="545"/>
      <c r="F6075" s="544"/>
      <c r="G6075" s="544"/>
      <c r="H6075" s="546"/>
      <c r="J6075" s="68"/>
      <c r="K6075" s="56"/>
      <c r="L6075" s="56"/>
      <c r="M6075" s="56"/>
      <c r="N6075" s="56"/>
      <c r="O6075" s="56"/>
    </row>
    <row r="6076" spans="1:15">
      <c r="A6076" s="547" t="s">
        <v>7</v>
      </c>
      <c r="B6076" s="548"/>
      <c r="C6076" s="108" t="s">
        <v>4232</v>
      </c>
      <c r="D6076" s="107" t="s">
        <v>4233</v>
      </c>
      <c r="E6076" s="206" t="s">
        <v>4234</v>
      </c>
      <c r="F6076" s="549" t="s">
        <v>4218</v>
      </c>
      <c r="G6076" s="549"/>
      <c r="H6076" s="119"/>
      <c r="K6076" s="56"/>
      <c r="L6076" s="56"/>
      <c r="M6076" s="56"/>
      <c r="N6076" s="56"/>
      <c r="O6076" s="56"/>
    </row>
    <row r="6077" spans="1:15">
      <c r="A6077" s="550" t="s">
        <v>3928</v>
      </c>
      <c r="B6077" s="551"/>
      <c r="C6077" s="232">
        <v>1</v>
      </c>
      <c r="D6077" s="102">
        <v>5.0000000000000001E-3</v>
      </c>
      <c r="E6077" s="103">
        <f>VLOOKUP(A6077,'Equip, Herr y Transp'!$B$2:$D$218,3,0)</f>
        <v>160000</v>
      </c>
      <c r="F6077" s="552">
        <f>E6077*D6077*C6077</f>
        <v>800</v>
      </c>
      <c r="G6077" s="553"/>
      <c r="H6077" s="117"/>
      <c r="M6077" s="56"/>
    </row>
    <row r="6078" spans="1:15" ht="16.5">
      <c r="A6078" s="554" t="s">
        <v>4216</v>
      </c>
      <c r="B6078" s="555"/>
      <c r="C6078" s="555"/>
      <c r="D6078" s="555"/>
      <c r="E6078" s="555"/>
      <c r="F6078" s="555"/>
      <c r="G6078" s="555"/>
      <c r="H6078" s="105">
        <f>F6077</f>
        <v>800</v>
      </c>
    </row>
    <row r="6079" spans="1:15" ht="16.5">
      <c r="A6079" s="543" t="s">
        <v>4235</v>
      </c>
      <c r="B6079" s="544"/>
      <c r="C6079" s="544"/>
      <c r="D6079" s="544"/>
      <c r="E6079" s="544"/>
      <c r="F6079" s="544"/>
      <c r="G6079" s="544"/>
      <c r="H6079" s="546"/>
    </row>
    <row r="6080" spans="1:15">
      <c r="A6080" s="547" t="s">
        <v>7</v>
      </c>
      <c r="B6080" s="548"/>
      <c r="C6080" s="106" t="s">
        <v>1</v>
      </c>
      <c r="D6080" s="107" t="s">
        <v>4236</v>
      </c>
      <c r="E6080" s="108" t="s">
        <v>4215</v>
      </c>
      <c r="F6080" s="547" t="s">
        <v>5</v>
      </c>
      <c r="G6080" s="556"/>
      <c r="H6080" s="119"/>
    </row>
    <row r="6081" spans="1:10">
      <c r="A6081" s="550" t="s">
        <v>4196</v>
      </c>
      <c r="B6081" s="551"/>
      <c r="C6081" s="101">
        <v>1</v>
      </c>
      <c r="D6081" s="104">
        <f>VLOOKUP(A6081,'Mano Obra'!$B$2:$T$117,19,0)</f>
        <v>166624</v>
      </c>
      <c r="E6081" s="246">
        <f>H6043</f>
        <v>1.04E-2</v>
      </c>
      <c r="F6081" s="538">
        <f>E6081*D6081*C6081</f>
        <v>1732.8896</v>
      </c>
      <c r="G6081" s="557"/>
      <c r="H6081" s="121"/>
      <c r="I6081" s="69"/>
      <c r="J6081" s="136">
        <f>((('Mano Obra'!$M$4/30)*F6081)/D6081)*G6050</f>
        <v>0</v>
      </c>
    </row>
    <row r="6082" spans="1:10">
      <c r="A6082" s="558" t="s">
        <v>4197</v>
      </c>
      <c r="B6082" s="559">
        <f>VLOOKUP(A6082,'Mano Obra'!$B$3:$D$290,2,0)</f>
        <v>2090000.0000000002</v>
      </c>
      <c r="C6082" s="101">
        <v>1</v>
      </c>
      <c r="D6082" s="104">
        <f>VLOOKUP(A6082,'Mano Obra'!$B$2:$T$117,19,0)</f>
        <v>120456</v>
      </c>
      <c r="E6082" s="246">
        <f>H6043</f>
        <v>1.04E-2</v>
      </c>
      <c r="F6082" s="538">
        <f t="shared" ref="F6082:F6083" si="357">E6082*D6082*C6082</f>
        <v>1252.7423999999999</v>
      </c>
      <c r="G6082" s="557"/>
      <c r="H6082" s="121"/>
      <c r="J6082" s="136">
        <f>((('Mano Obra'!$M$5/30)*F6082)/D6082)*G6050</f>
        <v>0</v>
      </c>
    </row>
    <row r="6083" spans="1:10">
      <c r="A6083" s="558" t="s">
        <v>4186</v>
      </c>
      <c r="B6083" s="559">
        <f>VLOOKUP(A6083,'Mano Obra'!$B$3:$D$290,2,0)</f>
        <v>1100000</v>
      </c>
      <c r="C6083" s="101">
        <v>1</v>
      </c>
      <c r="D6083" s="104">
        <f>VLOOKUP(A6083,'Mano Obra'!$B$2:$T$117,19,0)</f>
        <v>72664</v>
      </c>
      <c r="E6083" s="246">
        <f>H6043</f>
        <v>1.04E-2</v>
      </c>
      <c r="F6083" s="538">
        <f t="shared" si="357"/>
        <v>755.7056</v>
      </c>
      <c r="G6083" s="557"/>
      <c r="H6083" s="120"/>
      <c r="J6083" s="136">
        <f>((('Mano Obra'!$M$6/30)*F6083)/D6083)*G6050</f>
        <v>0</v>
      </c>
    </row>
    <row r="6084" spans="1:10" ht="16.5">
      <c r="A6084" s="560" t="s">
        <v>4101</v>
      </c>
      <c r="B6084" s="560"/>
      <c r="C6084" s="560"/>
      <c r="D6084" s="560"/>
      <c r="E6084" s="560"/>
      <c r="F6084" s="560"/>
      <c r="G6084" s="560"/>
      <c r="H6084" s="105">
        <f>SUM(F6081:F6083)</f>
        <v>3741.3375999999998</v>
      </c>
      <c r="J6084" s="136"/>
    </row>
    <row r="6085" spans="1:10">
      <c r="A6085" s="227" t="s">
        <v>4237</v>
      </c>
      <c r="B6085" s="205"/>
      <c r="C6085" s="205"/>
      <c r="D6085" s="202"/>
      <c r="E6085" s="203"/>
      <c r="F6085" s="204"/>
      <c r="G6085" s="203"/>
      <c r="H6085" s="212"/>
    </row>
    <row r="6086" spans="1:10">
      <c r="A6086" s="561" t="s">
        <v>4224</v>
      </c>
      <c r="B6086" s="562"/>
      <c r="C6086" s="562"/>
      <c r="D6086" s="562"/>
      <c r="E6086" s="200"/>
      <c r="F6086" s="201" t="s">
        <v>4238</v>
      </c>
      <c r="G6086" s="200" t="s">
        <v>4239</v>
      </c>
      <c r="H6086" s="213"/>
    </row>
    <row r="6087" spans="1:10">
      <c r="A6087" s="223" t="s">
        <v>4097</v>
      </c>
      <c r="B6087" s="72"/>
      <c r="C6087" s="72"/>
      <c r="D6087" s="73"/>
      <c r="E6087" s="78"/>
      <c r="F6087" s="79">
        <v>0</v>
      </c>
      <c r="G6087" s="80">
        <f>F6087*H6051</f>
        <v>0</v>
      </c>
      <c r="H6087" s="212"/>
    </row>
    <row r="6088" spans="1:10">
      <c r="A6088" s="224" t="s">
        <v>4240</v>
      </c>
      <c r="B6088" s="81"/>
      <c r="C6088" s="81"/>
      <c r="D6088" s="82"/>
      <c r="E6088" s="78"/>
      <c r="F6088" s="79">
        <v>0</v>
      </c>
      <c r="G6088" s="80">
        <f>F6088*H6051</f>
        <v>0</v>
      </c>
      <c r="H6088" s="212"/>
    </row>
    <row r="6089" spans="1:10">
      <c r="A6089" s="224" t="s">
        <v>4</v>
      </c>
      <c r="B6089" s="81"/>
      <c r="C6089" s="81"/>
      <c r="D6089" s="82"/>
      <c r="E6089" s="78"/>
      <c r="F6089" s="79">
        <v>0</v>
      </c>
      <c r="G6089" s="80">
        <f>F6089*H6051</f>
        <v>0</v>
      </c>
      <c r="H6089" s="212"/>
    </row>
    <row r="6090" spans="1:10">
      <c r="A6090" s="225"/>
      <c r="B6090" s="83"/>
      <c r="C6090" s="75"/>
      <c r="D6090" s="84"/>
      <c r="E6090" s="85"/>
      <c r="F6090" s="86"/>
      <c r="G6090" s="87"/>
      <c r="H6090" s="214"/>
    </row>
    <row r="6091" spans="1:10">
      <c r="A6091" s="226"/>
      <c r="B6091" s="83"/>
      <c r="C6091" s="83"/>
      <c r="D6091" s="84"/>
      <c r="E6091" s="88"/>
      <c r="F6091" s="563" t="s">
        <v>4241</v>
      </c>
      <c r="G6091" s="564"/>
      <c r="H6091" s="233">
        <f>H6051+G6087+G6088+G6089</f>
        <v>13533.6836</v>
      </c>
    </row>
    <row r="6093" spans="1:10" ht="16.5">
      <c r="A6093" s="90"/>
      <c r="B6093" s="90"/>
      <c r="C6093" s="90"/>
      <c r="D6093" s="90"/>
      <c r="E6093" s="90"/>
      <c r="F6093" s="90"/>
      <c r="G6093" s="90"/>
      <c r="H6093" s="381"/>
    </row>
    <row r="6094" spans="1:10">
      <c r="A6094" s="579" t="s">
        <v>4225</v>
      </c>
      <c r="B6094" s="580"/>
      <c r="C6094" s="580"/>
      <c r="D6094" s="580"/>
      <c r="E6094" s="580"/>
      <c r="F6094" s="580"/>
      <c r="G6094" s="580"/>
      <c r="H6094" s="581"/>
    </row>
    <row r="6095" spans="1:10" ht="16.5">
      <c r="A6095" s="91"/>
      <c r="B6095" s="92"/>
      <c r="C6095" s="92"/>
      <c r="D6095" s="92"/>
      <c r="E6095" s="92"/>
      <c r="F6095" s="93"/>
      <c r="G6095" s="94"/>
      <c r="H6095" s="380">
        <f>ROUND((5/60)/8,4)</f>
        <v>1.04E-2</v>
      </c>
      <c r="I6095" s="115"/>
    </row>
    <row r="6096" spans="1:10">
      <c r="A6096" s="582" t="s">
        <v>4220</v>
      </c>
      <c r="B6096" s="584" t="str">
        <f>COSTOS!$C$14</f>
        <v>MODERNIZACION A TECNOLOGIA LED</v>
      </c>
      <c r="C6096" s="584"/>
      <c r="D6096" s="584"/>
      <c r="E6096" s="584"/>
      <c r="F6096" s="584"/>
      <c r="G6096" s="584"/>
      <c r="H6096" s="585" t="s">
        <v>4221</v>
      </c>
    </row>
    <row r="6097" spans="1:15">
      <c r="A6097" s="583"/>
      <c r="B6097" s="584"/>
      <c r="C6097" s="584"/>
      <c r="D6097" s="584"/>
      <c r="E6097" s="584"/>
      <c r="F6097" s="584"/>
      <c r="G6097" s="584"/>
      <c r="H6097" s="585"/>
    </row>
    <row r="6098" spans="1:15">
      <c r="A6098" s="583"/>
      <c r="B6098" s="584"/>
      <c r="C6098" s="584"/>
      <c r="D6098" s="584"/>
      <c r="E6098" s="584"/>
      <c r="F6098" s="584"/>
      <c r="G6098" s="584"/>
      <c r="H6098" s="585"/>
    </row>
    <row r="6099" spans="1:15" ht="15" customHeight="1">
      <c r="A6099" s="583"/>
      <c r="B6099" s="584"/>
      <c r="C6099" s="584"/>
      <c r="D6099" s="584"/>
      <c r="E6099" s="584"/>
      <c r="F6099" s="584"/>
      <c r="G6099" s="584"/>
      <c r="H6099" s="216">
        <f ca="1">TODAY()</f>
        <v>44889</v>
      </c>
      <c r="K6099" t="s">
        <v>4391</v>
      </c>
      <c r="L6099" t="s">
        <v>4392</v>
      </c>
      <c r="M6099" t="s">
        <v>4393</v>
      </c>
      <c r="N6099" t="s">
        <v>4394</v>
      </c>
    </row>
    <row r="6100" spans="1:15" ht="60.75" customHeight="1">
      <c r="A6100" s="228" t="s">
        <v>4222</v>
      </c>
      <c r="B6100" s="565" t="str">
        <f>COSTOS!$D$16</f>
        <v>Luminarias</v>
      </c>
      <c r="C6100" s="565"/>
      <c r="D6100" s="565"/>
      <c r="E6100" s="565"/>
      <c r="F6100" s="565"/>
      <c r="G6100" s="70" t="s">
        <v>4223</v>
      </c>
      <c r="H6100" s="387">
        <v>3.5</v>
      </c>
      <c r="K6100" s="62">
        <f>H6126</f>
        <v>12216.539999999999</v>
      </c>
      <c r="L6100" s="62">
        <f>H6136</f>
        <v>3741.3375999999998</v>
      </c>
      <c r="M6100" s="62">
        <f>H6109</f>
        <v>424.346</v>
      </c>
      <c r="N6100" s="62">
        <f>H6130</f>
        <v>800</v>
      </c>
    </row>
    <row r="6101" spans="1:15" ht="43.15" customHeight="1">
      <c r="A6101" s="229" t="s">
        <v>4224</v>
      </c>
      <c r="B6101" s="566" t="str">
        <f>VLOOKUP(H6100,COSTOS!C:M,2,0)</f>
        <v>Red Aerea 2x2+2 AWG AL x 500m</v>
      </c>
      <c r="C6101" s="567"/>
      <c r="D6101" s="567"/>
      <c r="E6101" s="568"/>
      <c r="F6101" s="71" t="s">
        <v>0</v>
      </c>
      <c r="G6101" s="356" t="str">
        <f>VLOOKUP(H6100,COSTOS!C:M,8,0)</f>
        <v>Und</v>
      </c>
      <c r="H6101" s="276"/>
      <c r="I6101" s="306"/>
      <c r="J6101" s="308"/>
      <c r="K6101" s="308"/>
      <c r="L6101" s="308"/>
    </row>
    <row r="6102" spans="1:15">
      <c r="A6102" s="230"/>
      <c r="B6102" s="112"/>
      <c r="C6102" s="112"/>
      <c r="D6102" s="112"/>
      <c r="E6102" s="113"/>
      <c r="F6102" s="114" t="s">
        <v>1</v>
      </c>
      <c r="G6102" s="356">
        <f>VLOOKUP(H6100,COSTOS!C:M,9,0)</f>
        <v>1</v>
      </c>
      <c r="H6102" s="357"/>
      <c r="I6102" s="307"/>
    </row>
    <row r="6103" spans="1:15" ht="16.5">
      <c r="A6103" s="231" t="s">
        <v>4226</v>
      </c>
      <c r="B6103" s="75"/>
      <c r="C6103" s="75"/>
      <c r="D6103" s="76"/>
      <c r="E6103" s="209"/>
      <c r="F6103" s="210"/>
      <c r="G6103" s="211" t="s">
        <v>4227</v>
      </c>
      <c r="H6103" s="217">
        <f>H6109+H6126+H6130+H6136</f>
        <v>17182.223599999998</v>
      </c>
    </row>
    <row r="6104" spans="1:15" ht="39">
      <c r="A6104" s="569" t="s">
        <v>4224</v>
      </c>
      <c r="B6104" s="569"/>
      <c r="C6104" s="569"/>
      <c r="D6104" s="77" t="s">
        <v>0</v>
      </c>
      <c r="E6104" s="207" t="s">
        <v>4228</v>
      </c>
      <c r="F6104" s="208" t="s">
        <v>4215</v>
      </c>
      <c r="G6104" s="74" t="s">
        <v>2</v>
      </c>
      <c r="H6104" s="218" t="s">
        <v>4229</v>
      </c>
      <c r="K6104" s="309"/>
    </row>
    <row r="6105" spans="1:15">
      <c r="A6105" s="536" t="s">
        <v>3946</v>
      </c>
      <c r="B6105" s="570" t="str">
        <f>VLOOKUP(A6105,'Equip, Herr y Transp'!$B$2:$D$739,2,0)</f>
        <v>EQU</v>
      </c>
      <c r="C6105" s="570"/>
      <c r="D6105" s="95" t="str">
        <f>VLOOKUP(A6105,'Equip, Herr y Transp'!$B$2:$D$218,2,0)</f>
        <v>EQU</v>
      </c>
      <c r="E6105" s="95">
        <f>VLOOKUP(A6105,'Equip, Herr y Transp'!$B$2:$D$218,3,0)</f>
        <v>14130</v>
      </c>
      <c r="F6105" s="96">
        <f>H6095</f>
        <v>1.04E-2</v>
      </c>
      <c r="G6105" s="122">
        <f>F6105*E6105</f>
        <v>146.952</v>
      </c>
      <c r="H6105" s="118"/>
    </row>
    <row r="6106" spans="1:15">
      <c r="A6106" s="536" t="s">
        <v>3904</v>
      </c>
      <c r="B6106" s="570" t="str">
        <f>VLOOKUP(A6106,'Equip, Herr y Transp'!$B$2:$D$739,2,0)</f>
        <v>EQU</v>
      </c>
      <c r="C6106" s="570"/>
      <c r="D6106" s="95" t="str">
        <f>VLOOKUP(A6106,'Equip, Herr y Transp'!$B$2:$D$218,2,0)</f>
        <v>EQU</v>
      </c>
      <c r="E6106" s="95">
        <f>VLOOKUP(A6106,'Equip, Herr y Transp'!$B$2:$D$218,3,0)</f>
        <v>26672.5</v>
      </c>
      <c r="F6106" s="96">
        <f>H6095</f>
        <v>1.04E-2</v>
      </c>
      <c r="G6106" s="122">
        <f>F6106*E6106</f>
        <v>277.39400000000001</v>
      </c>
      <c r="H6106" s="117"/>
    </row>
    <row r="6107" spans="1:15">
      <c r="A6107" s="536" t="s">
        <v>8</v>
      </c>
      <c r="B6107" s="570">
        <f>VLOOKUP(A6107,'Equip, Herr y Transp'!$B$2:$D$739,2,0)</f>
        <v>0</v>
      </c>
      <c r="C6107" s="570"/>
      <c r="D6107" s="95">
        <f>VLOOKUP(A6107,'Equip, Herr y Transp'!$B$2:$D$218,2,0)</f>
        <v>0</v>
      </c>
      <c r="E6107" s="95">
        <f>VLOOKUP(A6107,'Equip, Herr y Transp'!$B$2:$D$218,3,0)</f>
        <v>0</v>
      </c>
      <c r="F6107" s="96">
        <f>H6095</f>
        <v>1.04E-2</v>
      </c>
      <c r="G6107" s="122">
        <f>F6107*E6107</f>
        <v>0</v>
      </c>
      <c r="H6107" s="117"/>
    </row>
    <row r="6108" spans="1:15">
      <c r="A6108" s="536" t="s">
        <v>8</v>
      </c>
      <c r="B6108" s="570">
        <f>VLOOKUP(A6108,'Equip, Herr y Transp'!$B$2:$D$739,2,0)</f>
        <v>0</v>
      </c>
      <c r="C6108" s="570"/>
      <c r="D6108" s="95">
        <f>VLOOKUP(A6108,'Equip, Herr y Transp'!$B$2:$D$218,2,0)</f>
        <v>0</v>
      </c>
      <c r="E6108" s="95">
        <f>VLOOKUP(A6108,'Equip, Herr y Transp'!$B$2:$D$218,3,0)</f>
        <v>0</v>
      </c>
      <c r="F6108" s="96">
        <f>H6095</f>
        <v>1.04E-2</v>
      </c>
      <c r="G6108" s="122">
        <f>F6108*E6108</f>
        <v>0</v>
      </c>
      <c r="H6108" s="117"/>
    </row>
    <row r="6109" spans="1:15" ht="16.5">
      <c r="A6109" s="540" t="s">
        <v>4100</v>
      </c>
      <c r="B6109" s="541"/>
      <c r="C6109" s="541"/>
      <c r="D6109" s="541"/>
      <c r="E6109" s="541"/>
      <c r="F6109" s="541"/>
      <c r="G6109" s="541"/>
      <c r="H6109" s="97">
        <f>SUM(G6105:G6108)</f>
        <v>424.346</v>
      </c>
    </row>
    <row r="6110" spans="1:15" ht="16.5">
      <c r="A6110" s="571" t="s">
        <v>4230</v>
      </c>
      <c r="B6110" s="572"/>
      <c r="C6110" s="572"/>
      <c r="D6110" s="572"/>
      <c r="E6110" s="572"/>
      <c r="F6110" s="572"/>
      <c r="G6110" s="572"/>
      <c r="H6110" s="573"/>
      <c r="K6110" s="56"/>
      <c r="L6110" s="56"/>
      <c r="M6110" s="56"/>
      <c r="N6110" s="56"/>
      <c r="O6110" s="56"/>
    </row>
    <row r="6111" spans="1:15" ht="30" customHeight="1">
      <c r="A6111" s="574" t="s">
        <v>7</v>
      </c>
      <c r="B6111" s="575"/>
      <c r="C6111" s="109" t="s">
        <v>0</v>
      </c>
      <c r="D6111" s="110" t="s">
        <v>4098</v>
      </c>
      <c r="E6111" s="111" t="s">
        <v>1</v>
      </c>
      <c r="F6111" s="576" t="s">
        <v>4218</v>
      </c>
      <c r="G6111" s="576"/>
      <c r="H6111" s="215"/>
      <c r="K6111" s="56"/>
      <c r="L6111" s="56"/>
      <c r="M6111" s="56"/>
      <c r="N6111" s="56"/>
      <c r="O6111" s="56"/>
    </row>
    <row r="6112" spans="1:15">
      <c r="A6112" s="577" t="s">
        <v>4454</v>
      </c>
      <c r="B6112" s="578"/>
      <c r="C6112" s="98" t="str">
        <f>VLOOKUP(A6112,'Materiales '!$C$2:$F$1302,3,0)</f>
        <v>Ml</v>
      </c>
      <c r="D6112" s="99">
        <f>VLOOKUP(A6112,'Materiales '!$C$2:$F$1302,4,0)</f>
        <v>12216.539999999999</v>
      </c>
      <c r="E6112" s="100">
        <v>1</v>
      </c>
      <c r="F6112" s="538">
        <f>E6112*D6112</f>
        <v>12216.539999999999</v>
      </c>
      <c r="G6112" s="539"/>
      <c r="H6112" s="121"/>
      <c r="I6112">
        <f>E6112*G6102</f>
        <v>1</v>
      </c>
      <c r="J6112" s="67"/>
      <c r="K6112" s="56"/>
      <c r="L6112" s="56"/>
      <c r="M6112" s="56"/>
      <c r="N6112" s="56"/>
      <c r="O6112" s="56"/>
    </row>
    <row r="6113" spans="1:15">
      <c r="A6113" s="577" t="s">
        <v>8</v>
      </c>
      <c r="B6113" s="578"/>
      <c r="C6113" s="98" t="str">
        <f>VLOOKUP(A6113,'Materiales '!$C$2:$F$1302,3,0)</f>
        <v>-</v>
      </c>
      <c r="D6113" s="99">
        <f>VLOOKUP(A6113,'Materiales '!$C$2:$F$1302,4,0)</f>
        <v>0</v>
      </c>
      <c r="E6113" s="100"/>
      <c r="F6113" s="538">
        <f t="shared" ref="F6113:F6119" si="358">E6113*D6113</f>
        <v>0</v>
      </c>
      <c r="G6113" s="539"/>
      <c r="H6113" s="121"/>
      <c r="I6113">
        <f>E6113*G6102</f>
        <v>0</v>
      </c>
      <c r="J6113" s="67"/>
      <c r="K6113" s="56"/>
      <c r="L6113" s="56"/>
      <c r="M6113" s="56"/>
      <c r="N6113" s="56"/>
      <c r="O6113" s="56"/>
    </row>
    <row r="6114" spans="1:15">
      <c r="A6114" s="536" t="s">
        <v>8</v>
      </c>
      <c r="B6114" s="537" t="str">
        <f>VLOOKUP(A6114,'Materiales '!$C$2:$F$1302,3,0)</f>
        <v>-</v>
      </c>
      <c r="C6114" s="98" t="str">
        <f>VLOOKUP(A6114,'Materiales '!$C$2:$F$1302,3,0)</f>
        <v>-</v>
      </c>
      <c r="D6114" s="99">
        <f>VLOOKUP(A6114,'Materiales '!$C$2:$F$1302,4,0)</f>
        <v>0</v>
      </c>
      <c r="E6114" s="100"/>
      <c r="F6114" s="538">
        <f t="shared" si="358"/>
        <v>0</v>
      </c>
      <c r="G6114" s="539"/>
      <c r="H6114" s="121"/>
      <c r="I6114">
        <f>E6114*G6102</f>
        <v>0</v>
      </c>
      <c r="J6114" s="68"/>
      <c r="K6114" s="56"/>
      <c r="L6114" s="56"/>
      <c r="M6114" s="56"/>
      <c r="N6114" s="56"/>
      <c r="O6114" s="56"/>
    </row>
    <row r="6115" spans="1:15">
      <c r="A6115" s="536" t="s">
        <v>8</v>
      </c>
      <c r="B6115" s="537" t="str">
        <f>VLOOKUP(A6115,'Materiales '!$C$2:$F$1302,3,0)</f>
        <v>-</v>
      </c>
      <c r="C6115" s="98" t="str">
        <f>VLOOKUP(A6115,'Materiales '!$C$2:$F$1302,3,0)</f>
        <v>-</v>
      </c>
      <c r="D6115" s="99">
        <f>VLOOKUP(A6115,'Materiales '!$C$2:$F$1302,4,0)</f>
        <v>0</v>
      </c>
      <c r="E6115" s="100"/>
      <c r="F6115" s="538">
        <f t="shared" si="358"/>
        <v>0</v>
      </c>
      <c r="G6115" s="539"/>
      <c r="H6115" s="121"/>
      <c r="I6115">
        <f>E6115*G6102</f>
        <v>0</v>
      </c>
      <c r="J6115" s="68"/>
      <c r="K6115" s="56"/>
      <c r="L6115" s="56"/>
      <c r="M6115" s="56"/>
      <c r="N6115" s="56"/>
      <c r="O6115" s="56"/>
    </row>
    <row r="6116" spans="1:15">
      <c r="A6116" s="536" t="s">
        <v>8</v>
      </c>
      <c r="B6116" s="537" t="str">
        <f>VLOOKUP(A6116,'Materiales '!$C$2:$F$1302,3,0)</f>
        <v>-</v>
      </c>
      <c r="C6116" s="98" t="str">
        <f>VLOOKUP(A6116,'Materiales '!$C$2:$F$1302,3,0)</f>
        <v>-</v>
      </c>
      <c r="D6116" s="99">
        <f>VLOOKUP(A6116,'Materiales '!$C$2:$F$1302,4,0)</f>
        <v>0</v>
      </c>
      <c r="E6116" s="100"/>
      <c r="F6116" s="538">
        <f t="shared" si="358"/>
        <v>0</v>
      </c>
      <c r="G6116" s="539"/>
      <c r="H6116" s="121"/>
      <c r="I6116">
        <f>E6116*G6102</f>
        <v>0</v>
      </c>
      <c r="J6116" s="68"/>
      <c r="K6116" s="56"/>
      <c r="L6116" s="56"/>
      <c r="M6116" s="56"/>
      <c r="N6116" s="56"/>
      <c r="O6116" s="56"/>
    </row>
    <row r="6117" spans="1:15">
      <c r="A6117" s="536" t="s">
        <v>8</v>
      </c>
      <c r="B6117" s="537" t="str">
        <f>VLOOKUP(A6117,'Materiales '!$C$2:$F$1302,3,0)</f>
        <v>-</v>
      </c>
      <c r="C6117" s="98" t="str">
        <f>VLOOKUP(A6117,'Materiales '!$C$2:$F$1302,3,0)</f>
        <v>-</v>
      </c>
      <c r="D6117" s="99">
        <f>VLOOKUP(A6117,'Materiales '!$C$2:$F$1302,4,0)</f>
        <v>0</v>
      </c>
      <c r="E6117" s="100"/>
      <c r="F6117" s="538">
        <f t="shared" si="358"/>
        <v>0</v>
      </c>
      <c r="G6117" s="539"/>
      <c r="H6117" s="121"/>
      <c r="I6117">
        <f>E6117*G6102</f>
        <v>0</v>
      </c>
      <c r="J6117" s="68"/>
      <c r="K6117" s="56"/>
      <c r="L6117" s="56"/>
      <c r="M6117" s="56"/>
      <c r="N6117" s="56"/>
      <c r="O6117" s="56"/>
    </row>
    <row r="6118" spans="1:15">
      <c r="A6118" s="536" t="s">
        <v>8</v>
      </c>
      <c r="B6118" s="537" t="str">
        <f>VLOOKUP(A6118,'Materiales '!$C$2:$F$1302,3,0)</f>
        <v>-</v>
      </c>
      <c r="C6118" s="98" t="str">
        <f>VLOOKUP(A6118,'Materiales '!$C$2:$F$1302,3,0)</f>
        <v>-</v>
      </c>
      <c r="D6118" s="99">
        <f>VLOOKUP(A6118,'Materiales '!$C$2:$F$1302,4,0)</f>
        <v>0</v>
      </c>
      <c r="E6118" s="100"/>
      <c r="F6118" s="538">
        <f t="shared" si="358"/>
        <v>0</v>
      </c>
      <c r="G6118" s="539"/>
      <c r="H6118" s="121"/>
      <c r="I6118">
        <f>E6118*G6102</f>
        <v>0</v>
      </c>
      <c r="J6118" s="68"/>
      <c r="K6118" s="56"/>
      <c r="L6118" s="56"/>
      <c r="M6118" s="56"/>
      <c r="N6118" s="56"/>
      <c r="O6118" s="56"/>
    </row>
    <row r="6119" spans="1:15" ht="21.75" customHeight="1">
      <c r="A6119" s="536" t="s">
        <v>8</v>
      </c>
      <c r="B6119" s="537" t="str">
        <f>VLOOKUP(A6119,'Materiales '!$C$2:$F$1302,3,0)</f>
        <v>-</v>
      </c>
      <c r="C6119" s="98" t="str">
        <f>VLOOKUP(A6119,'Materiales '!$C$2:$F$1302,3,0)</f>
        <v>-</v>
      </c>
      <c r="D6119" s="99">
        <f>VLOOKUP(A6119,'Materiales '!$C$2:$F$1302,4,0)</f>
        <v>0</v>
      </c>
      <c r="E6119" s="100"/>
      <c r="F6119" s="538">
        <f t="shared" si="358"/>
        <v>0</v>
      </c>
      <c r="G6119" s="539"/>
      <c r="H6119" s="121"/>
      <c r="I6119">
        <f>E6119*G6102</f>
        <v>0</v>
      </c>
      <c r="J6119" s="68"/>
      <c r="K6119" s="56"/>
      <c r="L6119" s="56"/>
      <c r="M6119" s="56"/>
      <c r="N6119" s="56"/>
      <c r="O6119" s="56"/>
    </row>
    <row r="6120" spans="1:15">
      <c r="A6120" s="536" t="s">
        <v>8</v>
      </c>
      <c r="B6120" s="537" t="str">
        <f>VLOOKUP(A6120,'Materiales '!$C$2:$F$1302,3,0)</f>
        <v>-</v>
      </c>
      <c r="C6120" s="98" t="str">
        <f>VLOOKUP(A6120,'Materiales '!$C$2:$F$1302,3,0)</f>
        <v>-</v>
      </c>
      <c r="D6120" s="99">
        <f>VLOOKUP(A6120,'Materiales '!$C$2:$F$1302,4,0)</f>
        <v>0</v>
      </c>
      <c r="E6120" s="100"/>
      <c r="F6120" s="538">
        <f>E6120*D6120</f>
        <v>0</v>
      </c>
      <c r="G6120" s="539"/>
      <c r="H6120" s="120"/>
      <c r="I6120">
        <f>E6120*G6102</f>
        <v>0</v>
      </c>
      <c r="J6120" s="68"/>
      <c r="K6120" s="56"/>
      <c r="L6120" s="56"/>
      <c r="M6120" s="56"/>
      <c r="N6120" s="56"/>
      <c r="O6120" s="56"/>
    </row>
    <row r="6121" spans="1:15">
      <c r="A6121" s="536" t="s">
        <v>8</v>
      </c>
      <c r="B6121" s="537" t="str">
        <f>VLOOKUP(A6121,'Materiales '!$C$2:$F$1302,3,0)</f>
        <v>-</v>
      </c>
      <c r="C6121" s="98" t="str">
        <f>VLOOKUP(A6121,'Materiales '!$C$2:$F$1302,3,0)</f>
        <v>-</v>
      </c>
      <c r="D6121" s="99">
        <f>VLOOKUP(A6121,'Materiales '!$C$2:$F$1302,4,0)</f>
        <v>0</v>
      </c>
      <c r="E6121" s="100"/>
      <c r="F6121" s="538">
        <f t="shared" ref="F6121:F6124" si="359">E6121*D6121</f>
        <v>0</v>
      </c>
      <c r="G6121" s="539"/>
      <c r="H6121" s="121"/>
      <c r="I6121">
        <f>E6121*G6102</f>
        <v>0</v>
      </c>
      <c r="J6121" s="68"/>
      <c r="K6121" s="56"/>
      <c r="L6121" s="56"/>
      <c r="M6121" s="56"/>
      <c r="N6121" s="56"/>
      <c r="O6121" s="56"/>
    </row>
    <row r="6122" spans="1:15">
      <c r="A6122" s="536" t="s">
        <v>8</v>
      </c>
      <c r="B6122" s="537" t="str">
        <f>VLOOKUP(A6122,'Materiales '!$C$2:$F$1302,3,0)</f>
        <v>-</v>
      </c>
      <c r="C6122" s="98" t="str">
        <f>VLOOKUP(A6122,'Materiales '!$C$2:$F$1302,3,0)</f>
        <v>-</v>
      </c>
      <c r="D6122" s="99">
        <f>VLOOKUP(A6122,'Materiales '!$C$2:$F$1302,4,0)</f>
        <v>0</v>
      </c>
      <c r="E6122" s="100"/>
      <c r="F6122" s="538">
        <f t="shared" si="359"/>
        <v>0</v>
      </c>
      <c r="G6122" s="539"/>
      <c r="H6122" s="121"/>
      <c r="I6122">
        <f>E6122*G6102</f>
        <v>0</v>
      </c>
      <c r="J6122" s="68"/>
      <c r="K6122" s="56"/>
      <c r="L6122" s="56"/>
      <c r="M6122" s="56"/>
      <c r="N6122" s="56"/>
      <c r="O6122" s="56"/>
    </row>
    <row r="6123" spans="1:15">
      <c r="A6123" s="536" t="s">
        <v>8</v>
      </c>
      <c r="B6123" s="537" t="str">
        <f>VLOOKUP(A6123,'Materiales '!$C$2:$F$1302,3,0)</f>
        <v>-</v>
      </c>
      <c r="C6123" s="98" t="str">
        <f>VLOOKUP(A6123,'Materiales '!$C$2:$F$1302,3,0)</f>
        <v>-</v>
      </c>
      <c r="D6123" s="99">
        <f>VLOOKUP(A6123,'Materiales '!$C$2:$F$1302,4,0)</f>
        <v>0</v>
      </c>
      <c r="E6123" s="100"/>
      <c r="F6123" s="538">
        <f t="shared" si="359"/>
        <v>0</v>
      </c>
      <c r="G6123" s="539"/>
      <c r="H6123" s="121"/>
      <c r="I6123">
        <f>E6123*G6102</f>
        <v>0</v>
      </c>
      <c r="J6123" s="68"/>
      <c r="K6123" s="56"/>
      <c r="L6123" s="56"/>
      <c r="M6123" s="56"/>
      <c r="N6123" s="56"/>
      <c r="O6123" s="56"/>
    </row>
    <row r="6124" spans="1:15">
      <c r="A6124" s="536" t="s">
        <v>8</v>
      </c>
      <c r="B6124" s="537" t="str">
        <f>VLOOKUP(A6124,'Materiales '!$C$2:$F$1302,3,0)</f>
        <v>-</v>
      </c>
      <c r="C6124" s="98" t="str">
        <f>VLOOKUP(A6124,'Materiales '!$C$2:$F$1302,3,0)</f>
        <v>-</v>
      </c>
      <c r="D6124" s="99">
        <f>VLOOKUP(A6124,'Materiales '!$C$2:$F$1302,4,0)</f>
        <v>0</v>
      </c>
      <c r="E6124" s="100"/>
      <c r="F6124" s="538">
        <f t="shared" si="359"/>
        <v>0</v>
      </c>
      <c r="G6124" s="539"/>
      <c r="H6124" s="121"/>
      <c r="I6124">
        <f>E6124*G6102</f>
        <v>0</v>
      </c>
      <c r="J6124" s="68"/>
      <c r="K6124" s="56"/>
      <c r="L6124" s="56"/>
      <c r="M6124" s="56"/>
      <c r="N6124" s="56"/>
      <c r="O6124" s="56"/>
    </row>
    <row r="6125" spans="1:15">
      <c r="A6125" s="536" t="s">
        <v>8</v>
      </c>
      <c r="B6125" s="537" t="str">
        <f>VLOOKUP(A6125,'Materiales '!$C$2:$F$1302,3,0)</f>
        <v>-</v>
      </c>
      <c r="C6125" s="98" t="str">
        <f>VLOOKUP(A6125,'Materiales '!$C$2:$F$1302,3,0)</f>
        <v>-</v>
      </c>
      <c r="D6125" s="99">
        <f>VLOOKUP(A6125,'Materiales '!$C$2:$F$1302,4,0)</f>
        <v>0</v>
      </c>
      <c r="E6125" s="100"/>
      <c r="F6125" s="538">
        <f>E6125*D6125</f>
        <v>0</v>
      </c>
      <c r="G6125" s="539"/>
      <c r="H6125" s="120"/>
      <c r="I6125">
        <f>E6125*G6102</f>
        <v>0</v>
      </c>
      <c r="J6125" s="68"/>
      <c r="K6125" s="56"/>
      <c r="L6125" s="56"/>
      <c r="M6125" s="56"/>
      <c r="N6125" s="56"/>
      <c r="O6125" s="56"/>
    </row>
    <row r="6126" spans="1:15" ht="16.5">
      <c r="A6126" s="540" t="s">
        <v>4099</v>
      </c>
      <c r="B6126" s="541"/>
      <c r="C6126" s="541"/>
      <c r="D6126" s="541"/>
      <c r="E6126" s="541"/>
      <c r="F6126" s="541"/>
      <c r="G6126" s="542"/>
      <c r="H6126" s="116">
        <f>SUM(F6112:F6125)</f>
        <v>12216.539999999999</v>
      </c>
      <c r="J6126" s="68"/>
      <c r="K6126" s="56"/>
      <c r="L6126" s="56"/>
      <c r="M6126" s="56"/>
      <c r="N6126" s="56"/>
      <c r="O6126" s="56"/>
    </row>
    <row r="6127" spans="1:15" ht="16.5">
      <c r="A6127" s="543" t="s">
        <v>4231</v>
      </c>
      <c r="B6127" s="544"/>
      <c r="C6127" s="544"/>
      <c r="D6127" s="544"/>
      <c r="E6127" s="545"/>
      <c r="F6127" s="544"/>
      <c r="G6127" s="544"/>
      <c r="H6127" s="546"/>
      <c r="J6127" s="68"/>
      <c r="K6127" s="56"/>
      <c r="L6127" s="56"/>
      <c r="M6127" s="56"/>
      <c r="N6127" s="56"/>
      <c r="O6127" s="56"/>
    </row>
    <row r="6128" spans="1:15">
      <c r="A6128" s="547" t="s">
        <v>7</v>
      </c>
      <c r="B6128" s="548"/>
      <c r="C6128" s="108" t="s">
        <v>4232</v>
      </c>
      <c r="D6128" s="107" t="s">
        <v>4233</v>
      </c>
      <c r="E6128" s="206" t="s">
        <v>4234</v>
      </c>
      <c r="F6128" s="549" t="s">
        <v>4218</v>
      </c>
      <c r="G6128" s="549"/>
      <c r="H6128" s="119"/>
      <c r="K6128" s="56"/>
      <c r="L6128" s="56"/>
      <c r="M6128" s="56"/>
      <c r="N6128" s="56"/>
      <c r="O6128" s="56"/>
    </row>
    <row r="6129" spans="1:13">
      <c r="A6129" s="550" t="s">
        <v>3928</v>
      </c>
      <c r="B6129" s="551"/>
      <c r="C6129" s="232">
        <v>1</v>
      </c>
      <c r="D6129" s="102">
        <v>5.0000000000000001E-3</v>
      </c>
      <c r="E6129" s="103">
        <f>VLOOKUP(A6129,'Equip, Herr y Transp'!$B$2:$D$218,3,0)</f>
        <v>160000</v>
      </c>
      <c r="F6129" s="552">
        <f>E6129*D6129*C6129</f>
        <v>800</v>
      </c>
      <c r="G6129" s="553"/>
      <c r="H6129" s="117"/>
      <c r="M6129" s="56"/>
    </row>
    <row r="6130" spans="1:13" ht="16.5">
      <c r="A6130" s="554" t="s">
        <v>4216</v>
      </c>
      <c r="B6130" s="555"/>
      <c r="C6130" s="555"/>
      <c r="D6130" s="555"/>
      <c r="E6130" s="555"/>
      <c r="F6130" s="555"/>
      <c r="G6130" s="555"/>
      <c r="H6130" s="105">
        <f>F6129</f>
        <v>800</v>
      </c>
    </row>
    <row r="6131" spans="1:13" ht="16.5">
      <c r="A6131" s="543" t="s">
        <v>4235</v>
      </c>
      <c r="B6131" s="544"/>
      <c r="C6131" s="544"/>
      <c r="D6131" s="544"/>
      <c r="E6131" s="544"/>
      <c r="F6131" s="544"/>
      <c r="G6131" s="544"/>
      <c r="H6131" s="546"/>
    </row>
    <row r="6132" spans="1:13">
      <c r="A6132" s="547" t="s">
        <v>7</v>
      </c>
      <c r="B6132" s="548"/>
      <c r="C6132" s="106" t="s">
        <v>1</v>
      </c>
      <c r="D6132" s="107" t="s">
        <v>4236</v>
      </c>
      <c r="E6132" s="108" t="s">
        <v>4215</v>
      </c>
      <c r="F6132" s="547" t="s">
        <v>5</v>
      </c>
      <c r="G6132" s="556"/>
      <c r="H6132" s="119"/>
    </row>
    <row r="6133" spans="1:13">
      <c r="A6133" s="550" t="s">
        <v>4196</v>
      </c>
      <c r="B6133" s="551"/>
      <c r="C6133" s="101">
        <v>1</v>
      </c>
      <c r="D6133" s="104">
        <f>VLOOKUP(A6133,'Mano Obra'!$B$2:$T$117,19,0)</f>
        <v>166624</v>
      </c>
      <c r="E6133" s="246">
        <f>H6095</f>
        <v>1.04E-2</v>
      </c>
      <c r="F6133" s="538">
        <f>E6133*D6133*C6133</f>
        <v>1732.8896</v>
      </c>
      <c r="G6133" s="557"/>
      <c r="H6133" s="121"/>
      <c r="I6133" s="69"/>
      <c r="J6133" s="136">
        <f>((('Mano Obra'!$M$4/30)*F6133)/D6133)*G6102</f>
        <v>112.53627435555556</v>
      </c>
    </row>
    <row r="6134" spans="1:13">
      <c r="A6134" s="558" t="s">
        <v>4197</v>
      </c>
      <c r="B6134" s="559">
        <f>VLOOKUP(A6134,'Mano Obra'!$B$3:$D$290,2,0)</f>
        <v>2090000.0000000002</v>
      </c>
      <c r="C6134" s="101">
        <v>1</v>
      </c>
      <c r="D6134" s="104">
        <f>VLOOKUP(A6134,'Mano Obra'!$B$2:$T$117,19,0)</f>
        <v>120456</v>
      </c>
      <c r="E6134" s="246">
        <f>H6095</f>
        <v>1.04E-2</v>
      </c>
      <c r="F6134" s="538">
        <f t="shared" ref="F6134:F6135" si="360">E6134*D6134*C6134</f>
        <v>1252.7423999999999</v>
      </c>
      <c r="G6134" s="557"/>
      <c r="H6134" s="121"/>
      <c r="J6134" s="136">
        <f>((('Mano Obra'!$M$5/30)*F6134)/D6134)*G6102</f>
        <v>112.53627435555553</v>
      </c>
    </row>
    <row r="6135" spans="1:13">
      <c r="A6135" s="558" t="s">
        <v>4186</v>
      </c>
      <c r="B6135" s="559">
        <f>VLOOKUP(A6135,'Mano Obra'!$B$3:$D$290,2,0)</f>
        <v>1100000</v>
      </c>
      <c r="C6135" s="101">
        <v>1</v>
      </c>
      <c r="D6135" s="104">
        <f>VLOOKUP(A6135,'Mano Obra'!$B$2:$T$117,19,0)</f>
        <v>72664</v>
      </c>
      <c r="E6135" s="246">
        <f>H6095</f>
        <v>1.04E-2</v>
      </c>
      <c r="F6135" s="538">
        <f t="shared" si="360"/>
        <v>755.7056</v>
      </c>
      <c r="G6135" s="557"/>
      <c r="H6135" s="120"/>
      <c r="J6135" s="136">
        <f>((('Mano Obra'!$M$6/30)*F6135)/D6135)*G6102</f>
        <v>112.53627435555555</v>
      </c>
    </row>
    <row r="6136" spans="1:13" ht="16.5">
      <c r="A6136" s="560" t="s">
        <v>4101</v>
      </c>
      <c r="B6136" s="560"/>
      <c r="C6136" s="560"/>
      <c r="D6136" s="560"/>
      <c r="E6136" s="560"/>
      <c r="F6136" s="560"/>
      <c r="G6136" s="560"/>
      <c r="H6136" s="105">
        <f>SUM(F6133:F6135)</f>
        <v>3741.3375999999998</v>
      </c>
      <c r="J6136" s="136"/>
    </row>
    <row r="6137" spans="1:13">
      <c r="A6137" s="227" t="s">
        <v>4237</v>
      </c>
      <c r="B6137" s="205"/>
      <c r="C6137" s="205"/>
      <c r="D6137" s="202"/>
      <c r="E6137" s="203"/>
      <c r="F6137" s="204"/>
      <c r="G6137" s="203"/>
      <c r="H6137" s="212"/>
    </row>
    <row r="6138" spans="1:13">
      <c r="A6138" s="561" t="s">
        <v>4224</v>
      </c>
      <c r="B6138" s="562"/>
      <c r="C6138" s="562"/>
      <c r="D6138" s="562"/>
      <c r="E6138" s="200"/>
      <c r="F6138" s="201" t="s">
        <v>4238</v>
      </c>
      <c r="G6138" s="200" t="s">
        <v>4239</v>
      </c>
      <c r="H6138" s="213"/>
    </row>
    <row r="6139" spans="1:13">
      <c r="A6139" s="223" t="s">
        <v>4097</v>
      </c>
      <c r="B6139" s="72"/>
      <c r="C6139" s="72"/>
      <c r="D6139" s="73"/>
      <c r="E6139" s="78"/>
      <c r="F6139" s="79">
        <v>0</v>
      </c>
      <c r="G6139" s="80">
        <f>F6139*H6103</f>
        <v>0</v>
      </c>
      <c r="H6139" s="212"/>
    </row>
    <row r="6140" spans="1:13">
      <c r="A6140" s="224" t="s">
        <v>4240</v>
      </c>
      <c r="B6140" s="81"/>
      <c r="C6140" s="81"/>
      <c r="D6140" s="82"/>
      <c r="E6140" s="78"/>
      <c r="F6140" s="79">
        <v>0</v>
      </c>
      <c r="G6140" s="80">
        <f>F6140*H6103</f>
        <v>0</v>
      </c>
      <c r="H6140" s="212"/>
    </row>
    <row r="6141" spans="1:13">
      <c r="A6141" s="224" t="s">
        <v>4</v>
      </c>
      <c r="B6141" s="81"/>
      <c r="C6141" s="81"/>
      <c r="D6141" s="82"/>
      <c r="E6141" s="78"/>
      <c r="F6141" s="79">
        <v>0</v>
      </c>
      <c r="G6141" s="80">
        <f>F6141*H6103</f>
        <v>0</v>
      </c>
      <c r="H6141" s="212"/>
    </row>
    <row r="6142" spans="1:13">
      <c r="A6142" s="225"/>
      <c r="B6142" s="83"/>
      <c r="C6142" s="75"/>
      <c r="D6142" s="84"/>
      <c r="E6142" s="85"/>
      <c r="F6142" s="86"/>
      <c r="G6142" s="87"/>
      <c r="H6142" s="214"/>
    </row>
    <row r="6143" spans="1:13">
      <c r="A6143" s="226"/>
      <c r="B6143" s="83"/>
      <c r="C6143" s="83"/>
      <c r="D6143" s="84"/>
      <c r="E6143" s="88"/>
      <c r="F6143" s="563" t="s">
        <v>4241</v>
      </c>
      <c r="G6143" s="564"/>
      <c r="H6143" s="233">
        <f>H6103+G6139+G6140+G6141</f>
        <v>17182.223599999998</v>
      </c>
    </row>
    <row r="6145" spans="1:14" ht="16.5">
      <c r="A6145" s="90"/>
      <c r="B6145" s="90"/>
      <c r="C6145" s="90"/>
      <c r="D6145" s="90"/>
      <c r="E6145" s="90"/>
      <c r="F6145" s="90"/>
      <c r="G6145" s="90"/>
      <c r="H6145" s="381"/>
    </row>
    <row r="6146" spans="1:14">
      <c r="A6146" s="579" t="s">
        <v>4225</v>
      </c>
      <c r="B6146" s="580"/>
      <c r="C6146" s="580"/>
      <c r="D6146" s="580"/>
      <c r="E6146" s="580"/>
      <c r="F6146" s="580"/>
      <c r="G6146" s="580"/>
      <c r="H6146" s="581"/>
    </row>
    <row r="6147" spans="1:14" ht="16.5">
      <c r="A6147" s="91"/>
      <c r="B6147" s="92"/>
      <c r="C6147" s="92"/>
      <c r="D6147" s="92"/>
      <c r="E6147" s="92"/>
      <c r="F6147" s="93"/>
      <c r="G6147" s="94"/>
      <c r="H6147" s="380">
        <f>ROUND((5/60)/8,4)</f>
        <v>1.04E-2</v>
      </c>
      <c r="I6147" s="115"/>
    </row>
    <row r="6148" spans="1:14">
      <c r="A6148" s="582" t="s">
        <v>4220</v>
      </c>
      <c r="B6148" s="584" t="str">
        <f>COSTOS!$C$14</f>
        <v>MODERNIZACION A TECNOLOGIA LED</v>
      </c>
      <c r="C6148" s="584"/>
      <c r="D6148" s="584"/>
      <c r="E6148" s="584"/>
      <c r="F6148" s="584"/>
      <c r="G6148" s="584"/>
      <c r="H6148" s="585" t="s">
        <v>4221</v>
      </c>
    </row>
    <row r="6149" spans="1:14">
      <c r="A6149" s="583"/>
      <c r="B6149" s="584"/>
      <c r="C6149" s="584"/>
      <c r="D6149" s="584"/>
      <c r="E6149" s="584"/>
      <c r="F6149" s="584"/>
      <c r="G6149" s="584"/>
      <c r="H6149" s="585"/>
    </row>
    <row r="6150" spans="1:14">
      <c r="A6150" s="583"/>
      <c r="B6150" s="584"/>
      <c r="C6150" s="584"/>
      <c r="D6150" s="584"/>
      <c r="E6150" s="584"/>
      <c r="F6150" s="584"/>
      <c r="G6150" s="584"/>
      <c r="H6150" s="585"/>
    </row>
    <row r="6151" spans="1:14" ht="15" customHeight="1">
      <c r="A6151" s="583"/>
      <c r="B6151" s="584"/>
      <c r="C6151" s="584"/>
      <c r="D6151" s="584"/>
      <c r="E6151" s="584"/>
      <c r="F6151" s="584"/>
      <c r="G6151" s="584"/>
      <c r="H6151" s="216">
        <f ca="1">TODAY()</f>
        <v>44889</v>
      </c>
      <c r="K6151" t="s">
        <v>4391</v>
      </c>
      <c r="L6151" t="s">
        <v>4392</v>
      </c>
      <c r="M6151" t="s">
        <v>4393</v>
      </c>
      <c r="N6151" t="s">
        <v>4394</v>
      </c>
    </row>
    <row r="6152" spans="1:14" ht="60.75" customHeight="1">
      <c r="A6152" s="228" t="s">
        <v>4222</v>
      </c>
      <c r="B6152" s="565" t="str">
        <f>COSTOS!$D$16</f>
        <v>Luminarias</v>
      </c>
      <c r="C6152" s="565"/>
      <c r="D6152" s="565"/>
      <c r="E6152" s="565"/>
      <c r="F6152" s="565"/>
      <c r="G6152" s="70" t="s">
        <v>4223</v>
      </c>
      <c r="H6152" s="387">
        <v>3.6</v>
      </c>
      <c r="K6152" s="62">
        <f>H6178</f>
        <v>9424.7999999999993</v>
      </c>
      <c r="L6152" s="62">
        <f>H6188</f>
        <v>3741.3375999999998</v>
      </c>
      <c r="M6152" s="62">
        <f>H6161</f>
        <v>424.346</v>
      </c>
      <c r="N6152" s="62">
        <f>H6182</f>
        <v>800</v>
      </c>
    </row>
    <row r="6153" spans="1:14" ht="43.15" customHeight="1">
      <c r="A6153" s="229" t="s">
        <v>4224</v>
      </c>
      <c r="B6153" s="566" t="str">
        <f>VLOOKUP(H6152,COSTOS!C:M,2,0)</f>
        <v>Red Aerea 2x4+4 AWG AL x 500m</v>
      </c>
      <c r="C6153" s="567"/>
      <c r="D6153" s="567"/>
      <c r="E6153" s="568"/>
      <c r="F6153" s="71" t="s">
        <v>0</v>
      </c>
      <c r="G6153" s="356" t="str">
        <f>VLOOKUP(H6152,COSTOS!C:M,8,0)</f>
        <v>Und</v>
      </c>
      <c r="H6153" s="276"/>
      <c r="I6153" s="306"/>
      <c r="J6153" s="308"/>
      <c r="K6153" s="308"/>
      <c r="L6153" s="308"/>
    </row>
    <row r="6154" spans="1:14">
      <c r="A6154" s="230"/>
      <c r="B6154" s="112"/>
      <c r="C6154" s="112"/>
      <c r="D6154" s="112"/>
      <c r="E6154" s="113"/>
      <c r="F6154" s="114" t="s">
        <v>1</v>
      </c>
      <c r="G6154" s="356">
        <f>VLOOKUP(H6152,COSTOS!C:M,9,0)</f>
        <v>1</v>
      </c>
      <c r="H6154" s="357"/>
      <c r="I6154" s="307"/>
    </row>
    <row r="6155" spans="1:14" ht="16.5">
      <c r="A6155" s="231" t="s">
        <v>4226</v>
      </c>
      <c r="B6155" s="75"/>
      <c r="C6155" s="75"/>
      <c r="D6155" s="76"/>
      <c r="E6155" s="209"/>
      <c r="F6155" s="210"/>
      <c r="G6155" s="211" t="s">
        <v>4227</v>
      </c>
      <c r="H6155" s="217">
        <f>H6161+H6178+H6182+H6188</f>
        <v>14390.4836</v>
      </c>
    </row>
    <row r="6156" spans="1:14" ht="39">
      <c r="A6156" s="569" t="s">
        <v>4224</v>
      </c>
      <c r="B6156" s="569"/>
      <c r="C6156" s="569"/>
      <c r="D6156" s="77" t="s">
        <v>0</v>
      </c>
      <c r="E6156" s="207" t="s">
        <v>4228</v>
      </c>
      <c r="F6156" s="208" t="s">
        <v>4215</v>
      </c>
      <c r="G6156" s="74" t="s">
        <v>2</v>
      </c>
      <c r="H6156" s="218" t="s">
        <v>4229</v>
      </c>
      <c r="K6156" s="309"/>
    </row>
    <row r="6157" spans="1:14">
      <c r="A6157" s="536" t="s">
        <v>3946</v>
      </c>
      <c r="B6157" s="570" t="str">
        <f>VLOOKUP(A6157,'Equip, Herr y Transp'!$B$2:$D$739,2,0)</f>
        <v>EQU</v>
      </c>
      <c r="C6157" s="570"/>
      <c r="D6157" s="95" t="str">
        <f>VLOOKUP(A6157,'Equip, Herr y Transp'!$B$2:$D$218,2,0)</f>
        <v>EQU</v>
      </c>
      <c r="E6157" s="95">
        <f>VLOOKUP(A6157,'Equip, Herr y Transp'!$B$2:$D$218,3,0)</f>
        <v>14130</v>
      </c>
      <c r="F6157" s="96">
        <f>H6147</f>
        <v>1.04E-2</v>
      </c>
      <c r="G6157" s="122">
        <f>F6157*E6157</f>
        <v>146.952</v>
      </c>
      <c r="H6157" s="118"/>
    </row>
    <row r="6158" spans="1:14">
      <c r="A6158" s="536" t="s">
        <v>3904</v>
      </c>
      <c r="B6158" s="570" t="str">
        <f>VLOOKUP(A6158,'Equip, Herr y Transp'!$B$2:$D$739,2,0)</f>
        <v>EQU</v>
      </c>
      <c r="C6158" s="570"/>
      <c r="D6158" s="95" t="str">
        <f>VLOOKUP(A6158,'Equip, Herr y Transp'!$B$2:$D$218,2,0)</f>
        <v>EQU</v>
      </c>
      <c r="E6158" s="95">
        <f>VLOOKUP(A6158,'Equip, Herr y Transp'!$B$2:$D$218,3,0)</f>
        <v>26672.5</v>
      </c>
      <c r="F6158" s="96">
        <f>H6147</f>
        <v>1.04E-2</v>
      </c>
      <c r="G6158" s="122">
        <f>F6158*E6158</f>
        <v>277.39400000000001</v>
      </c>
      <c r="H6158" s="117"/>
    </row>
    <row r="6159" spans="1:14">
      <c r="A6159" s="536" t="s">
        <v>8</v>
      </c>
      <c r="B6159" s="570">
        <f>VLOOKUP(A6159,'Equip, Herr y Transp'!$B$2:$D$739,2,0)</f>
        <v>0</v>
      </c>
      <c r="C6159" s="570"/>
      <c r="D6159" s="95">
        <f>VLOOKUP(A6159,'Equip, Herr y Transp'!$B$2:$D$218,2,0)</f>
        <v>0</v>
      </c>
      <c r="E6159" s="95">
        <f>VLOOKUP(A6159,'Equip, Herr y Transp'!$B$2:$D$218,3,0)</f>
        <v>0</v>
      </c>
      <c r="F6159" s="96">
        <f>H6147</f>
        <v>1.04E-2</v>
      </c>
      <c r="G6159" s="122">
        <f>F6159*E6159</f>
        <v>0</v>
      </c>
      <c r="H6159" s="117"/>
    </row>
    <row r="6160" spans="1:14">
      <c r="A6160" s="536" t="s">
        <v>8</v>
      </c>
      <c r="B6160" s="570">
        <f>VLOOKUP(A6160,'Equip, Herr y Transp'!$B$2:$D$739,2,0)</f>
        <v>0</v>
      </c>
      <c r="C6160" s="570"/>
      <c r="D6160" s="95">
        <f>VLOOKUP(A6160,'Equip, Herr y Transp'!$B$2:$D$218,2,0)</f>
        <v>0</v>
      </c>
      <c r="E6160" s="95">
        <f>VLOOKUP(A6160,'Equip, Herr y Transp'!$B$2:$D$218,3,0)</f>
        <v>0</v>
      </c>
      <c r="F6160" s="96">
        <f>H6147</f>
        <v>1.04E-2</v>
      </c>
      <c r="G6160" s="122">
        <f>F6160*E6160</f>
        <v>0</v>
      </c>
      <c r="H6160" s="117"/>
    </row>
    <row r="6161" spans="1:15" ht="16.5">
      <c r="A6161" s="540" t="s">
        <v>4100</v>
      </c>
      <c r="B6161" s="541"/>
      <c r="C6161" s="541"/>
      <c r="D6161" s="541"/>
      <c r="E6161" s="541"/>
      <c r="F6161" s="541"/>
      <c r="G6161" s="541"/>
      <c r="H6161" s="97">
        <f>SUM(G6157:G6160)</f>
        <v>424.346</v>
      </c>
    </row>
    <row r="6162" spans="1:15" ht="16.5">
      <c r="A6162" s="571" t="s">
        <v>4230</v>
      </c>
      <c r="B6162" s="572"/>
      <c r="C6162" s="572"/>
      <c r="D6162" s="572"/>
      <c r="E6162" s="572"/>
      <c r="F6162" s="572"/>
      <c r="G6162" s="572"/>
      <c r="H6162" s="573"/>
      <c r="K6162" s="56"/>
      <c r="L6162" s="56"/>
      <c r="M6162" s="56"/>
      <c r="N6162" s="56"/>
      <c r="O6162" s="56"/>
    </row>
    <row r="6163" spans="1:15" ht="30" customHeight="1">
      <c r="A6163" s="574" t="s">
        <v>7</v>
      </c>
      <c r="B6163" s="575"/>
      <c r="C6163" s="109" t="s">
        <v>0</v>
      </c>
      <c r="D6163" s="110" t="s">
        <v>4098</v>
      </c>
      <c r="E6163" s="111" t="s">
        <v>1</v>
      </c>
      <c r="F6163" s="576" t="s">
        <v>4218</v>
      </c>
      <c r="G6163" s="576"/>
      <c r="H6163" s="215"/>
      <c r="K6163" s="56"/>
      <c r="L6163" s="56"/>
      <c r="M6163" s="56"/>
      <c r="N6163" s="56"/>
      <c r="O6163" s="56"/>
    </row>
    <row r="6164" spans="1:15">
      <c r="A6164" s="577" t="s">
        <v>4455</v>
      </c>
      <c r="B6164" s="578"/>
      <c r="C6164" s="98" t="str">
        <f>VLOOKUP(A6164,'Materiales '!$C$2:$F$1302,3,0)</f>
        <v>Ml</v>
      </c>
      <c r="D6164" s="99">
        <f>VLOOKUP(A6164,'Materiales '!$C$2:$F$1302,4,0)</f>
        <v>9424.7999999999993</v>
      </c>
      <c r="E6164" s="100">
        <v>1</v>
      </c>
      <c r="F6164" s="538">
        <f>E6164*D6164</f>
        <v>9424.7999999999993</v>
      </c>
      <c r="G6164" s="539"/>
      <c r="H6164" s="121"/>
      <c r="I6164">
        <f>E6164*G6154</f>
        <v>1</v>
      </c>
      <c r="J6164" s="67"/>
      <c r="K6164" s="56"/>
      <c r="L6164" s="56"/>
      <c r="M6164" s="56"/>
      <c r="N6164" s="56"/>
      <c r="O6164" s="56"/>
    </row>
    <row r="6165" spans="1:15">
      <c r="A6165" s="577" t="s">
        <v>8</v>
      </c>
      <c r="B6165" s="578"/>
      <c r="C6165" s="98" t="str">
        <f>VLOOKUP(A6165,'Materiales '!$C$2:$F$1302,3,0)</f>
        <v>-</v>
      </c>
      <c r="D6165" s="99">
        <f>VLOOKUP(A6165,'Materiales '!$C$2:$F$1302,4,0)</f>
        <v>0</v>
      </c>
      <c r="E6165" s="100"/>
      <c r="F6165" s="538">
        <f t="shared" ref="F6165:F6171" si="361">E6165*D6165</f>
        <v>0</v>
      </c>
      <c r="G6165" s="539"/>
      <c r="H6165" s="121"/>
      <c r="I6165">
        <f>E6165*G6154</f>
        <v>0</v>
      </c>
      <c r="J6165" s="67"/>
      <c r="K6165" s="56"/>
      <c r="L6165" s="56"/>
      <c r="M6165" s="56"/>
      <c r="N6165" s="56"/>
      <c r="O6165" s="56"/>
    </row>
    <row r="6166" spans="1:15">
      <c r="A6166" s="536" t="s">
        <v>8</v>
      </c>
      <c r="B6166" s="537" t="str">
        <f>VLOOKUP(A6166,'Materiales '!$C$2:$F$1302,3,0)</f>
        <v>-</v>
      </c>
      <c r="C6166" s="98" t="str">
        <f>VLOOKUP(A6166,'Materiales '!$C$2:$F$1302,3,0)</f>
        <v>-</v>
      </c>
      <c r="D6166" s="99">
        <f>VLOOKUP(A6166,'Materiales '!$C$2:$F$1302,4,0)</f>
        <v>0</v>
      </c>
      <c r="E6166" s="100"/>
      <c r="F6166" s="538">
        <f t="shared" si="361"/>
        <v>0</v>
      </c>
      <c r="G6166" s="539"/>
      <c r="H6166" s="121"/>
      <c r="I6166">
        <f>E6166*G6154</f>
        <v>0</v>
      </c>
      <c r="J6166" s="68"/>
      <c r="K6166" s="56"/>
      <c r="L6166" s="56"/>
      <c r="M6166" s="56"/>
      <c r="N6166" s="56"/>
      <c r="O6166" s="56"/>
    </row>
    <row r="6167" spans="1:15">
      <c r="A6167" s="536" t="s">
        <v>8</v>
      </c>
      <c r="B6167" s="537" t="str">
        <f>VLOOKUP(A6167,'Materiales '!$C$2:$F$1302,3,0)</f>
        <v>-</v>
      </c>
      <c r="C6167" s="98" t="str">
        <f>VLOOKUP(A6167,'Materiales '!$C$2:$F$1302,3,0)</f>
        <v>-</v>
      </c>
      <c r="D6167" s="99">
        <f>VLOOKUP(A6167,'Materiales '!$C$2:$F$1302,4,0)</f>
        <v>0</v>
      </c>
      <c r="E6167" s="100"/>
      <c r="F6167" s="538">
        <f t="shared" si="361"/>
        <v>0</v>
      </c>
      <c r="G6167" s="539"/>
      <c r="H6167" s="121"/>
      <c r="I6167">
        <f>E6167*G6154</f>
        <v>0</v>
      </c>
      <c r="J6167" s="68"/>
      <c r="K6167" s="56"/>
      <c r="L6167" s="56"/>
      <c r="M6167" s="56"/>
      <c r="N6167" s="56"/>
      <c r="O6167" s="56"/>
    </row>
    <row r="6168" spans="1:15">
      <c r="A6168" s="536" t="s">
        <v>8</v>
      </c>
      <c r="B6168" s="537" t="str">
        <f>VLOOKUP(A6168,'Materiales '!$C$2:$F$1302,3,0)</f>
        <v>-</v>
      </c>
      <c r="C6168" s="98" t="str">
        <f>VLOOKUP(A6168,'Materiales '!$C$2:$F$1302,3,0)</f>
        <v>-</v>
      </c>
      <c r="D6168" s="99">
        <f>VLOOKUP(A6168,'Materiales '!$C$2:$F$1302,4,0)</f>
        <v>0</v>
      </c>
      <c r="E6168" s="100"/>
      <c r="F6168" s="538">
        <f t="shared" si="361"/>
        <v>0</v>
      </c>
      <c r="G6168" s="539"/>
      <c r="H6168" s="121"/>
      <c r="I6168">
        <f>E6168*G6154</f>
        <v>0</v>
      </c>
      <c r="J6168" s="68"/>
      <c r="K6168" s="56"/>
      <c r="L6168" s="56"/>
      <c r="M6168" s="56"/>
      <c r="N6168" s="56"/>
      <c r="O6168" s="56"/>
    </row>
    <row r="6169" spans="1:15">
      <c r="A6169" s="536" t="s">
        <v>8</v>
      </c>
      <c r="B6169" s="537" t="str">
        <f>VLOOKUP(A6169,'Materiales '!$C$2:$F$1302,3,0)</f>
        <v>-</v>
      </c>
      <c r="C6169" s="98" t="str">
        <f>VLOOKUP(A6169,'Materiales '!$C$2:$F$1302,3,0)</f>
        <v>-</v>
      </c>
      <c r="D6169" s="99">
        <f>VLOOKUP(A6169,'Materiales '!$C$2:$F$1302,4,0)</f>
        <v>0</v>
      </c>
      <c r="E6169" s="100"/>
      <c r="F6169" s="538">
        <f t="shared" si="361"/>
        <v>0</v>
      </c>
      <c r="G6169" s="539"/>
      <c r="H6169" s="121"/>
      <c r="I6169">
        <f>E6169*G6154</f>
        <v>0</v>
      </c>
      <c r="J6169" s="68"/>
      <c r="K6169" s="56"/>
      <c r="L6169" s="56"/>
      <c r="M6169" s="56"/>
      <c r="N6169" s="56"/>
      <c r="O6169" s="56"/>
    </row>
    <row r="6170" spans="1:15">
      <c r="A6170" s="536" t="s">
        <v>8</v>
      </c>
      <c r="B6170" s="537" t="str">
        <f>VLOOKUP(A6170,'Materiales '!$C$2:$F$1302,3,0)</f>
        <v>-</v>
      </c>
      <c r="C6170" s="98" t="str">
        <f>VLOOKUP(A6170,'Materiales '!$C$2:$F$1302,3,0)</f>
        <v>-</v>
      </c>
      <c r="D6170" s="99">
        <f>VLOOKUP(A6170,'Materiales '!$C$2:$F$1302,4,0)</f>
        <v>0</v>
      </c>
      <c r="E6170" s="100"/>
      <c r="F6170" s="538">
        <f t="shared" si="361"/>
        <v>0</v>
      </c>
      <c r="G6170" s="539"/>
      <c r="H6170" s="121"/>
      <c r="I6170">
        <f>E6170*G6154</f>
        <v>0</v>
      </c>
      <c r="J6170" s="68"/>
      <c r="K6170" s="56"/>
      <c r="L6170" s="56"/>
      <c r="M6170" s="56"/>
      <c r="N6170" s="56"/>
      <c r="O6170" s="56"/>
    </row>
    <row r="6171" spans="1:15" ht="21.75" customHeight="1">
      <c r="A6171" s="536" t="s">
        <v>8</v>
      </c>
      <c r="B6171" s="537" t="str">
        <f>VLOOKUP(A6171,'Materiales '!$C$2:$F$1302,3,0)</f>
        <v>-</v>
      </c>
      <c r="C6171" s="98" t="str">
        <f>VLOOKUP(A6171,'Materiales '!$C$2:$F$1302,3,0)</f>
        <v>-</v>
      </c>
      <c r="D6171" s="99">
        <f>VLOOKUP(A6171,'Materiales '!$C$2:$F$1302,4,0)</f>
        <v>0</v>
      </c>
      <c r="E6171" s="100"/>
      <c r="F6171" s="538">
        <f t="shared" si="361"/>
        <v>0</v>
      </c>
      <c r="G6171" s="539"/>
      <c r="H6171" s="121"/>
      <c r="I6171">
        <f>E6171*G6154</f>
        <v>0</v>
      </c>
      <c r="J6171" s="68"/>
      <c r="K6171" s="56"/>
      <c r="L6171" s="56"/>
      <c r="M6171" s="56"/>
      <c r="N6171" s="56"/>
      <c r="O6171" s="56"/>
    </row>
    <row r="6172" spans="1:15">
      <c r="A6172" s="536" t="s">
        <v>8</v>
      </c>
      <c r="B6172" s="537" t="str">
        <f>VLOOKUP(A6172,'Materiales '!$C$2:$F$1302,3,0)</f>
        <v>-</v>
      </c>
      <c r="C6172" s="98" t="str">
        <f>VLOOKUP(A6172,'Materiales '!$C$2:$F$1302,3,0)</f>
        <v>-</v>
      </c>
      <c r="D6172" s="99">
        <f>VLOOKUP(A6172,'Materiales '!$C$2:$F$1302,4,0)</f>
        <v>0</v>
      </c>
      <c r="E6172" s="100"/>
      <c r="F6172" s="538">
        <f>E6172*D6172</f>
        <v>0</v>
      </c>
      <c r="G6172" s="539"/>
      <c r="H6172" s="120"/>
      <c r="I6172">
        <f>E6172*G6154</f>
        <v>0</v>
      </c>
      <c r="J6172" s="68"/>
      <c r="K6172" s="56"/>
      <c r="L6172" s="56"/>
      <c r="M6172" s="56"/>
      <c r="N6172" s="56"/>
      <c r="O6172" s="56"/>
    </row>
    <row r="6173" spans="1:15">
      <c r="A6173" s="536" t="s">
        <v>8</v>
      </c>
      <c r="B6173" s="537" t="str">
        <f>VLOOKUP(A6173,'Materiales '!$C$2:$F$1302,3,0)</f>
        <v>-</v>
      </c>
      <c r="C6173" s="98" t="str">
        <f>VLOOKUP(A6173,'Materiales '!$C$2:$F$1302,3,0)</f>
        <v>-</v>
      </c>
      <c r="D6173" s="99">
        <f>VLOOKUP(A6173,'Materiales '!$C$2:$F$1302,4,0)</f>
        <v>0</v>
      </c>
      <c r="E6173" s="100"/>
      <c r="F6173" s="538">
        <f t="shared" ref="F6173:F6176" si="362">E6173*D6173</f>
        <v>0</v>
      </c>
      <c r="G6173" s="539"/>
      <c r="H6173" s="121"/>
      <c r="I6173">
        <f>E6173*G6154</f>
        <v>0</v>
      </c>
      <c r="J6173" s="68"/>
      <c r="K6173" s="56"/>
      <c r="L6173" s="56"/>
      <c r="M6173" s="56"/>
      <c r="N6173" s="56"/>
      <c r="O6173" s="56"/>
    </row>
    <row r="6174" spans="1:15">
      <c r="A6174" s="536" t="s">
        <v>8</v>
      </c>
      <c r="B6174" s="537" t="str">
        <f>VLOOKUP(A6174,'Materiales '!$C$2:$F$1302,3,0)</f>
        <v>-</v>
      </c>
      <c r="C6174" s="98" t="str">
        <f>VLOOKUP(A6174,'Materiales '!$C$2:$F$1302,3,0)</f>
        <v>-</v>
      </c>
      <c r="D6174" s="99">
        <f>VLOOKUP(A6174,'Materiales '!$C$2:$F$1302,4,0)</f>
        <v>0</v>
      </c>
      <c r="E6174" s="100"/>
      <c r="F6174" s="538">
        <f t="shared" si="362"/>
        <v>0</v>
      </c>
      <c r="G6174" s="539"/>
      <c r="H6174" s="121"/>
      <c r="I6174">
        <f>E6174*G6154</f>
        <v>0</v>
      </c>
      <c r="J6174" s="68"/>
      <c r="K6174" s="56"/>
      <c r="L6174" s="56"/>
      <c r="M6174" s="56"/>
      <c r="N6174" s="56"/>
      <c r="O6174" s="56"/>
    </row>
    <row r="6175" spans="1:15">
      <c r="A6175" s="536" t="s">
        <v>8</v>
      </c>
      <c r="B6175" s="537" t="str">
        <f>VLOOKUP(A6175,'Materiales '!$C$2:$F$1302,3,0)</f>
        <v>-</v>
      </c>
      <c r="C6175" s="98" t="str">
        <f>VLOOKUP(A6175,'Materiales '!$C$2:$F$1302,3,0)</f>
        <v>-</v>
      </c>
      <c r="D6175" s="99">
        <f>VLOOKUP(A6175,'Materiales '!$C$2:$F$1302,4,0)</f>
        <v>0</v>
      </c>
      <c r="E6175" s="100"/>
      <c r="F6175" s="538">
        <f t="shared" si="362"/>
        <v>0</v>
      </c>
      <c r="G6175" s="539"/>
      <c r="H6175" s="121"/>
      <c r="I6175">
        <f>E6175*G6154</f>
        <v>0</v>
      </c>
      <c r="J6175" s="68"/>
      <c r="K6175" s="56"/>
      <c r="L6175" s="56"/>
      <c r="M6175" s="56"/>
      <c r="N6175" s="56"/>
      <c r="O6175" s="56"/>
    </row>
    <row r="6176" spans="1:15">
      <c r="A6176" s="536" t="s">
        <v>8</v>
      </c>
      <c r="B6176" s="537" t="str">
        <f>VLOOKUP(A6176,'Materiales '!$C$2:$F$1302,3,0)</f>
        <v>-</v>
      </c>
      <c r="C6176" s="98" t="str">
        <f>VLOOKUP(A6176,'Materiales '!$C$2:$F$1302,3,0)</f>
        <v>-</v>
      </c>
      <c r="D6176" s="99">
        <f>VLOOKUP(A6176,'Materiales '!$C$2:$F$1302,4,0)</f>
        <v>0</v>
      </c>
      <c r="E6176" s="100"/>
      <c r="F6176" s="538">
        <f t="shared" si="362"/>
        <v>0</v>
      </c>
      <c r="G6176" s="539"/>
      <c r="H6176" s="121"/>
      <c r="I6176">
        <f>E6176*G6154</f>
        <v>0</v>
      </c>
      <c r="J6176" s="68"/>
      <c r="K6176" s="56"/>
      <c r="L6176" s="56"/>
      <c r="M6176" s="56"/>
      <c r="N6176" s="56"/>
      <c r="O6176" s="56"/>
    </row>
    <row r="6177" spans="1:15">
      <c r="A6177" s="536" t="s">
        <v>8</v>
      </c>
      <c r="B6177" s="537" t="str">
        <f>VLOOKUP(A6177,'Materiales '!$C$2:$F$1302,3,0)</f>
        <v>-</v>
      </c>
      <c r="C6177" s="98" t="str">
        <f>VLOOKUP(A6177,'Materiales '!$C$2:$F$1302,3,0)</f>
        <v>-</v>
      </c>
      <c r="D6177" s="99">
        <f>VLOOKUP(A6177,'Materiales '!$C$2:$F$1302,4,0)</f>
        <v>0</v>
      </c>
      <c r="E6177" s="100"/>
      <c r="F6177" s="538">
        <f>E6177*D6177</f>
        <v>0</v>
      </c>
      <c r="G6177" s="539"/>
      <c r="H6177" s="120"/>
      <c r="I6177">
        <f>E6177*G6154</f>
        <v>0</v>
      </c>
      <c r="J6177" s="68"/>
      <c r="K6177" s="56"/>
      <c r="L6177" s="56"/>
      <c r="M6177" s="56"/>
      <c r="N6177" s="56"/>
      <c r="O6177" s="56"/>
    </row>
    <row r="6178" spans="1:15" ht="16.5">
      <c r="A6178" s="540" t="s">
        <v>4099</v>
      </c>
      <c r="B6178" s="541"/>
      <c r="C6178" s="541"/>
      <c r="D6178" s="541"/>
      <c r="E6178" s="541"/>
      <c r="F6178" s="541"/>
      <c r="G6178" s="542"/>
      <c r="H6178" s="116">
        <f>SUM(F6164:F6177)</f>
        <v>9424.7999999999993</v>
      </c>
      <c r="J6178" s="68"/>
      <c r="K6178" s="56"/>
      <c r="L6178" s="56"/>
      <c r="M6178" s="56"/>
      <c r="N6178" s="56"/>
      <c r="O6178" s="56"/>
    </row>
    <row r="6179" spans="1:15" ht="16.5">
      <c r="A6179" s="543" t="s">
        <v>4231</v>
      </c>
      <c r="B6179" s="544"/>
      <c r="C6179" s="544"/>
      <c r="D6179" s="544"/>
      <c r="E6179" s="545"/>
      <c r="F6179" s="544"/>
      <c r="G6179" s="544"/>
      <c r="H6179" s="546"/>
      <c r="J6179" s="68"/>
      <c r="K6179" s="56"/>
      <c r="L6179" s="56"/>
      <c r="M6179" s="56"/>
      <c r="N6179" s="56"/>
      <c r="O6179" s="56"/>
    </row>
    <row r="6180" spans="1:15">
      <c r="A6180" s="547" t="s">
        <v>7</v>
      </c>
      <c r="B6180" s="548"/>
      <c r="C6180" s="108" t="s">
        <v>4232</v>
      </c>
      <c r="D6180" s="107" t="s">
        <v>4233</v>
      </c>
      <c r="E6180" s="206" t="s">
        <v>4234</v>
      </c>
      <c r="F6180" s="549" t="s">
        <v>4218</v>
      </c>
      <c r="G6180" s="549"/>
      <c r="H6180" s="119"/>
      <c r="K6180" s="56"/>
      <c r="L6180" s="56"/>
      <c r="M6180" s="56"/>
      <c r="N6180" s="56"/>
      <c r="O6180" s="56"/>
    </row>
    <row r="6181" spans="1:15">
      <c r="A6181" s="550" t="s">
        <v>3928</v>
      </c>
      <c r="B6181" s="551"/>
      <c r="C6181" s="232">
        <v>1</v>
      </c>
      <c r="D6181" s="102">
        <v>5.0000000000000001E-3</v>
      </c>
      <c r="E6181" s="103">
        <f>VLOOKUP(A6181,'Equip, Herr y Transp'!$B$2:$D$218,3,0)</f>
        <v>160000</v>
      </c>
      <c r="F6181" s="552">
        <f>E6181*D6181*C6181</f>
        <v>800</v>
      </c>
      <c r="G6181" s="553"/>
      <c r="H6181" s="117"/>
      <c r="M6181" s="56"/>
    </row>
    <row r="6182" spans="1:15" ht="16.5">
      <c r="A6182" s="554" t="s">
        <v>4216</v>
      </c>
      <c r="B6182" s="555"/>
      <c r="C6182" s="555"/>
      <c r="D6182" s="555"/>
      <c r="E6182" s="555"/>
      <c r="F6182" s="555"/>
      <c r="G6182" s="555"/>
      <c r="H6182" s="105">
        <f>F6181</f>
        <v>800</v>
      </c>
    </row>
    <row r="6183" spans="1:15" ht="16.5">
      <c r="A6183" s="543" t="s">
        <v>4235</v>
      </c>
      <c r="B6183" s="544"/>
      <c r="C6183" s="544"/>
      <c r="D6183" s="544"/>
      <c r="E6183" s="544"/>
      <c r="F6183" s="544"/>
      <c r="G6183" s="544"/>
      <c r="H6183" s="546"/>
    </row>
    <row r="6184" spans="1:15">
      <c r="A6184" s="547" t="s">
        <v>7</v>
      </c>
      <c r="B6184" s="548"/>
      <c r="C6184" s="106" t="s">
        <v>1</v>
      </c>
      <c r="D6184" s="107" t="s">
        <v>4236</v>
      </c>
      <c r="E6184" s="108" t="s">
        <v>4215</v>
      </c>
      <c r="F6184" s="547" t="s">
        <v>5</v>
      </c>
      <c r="G6184" s="556"/>
      <c r="H6184" s="119"/>
    </row>
    <row r="6185" spans="1:15">
      <c r="A6185" s="550" t="s">
        <v>4196</v>
      </c>
      <c r="B6185" s="551"/>
      <c r="C6185" s="101">
        <v>1</v>
      </c>
      <c r="D6185" s="104">
        <f>VLOOKUP(A6185,'Mano Obra'!$B$2:$T$117,19,0)</f>
        <v>166624</v>
      </c>
      <c r="E6185" s="246">
        <f>H6147</f>
        <v>1.04E-2</v>
      </c>
      <c r="F6185" s="538">
        <f>E6185*D6185*C6185</f>
        <v>1732.8896</v>
      </c>
      <c r="G6185" s="557"/>
      <c r="H6185" s="121"/>
      <c r="I6185" s="69"/>
      <c r="J6185" s="136">
        <f>((('Mano Obra'!$M$4/30)*F6185)/D6185)*G6154</f>
        <v>112.53627435555556</v>
      </c>
    </row>
    <row r="6186" spans="1:15">
      <c r="A6186" s="558" t="s">
        <v>4197</v>
      </c>
      <c r="B6186" s="559">
        <f>VLOOKUP(A6186,'Mano Obra'!$B$3:$D$290,2,0)</f>
        <v>2090000.0000000002</v>
      </c>
      <c r="C6186" s="101">
        <v>1</v>
      </c>
      <c r="D6186" s="104">
        <f>VLOOKUP(A6186,'Mano Obra'!$B$2:$T$117,19,0)</f>
        <v>120456</v>
      </c>
      <c r="E6186" s="246">
        <f>H6147</f>
        <v>1.04E-2</v>
      </c>
      <c r="F6186" s="538">
        <f t="shared" ref="F6186:F6187" si="363">E6186*D6186*C6186</f>
        <v>1252.7423999999999</v>
      </c>
      <c r="G6186" s="557"/>
      <c r="H6186" s="121"/>
      <c r="J6186" s="136">
        <f>((('Mano Obra'!$M$5/30)*F6186)/D6186)*G6154</f>
        <v>112.53627435555553</v>
      </c>
    </row>
    <row r="6187" spans="1:15">
      <c r="A6187" s="558" t="s">
        <v>4186</v>
      </c>
      <c r="B6187" s="559">
        <f>VLOOKUP(A6187,'Mano Obra'!$B$3:$D$290,2,0)</f>
        <v>1100000</v>
      </c>
      <c r="C6187" s="101">
        <v>1</v>
      </c>
      <c r="D6187" s="104">
        <f>VLOOKUP(A6187,'Mano Obra'!$B$2:$T$117,19,0)</f>
        <v>72664</v>
      </c>
      <c r="E6187" s="246">
        <f>H6147</f>
        <v>1.04E-2</v>
      </c>
      <c r="F6187" s="538">
        <f t="shared" si="363"/>
        <v>755.7056</v>
      </c>
      <c r="G6187" s="557"/>
      <c r="H6187" s="120"/>
      <c r="J6187" s="136">
        <f>((('Mano Obra'!$M$6/30)*F6187)/D6187)*G6154</f>
        <v>112.53627435555555</v>
      </c>
    </row>
    <row r="6188" spans="1:15" ht="16.5">
      <c r="A6188" s="560" t="s">
        <v>4101</v>
      </c>
      <c r="B6188" s="560"/>
      <c r="C6188" s="560"/>
      <c r="D6188" s="560"/>
      <c r="E6188" s="560"/>
      <c r="F6188" s="560"/>
      <c r="G6188" s="560"/>
      <c r="H6188" s="105">
        <f>SUM(F6185:F6187)</f>
        <v>3741.3375999999998</v>
      </c>
      <c r="J6188" s="136"/>
    </row>
    <row r="6189" spans="1:15">
      <c r="A6189" s="227" t="s">
        <v>4237</v>
      </c>
      <c r="B6189" s="205"/>
      <c r="C6189" s="205"/>
      <c r="D6189" s="202"/>
      <c r="E6189" s="203"/>
      <c r="F6189" s="204"/>
      <c r="G6189" s="203"/>
      <c r="H6189" s="212"/>
    </row>
    <row r="6190" spans="1:15">
      <c r="A6190" s="561" t="s">
        <v>4224</v>
      </c>
      <c r="B6190" s="562"/>
      <c r="C6190" s="562"/>
      <c r="D6190" s="562"/>
      <c r="E6190" s="200"/>
      <c r="F6190" s="201" t="s">
        <v>4238</v>
      </c>
      <c r="G6190" s="200" t="s">
        <v>4239</v>
      </c>
      <c r="H6190" s="213"/>
    </row>
    <row r="6191" spans="1:15">
      <c r="A6191" s="223" t="s">
        <v>4097</v>
      </c>
      <c r="B6191" s="72"/>
      <c r="C6191" s="72"/>
      <c r="D6191" s="73"/>
      <c r="E6191" s="78"/>
      <c r="F6191" s="79">
        <v>0</v>
      </c>
      <c r="G6191" s="80">
        <f>F6191*H6155</f>
        <v>0</v>
      </c>
      <c r="H6191" s="212"/>
    </row>
    <row r="6192" spans="1:15">
      <c r="A6192" s="224" t="s">
        <v>4240</v>
      </c>
      <c r="B6192" s="81"/>
      <c r="C6192" s="81"/>
      <c r="D6192" s="82"/>
      <c r="E6192" s="78"/>
      <c r="F6192" s="79">
        <v>0</v>
      </c>
      <c r="G6192" s="80">
        <f>F6192*H6155</f>
        <v>0</v>
      </c>
      <c r="H6192" s="212"/>
    </row>
    <row r="6193" spans="1:14">
      <c r="A6193" s="224" t="s">
        <v>4</v>
      </c>
      <c r="B6193" s="81"/>
      <c r="C6193" s="81"/>
      <c r="D6193" s="82"/>
      <c r="E6193" s="78"/>
      <c r="F6193" s="79">
        <v>0</v>
      </c>
      <c r="G6193" s="80">
        <f>F6193*H6155</f>
        <v>0</v>
      </c>
      <c r="H6193" s="212"/>
    </row>
    <row r="6194" spans="1:14">
      <c r="A6194" s="225"/>
      <c r="B6194" s="83"/>
      <c r="C6194" s="75"/>
      <c r="D6194" s="84"/>
      <c r="E6194" s="85"/>
      <c r="F6194" s="86"/>
      <c r="G6194" s="87"/>
      <c r="H6194" s="214"/>
    </row>
    <row r="6195" spans="1:14">
      <c r="A6195" s="226"/>
      <c r="B6195" s="83"/>
      <c r="C6195" s="83"/>
      <c r="D6195" s="84"/>
      <c r="E6195" s="88"/>
      <c r="F6195" s="563" t="s">
        <v>4241</v>
      </c>
      <c r="G6195" s="564"/>
      <c r="H6195" s="233">
        <f>H6155+G6191+G6192+G6193</f>
        <v>14390.4836</v>
      </c>
    </row>
    <row r="6197" spans="1:14" ht="16.5">
      <c r="A6197" s="90"/>
      <c r="B6197" s="90"/>
      <c r="C6197" s="90"/>
      <c r="D6197" s="90"/>
      <c r="E6197" s="90"/>
      <c r="F6197" s="90"/>
      <c r="G6197" s="90"/>
      <c r="H6197" s="381"/>
    </row>
    <row r="6198" spans="1:14">
      <c r="A6198" s="579" t="s">
        <v>4225</v>
      </c>
      <c r="B6198" s="580"/>
      <c r="C6198" s="580"/>
      <c r="D6198" s="580"/>
      <c r="E6198" s="580"/>
      <c r="F6198" s="580"/>
      <c r="G6198" s="580"/>
      <c r="H6198" s="581"/>
    </row>
    <row r="6199" spans="1:14" ht="16.5">
      <c r="A6199" s="91"/>
      <c r="B6199" s="92"/>
      <c r="C6199" s="92"/>
      <c r="D6199" s="92"/>
      <c r="E6199" s="92"/>
      <c r="F6199" s="93"/>
      <c r="G6199" s="94"/>
      <c r="H6199" s="380">
        <f>ROUND((5/60)/8,4)</f>
        <v>1.04E-2</v>
      </c>
      <c r="I6199" s="115"/>
    </row>
    <row r="6200" spans="1:14">
      <c r="A6200" s="582" t="s">
        <v>4220</v>
      </c>
      <c r="B6200" s="584" t="str">
        <f>COSTOS!$C$14</f>
        <v>MODERNIZACION A TECNOLOGIA LED</v>
      </c>
      <c r="C6200" s="584"/>
      <c r="D6200" s="584"/>
      <c r="E6200" s="584"/>
      <c r="F6200" s="584"/>
      <c r="G6200" s="584"/>
      <c r="H6200" s="585" t="s">
        <v>4221</v>
      </c>
    </row>
    <row r="6201" spans="1:14">
      <c r="A6201" s="583"/>
      <c r="B6201" s="584"/>
      <c r="C6201" s="584"/>
      <c r="D6201" s="584"/>
      <c r="E6201" s="584"/>
      <c r="F6201" s="584"/>
      <c r="G6201" s="584"/>
      <c r="H6201" s="585"/>
    </row>
    <row r="6202" spans="1:14">
      <c r="A6202" s="583"/>
      <c r="B6202" s="584"/>
      <c r="C6202" s="584"/>
      <c r="D6202" s="584"/>
      <c r="E6202" s="584"/>
      <c r="F6202" s="584"/>
      <c r="G6202" s="584"/>
      <c r="H6202" s="585"/>
    </row>
    <row r="6203" spans="1:14" ht="15" customHeight="1">
      <c r="A6203" s="583"/>
      <c r="B6203" s="584"/>
      <c r="C6203" s="584"/>
      <c r="D6203" s="584"/>
      <c r="E6203" s="584"/>
      <c r="F6203" s="584"/>
      <c r="G6203" s="584"/>
      <c r="H6203" s="216">
        <f ca="1">TODAY()</f>
        <v>44889</v>
      </c>
      <c r="K6203" t="s">
        <v>4391</v>
      </c>
      <c r="L6203" t="s">
        <v>4392</v>
      </c>
      <c r="M6203" t="s">
        <v>4393</v>
      </c>
      <c r="N6203" t="s">
        <v>4394</v>
      </c>
    </row>
    <row r="6204" spans="1:14" ht="60.75" customHeight="1">
      <c r="A6204" s="228" t="s">
        <v>4222</v>
      </c>
      <c r="B6204" s="565" t="str">
        <f>COSTOS!$D$16</f>
        <v>Luminarias</v>
      </c>
      <c r="C6204" s="565"/>
      <c r="D6204" s="565"/>
      <c r="E6204" s="565"/>
      <c r="F6204" s="565"/>
      <c r="G6204" s="70" t="s">
        <v>4223</v>
      </c>
      <c r="H6204" s="387">
        <v>3.7</v>
      </c>
      <c r="K6204" s="62">
        <f>H6230</f>
        <v>9853.2000000000007</v>
      </c>
      <c r="L6204" s="62">
        <f>H6240</f>
        <v>3741.3375999999998</v>
      </c>
      <c r="M6204" s="62">
        <f>H6213</f>
        <v>146.952</v>
      </c>
      <c r="N6204" s="62">
        <f>H6234</f>
        <v>800</v>
      </c>
    </row>
    <row r="6205" spans="1:14" ht="43.15" customHeight="1">
      <c r="A6205" s="229" t="s">
        <v>4224</v>
      </c>
      <c r="B6205" s="566" t="str">
        <f>VLOOKUP(H6204,COSTOS!C:M,2,0)</f>
        <v>Red canalizada en cable aluminio 3 No 4 x 500m</v>
      </c>
      <c r="C6205" s="567"/>
      <c r="D6205" s="567"/>
      <c r="E6205" s="568"/>
      <c r="F6205" s="71" t="s">
        <v>0</v>
      </c>
      <c r="G6205" s="356" t="str">
        <f>VLOOKUP(H6204,COSTOS!C:M,8,0)</f>
        <v>Und</v>
      </c>
      <c r="H6205" s="276"/>
      <c r="I6205" s="306"/>
      <c r="J6205" s="308"/>
      <c r="K6205" s="308"/>
      <c r="L6205" s="308"/>
    </row>
    <row r="6206" spans="1:14">
      <c r="A6206" s="230"/>
      <c r="B6206" s="112"/>
      <c r="C6206" s="112"/>
      <c r="D6206" s="112"/>
      <c r="E6206" s="113"/>
      <c r="F6206" s="114" t="s">
        <v>1</v>
      </c>
      <c r="G6206" s="356">
        <f>VLOOKUP(H6204,COSTOS!C:M,9,0)</f>
        <v>0</v>
      </c>
      <c r="H6206" s="357"/>
      <c r="I6206" s="307"/>
    </row>
    <row r="6207" spans="1:14" ht="16.5">
      <c r="A6207" s="231" t="s">
        <v>4226</v>
      </c>
      <c r="B6207" s="75"/>
      <c r="C6207" s="75"/>
      <c r="D6207" s="76"/>
      <c r="E6207" s="209"/>
      <c r="F6207" s="210"/>
      <c r="G6207" s="211" t="s">
        <v>4227</v>
      </c>
      <c r="H6207" s="217">
        <f>H6213+H6230+H6234+H6240</f>
        <v>14541.489600000001</v>
      </c>
    </row>
    <row r="6208" spans="1:14" ht="39">
      <c r="A6208" s="569" t="s">
        <v>4224</v>
      </c>
      <c r="B6208" s="569"/>
      <c r="C6208" s="569"/>
      <c r="D6208" s="77" t="s">
        <v>0</v>
      </c>
      <c r="E6208" s="207" t="s">
        <v>4228</v>
      </c>
      <c r="F6208" s="208" t="s">
        <v>4215</v>
      </c>
      <c r="G6208" s="74" t="s">
        <v>2</v>
      </c>
      <c r="H6208" s="218" t="s">
        <v>4229</v>
      </c>
      <c r="K6208" s="309"/>
    </row>
    <row r="6209" spans="1:15">
      <c r="A6209" s="536" t="s">
        <v>3946</v>
      </c>
      <c r="B6209" s="570" t="str">
        <f>VLOOKUP(A6209,'Equip, Herr y Transp'!$B$2:$D$739,2,0)</f>
        <v>EQU</v>
      </c>
      <c r="C6209" s="570"/>
      <c r="D6209" s="95" t="str">
        <f>VLOOKUP(A6209,'Equip, Herr y Transp'!$B$2:$D$218,2,0)</f>
        <v>EQU</v>
      </c>
      <c r="E6209" s="95">
        <f>VLOOKUP(A6209,'Equip, Herr y Transp'!$B$2:$D$218,3,0)</f>
        <v>14130</v>
      </c>
      <c r="F6209" s="96">
        <f>H6199</f>
        <v>1.04E-2</v>
      </c>
      <c r="G6209" s="122">
        <f>F6209*E6209</f>
        <v>146.952</v>
      </c>
      <c r="H6209" s="118"/>
    </row>
    <row r="6210" spans="1:15">
      <c r="A6210" s="536" t="s">
        <v>8</v>
      </c>
      <c r="B6210" s="570">
        <f>VLOOKUP(A6210,'Equip, Herr y Transp'!$B$2:$D$739,2,0)</f>
        <v>0</v>
      </c>
      <c r="C6210" s="570"/>
      <c r="D6210" s="95">
        <f>VLOOKUP(A6210,'Equip, Herr y Transp'!$B$2:$D$218,2,0)</f>
        <v>0</v>
      </c>
      <c r="E6210" s="95">
        <f>VLOOKUP(A6210,'Equip, Herr y Transp'!$B$2:$D$218,3,0)</f>
        <v>0</v>
      </c>
      <c r="F6210" s="96">
        <f>H6199</f>
        <v>1.04E-2</v>
      </c>
      <c r="G6210" s="122">
        <f>F6210*E6210</f>
        <v>0</v>
      </c>
      <c r="H6210" s="117"/>
    </row>
    <row r="6211" spans="1:15">
      <c r="A6211" s="536" t="s">
        <v>8</v>
      </c>
      <c r="B6211" s="570">
        <f>VLOOKUP(A6211,'Equip, Herr y Transp'!$B$2:$D$739,2,0)</f>
        <v>0</v>
      </c>
      <c r="C6211" s="570"/>
      <c r="D6211" s="95">
        <f>VLOOKUP(A6211,'Equip, Herr y Transp'!$B$2:$D$218,2,0)</f>
        <v>0</v>
      </c>
      <c r="E6211" s="95">
        <f>VLOOKUP(A6211,'Equip, Herr y Transp'!$B$2:$D$218,3,0)</f>
        <v>0</v>
      </c>
      <c r="F6211" s="96">
        <f>H6199</f>
        <v>1.04E-2</v>
      </c>
      <c r="G6211" s="122">
        <f>F6211*E6211</f>
        <v>0</v>
      </c>
      <c r="H6211" s="117"/>
    </row>
    <row r="6212" spans="1:15">
      <c r="A6212" s="536" t="s">
        <v>8</v>
      </c>
      <c r="B6212" s="570">
        <f>VLOOKUP(A6212,'Equip, Herr y Transp'!$B$2:$D$739,2,0)</f>
        <v>0</v>
      </c>
      <c r="C6212" s="570"/>
      <c r="D6212" s="95">
        <f>VLOOKUP(A6212,'Equip, Herr y Transp'!$B$2:$D$218,2,0)</f>
        <v>0</v>
      </c>
      <c r="E6212" s="95">
        <f>VLOOKUP(A6212,'Equip, Herr y Transp'!$B$2:$D$218,3,0)</f>
        <v>0</v>
      </c>
      <c r="F6212" s="96">
        <f>H6199</f>
        <v>1.04E-2</v>
      </c>
      <c r="G6212" s="122">
        <f>F6212*E6212</f>
        <v>0</v>
      </c>
      <c r="H6212" s="117"/>
    </row>
    <row r="6213" spans="1:15" ht="16.5">
      <c r="A6213" s="540" t="s">
        <v>4100</v>
      </c>
      <c r="B6213" s="541"/>
      <c r="C6213" s="541"/>
      <c r="D6213" s="541"/>
      <c r="E6213" s="541"/>
      <c r="F6213" s="541"/>
      <c r="G6213" s="541"/>
      <c r="H6213" s="97">
        <f>SUM(G6209:G6212)</f>
        <v>146.952</v>
      </c>
    </row>
    <row r="6214" spans="1:15" ht="16.5">
      <c r="A6214" s="571" t="s">
        <v>4230</v>
      </c>
      <c r="B6214" s="572"/>
      <c r="C6214" s="572"/>
      <c r="D6214" s="572"/>
      <c r="E6214" s="572"/>
      <c r="F6214" s="572"/>
      <c r="G6214" s="572"/>
      <c r="H6214" s="573"/>
      <c r="K6214" s="56"/>
      <c r="L6214" s="56"/>
      <c r="M6214" s="56"/>
      <c r="N6214" s="56"/>
      <c r="O6214" s="56"/>
    </row>
    <row r="6215" spans="1:15" ht="30" customHeight="1">
      <c r="A6215" s="574" t="s">
        <v>7</v>
      </c>
      <c r="B6215" s="575"/>
      <c r="C6215" s="109" t="s">
        <v>0</v>
      </c>
      <c r="D6215" s="110" t="s">
        <v>4098</v>
      </c>
      <c r="E6215" s="111" t="s">
        <v>1</v>
      </c>
      <c r="F6215" s="576" t="s">
        <v>4218</v>
      </c>
      <c r="G6215" s="576"/>
      <c r="H6215" s="215"/>
      <c r="K6215" s="56"/>
      <c r="L6215" s="56"/>
      <c r="M6215" s="56"/>
      <c r="N6215" s="56"/>
      <c r="O6215" s="56"/>
    </row>
    <row r="6216" spans="1:15">
      <c r="A6216" s="577" t="s">
        <v>4444</v>
      </c>
      <c r="B6216" s="578"/>
      <c r="C6216" s="98" t="str">
        <f>VLOOKUP(A6216,'Materiales '!$C$2:$F$1302,3,0)</f>
        <v>Ml</v>
      </c>
      <c r="D6216" s="99">
        <f>VLOOKUP(A6216,'Materiales '!$C$2:$F$1302,4,0)</f>
        <v>3284.4</v>
      </c>
      <c r="E6216" s="100">
        <v>3</v>
      </c>
      <c r="F6216" s="538">
        <f>E6216*D6216</f>
        <v>9853.2000000000007</v>
      </c>
      <c r="G6216" s="539"/>
      <c r="H6216" s="121"/>
      <c r="I6216">
        <f>E6216*G6206</f>
        <v>0</v>
      </c>
      <c r="J6216" s="67"/>
      <c r="K6216" s="56"/>
      <c r="L6216" s="56"/>
      <c r="M6216" s="56"/>
      <c r="N6216" s="56"/>
      <c r="O6216" s="56"/>
    </row>
    <row r="6217" spans="1:15">
      <c r="A6217" s="577" t="s">
        <v>8</v>
      </c>
      <c r="B6217" s="578"/>
      <c r="C6217" s="98" t="str">
        <f>VLOOKUP(A6217,'Materiales '!$C$2:$F$1302,3,0)</f>
        <v>-</v>
      </c>
      <c r="D6217" s="99">
        <f>VLOOKUP(A6217,'Materiales '!$C$2:$F$1302,4,0)</f>
        <v>0</v>
      </c>
      <c r="E6217" s="100"/>
      <c r="F6217" s="538">
        <f t="shared" ref="F6217:F6223" si="364">E6217*D6217</f>
        <v>0</v>
      </c>
      <c r="G6217" s="539"/>
      <c r="H6217" s="121"/>
      <c r="I6217">
        <f>E6217*G6206</f>
        <v>0</v>
      </c>
      <c r="J6217" s="67"/>
      <c r="K6217" s="56"/>
      <c r="L6217" s="56"/>
      <c r="M6217" s="56"/>
      <c r="N6217" s="56"/>
      <c r="O6217" s="56"/>
    </row>
    <row r="6218" spans="1:15">
      <c r="A6218" s="536" t="s">
        <v>8</v>
      </c>
      <c r="B6218" s="537" t="str">
        <f>VLOOKUP(A6218,'Materiales '!$C$2:$F$1302,3,0)</f>
        <v>-</v>
      </c>
      <c r="C6218" s="98" t="str">
        <f>VLOOKUP(A6218,'Materiales '!$C$2:$F$1302,3,0)</f>
        <v>-</v>
      </c>
      <c r="D6218" s="99">
        <f>VLOOKUP(A6218,'Materiales '!$C$2:$F$1302,4,0)</f>
        <v>0</v>
      </c>
      <c r="E6218" s="100"/>
      <c r="F6218" s="538">
        <f t="shared" si="364"/>
        <v>0</v>
      </c>
      <c r="G6218" s="539"/>
      <c r="H6218" s="121"/>
      <c r="I6218">
        <f>E6218*G6206</f>
        <v>0</v>
      </c>
      <c r="J6218" s="68"/>
      <c r="K6218" s="56"/>
      <c r="L6218" s="56"/>
      <c r="M6218" s="56"/>
      <c r="N6218" s="56"/>
      <c r="O6218" s="56"/>
    </row>
    <row r="6219" spans="1:15">
      <c r="A6219" s="536" t="s">
        <v>8</v>
      </c>
      <c r="B6219" s="537" t="str">
        <f>VLOOKUP(A6219,'Materiales '!$C$2:$F$1302,3,0)</f>
        <v>-</v>
      </c>
      <c r="C6219" s="98" t="str">
        <f>VLOOKUP(A6219,'Materiales '!$C$2:$F$1302,3,0)</f>
        <v>-</v>
      </c>
      <c r="D6219" s="99">
        <f>VLOOKUP(A6219,'Materiales '!$C$2:$F$1302,4,0)</f>
        <v>0</v>
      </c>
      <c r="E6219" s="100"/>
      <c r="F6219" s="538">
        <f t="shared" si="364"/>
        <v>0</v>
      </c>
      <c r="G6219" s="539"/>
      <c r="H6219" s="121"/>
      <c r="I6219">
        <f>E6219*G6206</f>
        <v>0</v>
      </c>
      <c r="J6219" s="68"/>
      <c r="K6219" s="56"/>
      <c r="L6219" s="56"/>
      <c r="M6219" s="56"/>
      <c r="N6219" s="56"/>
      <c r="O6219" s="56"/>
    </row>
    <row r="6220" spans="1:15">
      <c r="A6220" s="536" t="s">
        <v>8</v>
      </c>
      <c r="B6220" s="537" t="str">
        <f>VLOOKUP(A6220,'Materiales '!$C$2:$F$1302,3,0)</f>
        <v>-</v>
      </c>
      <c r="C6220" s="98" t="str">
        <f>VLOOKUP(A6220,'Materiales '!$C$2:$F$1302,3,0)</f>
        <v>-</v>
      </c>
      <c r="D6220" s="99">
        <f>VLOOKUP(A6220,'Materiales '!$C$2:$F$1302,4,0)</f>
        <v>0</v>
      </c>
      <c r="E6220" s="100"/>
      <c r="F6220" s="538">
        <f t="shared" si="364"/>
        <v>0</v>
      </c>
      <c r="G6220" s="539"/>
      <c r="H6220" s="121"/>
      <c r="I6220">
        <f>E6220*G6206</f>
        <v>0</v>
      </c>
      <c r="J6220" s="68"/>
      <c r="K6220" s="56"/>
      <c r="L6220" s="56"/>
      <c r="M6220" s="56"/>
      <c r="N6220" s="56"/>
      <c r="O6220" s="56"/>
    </row>
    <row r="6221" spans="1:15">
      <c r="A6221" s="536" t="s">
        <v>8</v>
      </c>
      <c r="B6221" s="537" t="str">
        <f>VLOOKUP(A6221,'Materiales '!$C$2:$F$1302,3,0)</f>
        <v>-</v>
      </c>
      <c r="C6221" s="98" t="str">
        <f>VLOOKUP(A6221,'Materiales '!$C$2:$F$1302,3,0)</f>
        <v>-</v>
      </c>
      <c r="D6221" s="99">
        <f>VLOOKUP(A6221,'Materiales '!$C$2:$F$1302,4,0)</f>
        <v>0</v>
      </c>
      <c r="E6221" s="100"/>
      <c r="F6221" s="538">
        <f t="shared" si="364"/>
        <v>0</v>
      </c>
      <c r="G6221" s="539"/>
      <c r="H6221" s="121"/>
      <c r="I6221">
        <f>E6221*G6206</f>
        <v>0</v>
      </c>
      <c r="J6221" s="68"/>
      <c r="K6221" s="56"/>
      <c r="L6221" s="56"/>
      <c r="M6221" s="56"/>
      <c r="N6221" s="56"/>
      <c r="O6221" s="56"/>
    </row>
    <row r="6222" spans="1:15">
      <c r="A6222" s="536" t="s">
        <v>8</v>
      </c>
      <c r="B6222" s="537" t="str">
        <f>VLOOKUP(A6222,'Materiales '!$C$2:$F$1302,3,0)</f>
        <v>-</v>
      </c>
      <c r="C6222" s="98" t="str">
        <f>VLOOKUP(A6222,'Materiales '!$C$2:$F$1302,3,0)</f>
        <v>-</v>
      </c>
      <c r="D6222" s="99">
        <f>VLOOKUP(A6222,'Materiales '!$C$2:$F$1302,4,0)</f>
        <v>0</v>
      </c>
      <c r="E6222" s="100"/>
      <c r="F6222" s="538">
        <f t="shared" si="364"/>
        <v>0</v>
      </c>
      <c r="G6222" s="539"/>
      <c r="H6222" s="121"/>
      <c r="I6222">
        <f>E6222*G6206</f>
        <v>0</v>
      </c>
      <c r="J6222" s="68"/>
      <c r="K6222" s="56"/>
      <c r="L6222" s="56"/>
      <c r="M6222" s="56"/>
      <c r="N6222" s="56"/>
      <c r="O6222" s="56"/>
    </row>
    <row r="6223" spans="1:15" ht="21.75" customHeight="1">
      <c r="A6223" s="536" t="s">
        <v>8</v>
      </c>
      <c r="B6223" s="537" t="str">
        <f>VLOOKUP(A6223,'Materiales '!$C$2:$F$1302,3,0)</f>
        <v>-</v>
      </c>
      <c r="C6223" s="98" t="str">
        <f>VLOOKUP(A6223,'Materiales '!$C$2:$F$1302,3,0)</f>
        <v>-</v>
      </c>
      <c r="D6223" s="99">
        <f>VLOOKUP(A6223,'Materiales '!$C$2:$F$1302,4,0)</f>
        <v>0</v>
      </c>
      <c r="E6223" s="100"/>
      <c r="F6223" s="538">
        <f t="shared" si="364"/>
        <v>0</v>
      </c>
      <c r="G6223" s="539"/>
      <c r="H6223" s="121"/>
      <c r="I6223">
        <f>E6223*G6206</f>
        <v>0</v>
      </c>
      <c r="J6223" s="68"/>
      <c r="K6223" s="56"/>
      <c r="L6223" s="56"/>
      <c r="M6223" s="56"/>
      <c r="N6223" s="56"/>
      <c r="O6223" s="56"/>
    </row>
    <row r="6224" spans="1:15">
      <c r="A6224" s="536" t="s">
        <v>8</v>
      </c>
      <c r="B6224" s="537" t="str">
        <f>VLOOKUP(A6224,'Materiales '!$C$2:$F$1302,3,0)</f>
        <v>-</v>
      </c>
      <c r="C6224" s="98" t="str">
        <f>VLOOKUP(A6224,'Materiales '!$C$2:$F$1302,3,0)</f>
        <v>-</v>
      </c>
      <c r="D6224" s="99">
        <f>VLOOKUP(A6224,'Materiales '!$C$2:$F$1302,4,0)</f>
        <v>0</v>
      </c>
      <c r="E6224" s="100"/>
      <c r="F6224" s="538">
        <f>E6224*D6224</f>
        <v>0</v>
      </c>
      <c r="G6224" s="539"/>
      <c r="H6224" s="120"/>
      <c r="I6224">
        <f>E6224*G6206</f>
        <v>0</v>
      </c>
      <c r="J6224" s="68"/>
      <c r="K6224" s="56"/>
      <c r="L6224" s="56"/>
      <c r="M6224" s="56"/>
      <c r="N6224" s="56"/>
      <c r="O6224" s="56"/>
    </row>
    <row r="6225" spans="1:15">
      <c r="A6225" s="536" t="s">
        <v>8</v>
      </c>
      <c r="B6225" s="537" t="str">
        <f>VLOOKUP(A6225,'Materiales '!$C$2:$F$1302,3,0)</f>
        <v>-</v>
      </c>
      <c r="C6225" s="98" t="str">
        <f>VLOOKUP(A6225,'Materiales '!$C$2:$F$1302,3,0)</f>
        <v>-</v>
      </c>
      <c r="D6225" s="99">
        <f>VLOOKUP(A6225,'Materiales '!$C$2:$F$1302,4,0)</f>
        <v>0</v>
      </c>
      <c r="E6225" s="100"/>
      <c r="F6225" s="538">
        <f t="shared" ref="F6225:F6228" si="365">E6225*D6225</f>
        <v>0</v>
      </c>
      <c r="G6225" s="539"/>
      <c r="H6225" s="121"/>
      <c r="I6225">
        <f>E6225*G6206</f>
        <v>0</v>
      </c>
      <c r="J6225" s="68"/>
      <c r="K6225" s="56"/>
      <c r="L6225" s="56"/>
      <c r="M6225" s="56"/>
      <c r="N6225" s="56"/>
      <c r="O6225" s="56"/>
    </row>
    <row r="6226" spans="1:15">
      <c r="A6226" s="536" t="s">
        <v>8</v>
      </c>
      <c r="B6226" s="537" t="str">
        <f>VLOOKUP(A6226,'Materiales '!$C$2:$F$1302,3,0)</f>
        <v>-</v>
      </c>
      <c r="C6226" s="98" t="str">
        <f>VLOOKUP(A6226,'Materiales '!$C$2:$F$1302,3,0)</f>
        <v>-</v>
      </c>
      <c r="D6226" s="99">
        <f>VLOOKUP(A6226,'Materiales '!$C$2:$F$1302,4,0)</f>
        <v>0</v>
      </c>
      <c r="E6226" s="100"/>
      <c r="F6226" s="538">
        <f t="shared" si="365"/>
        <v>0</v>
      </c>
      <c r="G6226" s="539"/>
      <c r="H6226" s="121"/>
      <c r="I6226">
        <f>E6226*G6206</f>
        <v>0</v>
      </c>
      <c r="J6226" s="68"/>
      <c r="K6226" s="56"/>
      <c r="L6226" s="56"/>
      <c r="M6226" s="56"/>
      <c r="N6226" s="56"/>
      <c r="O6226" s="56"/>
    </row>
    <row r="6227" spans="1:15">
      <c r="A6227" s="536" t="s">
        <v>8</v>
      </c>
      <c r="B6227" s="537" t="str">
        <f>VLOOKUP(A6227,'Materiales '!$C$2:$F$1302,3,0)</f>
        <v>-</v>
      </c>
      <c r="C6227" s="98" t="str">
        <f>VLOOKUP(A6227,'Materiales '!$C$2:$F$1302,3,0)</f>
        <v>-</v>
      </c>
      <c r="D6227" s="99">
        <f>VLOOKUP(A6227,'Materiales '!$C$2:$F$1302,4,0)</f>
        <v>0</v>
      </c>
      <c r="E6227" s="100"/>
      <c r="F6227" s="538">
        <f t="shared" si="365"/>
        <v>0</v>
      </c>
      <c r="G6227" s="539"/>
      <c r="H6227" s="121"/>
      <c r="I6227">
        <f>E6227*G6206</f>
        <v>0</v>
      </c>
      <c r="J6227" s="68"/>
      <c r="K6227" s="56"/>
      <c r="L6227" s="56"/>
      <c r="M6227" s="56"/>
      <c r="N6227" s="56"/>
      <c r="O6227" s="56"/>
    </row>
    <row r="6228" spans="1:15">
      <c r="A6228" s="536" t="s">
        <v>8</v>
      </c>
      <c r="B6228" s="537" t="str">
        <f>VLOOKUP(A6228,'Materiales '!$C$2:$F$1302,3,0)</f>
        <v>-</v>
      </c>
      <c r="C6228" s="98" t="str">
        <f>VLOOKUP(A6228,'Materiales '!$C$2:$F$1302,3,0)</f>
        <v>-</v>
      </c>
      <c r="D6228" s="99">
        <f>VLOOKUP(A6228,'Materiales '!$C$2:$F$1302,4,0)</f>
        <v>0</v>
      </c>
      <c r="E6228" s="100"/>
      <c r="F6228" s="538">
        <f t="shared" si="365"/>
        <v>0</v>
      </c>
      <c r="G6228" s="539"/>
      <c r="H6228" s="121"/>
      <c r="I6228">
        <f>E6228*G6206</f>
        <v>0</v>
      </c>
      <c r="J6228" s="68"/>
      <c r="K6228" s="56"/>
      <c r="L6228" s="56"/>
      <c r="M6228" s="56"/>
      <c r="N6228" s="56"/>
      <c r="O6228" s="56"/>
    </row>
    <row r="6229" spans="1:15">
      <c r="A6229" s="536" t="s">
        <v>8</v>
      </c>
      <c r="B6229" s="537" t="str">
        <f>VLOOKUP(A6229,'Materiales '!$C$2:$F$1302,3,0)</f>
        <v>-</v>
      </c>
      <c r="C6229" s="98" t="str">
        <f>VLOOKUP(A6229,'Materiales '!$C$2:$F$1302,3,0)</f>
        <v>-</v>
      </c>
      <c r="D6229" s="99">
        <f>VLOOKUP(A6229,'Materiales '!$C$2:$F$1302,4,0)</f>
        <v>0</v>
      </c>
      <c r="E6229" s="100"/>
      <c r="F6229" s="538">
        <f>E6229*D6229</f>
        <v>0</v>
      </c>
      <c r="G6229" s="539"/>
      <c r="H6229" s="120"/>
      <c r="I6229">
        <f>E6229*G6206</f>
        <v>0</v>
      </c>
      <c r="J6229" s="68"/>
      <c r="K6229" s="56"/>
      <c r="L6229" s="56"/>
      <c r="M6229" s="56"/>
      <c r="N6229" s="56"/>
      <c r="O6229" s="56"/>
    </row>
    <row r="6230" spans="1:15" ht="16.5">
      <c r="A6230" s="540" t="s">
        <v>4099</v>
      </c>
      <c r="B6230" s="541"/>
      <c r="C6230" s="541"/>
      <c r="D6230" s="541"/>
      <c r="E6230" s="541"/>
      <c r="F6230" s="541"/>
      <c r="G6230" s="542"/>
      <c r="H6230" s="116">
        <f>SUM(F6216:F6229)</f>
        <v>9853.2000000000007</v>
      </c>
      <c r="J6230" s="68"/>
      <c r="K6230" s="56"/>
      <c r="L6230" s="56"/>
      <c r="M6230" s="56"/>
      <c r="N6230" s="56"/>
      <c r="O6230" s="56"/>
    </row>
    <row r="6231" spans="1:15" ht="16.5">
      <c r="A6231" s="543" t="s">
        <v>4231</v>
      </c>
      <c r="B6231" s="544"/>
      <c r="C6231" s="544"/>
      <c r="D6231" s="544"/>
      <c r="E6231" s="545"/>
      <c r="F6231" s="544"/>
      <c r="G6231" s="544"/>
      <c r="H6231" s="546"/>
      <c r="J6231" s="68"/>
      <c r="K6231" s="56"/>
      <c r="L6231" s="56"/>
      <c r="M6231" s="56"/>
      <c r="N6231" s="56"/>
      <c r="O6231" s="56"/>
    </row>
    <row r="6232" spans="1:15">
      <c r="A6232" s="547" t="s">
        <v>7</v>
      </c>
      <c r="B6232" s="548"/>
      <c r="C6232" s="108" t="s">
        <v>4232</v>
      </c>
      <c r="D6232" s="107" t="s">
        <v>4233</v>
      </c>
      <c r="E6232" s="206" t="s">
        <v>4234</v>
      </c>
      <c r="F6232" s="549" t="s">
        <v>4218</v>
      </c>
      <c r="G6232" s="549"/>
      <c r="H6232" s="119"/>
      <c r="K6232" s="56"/>
      <c r="L6232" s="56"/>
      <c r="M6232" s="56"/>
      <c r="N6232" s="56"/>
      <c r="O6232" s="56"/>
    </row>
    <row r="6233" spans="1:15">
      <c r="A6233" s="550" t="s">
        <v>3928</v>
      </c>
      <c r="B6233" s="551"/>
      <c r="C6233" s="232">
        <v>1</v>
      </c>
      <c r="D6233" s="102">
        <v>5.0000000000000001E-3</v>
      </c>
      <c r="E6233" s="103">
        <f>VLOOKUP(A6233,'Equip, Herr y Transp'!$B$2:$D$218,3,0)</f>
        <v>160000</v>
      </c>
      <c r="F6233" s="552">
        <f>E6233*D6233*C6233</f>
        <v>800</v>
      </c>
      <c r="G6233" s="553"/>
      <c r="H6233" s="117"/>
      <c r="M6233" s="56"/>
    </row>
    <row r="6234" spans="1:15" ht="16.5">
      <c r="A6234" s="554" t="s">
        <v>4216</v>
      </c>
      <c r="B6234" s="555"/>
      <c r="C6234" s="555"/>
      <c r="D6234" s="555"/>
      <c r="E6234" s="555"/>
      <c r="F6234" s="555"/>
      <c r="G6234" s="555"/>
      <c r="H6234" s="105">
        <f>F6233</f>
        <v>800</v>
      </c>
    </row>
    <row r="6235" spans="1:15" ht="16.5">
      <c r="A6235" s="543" t="s">
        <v>4235</v>
      </c>
      <c r="B6235" s="544"/>
      <c r="C6235" s="544"/>
      <c r="D6235" s="544"/>
      <c r="E6235" s="544"/>
      <c r="F6235" s="544"/>
      <c r="G6235" s="544"/>
      <c r="H6235" s="546"/>
    </row>
    <row r="6236" spans="1:15">
      <c r="A6236" s="547" t="s">
        <v>7</v>
      </c>
      <c r="B6236" s="548"/>
      <c r="C6236" s="106" t="s">
        <v>1</v>
      </c>
      <c r="D6236" s="107" t="s">
        <v>4236</v>
      </c>
      <c r="E6236" s="108" t="s">
        <v>4215</v>
      </c>
      <c r="F6236" s="547" t="s">
        <v>5</v>
      </c>
      <c r="G6236" s="556"/>
      <c r="H6236" s="119"/>
    </row>
    <row r="6237" spans="1:15">
      <c r="A6237" s="550" t="s">
        <v>4196</v>
      </c>
      <c r="B6237" s="551"/>
      <c r="C6237" s="101">
        <v>1</v>
      </c>
      <c r="D6237" s="104">
        <f>VLOOKUP(A6237,'Mano Obra'!$B$2:$T$117,19,0)</f>
        <v>166624</v>
      </c>
      <c r="E6237" s="246">
        <f>H6199</f>
        <v>1.04E-2</v>
      </c>
      <c r="F6237" s="538">
        <f>E6237*D6237*C6237</f>
        <v>1732.8896</v>
      </c>
      <c r="G6237" s="557"/>
      <c r="H6237" s="121"/>
      <c r="I6237" s="69"/>
      <c r="J6237" s="136">
        <f>((('Mano Obra'!$M$4/30)*F6237)/D6237)*G6206</f>
        <v>0</v>
      </c>
    </row>
    <row r="6238" spans="1:15">
      <c r="A6238" s="558" t="s">
        <v>4197</v>
      </c>
      <c r="B6238" s="559">
        <f>VLOOKUP(A6238,'Mano Obra'!$B$3:$D$290,2,0)</f>
        <v>2090000.0000000002</v>
      </c>
      <c r="C6238" s="101">
        <v>1</v>
      </c>
      <c r="D6238" s="104">
        <f>VLOOKUP(A6238,'Mano Obra'!$B$2:$T$117,19,0)</f>
        <v>120456</v>
      </c>
      <c r="E6238" s="246">
        <f>H6199</f>
        <v>1.04E-2</v>
      </c>
      <c r="F6238" s="538">
        <f t="shared" ref="F6238:F6239" si="366">E6238*D6238*C6238</f>
        <v>1252.7423999999999</v>
      </c>
      <c r="G6238" s="557"/>
      <c r="H6238" s="121"/>
      <c r="J6238" s="136">
        <f>((('Mano Obra'!$M$5/30)*F6238)/D6238)*G6206</f>
        <v>0</v>
      </c>
    </row>
    <row r="6239" spans="1:15">
      <c r="A6239" s="558" t="s">
        <v>4186</v>
      </c>
      <c r="B6239" s="559">
        <f>VLOOKUP(A6239,'Mano Obra'!$B$3:$D$290,2,0)</f>
        <v>1100000</v>
      </c>
      <c r="C6239" s="101">
        <v>1</v>
      </c>
      <c r="D6239" s="104">
        <f>VLOOKUP(A6239,'Mano Obra'!$B$2:$T$117,19,0)</f>
        <v>72664</v>
      </c>
      <c r="E6239" s="246">
        <f>H6199</f>
        <v>1.04E-2</v>
      </c>
      <c r="F6239" s="538">
        <f t="shared" si="366"/>
        <v>755.7056</v>
      </c>
      <c r="G6239" s="557"/>
      <c r="H6239" s="120"/>
      <c r="J6239" s="136">
        <f>((('Mano Obra'!$M$6/30)*F6239)/D6239)*G6206</f>
        <v>0</v>
      </c>
    </row>
    <row r="6240" spans="1:15" ht="16.5">
      <c r="A6240" s="560" t="s">
        <v>4101</v>
      </c>
      <c r="B6240" s="560"/>
      <c r="C6240" s="560"/>
      <c r="D6240" s="560"/>
      <c r="E6240" s="560"/>
      <c r="F6240" s="560"/>
      <c r="G6240" s="560"/>
      <c r="H6240" s="105">
        <f>SUM(F6237:F6239)</f>
        <v>3741.3375999999998</v>
      </c>
      <c r="J6240" s="136"/>
    </row>
    <row r="6241" spans="1:14">
      <c r="A6241" s="227" t="s">
        <v>4237</v>
      </c>
      <c r="B6241" s="205"/>
      <c r="C6241" s="205"/>
      <c r="D6241" s="202"/>
      <c r="E6241" s="203"/>
      <c r="F6241" s="204"/>
      <c r="G6241" s="203"/>
      <c r="H6241" s="212"/>
    </row>
    <row r="6242" spans="1:14">
      <c r="A6242" s="561" t="s">
        <v>4224</v>
      </c>
      <c r="B6242" s="562"/>
      <c r="C6242" s="562"/>
      <c r="D6242" s="562"/>
      <c r="E6242" s="200"/>
      <c r="F6242" s="201" t="s">
        <v>4238</v>
      </c>
      <c r="G6242" s="200" t="s">
        <v>4239</v>
      </c>
      <c r="H6242" s="213"/>
    </row>
    <row r="6243" spans="1:14">
      <c r="A6243" s="223" t="s">
        <v>4097</v>
      </c>
      <c r="B6243" s="72"/>
      <c r="C6243" s="72"/>
      <c r="D6243" s="73"/>
      <c r="E6243" s="78"/>
      <c r="F6243" s="79">
        <v>0</v>
      </c>
      <c r="G6243" s="80">
        <f>F6243*H6207</f>
        <v>0</v>
      </c>
      <c r="H6243" s="212"/>
    </row>
    <row r="6244" spans="1:14">
      <c r="A6244" s="224" t="s">
        <v>4240</v>
      </c>
      <c r="B6244" s="81"/>
      <c r="C6244" s="81"/>
      <c r="D6244" s="82"/>
      <c r="E6244" s="78"/>
      <c r="F6244" s="79">
        <v>0</v>
      </c>
      <c r="G6244" s="80">
        <f>F6244*H6207</f>
        <v>0</v>
      </c>
      <c r="H6244" s="212"/>
    </row>
    <row r="6245" spans="1:14">
      <c r="A6245" s="224" t="s">
        <v>4</v>
      </c>
      <c r="B6245" s="81"/>
      <c r="C6245" s="81"/>
      <c r="D6245" s="82"/>
      <c r="E6245" s="78"/>
      <c r="F6245" s="79">
        <v>0</v>
      </c>
      <c r="G6245" s="80">
        <f>F6245*H6207</f>
        <v>0</v>
      </c>
      <c r="H6245" s="212"/>
    </row>
    <row r="6246" spans="1:14">
      <c r="A6246" s="225"/>
      <c r="B6246" s="83"/>
      <c r="C6246" s="75"/>
      <c r="D6246" s="84"/>
      <c r="E6246" s="85"/>
      <c r="F6246" s="86"/>
      <c r="G6246" s="87"/>
      <c r="H6246" s="214"/>
    </row>
    <row r="6247" spans="1:14">
      <c r="A6247" s="226"/>
      <c r="B6247" s="83"/>
      <c r="C6247" s="83"/>
      <c r="D6247" s="84"/>
      <c r="E6247" s="88"/>
      <c r="F6247" s="563" t="s">
        <v>4241</v>
      </c>
      <c r="G6247" s="564"/>
      <c r="H6247" s="233">
        <f>H6207+G6243+G6244+G6245</f>
        <v>14541.489600000001</v>
      </c>
    </row>
    <row r="6249" spans="1:14" ht="16.5">
      <c r="A6249" s="90"/>
      <c r="B6249" s="90"/>
      <c r="C6249" s="90"/>
      <c r="D6249" s="90"/>
      <c r="E6249" s="90"/>
      <c r="F6249" s="90"/>
      <c r="G6249" s="90"/>
      <c r="H6249" s="381"/>
    </row>
    <row r="6250" spans="1:14">
      <c r="A6250" s="579" t="s">
        <v>4225</v>
      </c>
      <c r="B6250" s="580"/>
      <c r="C6250" s="580"/>
      <c r="D6250" s="580"/>
      <c r="E6250" s="580"/>
      <c r="F6250" s="580"/>
      <c r="G6250" s="580"/>
      <c r="H6250" s="581"/>
    </row>
    <row r="6251" spans="1:14" ht="16.5">
      <c r="A6251" s="91"/>
      <c r="B6251" s="92"/>
      <c r="C6251" s="92"/>
      <c r="D6251" s="92"/>
      <c r="E6251" s="92"/>
      <c r="F6251" s="93"/>
      <c r="G6251" s="94"/>
      <c r="H6251" s="380">
        <f>ROUND((5/60)/8,4)</f>
        <v>1.04E-2</v>
      </c>
      <c r="I6251" s="115"/>
    </row>
    <row r="6252" spans="1:14">
      <c r="A6252" s="582" t="s">
        <v>4220</v>
      </c>
      <c r="B6252" s="584" t="str">
        <f>COSTOS!$C$14</f>
        <v>MODERNIZACION A TECNOLOGIA LED</v>
      </c>
      <c r="C6252" s="584"/>
      <c r="D6252" s="584"/>
      <c r="E6252" s="584"/>
      <c r="F6252" s="584"/>
      <c r="G6252" s="584"/>
      <c r="H6252" s="585" t="s">
        <v>4221</v>
      </c>
    </row>
    <row r="6253" spans="1:14">
      <c r="A6253" s="583"/>
      <c r="B6253" s="584"/>
      <c r="C6253" s="584"/>
      <c r="D6253" s="584"/>
      <c r="E6253" s="584"/>
      <c r="F6253" s="584"/>
      <c r="G6253" s="584"/>
      <c r="H6253" s="585"/>
    </row>
    <row r="6254" spans="1:14">
      <c r="A6254" s="583"/>
      <c r="B6254" s="584"/>
      <c r="C6254" s="584"/>
      <c r="D6254" s="584"/>
      <c r="E6254" s="584"/>
      <c r="F6254" s="584"/>
      <c r="G6254" s="584"/>
      <c r="H6254" s="585"/>
    </row>
    <row r="6255" spans="1:14" ht="15" customHeight="1">
      <c r="A6255" s="583"/>
      <c r="B6255" s="584"/>
      <c r="C6255" s="584"/>
      <c r="D6255" s="584"/>
      <c r="E6255" s="584"/>
      <c r="F6255" s="584"/>
      <c r="G6255" s="584"/>
      <c r="H6255" s="216">
        <f ca="1">TODAY()</f>
        <v>44889</v>
      </c>
      <c r="K6255" t="s">
        <v>4391</v>
      </c>
      <c r="L6255" t="s">
        <v>4392</v>
      </c>
      <c r="M6255" t="s">
        <v>4393</v>
      </c>
      <c r="N6255" t="s">
        <v>4394</v>
      </c>
    </row>
    <row r="6256" spans="1:14" ht="60.75" customHeight="1">
      <c r="A6256" s="228" t="s">
        <v>4222</v>
      </c>
      <c r="B6256" s="565" t="str">
        <f>COSTOS!$D$16</f>
        <v>Luminarias</v>
      </c>
      <c r="C6256" s="565"/>
      <c r="D6256" s="565"/>
      <c r="E6256" s="565"/>
      <c r="F6256" s="565"/>
      <c r="G6256" s="70" t="s">
        <v>4223</v>
      </c>
      <c r="H6256" s="387">
        <v>3.8</v>
      </c>
      <c r="K6256" s="62">
        <f>H6282</f>
        <v>9219.1679999999997</v>
      </c>
      <c r="L6256" s="62">
        <f>H6292</f>
        <v>3741.3375999999998</v>
      </c>
      <c r="M6256" s="62">
        <f>H6265</f>
        <v>146.952</v>
      </c>
      <c r="N6256" s="62">
        <f>H6286</f>
        <v>800</v>
      </c>
    </row>
    <row r="6257" spans="1:15" ht="43.15" customHeight="1">
      <c r="A6257" s="229" t="s">
        <v>4224</v>
      </c>
      <c r="B6257" s="566" t="str">
        <f>VLOOKUP(H6256,COSTOS!C:M,2,0)</f>
        <v>Red aerea en cable cobre 3 No 12 x 500m</v>
      </c>
      <c r="C6257" s="567"/>
      <c r="D6257" s="567"/>
      <c r="E6257" s="568"/>
      <c r="F6257" s="71" t="s">
        <v>0</v>
      </c>
      <c r="G6257" s="356" t="str">
        <f>VLOOKUP(H6256,COSTOS!C:M,8,0)</f>
        <v>Und</v>
      </c>
      <c r="H6257" s="276"/>
      <c r="I6257" s="306"/>
      <c r="J6257" s="308"/>
      <c r="K6257" s="308"/>
      <c r="L6257" s="308"/>
    </row>
    <row r="6258" spans="1:15">
      <c r="A6258" s="230"/>
      <c r="B6258" s="112"/>
      <c r="C6258" s="112"/>
      <c r="D6258" s="112"/>
      <c r="E6258" s="113"/>
      <c r="F6258" s="114" t="s">
        <v>1</v>
      </c>
      <c r="G6258" s="356">
        <f>VLOOKUP(H6256,COSTOS!C:M,9,0)</f>
        <v>0</v>
      </c>
      <c r="H6258" s="357"/>
      <c r="I6258" s="307"/>
    </row>
    <row r="6259" spans="1:15" ht="16.5">
      <c r="A6259" s="231" t="s">
        <v>4226</v>
      </c>
      <c r="B6259" s="75"/>
      <c r="C6259" s="75"/>
      <c r="D6259" s="76"/>
      <c r="E6259" s="209"/>
      <c r="F6259" s="210"/>
      <c r="G6259" s="211" t="s">
        <v>4227</v>
      </c>
      <c r="H6259" s="217">
        <f>H6265+H6282+H6286+H6292</f>
        <v>13907.457599999998</v>
      </c>
    </row>
    <row r="6260" spans="1:15" ht="39">
      <c r="A6260" s="569" t="s">
        <v>4224</v>
      </c>
      <c r="B6260" s="569"/>
      <c r="C6260" s="569"/>
      <c r="D6260" s="77" t="s">
        <v>0</v>
      </c>
      <c r="E6260" s="207" t="s">
        <v>4228</v>
      </c>
      <c r="F6260" s="208" t="s">
        <v>4215</v>
      </c>
      <c r="G6260" s="74" t="s">
        <v>2</v>
      </c>
      <c r="H6260" s="218" t="s">
        <v>4229</v>
      </c>
      <c r="K6260" s="309"/>
    </row>
    <row r="6261" spans="1:15">
      <c r="A6261" s="536" t="s">
        <v>3946</v>
      </c>
      <c r="B6261" s="570" t="str">
        <f>VLOOKUP(A6261,'Equip, Herr y Transp'!$B$2:$D$739,2,0)</f>
        <v>EQU</v>
      </c>
      <c r="C6261" s="570"/>
      <c r="D6261" s="95" t="str">
        <f>VLOOKUP(A6261,'Equip, Herr y Transp'!$B$2:$D$218,2,0)</f>
        <v>EQU</v>
      </c>
      <c r="E6261" s="95">
        <f>VLOOKUP(A6261,'Equip, Herr y Transp'!$B$2:$D$218,3,0)</f>
        <v>14130</v>
      </c>
      <c r="F6261" s="96">
        <f>H6251</f>
        <v>1.04E-2</v>
      </c>
      <c r="G6261" s="122">
        <f>F6261*E6261</f>
        <v>146.952</v>
      </c>
      <c r="H6261" s="118"/>
    </row>
    <row r="6262" spans="1:15">
      <c r="A6262" s="536" t="s">
        <v>8</v>
      </c>
      <c r="B6262" s="570">
        <f>VLOOKUP(A6262,'Equip, Herr y Transp'!$B$2:$D$739,2,0)</f>
        <v>0</v>
      </c>
      <c r="C6262" s="570"/>
      <c r="D6262" s="95">
        <f>VLOOKUP(A6262,'Equip, Herr y Transp'!$B$2:$D$218,2,0)</f>
        <v>0</v>
      </c>
      <c r="E6262" s="95">
        <f>VLOOKUP(A6262,'Equip, Herr y Transp'!$B$2:$D$218,3,0)</f>
        <v>0</v>
      </c>
      <c r="F6262" s="96">
        <f>H6251</f>
        <v>1.04E-2</v>
      </c>
      <c r="G6262" s="122">
        <f>F6262*E6262</f>
        <v>0</v>
      </c>
      <c r="H6262" s="117"/>
    </row>
    <row r="6263" spans="1:15">
      <c r="A6263" s="536" t="s">
        <v>8</v>
      </c>
      <c r="B6263" s="570">
        <f>VLOOKUP(A6263,'Equip, Herr y Transp'!$B$2:$D$739,2,0)</f>
        <v>0</v>
      </c>
      <c r="C6263" s="570"/>
      <c r="D6263" s="95">
        <f>VLOOKUP(A6263,'Equip, Herr y Transp'!$B$2:$D$218,2,0)</f>
        <v>0</v>
      </c>
      <c r="E6263" s="95">
        <f>VLOOKUP(A6263,'Equip, Herr y Transp'!$B$2:$D$218,3,0)</f>
        <v>0</v>
      </c>
      <c r="F6263" s="96">
        <f>H6251</f>
        <v>1.04E-2</v>
      </c>
      <c r="G6263" s="122">
        <f>F6263*E6263</f>
        <v>0</v>
      </c>
      <c r="H6263" s="117"/>
    </row>
    <row r="6264" spans="1:15">
      <c r="A6264" s="536" t="s">
        <v>8</v>
      </c>
      <c r="B6264" s="570">
        <f>VLOOKUP(A6264,'Equip, Herr y Transp'!$B$2:$D$739,2,0)</f>
        <v>0</v>
      </c>
      <c r="C6264" s="570"/>
      <c r="D6264" s="95">
        <f>VLOOKUP(A6264,'Equip, Herr y Transp'!$B$2:$D$218,2,0)</f>
        <v>0</v>
      </c>
      <c r="E6264" s="95">
        <f>VLOOKUP(A6264,'Equip, Herr y Transp'!$B$2:$D$218,3,0)</f>
        <v>0</v>
      </c>
      <c r="F6264" s="96">
        <f>H6251</f>
        <v>1.04E-2</v>
      </c>
      <c r="G6264" s="122">
        <f>F6264*E6264</f>
        <v>0</v>
      </c>
      <c r="H6264" s="117"/>
    </row>
    <row r="6265" spans="1:15" ht="16.5">
      <c r="A6265" s="540" t="s">
        <v>4100</v>
      </c>
      <c r="B6265" s="541"/>
      <c r="C6265" s="541"/>
      <c r="D6265" s="541"/>
      <c r="E6265" s="541"/>
      <c r="F6265" s="541"/>
      <c r="G6265" s="541"/>
      <c r="H6265" s="97">
        <f>SUM(G6261:G6264)</f>
        <v>146.952</v>
      </c>
    </row>
    <row r="6266" spans="1:15" ht="16.5">
      <c r="A6266" s="571" t="s">
        <v>4230</v>
      </c>
      <c r="B6266" s="572"/>
      <c r="C6266" s="572"/>
      <c r="D6266" s="572"/>
      <c r="E6266" s="572"/>
      <c r="F6266" s="572"/>
      <c r="G6266" s="572"/>
      <c r="H6266" s="573"/>
      <c r="K6266" s="56"/>
      <c r="L6266" s="56"/>
      <c r="M6266" s="56"/>
      <c r="N6266" s="56"/>
      <c r="O6266" s="56"/>
    </row>
    <row r="6267" spans="1:15" ht="30" customHeight="1">
      <c r="A6267" s="574" t="s">
        <v>7</v>
      </c>
      <c r="B6267" s="575"/>
      <c r="C6267" s="109" t="s">
        <v>0</v>
      </c>
      <c r="D6267" s="110" t="s">
        <v>4098</v>
      </c>
      <c r="E6267" s="111" t="s">
        <v>1</v>
      </c>
      <c r="F6267" s="576" t="s">
        <v>4218</v>
      </c>
      <c r="G6267" s="576"/>
      <c r="H6267" s="215"/>
      <c r="K6267" s="56"/>
      <c r="L6267" s="56"/>
      <c r="M6267" s="56"/>
      <c r="N6267" s="56"/>
      <c r="O6267" s="56"/>
    </row>
    <row r="6268" spans="1:15">
      <c r="A6268" s="577" t="s">
        <v>4649</v>
      </c>
      <c r="B6268" s="578"/>
      <c r="C6268" s="98" t="str">
        <f>VLOOKUP(A6268,'Materiales '!$C$2:$F$1302,3,0)</f>
        <v>Ml</v>
      </c>
      <c r="D6268" s="99">
        <f>VLOOKUP(A6268,'Materiales '!$C$2:$F$1302,4,0)</f>
        <v>3073.056</v>
      </c>
      <c r="E6268" s="100">
        <v>3</v>
      </c>
      <c r="F6268" s="538">
        <f>E6268*D6268</f>
        <v>9219.1679999999997</v>
      </c>
      <c r="G6268" s="539"/>
      <c r="H6268" s="121"/>
      <c r="I6268">
        <f>E6268*G6258</f>
        <v>0</v>
      </c>
      <c r="J6268" s="67"/>
      <c r="K6268" s="56"/>
      <c r="L6268" s="56"/>
      <c r="M6268" s="56"/>
      <c r="N6268" s="56"/>
      <c r="O6268" s="56"/>
    </row>
    <row r="6269" spans="1:15">
      <c r="A6269" s="577" t="s">
        <v>8</v>
      </c>
      <c r="B6269" s="578"/>
      <c r="C6269" s="98" t="str">
        <f>VLOOKUP(A6269,'Materiales '!$C$2:$F$1302,3,0)</f>
        <v>-</v>
      </c>
      <c r="D6269" s="99">
        <f>VLOOKUP(A6269,'Materiales '!$C$2:$F$1302,4,0)</f>
        <v>0</v>
      </c>
      <c r="E6269" s="100"/>
      <c r="F6269" s="538">
        <f t="shared" ref="F6269:F6275" si="367">E6269*D6269</f>
        <v>0</v>
      </c>
      <c r="G6269" s="539"/>
      <c r="H6269" s="121"/>
      <c r="I6269">
        <f>E6269*G6258</f>
        <v>0</v>
      </c>
      <c r="J6269" s="67"/>
      <c r="K6269" s="56"/>
      <c r="L6269" s="56"/>
      <c r="M6269" s="56"/>
      <c r="N6269" s="56"/>
      <c r="O6269" s="56"/>
    </row>
    <row r="6270" spans="1:15">
      <c r="A6270" s="536" t="s">
        <v>8</v>
      </c>
      <c r="B6270" s="537" t="str">
        <f>VLOOKUP(A6270,'Materiales '!$C$2:$F$1302,3,0)</f>
        <v>-</v>
      </c>
      <c r="C6270" s="98" t="str">
        <f>VLOOKUP(A6270,'Materiales '!$C$2:$F$1302,3,0)</f>
        <v>-</v>
      </c>
      <c r="D6270" s="99">
        <f>VLOOKUP(A6270,'Materiales '!$C$2:$F$1302,4,0)</f>
        <v>0</v>
      </c>
      <c r="E6270" s="100"/>
      <c r="F6270" s="538">
        <f t="shared" si="367"/>
        <v>0</v>
      </c>
      <c r="G6270" s="539"/>
      <c r="H6270" s="121"/>
      <c r="I6270">
        <f>E6270*G6258</f>
        <v>0</v>
      </c>
      <c r="J6270" s="68"/>
      <c r="K6270" s="56"/>
      <c r="L6270" s="56"/>
      <c r="M6270" s="56"/>
      <c r="N6270" s="56"/>
      <c r="O6270" s="56"/>
    </row>
    <row r="6271" spans="1:15">
      <c r="A6271" s="536" t="s">
        <v>8</v>
      </c>
      <c r="B6271" s="537" t="str">
        <f>VLOOKUP(A6271,'Materiales '!$C$2:$F$1302,3,0)</f>
        <v>-</v>
      </c>
      <c r="C6271" s="98" t="str">
        <f>VLOOKUP(A6271,'Materiales '!$C$2:$F$1302,3,0)</f>
        <v>-</v>
      </c>
      <c r="D6271" s="99">
        <f>VLOOKUP(A6271,'Materiales '!$C$2:$F$1302,4,0)</f>
        <v>0</v>
      </c>
      <c r="E6271" s="100"/>
      <c r="F6271" s="538">
        <f t="shared" si="367"/>
        <v>0</v>
      </c>
      <c r="G6271" s="539"/>
      <c r="H6271" s="121"/>
      <c r="I6271">
        <f>E6271*G6258</f>
        <v>0</v>
      </c>
      <c r="J6271" s="68"/>
      <c r="K6271" s="56"/>
      <c r="L6271" s="56"/>
      <c r="M6271" s="56"/>
      <c r="N6271" s="56"/>
      <c r="O6271" s="56"/>
    </row>
    <row r="6272" spans="1:15">
      <c r="A6272" s="536" t="s">
        <v>8</v>
      </c>
      <c r="B6272" s="537" t="str">
        <f>VLOOKUP(A6272,'Materiales '!$C$2:$F$1302,3,0)</f>
        <v>-</v>
      </c>
      <c r="C6272" s="98" t="str">
        <f>VLOOKUP(A6272,'Materiales '!$C$2:$F$1302,3,0)</f>
        <v>-</v>
      </c>
      <c r="D6272" s="99">
        <f>VLOOKUP(A6272,'Materiales '!$C$2:$F$1302,4,0)</f>
        <v>0</v>
      </c>
      <c r="E6272" s="100"/>
      <c r="F6272" s="538">
        <f t="shared" si="367"/>
        <v>0</v>
      </c>
      <c r="G6272" s="539"/>
      <c r="H6272" s="121"/>
      <c r="I6272">
        <f>E6272*G6258</f>
        <v>0</v>
      </c>
      <c r="J6272" s="68"/>
      <c r="K6272" s="56"/>
      <c r="L6272" s="56"/>
      <c r="M6272" s="56"/>
      <c r="N6272" s="56"/>
      <c r="O6272" s="56"/>
    </row>
    <row r="6273" spans="1:15">
      <c r="A6273" s="536" t="s">
        <v>8</v>
      </c>
      <c r="B6273" s="537" t="str">
        <f>VLOOKUP(A6273,'Materiales '!$C$2:$F$1302,3,0)</f>
        <v>-</v>
      </c>
      <c r="C6273" s="98" t="str">
        <f>VLOOKUP(A6273,'Materiales '!$C$2:$F$1302,3,0)</f>
        <v>-</v>
      </c>
      <c r="D6273" s="99">
        <f>VLOOKUP(A6273,'Materiales '!$C$2:$F$1302,4,0)</f>
        <v>0</v>
      </c>
      <c r="E6273" s="100"/>
      <c r="F6273" s="538">
        <f t="shared" si="367"/>
        <v>0</v>
      </c>
      <c r="G6273" s="539"/>
      <c r="H6273" s="121"/>
      <c r="I6273">
        <f>E6273*G6258</f>
        <v>0</v>
      </c>
      <c r="J6273" s="68"/>
      <c r="K6273" s="56"/>
      <c r="L6273" s="56"/>
      <c r="M6273" s="56"/>
      <c r="N6273" s="56"/>
      <c r="O6273" s="56"/>
    </row>
    <row r="6274" spans="1:15">
      <c r="A6274" s="536" t="s">
        <v>8</v>
      </c>
      <c r="B6274" s="537" t="str">
        <f>VLOOKUP(A6274,'Materiales '!$C$2:$F$1302,3,0)</f>
        <v>-</v>
      </c>
      <c r="C6274" s="98" t="str">
        <f>VLOOKUP(A6274,'Materiales '!$C$2:$F$1302,3,0)</f>
        <v>-</v>
      </c>
      <c r="D6274" s="99">
        <f>VLOOKUP(A6274,'Materiales '!$C$2:$F$1302,4,0)</f>
        <v>0</v>
      </c>
      <c r="E6274" s="100"/>
      <c r="F6274" s="538">
        <f t="shared" si="367"/>
        <v>0</v>
      </c>
      <c r="G6274" s="539"/>
      <c r="H6274" s="121"/>
      <c r="I6274">
        <f>E6274*G6258</f>
        <v>0</v>
      </c>
      <c r="J6274" s="68"/>
      <c r="K6274" s="56"/>
      <c r="L6274" s="56"/>
      <c r="M6274" s="56"/>
      <c r="N6274" s="56"/>
      <c r="O6274" s="56"/>
    </row>
    <row r="6275" spans="1:15" ht="21.75" customHeight="1">
      <c r="A6275" s="536" t="s">
        <v>8</v>
      </c>
      <c r="B6275" s="537" t="str">
        <f>VLOOKUP(A6275,'Materiales '!$C$2:$F$1302,3,0)</f>
        <v>-</v>
      </c>
      <c r="C6275" s="98" t="str">
        <f>VLOOKUP(A6275,'Materiales '!$C$2:$F$1302,3,0)</f>
        <v>-</v>
      </c>
      <c r="D6275" s="99">
        <f>VLOOKUP(A6275,'Materiales '!$C$2:$F$1302,4,0)</f>
        <v>0</v>
      </c>
      <c r="E6275" s="100"/>
      <c r="F6275" s="538">
        <f t="shared" si="367"/>
        <v>0</v>
      </c>
      <c r="G6275" s="539"/>
      <c r="H6275" s="121"/>
      <c r="I6275">
        <f>E6275*G6258</f>
        <v>0</v>
      </c>
      <c r="J6275" s="68"/>
      <c r="K6275" s="56"/>
      <c r="L6275" s="56"/>
      <c r="M6275" s="56"/>
      <c r="N6275" s="56"/>
      <c r="O6275" s="56"/>
    </row>
    <row r="6276" spans="1:15">
      <c r="A6276" s="536" t="s">
        <v>8</v>
      </c>
      <c r="B6276" s="537" t="str">
        <f>VLOOKUP(A6276,'Materiales '!$C$2:$F$1302,3,0)</f>
        <v>-</v>
      </c>
      <c r="C6276" s="98" t="str">
        <f>VLOOKUP(A6276,'Materiales '!$C$2:$F$1302,3,0)</f>
        <v>-</v>
      </c>
      <c r="D6276" s="99">
        <f>VLOOKUP(A6276,'Materiales '!$C$2:$F$1302,4,0)</f>
        <v>0</v>
      </c>
      <c r="E6276" s="100"/>
      <c r="F6276" s="538">
        <f>E6276*D6276</f>
        <v>0</v>
      </c>
      <c r="G6276" s="539"/>
      <c r="H6276" s="120"/>
      <c r="I6276">
        <f>E6276*G6258</f>
        <v>0</v>
      </c>
      <c r="J6276" s="68"/>
      <c r="K6276" s="56"/>
      <c r="L6276" s="56"/>
      <c r="M6276" s="56"/>
      <c r="N6276" s="56"/>
      <c r="O6276" s="56"/>
    </row>
    <row r="6277" spans="1:15">
      <c r="A6277" s="536" t="s">
        <v>8</v>
      </c>
      <c r="B6277" s="537" t="str">
        <f>VLOOKUP(A6277,'Materiales '!$C$2:$F$1302,3,0)</f>
        <v>-</v>
      </c>
      <c r="C6277" s="98" t="str">
        <f>VLOOKUP(A6277,'Materiales '!$C$2:$F$1302,3,0)</f>
        <v>-</v>
      </c>
      <c r="D6277" s="99">
        <f>VLOOKUP(A6277,'Materiales '!$C$2:$F$1302,4,0)</f>
        <v>0</v>
      </c>
      <c r="E6277" s="100"/>
      <c r="F6277" s="538">
        <f t="shared" ref="F6277:F6280" si="368">E6277*D6277</f>
        <v>0</v>
      </c>
      <c r="G6277" s="539"/>
      <c r="H6277" s="121"/>
      <c r="I6277">
        <f>E6277*G6258</f>
        <v>0</v>
      </c>
      <c r="J6277" s="68"/>
      <c r="K6277" s="56"/>
      <c r="L6277" s="56"/>
      <c r="M6277" s="56"/>
      <c r="N6277" s="56"/>
      <c r="O6277" s="56"/>
    </row>
    <row r="6278" spans="1:15">
      <c r="A6278" s="536" t="s">
        <v>8</v>
      </c>
      <c r="B6278" s="537" t="str">
        <f>VLOOKUP(A6278,'Materiales '!$C$2:$F$1302,3,0)</f>
        <v>-</v>
      </c>
      <c r="C6278" s="98" t="str">
        <f>VLOOKUP(A6278,'Materiales '!$C$2:$F$1302,3,0)</f>
        <v>-</v>
      </c>
      <c r="D6278" s="99">
        <f>VLOOKUP(A6278,'Materiales '!$C$2:$F$1302,4,0)</f>
        <v>0</v>
      </c>
      <c r="E6278" s="100"/>
      <c r="F6278" s="538">
        <f t="shared" si="368"/>
        <v>0</v>
      </c>
      <c r="G6278" s="539"/>
      <c r="H6278" s="121"/>
      <c r="I6278">
        <f>E6278*G6258</f>
        <v>0</v>
      </c>
      <c r="J6278" s="68"/>
      <c r="K6278" s="56"/>
      <c r="L6278" s="56"/>
      <c r="M6278" s="56"/>
      <c r="N6278" s="56"/>
      <c r="O6278" s="56"/>
    </row>
    <row r="6279" spans="1:15">
      <c r="A6279" s="536" t="s">
        <v>8</v>
      </c>
      <c r="B6279" s="537" t="str">
        <f>VLOOKUP(A6279,'Materiales '!$C$2:$F$1302,3,0)</f>
        <v>-</v>
      </c>
      <c r="C6279" s="98" t="str">
        <f>VLOOKUP(A6279,'Materiales '!$C$2:$F$1302,3,0)</f>
        <v>-</v>
      </c>
      <c r="D6279" s="99">
        <f>VLOOKUP(A6279,'Materiales '!$C$2:$F$1302,4,0)</f>
        <v>0</v>
      </c>
      <c r="E6279" s="100"/>
      <c r="F6279" s="538">
        <f t="shared" si="368"/>
        <v>0</v>
      </c>
      <c r="G6279" s="539"/>
      <c r="H6279" s="121"/>
      <c r="I6279">
        <f>E6279*G6258</f>
        <v>0</v>
      </c>
      <c r="J6279" s="68"/>
      <c r="K6279" s="56"/>
      <c r="L6279" s="56"/>
      <c r="M6279" s="56"/>
      <c r="N6279" s="56"/>
      <c r="O6279" s="56"/>
    </row>
    <row r="6280" spans="1:15">
      <c r="A6280" s="536" t="s">
        <v>8</v>
      </c>
      <c r="B6280" s="537" t="str">
        <f>VLOOKUP(A6280,'Materiales '!$C$2:$F$1302,3,0)</f>
        <v>-</v>
      </c>
      <c r="C6280" s="98" t="str">
        <f>VLOOKUP(A6280,'Materiales '!$C$2:$F$1302,3,0)</f>
        <v>-</v>
      </c>
      <c r="D6280" s="99">
        <f>VLOOKUP(A6280,'Materiales '!$C$2:$F$1302,4,0)</f>
        <v>0</v>
      </c>
      <c r="E6280" s="100"/>
      <c r="F6280" s="538">
        <f t="shared" si="368"/>
        <v>0</v>
      </c>
      <c r="G6280" s="539"/>
      <c r="H6280" s="121"/>
      <c r="I6280">
        <f>E6280*G6258</f>
        <v>0</v>
      </c>
      <c r="J6280" s="68"/>
      <c r="K6280" s="56"/>
      <c r="L6280" s="56"/>
      <c r="M6280" s="56"/>
      <c r="N6280" s="56"/>
      <c r="O6280" s="56"/>
    </row>
    <row r="6281" spans="1:15">
      <c r="A6281" s="536" t="s">
        <v>8</v>
      </c>
      <c r="B6281" s="537" t="str">
        <f>VLOOKUP(A6281,'Materiales '!$C$2:$F$1302,3,0)</f>
        <v>-</v>
      </c>
      <c r="C6281" s="98" t="str">
        <f>VLOOKUP(A6281,'Materiales '!$C$2:$F$1302,3,0)</f>
        <v>-</v>
      </c>
      <c r="D6281" s="99">
        <f>VLOOKUP(A6281,'Materiales '!$C$2:$F$1302,4,0)</f>
        <v>0</v>
      </c>
      <c r="E6281" s="100"/>
      <c r="F6281" s="538">
        <f>E6281*D6281</f>
        <v>0</v>
      </c>
      <c r="G6281" s="539"/>
      <c r="H6281" s="120"/>
      <c r="I6281">
        <f>E6281*G6258</f>
        <v>0</v>
      </c>
      <c r="J6281" s="68"/>
      <c r="K6281" s="56"/>
      <c r="L6281" s="56"/>
      <c r="M6281" s="56"/>
      <c r="N6281" s="56"/>
      <c r="O6281" s="56"/>
    </row>
    <row r="6282" spans="1:15" ht="16.5">
      <c r="A6282" s="540" t="s">
        <v>4099</v>
      </c>
      <c r="B6282" s="541"/>
      <c r="C6282" s="541"/>
      <c r="D6282" s="541"/>
      <c r="E6282" s="541"/>
      <c r="F6282" s="541"/>
      <c r="G6282" s="542"/>
      <c r="H6282" s="116">
        <f>SUM(F6268:F6281)</f>
        <v>9219.1679999999997</v>
      </c>
      <c r="J6282" s="68"/>
      <c r="K6282" s="56"/>
      <c r="L6282" s="56"/>
      <c r="M6282" s="56"/>
      <c r="N6282" s="56"/>
      <c r="O6282" s="56"/>
    </row>
    <row r="6283" spans="1:15" ht="16.5">
      <c r="A6283" s="543" t="s">
        <v>4231</v>
      </c>
      <c r="B6283" s="544"/>
      <c r="C6283" s="544"/>
      <c r="D6283" s="544"/>
      <c r="E6283" s="545"/>
      <c r="F6283" s="544"/>
      <c r="G6283" s="544"/>
      <c r="H6283" s="546"/>
      <c r="J6283" s="68"/>
      <c r="K6283" s="56"/>
      <c r="L6283" s="56"/>
      <c r="M6283" s="56"/>
      <c r="N6283" s="56"/>
      <c r="O6283" s="56"/>
    </row>
    <row r="6284" spans="1:15">
      <c r="A6284" s="547" t="s">
        <v>7</v>
      </c>
      <c r="B6284" s="548"/>
      <c r="C6284" s="108" t="s">
        <v>4232</v>
      </c>
      <c r="D6284" s="107" t="s">
        <v>4233</v>
      </c>
      <c r="E6284" s="206" t="s">
        <v>4234</v>
      </c>
      <c r="F6284" s="549" t="s">
        <v>4218</v>
      </c>
      <c r="G6284" s="549"/>
      <c r="H6284" s="119"/>
      <c r="K6284" s="56"/>
      <c r="L6284" s="56"/>
      <c r="M6284" s="56"/>
      <c r="N6284" s="56"/>
      <c r="O6284" s="56"/>
    </row>
    <row r="6285" spans="1:15">
      <c r="A6285" s="550" t="s">
        <v>3928</v>
      </c>
      <c r="B6285" s="551"/>
      <c r="C6285" s="232">
        <v>1</v>
      </c>
      <c r="D6285" s="102">
        <v>5.0000000000000001E-3</v>
      </c>
      <c r="E6285" s="103">
        <f>VLOOKUP(A6285,'Equip, Herr y Transp'!$B$2:$D$218,3,0)</f>
        <v>160000</v>
      </c>
      <c r="F6285" s="552">
        <f>E6285*D6285*C6285</f>
        <v>800</v>
      </c>
      <c r="G6285" s="553"/>
      <c r="H6285" s="117"/>
      <c r="M6285" s="56"/>
    </row>
    <row r="6286" spans="1:15" ht="16.5">
      <c r="A6286" s="554" t="s">
        <v>4216</v>
      </c>
      <c r="B6286" s="555"/>
      <c r="C6286" s="555"/>
      <c r="D6286" s="555"/>
      <c r="E6286" s="555"/>
      <c r="F6286" s="555"/>
      <c r="G6286" s="555"/>
      <c r="H6286" s="105">
        <f>F6285</f>
        <v>800</v>
      </c>
    </row>
    <row r="6287" spans="1:15" ht="16.5">
      <c r="A6287" s="543" t="s">
        <v>4235</v>
      </c>
      <c r="B6287" s="544"/>
      <c r="C6287" s="544"/>
      <c r="D6287" s="544"/>
      <c r="E6287" s="544"/>
      <c r="F6287" s="544"/>
      <c r="G6287" s="544"/>
      <c r="H6287" s="546"/>
    </row>
    <row r="6288" spans="1:15">
      <c r="A6288" s="547" t="s">
        <v>7</v>
      </c>
      <c r="B6288" s="548"/>
      <c r="C6288" s="106" t="s">
        <v>1</v>
      </c>
      <c r="D6288" s="107" t="s">
        <v>4236</v>
      </c>
      <c r="E6288" s="108" t="s">
        <v>4215</v>
      </c>
      <c r="F6288" s="547" t="s">
        <v>5</v>
      </c>
      <c r="G6288" s="556"/>
      <c r="H6288" s="119"/>
    </row>
    <row r="6289" spans="1:10">
      <c r="A6289" s="550" t="s">
        <v>4196</v>
      </c>
      <c r="B6289" s="551"/>
      <c r="C6289" s="101">
        <v>1</v>
      </c>
      <c r="D6289" s="104">
        <f>VLOOKUP(A6289,'Mano Obra'!$B$2:$T$117,19,0)</f>
        <v>166624</v>
      </c>
      <c r="E6289" s="246">
        <f>H6251</f>
        <v>1.04E-2</v>
      </c>
      <c r="F6289" s="538">
        <f>E6289*D6289*C6289</f>
        <v>1732.8896</v>
      </c>
      <c r="G6289" s="557"/>
      <c r="H6289" s="121"/>
      <c r="I6289" s="69"/>
      <c r="J6289" s="136">
        <f>((('Mano Obra'!$M$4/30)*F6289)/D6289)*G6258</f>
        <v>0</v>
      </c>
    </row>
    <row r="6290" spans="1:10">
      <c r="A6290" s="558" t="s">
        <v>4197</v>
      </c>
      <c r="B6290" s="559">
        <f>VLOOKUP(A6290,'Mano Obra'!$B$3:$D$290,2,0)</f>
        <v>2090000.0000000002</v>
      </c>
      <c r="C6290" s="101">
        <v>1</v>
      </c>
      <c r="D6290" s="104">
        <f>VLOOKUP(A6290,'Mano Obra'!$B$2:$T$117,19,0)</f>
        <v>120456</v>
      </c>
      <c r="E6290" s="246">
        <f>H6251</f>
        <v>1.04E-2</v>
      </c>
      <c r="F6290" s="538">
        <f t="shared" ref="F6290:F6291" si="369">E6290*D6290*C6290</f>
        <v>1252.7423999999999</v>
      </c>
      <c r="G6290" s="557"/>
      <c r="H6290" s="121"/>
      <c r="J6290" s="136">
        <f>((('Mano Obra'!$M$5/30)*F6290)/D6290)*G6258</f>
        <v>0</v>
      </c>
    </row>
    <row r="6291" spans="1:10">
      <c r="A6291" s="558" t="s">
        <v>4186</v>
      </c>
      <c r="B6291" s="559">
        <f>VLOOKUP(A6291,'Mano Obra'!$B$3:$D$290,2,0)</f>
        <v>1100000</v>
      </c>
      <c r="C6291" s="101">
        <v>1</v>
      </c>
      <c r="D6291" s="104">
        <f>VLOOKUP(A6291,'Mano Obra'!$B$2:$T$117,19,0)</f>
        <v>72664</v>
      </c>
      <c r="E6291" s="246">
        <f>H6251</f>
        <v>1.04E-2</v>
      </c>
      <c r="F6291" s="538">
        <f t="shared" si="369"/>
        <v>755.7056</v>
      </c>
      <c r="G6291" s="557"/>
      <c r="H6291" s="120"/>
      <c r="J6291" s="136">
        <f>((('Mano Obra'!$M$6/30)*F6291)/D6291)*G6258</f>
        <v>0</v>
      </c>
    </row>
    <row r="6292" spans="1:10" ht="16.5">
      <c r="A6292" s="560" t="s">
        <v>4101</v>
      </c>
      <c r="B6292" s="560"/>
      <c r="C6292" s="560"/>
      <c r="D6292" s="560"/>
      <c r="E6292" s="560"/>
      <c r="F6292" s="560"/>
      <c r="G6292" s="560"/>
      <c r="H6292" s="105">
        <f>SUM(F6289:F6291)</f>
        <v>3741.3375999999998</v>
      </c>
      <c r="J6292" s="136"/>
    </row>
    <row r="6293" spans="1:10">
      <c r="A6293" s="227" t="s">
        <v>4237</v>
      </c>
      <c r="B6293" s="205"/>
      <c r="C6293" s="205"/>
      <c r="D6293" s="202"/>
      <c r="E6293" s="203"/>
      <c r="F6293" s="204"/>
      <c r="G6293" s="203"/>
      <c r="H6293" s="212"/>
    </row>
    <row r="6294" spans="1:10">
      <c r="A6294" s="561" t="s">
        <v>4224</v>
      </c>
      <c r="B6294" s="562"/>
      <c r="C6294" s="562"/>
      <c r="D6294" s="562"/>
      <c r="E6294" s="200"/>
      <c r="F6294" s="201" t="s">
        <v>4238</v>
      </c>
      <c r="G6294" s="200" t="s">
        <v>4239</v>
      </c>
      <c r="H6294" s="213"/>
    </row>
    <row r="6295" spans="1:10">
      <c r="A6295" s="223" t="s">
        <v>4097</v>
      </c>
      <c r="B6295" s="72"/>
      <c r="C6295" s="72"/>
      <c r="D6295" s="73"/>
      <c r="E6295" s="78"/>
      <c r="F6295" s="79">
        <v>0</v>
      </c>
      <c r="G6295" s="80">
        <f>F6295*H6259</f>
        <v>0</v>
      </c>
      <c r="H6295" s="212"/>
    </row>
    <row r="6296" spans="1:10">
      <c r="A6296" s="224" t="s">
        <v>4240</v>
      </c>
      <c r="B6296" s="81"/>
      <c r="C6296" s="81"/>
      <c r="D6296" s="82"/>
      <c r="E6296" s="78"/>
      <c r="F6296" s="79">
        <v>0</v>
      </c>
      <c r="G6296" s="80">
        <f>F6296*H6259</f>
        <v>0</v>
      </c>
      <c r="H6296" s="212"/>
    </row>
    <row r="6297" spans="1:10">
      <c r="A6297" s="224" t="s">
        <v>4</v>
      </c>
      <c r="B6297" s="81"/>
      <c r="C6297" s="81"/>
      <c r="D6297" s="82"/>
      <c r="E6297" s="78"/>
      <c r="F6297" s="79">
        <v>0</v>
      </c>
      <c r="G6297" s="80">
        <f>F6297*H6259</f>
        <v>0</v>
      </c>
      <c r="H6297" s="212"/>
    </row>
    <row r="6298" spans="1:10">
      <c r="A6298" s="225"/>
      <c r="B6298" s="83"/>
      <c r="C6298" s="75"/>
      <c r="D6298" s="84"/>
      <c r="E6298" s="85"/>
      <c r="F6298" s="86"/>
      <c r="G6298" s="87"/>
      <c r="H6298" s="214"/>
    </row>
    <row r="6299" spans="1:10">
      <c r="A6299" s="226"/>
      <c r="B6299" s="83"/>
      <c r="C6299" s="83"/>
      <c r="D6299" s="84"/>
      <c r="E6299" s="88"/>
      <c r="F6299" s="563" t="s">
        <v>4241</v>
      </c>
      <c r="G6299" s="564"/>
      <c r="H6299" s="233">
        <f>H6259+G6295+G6296+G6297</f>
        <v>13907.457599999998</v>
      </c>
    </row>
    <row r="6300" spans="1:10">
      <c r="A6300" s="83"/>
      <c r="B6300" s="83"/>
      <c r="C6300" s="83"/>
      <c r="D6300" s="84"/>
      <c r="E6300" s="388"/>
      <c r="F6300" s="389"/>
      <c r="G6300" s="389"/>
      <c r="H6300" s="390"/>
    </row>
    <row r="6301" spans="1:10" ht="16.5">
      <c r="A6301" s="90"/>
      <c r="B6301" s="90"/>
      <c r="C6301" s="90"/>
      <c r="D6301" s="90"/>
      <c r="E6301" s="90"/>
      <c r="F6301" s="90"/>
      <c r="G6301" s="90"/>
      <c r="H6301" s="381"/>
    </row>
    <row r="6302" spans="1:10">
      <c r="A6302" s="579" t="s">
        <v>4225</v>
      </c>
      <c r="B6302" s="580"/>
      <c r="C6302" s="580"/>
      <c r="D6302" s="580"/>
      <c r="E6302" s="580"/>
      <c r="F6302" s="580"/>
      <c r="G6302" s="580"/>
      <c r="H6302" s="581"/>
    </row>
    <row r="6303" spans="1:10" ht="16.5">
      <c r="A6303" s="91"/>
      <c r="B6303" s="92"/>
      <c r="C6303" s="92"/>
      <c r="D6303" s="92"/>
      <c r="E6303" s="92"/>
      <c r="F6303" s="93"/>
      <c r="G6303" s="94"/>
      <c r="H6303" s="380">
        <f>ROUND((4/60)/8,4)</f>
        <v>8.3000000000000001E-3</v>
      </c>
      <c r="I6303" s="115"/>
    </row>
    <row r="6304" spans="1:10">
      <c r="A6304" s="582" t="s">
        <v>4220</v>
      </c>
      <c r="B6304" s="584" t="str">
        <f>COSTOS!$C$14</f>
        <v>MODERNIZACION A TECNOLOGIA LED</v>
      </c>
      <c r="C6304" s="584"/>
      <c r="D6304" s="584"/>
      <c r="E6304" s="584"/>
      <c r="F6304" s="584"/>
      <c r="G6304" s="584"/>
      <c r="H6304" s="585" t="s">
        <v>4221</v>
      </c>
    </row>
    <row r="6305" spans="1:15">
      <c r="A6305" s="583"/>
      <c r="B6305" s="584"/>
      <c r="C6305" s="584"/>
      <c r="D6305" s="584"/>
      <c r="E6305" s="584"/>
      <c r="F6305" s="584"/>
      <c r="G6305" s="584"/>
      <c r="H6305" s="585"/>
    </row>
    <row r="6306" spans="1:15">
      <c r="A6306" s="583"/>
      <c r="B6306" s="584"/>
      <c r="C6306" s="584"/>
      <c r="D6306" s="584"/>
      <c r="E6306" s="584"/>
      <c r="F6306" s="584"/>
      <c r="G6306" s="584"/>
      <c r="H6306" s="585"/>
    </row>
    <row r="6307" spans="1:15" ht="15" customHeight="1">
      <c r="A6307" s="583"/>
      <c r="B6307" s="584"/>
      <c r="C6307" s="584"/>
      <c r="D6307" s="584"/>
      <c r="E6307" s="584"/>
      <c r="F6307" s="584"/>
      <c r="G6307" s="584"/>
      <c r="H6307" s="216">
        <f ca="1">TODAY()</f>
        <v>44889</v>
      </c>
      <c r="K6307" t="s">
        <v>4391</v>
      </c>
      <c r="L6307" t="s">
        <v>4392</v>
      </c>
      <c r="M6307" t="s">
        <v>4393</v>
      </c>
      <c r="N6307" t="s">
        <v>4394</v>
      </c>
    </row>
    <row r="6308" spans="1:15" ht="60.75" customHeight="1">
      <c r="A6308" s="228" t="s">
        <v>4222</v>
      </c>
      <c r="B6308" s="565" t="str">
        <f>COSTOS!$D$16</f>
        <v>Luminarias</v>
      </c>
      <c r="C6308" s="565"/>
      <c r="D6308" s="565"/>
      <c r="E6308" s="565"/>
      <c r="F6308" s="565"/>
      <c r="G6308" s="70" t="s">
        <v>4223</v>
      </c>
      <c r="H6308" s="387">
        <v>3.9</v>
      </c>
      <c r="K6308" s="62">
        <f>H6334</f>
        <v>6146.1120000000001</v>
      </c>
      <c r="L6308" s="62">
        <f>H6344</f>
        <v>2985.8752000000004</v>
      </c>
      <c r="M6308" s="62">
        <f>H6317</f>
        <v>117.279</v>
      </c>
      <c r="N6308" s="62">
        <f>H6338</f>
        <v>800</v>
      </c>
    </row>
    <row r="6309" spans="1:15" ht="43.15" customHeight="1">
      <c r="A6309" s="229" t="s">
        <v>4224</v>
      </c>
      <c r="B6309" s="566" t="str">
        <f>VLOOKUP(H6308,COSTOS!C:M,2,0)</f>
        <v>Red canalizada en cable cobre 2 No 12 x 500m</v>
      </c>
      <c r="C6309" s="567"/>
      <c r="D6309" s="567"/>
      <c r="E6309" s="568"/>
      <c r="F6309" s="71" t="s">
        <v>0</v>
      </c>
      <c r="G6309" s="356" t="str">
        <f>VLOOKUP(H6308,COSTOS!C:M,8,0)</f>
        <v>Und</v>
      </c>
      <c r="H6309" s="276"/>
      <c r="I6309" s="306"/>
      <c r="J6309" s="308"/>
      <c r="K6309" s="308"/>
      <c r="L6309" s="308"/>
    </row>
    <row r="6310" spans="1:15">
      <c r="A6310" s="230"/>
      <c r="B6310" s="112"/>
      <c r="C6310" s="112"/>
      <c r="D6310" s="112"/>
      <c r="E6310" s="113"/>
      <c r="F6310" s="114" t="s">
        <v>1</v>
      </c>
      <c r="G6310" s="356">
        <f>VLOOKUP(H6308,COSTOS!C:M,9,0)</f>
        <v>0</v>
      </c>
      <c r="H6310" s="357"/>
      <c r="I6310" s="307"/>
    </row>
    <row r="6311" spans="1:15" ht="16.5">
      <c r="A6311" s="231" t="s">
        <v>4226</v>
      </c>
      <c r="B6311" s="75"/>
      <c r="C6311" s="75"/>
      <c r="D6311" s="76"/>
      <c r="E6311" s="209"/>
      <c r="F6311" s="210"/>
      <c r="G6311" s="211" t="s">
        <v>4227</v>
      </c>
      <c r="H6311" s="217">
        <f>H6317+H6334+H6338+H6344</f>
        <v>10049.2662</v>
      </c>
    </row>
    <row r="6312" spans="1:15" ht="39">
      <c r="A6312" s="569" t="s">
        <v>4224</v>
      </c>
      <c r="B6312" s="569"/>
      <c r="C6312" s="569"/>
      <c r="D6312" s="77" t="s">
        <v>0</v>
      </c>
      <c r="E6312" s="207" t="s">
        <v>4228</v>
      </c>
      <c r="F6312" s="208" t="s">
        <v>4215</v>
      </c>
      <c r="G6312" s="74" t="s">
        <v>2</v>
      </c>
      <c r="H6312" s="218" t="s">
        <v>4229</v>
      </c>
      <c r="K6312" s="309"/>
    </row>
    <row r="6313" spans="1:15">
      <c r="A6313" s="536" t="s">
        <v>3946</v>
      </c>
      <c r="B6313" s="570" t="str">
        <f>VLOOKUP(A6313,'Equip, Herr y Transp'!$B$2:$D$739,2,0)</f>
        <v>EQU</v>
      </c>
      <c r="C6313" s="570"/>
      <c r="D6313" s="95" t="str">
        <f>VLOOKUP(A6313,'Equip, Herr y Transp'!$B$2:$D$218,2,0)</f>
        <v>EQU</v>
      </c>
      <c r="E6313" s="95">
        <f>VLOOKUP(A6313,'Equip, Herr y Transp'!$B$2:$D$218,3,0)</f>
        <v>14130</v>
      </c>
      <c r="F6313" s="96">
        <f>H6303</f>
        <v>8.3000000000000001E-3</v>
      </c>
      <c r="G6313" s="122">
        <f>F6313*E6313</f>
        <v>117.279</v>
      </c>
      <c r="H6313" s="118"/>
    </row>
    <row r="6314" spans="1:15">
      <c r="A6314" s="536" t="s">
        <v>8</v>
      </c>
      <c r="B6314" s="570">
        <f>VLOOKUP(A6314,'Equip, Herr y Transp'!$B$2:$D$739,2,0)</f>
        <v>0</v>
      </c>
      <c r="C6314" s="570"/>
      <c r="D6314" s="95">
        <f>VLOOKUP(A6314,'Equip, Herr y Transp'!$B$2:$D$218,2,0)</f>
        <v>0</v>
      </c>
      <c r="E6314" s="95">
        <f>VLOOKUP(A6314,'Equip, Herr y Transp'!$B$2:$D$218,3,0)</f>
        <v>0</v>
      </c>
      <c r="F6314" s="96">
        <f>H6303</f>
        <v>8.3000000000000001E-3</v>
      </c>
      <c r="G6314" s="122">
        <f>F6314*E6314</f>
        <v>0</v>
      </c>
      <c r="H6314" s="117"/>
    </row>
    <row r="6315" spans="1:15">
      <c r="A6315" s="536" t="s">
        <v>8</v>
      </c>
      <c r="B6315" s="570">
        <f>VLOOKUP(A6315,'Equip, Herr y Transp'!$B$2:$D$739,2,0)</f>
        <v>0</v>
      </c>
      <c r="C6315" s="570"/>
      <c r="D6315" s="95">
        <f>VLOOKUP(A6315,'Equip, Herr y Transp'!$B$2:$D$218,2,0)</f>
        <v>0</v>
      </c>
      <c r="E6315" s="95">
        <f>VLOOKUP(A6315,'Equip, Herr y Transp'!$B$2:$D$218,3,0)</f>
        <v>0</v>
      </c>
      <c r="F6315" s="96">
        <f>H6303</f>
        <v>8.3000000000000001E-3</v>
      </c>
      <c r="G6315" s="122">
        <f>F6315*E6315</f>
        <v>0</v>
      </c>
      <c r="H6315" s="117"/>
    </row>
    <row r="6316" spans="1:15">
      <c r="A6316" s="536" t="s">
        <v>8</v>
      </c>
      <c r="B6316" s="570">
        <f>VLOOKUP(A6316,'Equip, Herr y Transp'!$B$2:$D$739,2,0)</f>
        <v>0</v>
      </c>
      <c r="C6316" s="570"/>
      <c r="D6316" s="95">
        <f>VLOOKUP(A6316,'Equip, Herr y Transp'!$B$2:$D$218,2,0)</f>
        <v>0</v>
      </c>
      <c r="E6316" s="95">
        <f>VLOOKUP(A6316,'Equip, Herr y Transp'!$B$2:$D$218,3,0)</f>
        <v>0</v>
      </c>
      <c r="F6316" s="96">
        <f>H6303</f>
        <v>8.3000000000000001E-3</v>
      </c>
      <c r="G6316" s="122">
        <f>F6316*E6316</f>
        <v>0</v>
      </c>
      <c r="H6316" s="117"/>
    </row>
    <row r="6317" spans="1:15" ht="16.5">
      <c r="A6317" s="540" t="s">
        <v>4100</v>
      </c>
      <c r="B6317" s="541"/>
      <c r="C6317" s="541"/>
      <c r="D6317" s="541"/>
      <c r="E6317" s="541"/>
      <c r="F6317" s="541"/>
      <c r="G6317" s="541"/>
      <c r="H6317" s="97">
        <f>SUM(G6313:G6316)</f>
        <v>117.279</v>
      </c>
    </row>
    <row r="6318" spans="1:15" ht="16.5">
      <c r="A6318" s="571" t="s">
        <v>4230</v>
      </c>
      <c r="B6318" s="572"/>
      <c r="C6318" s="572"/>
      <c r="D6318" s="572"/>
      <c r="E6318" s="572"/>
      <c r="F6318" s="572"/>
      <c r="G6318" s="572"/>
      <c r="H6318" s="573"/>
      <c r="K6318" s="56"/>
      <c r="L6318" s="56"/>
      <c r="M6318" s="56"/>
      <c r="N6318" s="56"/>
      <c r="O6318" s="56"/>
    </row>
    <row r="6319" spans="1:15" ht="30" customHeight="1">
      <c r="A6319" s="574" t="s">
        <v>7</v>
      </c>
      <c r="B6319" s="575"/>
      <c r="C6319" s="109" t="s">
        <v>0</v>
      </c>
      <c r="D6319" s="110" t="s">
        <v>4098</v>
      </c>
      <c r="E6319" s="111" t="s">
        <v>1</v>
      </c>
      <c r="F6319" s="576" t="s">
        <v>4218</v>
      </c>
      <c r="G6319" s="576"/>
      <c r="H6319" s="215"/>
      <c r="K6319" s="56"/>
      <c r="L6319" s="56"/>
      <c r="M6319" s="56"/>
      <c r="N6319" s="56"/>
      <c r="O6319" s="56"/>
    </row>
    <row r="6320" spans="1:15">
      <c r="A6320" s="577" t="s">
        <v>4649</v>
      </c>
      <c r="B6320" s="578"/>
      <c r="C6320" s="98" t="str">
        <f>VLOOKUP(A6320,'Materiales '!$C$2:$F$1302,3,0)</f>
        <v>Ml</v>
      </c>
      <c r="D6320" s="99">
        <f>VLOOKUP(A6320,'Materiales '!$C$2:$F$1302,4,0)</f>
        <v>3073.056</v>
      </c>
      <c r="E6320" s="100">
        <v>2</v>
      </c>
      <c r="F6320" s="538">
        <f>E6320*D6320</f>
        <v>6146.1120000000001</v>
      </c>
      <c r="G6320" s="539"/>
      <c r="H6320" s="121"/>
      <c r="I6320">
        <f>E6320*G6310</f>
        <v>0</v>
      </c>
      <c r="J6320" s="67"/>
      <c r="K6320" s="56"/>
      <c r="L6320" s="56"/>
      <c r="M6320" s="56"/>
      <c r="N6320" s="56"/>
      <c r="O6320" s="56"/>
    </row>
    <row r="6321" spans="1:15">
      <c r="A6321" s="577" t="s">
        <v>8</v>
      </c>
      <c r="B6321" s="578"/>
      <c r="C6321" s="98" t="str">
        <f>VLOOKUP(A6321,'Materiales '!$C$2:$F$1302,3,0)</f>
        <v>-</v>
      </c>
      <c r="D6321" s="99">
        <f>VLOOKUP(A6321,'Materiales '!$C$2:$F$1302,4,0)</f>
        <v>0</v>
      </c>
      <c r="E6321" s="100"/>
      <c r="F6321" s="538">
        <f t="shared" ref="F6321:F6327" si="370">E6321*D6321</f>
        <v>0</v>
      </c>
      <c r="G6321" s="539"/>
      <c r="H6321" s="121"/>
      <c r="I6321">
        <f>E6321*G6310</f>
        <v>0</v>
      </c>
      <c r="J6321" s="67"/>
      <c r="K6321" s="56"/>
      <c r="L6321" s="56"/>
      <c r="M6321" s="56"/>
      <c r="N6321" s="56"/>
      <c r="O6321" s="56"/>
    </row>
    <row r="6322" spans="1:15">
      <c r="A6322" s="536" t="s">
        <v>8</v>
      </c>
      <c r="B6322" s="537" t="str">
        <f>VLOOKUP(A6322,'Materiales '!$C$2:$F$1302,3,0)</f>
        <v>-</v>
      </c>
      <c r="C6322" s="98" t="str">
        <f>VLOOKUP(A6322,'Materiales '!$C$2:$F$1302,3,0)</f>
        <v>-</v>
      </c>
      <c r="D6322" s="99">
        <f>VLOOKUP(A6322,'Materiales '!$C$2:$F$1302,4,0)</f>
        <v>0</v>
      </c>
      <c r="E6322" s="100"/>
      <c r="F6322" s="538">
        <f t="shared" si="370"/>
        <v>0</v>
      </c>
      <c r="G6322" s="539"/>
      <c r="H6322" s="121"/>
      <c r="I6322">
        <f>E6322*G6310</f>
        <v>0</v>
      </c>
      <c r="J6322" s="68"/>
      <c r="K6322" s="56"/>
      <c r="L6322" s="56"/>
      <c r="M6322" s="56"/>
      <c r="N6322" s="56"/>
      <c r="O6322" s="56"/>
    </row>
    <row r="6323" spans="1:15">
      <c r="A6323" s="536" t="s">
        <v>8</v>
      </c>
      <c r="B6323" s="537" t="str">
        <f>VLOOKUP(A6323,'Materiales '!$C$2:$F$1302,3,0)</f>
        <v>-</v>
      </c>
      <c r="C6323" s="98" t="str">
        <f>VLOOKUP(A6323,'Materiales '!$C$2:$F$1302,3,0)</f>
        <v>-</v>
      </c>
      <c r="D6323" s="99">
        <f>VLOOKUP(A6323,'Materiales '!$C$2:$F$1302,4,0)</f>
        <v>0</v>
      </c>
      <c r="E6323" s="100"/>
      <c r="F6323" s="538">
        <f t="shared" si="370"/>
        <v>0</v>
      </c>
      <c r="G6323" s="539"/>
      <c r="H6323" s="121"/>
      <c r="I6323">
        <f>E6323*G6310</f>
        <v>0</v>
      </c>
      <c r="J6323" s="68"/>
      <c r="K6323" s="56"/>
      <c r="L6323" s="56"/>
      <c r="M6323" s="56"/>
      <c r="N6323" s="56"/>
      <c r="O6323" s="56"/>
    </row>
    <row r="6324" spans="1:15">
      <c r="A6324" s="536" t="s">
        <v>8</v>
      </c>
      <c r="B6324" s="537" t="str">
        <f>VLOOKUP(A6324,'Materiales '!$C$2:$F$1302,3,0)</f>
        <v>-</v>
      </c>
      <c r="C6324" s="98" t="str">
        <f>VLOOKUP(A6324,'Materiales '!$C$2:$F$1302,3,0)</f>
        <v>-</v>
      </c>
      <c r="D6324" s="99">
        <f>VLOOKUP(A6324,'Materiales '!$C$2:$F$1302,4,0)</f>
        <v>0</v>
      </c>
      <c r="E6324" s="100"/>
      <c r="F6324" s="538">
        <f t="shared" si="370"/>
        <v>0</v>
      </c>
      <c r="G6324" s="539"/>
      <c r="H6324" s="121"/>
      <c r="I6324">
        <f>E6324*G6310</f>
        <v>0</v>
      </c>
      <c r="J6324" s="68"/>
      <c r="K6324" s="56"/>
      <c r="L6324" s="56"/>
      <c r="M6324" s="56"/>
      <c r="N6324" s="56"/>
      <c r="O6324" s="56"/>
    </row>
    <row r="6325" spans="1:15">
      <c r="A6325" s="536" t="s">
        <v>8</v>
      </c>
      <c r="B6325" s="537" t="str">
        <f>VLOOKUP(A6325,'Materiales '!$C$2:$F$1302,3,0)</f>
        <v>-</v>
      </c>
      <c r="C6325" s="98" t="str">
        <f>VLOOKUP(A6325,'Materiales '!$C$2:$F$1302,3,0)</f>
        <v>-</v>
      </c>
      <c r="D6325" s="99">
        <f>VLOOKUP(A6325,'Materiales '!$C$2:$F$1302,4,0)</f>
        <v>0</v>
      </c>
      <c r="E6325" s="100"/>
      <c r="F6325" s="538">
        <f t="shared" si="370"/>
        <v>0</v>
      </c>
      <c r="G6325" s="539"/>
      <c r="H6325" s="121"/>
      <c r="I6325">
        <f>E6325*G6310</f>
        <v>0</v>
      </c>
      <c r="J6325" s="68"/>
      <c r="K6325" s="56"/>
      <c r="L6325" s="56"/>
      <c r="M6325" s="56"/>
      <c r="N6325" s="56"/>
      <c r="O6325" s="56"/>
    </row>
    <row r="6326" spans="1:15">
      <c r="A6326" s="536" t="s">
        <v>8</v>
      </c>
      <c r="B6326" s="537" t="str">
        <f>VLOOKUP(A6326,'Materiales '!$C$2:$F$1302,3,0)</f>
        <v>-</v>
      </c>
      <c r="C6326" s="98" t="str">
        <f>VLOOKUP(A6326,'Materiales '!$C$2:$F$1302,3,0)</f>
        <v>-</v>
      </c>
      <c r="D6326" s="99">
        <f>VLOOKUP(A6326,'Materiales '!$C$2:$F$1302,4,0)</f>
        <v>0</v>
      </c>
      <c r="E6326" s="100"/>
      <c r="F6326" s="538">
        <f t="shared" si="370"/>
        <v>0</v>
      </c>
      <c r="G6326" s="539"/>
      <c r="H6326" s="121"/>
      <c r="I6326">
        <f>E6326*G6310</f>
        <v>0</v>
      </c>
      <c r="J6326" s="68"/>
      <c r="K6326" s="56"/>
      <c r="L6326" s="56"/>
      <c r="M6326" s="56"/>
      <c r="N6326" s="56"/>
      <c r="O6326" s="56"/>
    </row>
    <row r="6327" spans="1:15" ht="21.75" customHeight="1">
      <c r="A6327" s="536" t="s">
        <v>8</v>
      </c>
      <c r="B6327" s="537" t="str">
        <f>VLOOKUP(A6327,'Materiales '!$C$2:$F$1302,3,0)</f>
        <v>-</v>
      </c>
      <c r="C6327" s="98" t="str">
        <f>VLOOKUP(A6327,'Materiales '!$C$2:$F$1302,3,0)</f>
        <v>-</v>
      </c>
      <c r="D6327" s="99">
        <f>VLOOKUP(A6327,'Materiales '!$C$2:$F$1302,4,0)</f>
        <v>0</v>
      </c>
      <c r="E6327" s="100"/>
      <c r="F6327" s="538">
        <f t="shared" si="370"/>
        <v>0</v>
      </c>
      <c r="G6327" s="539"/>
      <c r="H6327" s="121"/>
      <c r="I6327">
        <f>E6327*G6310</f>
        <v>0</v>
      </c>
      <c r="J6327" s="68"/>
      <c r="K6327" s="56"/>
      <c r="L6327" s="56"/>
      <c r="M6327" s="56"/>
      <c r="N6327" s="56"/>
      <c r="O6327" s="56"/>
    </row>
    <row r="6328" spans="1:15">
      <c r="A6328" s="536" t="s">
        <v>8</v>
      </c>
      <c r="B6328" s="537" t="str">
        <f>VLOOKUP(A6328,'Materiales '!$C$2:$F$1302,3,0)</f>
        <v>-</v>
      </c>
      <c r="C6328" s="98" t="str">
        <f>VLOOKUP(A6328,'Materiales '!$C$2:$F$1302,3,0)</f>
        <v>-</v>
      </c>
      <c r="D6328" s="99">
        <f>VLOOKUP(A6328,'Materiales '!$C$2:$F$1302,4,0)</f>
        <v>0</v>
      </c>
      <c r="E6328" s="100"/>
      <c r="F6328" s="538">
        <f>E6328*D6328</f>
        <v>0</v>
      </c>
      <c r="G6328" s="539"/>
      <c r="H6328" s="120"/>
      <c r="I6328">
        <f>E6328*G6310</f>
        <v>0</v>
      </c>
      <c r="J6328" s="68"/>
      <c r="K6328" s="56"/>
      <c r="L6328" s="56"/>
      <c r="M6328" s="56"/>
      <c r="N6328" s="56"/>
      <c r="O6328" s="56"/>
    </row>
    <row r="6329" spans="1:15">
      <c r="A6329" s="536" t="s">
        <v>8</v>
      </c>
      <c r="B6329" s="537" t="str">
        <f>VLOOKUP(A6329,'Materiales '!$C$2:$F$1302,3,0)</f>
        <v>-</v>
      </c>
      <c r="C6329" s="98" t="str">
        <f>VLOOKUP(A6329,'Materiales '!$C$2:$F$1302,3,0)</f>
        <v>-</v>
      </c>
      <c r="D6329" s="99">
        <f>VLOOKUP(A6329,'Materiales '!$C$2:$F$1302,4,0)</f>
        <v>0</v>
      </c>
      <c r="E6329" s="100"/>
      <c r="F6329" s="538">
        <f t="shared" ref="F6329:F6332" si="371">E6329*D6329</f>
        <v>0</v>
      </c>
      <c r="G6329" s="539"/>
      <c r="H6329" s="121"/>
      <c r="I6329">
        <f>E6329*G6310</f>
        <v>0</v>
      </c>
      <c r="J6329" s="68"/>
      <c r="K6329" s="56"/>
      <c r="L6329" s="56"/>
      <c r="M6329" s="56"/>
      <c r="N6329" s="56"/>
      <c r="O6329" s="56"/>
    </row>
    <row r="6330" spans="1:15">
      <c r="A6330" s="536" t="s">
        <v>8</v>
      </c>
      <c r="B6330" s="537" t="str">
        <f>VLOOKUP(A6330,'Materiales '!$C$2:$F$1302,3,0)</f>
        <v>-</v>
      </c>
      <c r="C6330" s="98" t="str">
        <f>VLOOKUP(A6330,'Materiales '!$C$2:$F$1302,3,0)</f>
        <v>-</v>
      </c>
      <c r="D6330" s="99">
        <f>VLOOKUP(A6330,'Materiales '!$C$2:$F$1302,4,0)</f>
        <v>0</v>
      </c>
      <c r="E6330" s="100"/>
      <c r="F6330" s="538">
        <f t="shared" si="371"/>
        <v>0</v>
      </c>
      <c r="G6330" s="539"/>
      <c r="H6330" s="121"/>
      <c r="I6330">
        <f>E6330*G6310</f>
        <v>0</v>
      </c>
      <c r="J6330" s="68"/>
      <c r="K6330" s="56"/>
      <c r="L6330" s="56"/>
      <c r="M6330" s="56"/>
      <c r="N6330" s="56"/>
      <c r="O6330" s="56"/>
    </row>
    <row r="6331" spans="1:15">
      <c r="A6331" s="536" t="s">
        <v>8</v>
      </c>
      <c r="B6331" s="537" t="str">
        <f>VLOOKUP(A6331,'Materiales '!$C$2:$F$1302,3,0)</f>
        <v>-</v>
      </c>
      <c r="C6331" s="98" t="str">
        <f>VLOOKUP(A6331,'Materiales '!$C$2:$F$1302,3,0)</f>
        <v>-</v>
      </c>
      <c r="D6331" s="99">
        <f>VLOOKUP(A6331,'Materiales '!$C$2:$F$1302,4,0)</f>
        <v>0</v>
      </c>
      <c r="E6331" s="100"/>
      <c r="F6331" s="538">
        <f t="shared" si="371"/>
        <v>0</v>
      </c>
      <c r="G6331" s="539"/>
      <c r="H6331" s="121"/>
      <c r="I6331">
        <f>E6331*G6310</f>
        <v>0</v>
      </c>
      <c r="J6331" s="68"/>
      <c r="K6331" s="56"/>
      <c r="L6331" s="56"/>
      <c r="M6331" s="56"/>
      <c r="N6331" s="56"/>
      <c r="O6331" s="56"/>
    </row>
    <row r="6332" spans="1:15">
      <c r="A6332" s="536" t="s">
        <v>8</v>
      </c>
      <c r="B6332" s="537" t="str">
        <f>VLOOKUP(A6332,'Materiales '!$C$2:$F$1302,3,0)</f>
        <v>-</v>
      </c>
      <c r="C6332" s="98" t="str">
        <f>VLOOKUP(A6332,'Materiales '!$C$2:$F$1302,3,0)</f>
        <v>-</v>
      </c>
      <c r="D6332" s="99">
        <f>VLOOKUP(A6332,'Materiales '!$C$2:$F$1302,4,0)</f>
        <v>0</v>
      </c>
      <c r="E6332" s="100"/>
      <c r="F6332" s="538">
        <f t="shared" si="371"/>
        <v>0</v>
      </c>
      <c r="G6332" s="539"/>
      <c r="H6332" s="121"/>
      <c r="I6332">
        <f>E6332*G6310</f>
        <v>0</v>
      </c>
      <c r="J6332" s="68"/>
      <c r="K6332" s="56"/>
      <c r="L6332" s="56"/>
      <c r="M6332" s="56"/>
      <c r="N6332" s="56"/>
      <c r="O6332" s="56"/>
    </row>
    <row r="6333" spans="1:15">
      <c r="A6333" s="536" t="s">
        <v>8</v>
      </c>
      <c r="B6333" s="537" t="str">
        <f>VLOOKUP(A6333,'Materiales '!$C$2:$F$1302,3,0)</f>
        <v>-</v>
      </c>
      <c r="C6333" s="98" t="str">
        <f>VLOOKUP(A6333,'Materiales '!$C$2:$F$1302,3,0)</f>
        <v>-</v>
      </c>
      <c r="D6333" s="99">
        <f>VLOOKUP(A6333,'Materiales '!$C$2:$F$1302,4,0)</f>
        <v>0</v>
      </c>
      <c r="E6333" s="100"/>
      <c r="F6333" s="538">
        <f>E6333*D6333</f>
        <v>0</v>
      </c>
      <c r="G6333" s="539"/>
      <c r="H6333" s="120"/>
      <c r="I6333">
        <f>E6333*G6310</f>
        <v>0</v>
      </c>
      <c r="J6333" s="68"/>
      <c r="K6333" s="56"/>
      <c r="L6333" s="56"/>
      <c r="M6333" s="56"/>
      <c r="N6333" s="56"/>
      <c r="O6333" s="56"/>
    </row>
    <row r="6334" spans="1:15" ht="16.5">
      <c r="A6334" s="540" t="s">
        <v>4099</v>
      </c>
      <c r="B6334" s="541"/>
      <c r="C6334" s="541"/>
      <c r="D6334" s="541"/>
      <c r="E6334" s="541"/>
      <c r="F6334" s="541"/>
      <c r="G6334" s="542"/>
      <c r="H6334" s="116">
        <f>SUM(F6320:F6333)</f>
        <v>6146.1120000000001</v>
      </c>
      <c r="J6334" s="68"/>
      <c r="K6334" s="56"/>
      <c r="L6334" s="56"/>
      <c r="M6334" s="56"/>
      <c r="N6334" s="56"/>
      <c r="O6334" s="56"/>
    </row>
    <row r="6335" spans="1:15" ht="16.5">
      <c r="A6335" s="543" t="s">
        <v>4231</v>
      </c>
      <c r="B6335" s="544"/>
      <c r="C6335" s="544"/>
      <c r="D6335" s="544"/>
      <c r="E6335" s="545"/>
      <c r="F6335" s="544"/>
      <c r="G6335" s="544"/>
      <c r="H6335" s="546"/>
      <c r="J6335" s="68"/>
      <c r="K6335" s="56"/>
      <c r="L6335" s="56"/>
      <c r="M6335" s="56"/>
      <c r="N6335" s="56"/>
      <c r="O6335" s="56"/>
    </row>
    <row r="6336" spans="1:15">
      <c r="A6336" s="547" t="s">
        <v>7</v>
      </c>
      <c r="B6336" s="548"/>
      <c r="C6336" s="108" t="s">
        <v>4232</v>
      </c>
      <c r="D6336" s="107" t="s">
        <v>4233</v>
      </c>
      <c r="E6336" s="206" t="s">
        <v>4234</v>
      </c>
      <c r="F6336" s="549" t="s">
        <v>4218</v>
      </c>
      <c r="G6336" s="549"/>
      <c r="H6336" s="119"/>
      <c r="K6336" s="56"/>
      <c r="L6336" s="56"/>
      <c r="M6336" s="56"/>
      <c r="N6336" s="56"/>
      <c r="O6336" s="56"/>
    </row>
    <row r="6337" spans="1:13">
      <c r="A6337" s="550" t="s">
        <v>3928</v>
      </c>
      <c r="B6337" s="551"/>
      <c r="C6337" s="232">
        <v>1</v>
      </c>
      <c r="D6337" s="102">
        <v>5.0000000000000001E-3</v>
      </c>
      <c r="E6337" s="103">
        <f>VLOOKUP(A6337,'Equip, Herr y Transp'!$B$2:$D$218,3,0)</f>
        <v>160000</v>
      </c>
      <c r="F6337" s="552">
        <f>E6337*D6337*C6337</f>
        <v>800</v>
      </c>
      <c r="G6337" s="553"/>
      <c r="H6337" s="117"/>
      <c r="M6337" s="56"/>
    </row>
    <row r="6338" spans="1:13" ht="16.5">
      <c r="A6338" s="554" t="s">
        <v>4216</v>
      </c>
      <c r="B6338" s="555"/>
      <c r="C6338" s="555"/>
      <c r="D6338" s="555"/>
      <c r="E6338" s="555"/>
      <c r="F6338" s="555"/>
      <c r="G6338" s="555"/>
      <c r="H6338" s="105">
        <f>F6337</f>
        <v>800</v>
      </c>
    </row>
    <row r="6339" spans="1:13" ht="16.5">
      <c r="A6339" s="543" t="s">
        <v>4235</v>
      </c>
      <c r="B6339" s="544"/>
      <c r="C6339" s="544"/>
      <c r="D6339" s="544"/>
      <c r="E6339" s="544"/>
      <c r="F6339" s="544"/>
      <c r="G6339" s="544"/>
      <c r="H6339" s="546"/>
    </row>
    <row r="6340" spans="1:13">
      <c r="A6340" s="547" t="s">
        <v>7</v>
      </c>
      <c r="B6340" s="548"/>
      <c r="C6340" s="106" t="s">
        <v>1</v>
      </c>
      <c r="D6340" s="107" t="s">
        <v>4236</v>
      </c>
      <c r="E6340" s="108" t="s">
        <v>4215</v>
      </c>
      <c r="F6340" s="547" t="s">
        <v>5</v>
      </c>
      <c r="G6340" s="556"/>
      <c r="H6340" s="119"/>
    </row>
    <row r="6341" spans="1:13">
      <c r="A6341" s="550" t="s">
        <v>4196</v>
      </c>
      <c r="B6341" s="551"/>
      <c r="C6341" s="101">
        <v>1</v>
      </c>
      <c r="D6341" s="104">
        <f>VLOOKUP(A6341,'Mano Obra'!$B$2:$T$117,19,0)</f>
        <v>166624</v>
      </c>
      <c r="E6341" s="246">
        <f>H6303</f>
        <v>8.3000000000000001E-3</v>
      </c>
      <c r="F6341" s="538">
        <f>E6341*D6341*C6341</f>
        <v>1382.9792</v>
      </c>
      <c r="G6341" s="557"/>
      <c r="H6341" s="121"/>
      <c r="I6341" s="69"/>
      <c r="J6341" s="136">
        <f>((('Mano Obra'!$M$4/30)*F6341)/D6341)*G6310</f>
        <v>0</v>
      </c>
    </row>
    <row r="6342" spans="1:13">
      <c r="A6342" s="558" t="s">
        <v>4197</v>
      </c>
      <c r="B6342" s="559">
        <f>VLOOKUP(A6342,'Mano Obra'!$B$3:$D$290,2,0)</f>
        <v>2090000.0000000002</v>
      </c>
      <c r="C6342" s="101">
        <v>1</v>
      </c>
      <c r="D6342" s="104">
        <f>VLOOKUP(A6342,'Mano Obra'!$B$2:$T$117,19,0)</f>
        <v>120456</v>
      </c>
      <c r="E6342" s="246">
        <f>H6303</f>
        <v>8.3000000000000001E-3</v>
      </c>
      <c r="F6342" s="538">
        <f t="shared" ref="F6342:F6343" si="372">E6342*D6342*C6342</f>
        <v>999.78480000000002</v>
      </c>
      <c r="G6342" s="557"/>
      <c r="H6342" s="121"/>
      <c r="J6342" s="136">
        <f>((('Mano Obra'!$M$5/30)*F6342)/D6342)*G6310</f>
        <v>0</v>
      </c>
    </row>
    <row r="6343" spans="1:13">
      <c r="A6343" s="558" t="s">
        <v>4186</v>
      </c>
      <c r="B6343" s="559">
        <f>VLOOKUP(A6343,'Mano Obra'!$B$3:$D$290,2,0)</f>
        <v>1100000</v>
      </c>
      <c r="C6343" s="101">
        <v>1</v>
      </c>
      <c r="D6343" s="104">
        <f>VLOOKUP(A6343,'Mano Obra'!$B$2:$T$117,19,0)</f>
        <v>72664</v>
      </c>
      <c r="E6343" s="246">
        <f>H6303</f>
        <v>8.3000000000000001E-3</v>
      </c>
      <c r="F6343" s="538">
        <f t="shared" si="372"/>
        <v>603.11120000000005</v>
      </c>
      <c r="G6343" s="557"/>
      <c r="H6343" s="120"/>
      <c r="J6343" s="136">
        <f>((('Mano Obra'!$M$6/30)*F6343)/D6343)*G6310</f>
        <v>0</v>
      </c>
    </row>
    <row r="6344" spans="1:13" ht="16.5">
      <c r="A6344" s="560" t="s">
        <v>4101</v>
      </c>
      <c r="B6344" s="560"/>
      <c r="C6344" s="560"/>
      <c r="D6344" s="560"/>
      <c r="E6344" s="560"/>
      <c r="F6344" s="560"/>
      <c r="G6344" s="560"/>
      <c r="H6344" s="105">
        <f>SUM(F6341:F6343)</f>
        <v>2985.8752000000004</v>
      </c>
      <c r="J6344" s="136"/>
    </row>
    <row r="6345" spans="1:13">
      <c r="A6345" s="227" t="s">
        <v>4237</v>
      </c>
      <c r="B6345" s="205"/>
      <c r="C6345" s="205"/>
      <c r="D6345" s="202"/>
      <c r="E6345" s="203"/>
      <c r="F6345" s="204"/>
      <c r="G6345" s="203"/>
      <c r="H6345" s="212"/>
    </row>
    <row r="6346" spans="1:13">
      <c r="A6346" s="561" t="s">
        <v>4224</v>
      </c>
      <c r="B6346" s="562"/>
      <c r="C6346" s="562"/>
      <c r="D6346" s="562"/>
      <c r="E6346" s="200"/>
      <c r="F6346" s="201" t="s">
        <v>4238</v>
      </c>
      <c r="G6346" s="200" t="s">
        <v>4239</v>
      </c>
      <c r="H6346" s="213"/>
    </row>
    <row r="6347" spans="1:13">
      <c r="A6347" s="223" t="s">
        <v>4097</v>
      </c>
      <c r="B6347" s="72"/>
      <c r="C6347" s="72"/>
      <c r="D6347" s="73"/>
      <c r="E6347" s="78"/>
      <c r="F6347" s="79">
        <v>0</v>
      </c>
      <c r="G6347" s="80">
        <f>F6347*H6311</f>
        <v>0</v>
      </c>
      <c r="H6347" s="212"/>
    </row>
    <row r="6348" spans="1:13">
      <c r="A6348" s="224" t="s">
        <v>4240</v>
      </c>
      <c r="B6348" s="81"/>
      <c r="C6348" s="81"/>
      <c r="D6348" s="82"/>
      <c r="E6348" s="78"/>
      <c r="F6348" s="79">
        <v>0</v>
      </c>
      <c r="G6348" s="80">
        <f>F6348*H6311</f>
        <v>0</v>
      </c>
      <c r="H6348" s="212"/>
    </row>
    <row r="6349" spans="1:13">
      <c r="A6349" s="224" t="s">
        <v>4</v>
      </c>
      <c r="B6349" s="81"/>
      <c r="C6349" s="81"/>
      <c r="D6349" s="82"/>
      <c r="E6349" s="78"/>
      <c r="F6349" s="79">
        <v>0</v>
      </c>
      <c r="G6349" s="80">
        <f>F6349*H6311</f>
        <v>0</v>
      </c>
      <c r="H6349" s="212"/>
    </row>
    <row r="6350" spans="1:13">
      <c r="A6350" s="225"/>
      <c r="B6350" s="83"/>
      <c r="C6350" s="75"/>
      <c r="D6350" s="84"/>
      <c r="E6350" s="85"/>
      <c r="F6350" s="86"/>
      <c r="G6350" s="87"/>
      <c r="H6350" s="214"/>
    </row>
    <row r="6351" spans="1:13">
      <c r="A6351" s="226"/>
      <c r="B6351" s="83"/>
      <c r="C6351" s="83"/>
      <c r="D6351" s="84"/>
      <c r="E6351" s="88"/>
      <c r="F6351" s="563" t="s">
        <v>4241</v>
      </c>
      <c r="G6351" s="564"/>
      <c r="H6351" s="233">
        <f>H6311+G6347+G6348+G6349</f>
        <v>10049.2662</v>
      </c>
    </row>
    <row r="6352" spans="1:13">
      <c r="A6352" s="83"/>
      <c r="B6352" s="83"/>
      <c r="C6352" s="83"/>
      <c r="D6352" s="84"/>
      <c r="E6352" s="388"/>
      <c r="F6352" s="389"/>
      <c r="G6352" s="389"/>
      <c r="H6352" s="390"/>
    </row>
    <row r="6353" spans="1:14">
      <c r="A6353" s="579" t="s">
        <v>4225</v>
      </c>
      <c r="B6353" s="580"/>
      <c r="C6353" s="580"/>
      <c r="D6353" s="580"/>
      <c r="E6353" s="580"/>
      <c r="F6353" s="580"/>
      <c r="G6353" s="580"/>
      <c r="H6353" s="581"/>
    </row>
    <row r="6354" spans="1:14" ht="16.5">
      <c r="A6354" s="91"/>
      <c r="B6354" s="92"/>
      <c r="C6354" s="92"/>
      <c r="D6354" s="92"/>
      <c r="E6354" s="92"/>
      <c r="F6354" s="93"/>
      <c r="G6354" s="94"/>
      <c r="H6354" s="380">
        <f>ROUND((4/60)/8,4)</f>
        <v>8.3000000000000001E-3</v>
      </c>
      <c r="I6354" s="115"/>
    </row>
    <row r="6355" spans="1:14">
      <c r="A6355" s="582" t="s">
        <v>4220</v>
      </c>
      <c r="B6355" s="584" t="str">
        <f>COSTOS!$C$14</f>
        <v>MODERNIZACION A TECNOLOGIA LED</v>
      </c>
      <c r="C6355" s="584"/>
      <c r="D6355" s="584"/>
      <c r="E6355" s="584"/>
      <c r="F6355" s="584"/>
      <c r="G6355" s="584"/>
      <c r="H6355" s="585" t="s">
        <v>4221</v>
      </c>
    </row>
    <row r="6356" spans="1:14">
      <c r="A6356" s="583"/>
      <c r="B6356" s="584"/>
      <c r="C6356" s="584"/>
      <c r="D6356" s="584"/>
      <c r="E6356" s="584"/>
      <c r="F6356" s="584"/>
      <c r="G6356" s="584"/>
      <c r="H6356" s="585"/>
    </row>
    <row r="6357" spans="1:14">
      <c r="A6357" s="583"/>
      <c r="B6357" s="584"/>
      <c r="C6357" s="584"/>
      <c r="D6357" s="584"/>
      <c r="E6357" s="584"/>
      <c r="F6357" s="584"/>
      <c r="G6357" s="584"/>
      <c r="H6357" s="585"/>
    </row>
    <row r="6358" spans="1:14" ht="15" customHeight="1">
      <c r="A6358" s="583"/>
      <c r="B6358" s="584"/>
      <c r="C6358" s="584"/>
      <c r="D6358" s="584"/>
      <c r="E6358" s="584"/>
      <c r="F6358" s="584"/>
      <c r="G6358" s="584"/>
      <c r="H6358" s="216">
        <f ca="1">TODAY()</f>
        <v>44889</v>
      </c>
      <c r="K6358" t="s">
        <v>4391</v>
      </c>
      <c r="L6358" t="s">
        <v>4392</v>
      </c>
      <c r="M6358" t="s">
        <v>4393</v>
      </c>
      <c r="N6358" t="s">
        <v>4394</v>
      </c>
    </row>
    <row r="6359" spans="1:14" ht="60.75" customHeight="1">
      <c r="A6359" s="228" t="s">
        <v>4222</v>
      </c>
      <c r="B6359" s="565" t="str">
        <f>COSTOS!$D$16</f>
        <v>Luminarias</v>
      </c>
      <c r="C6359" s="565"/>
      <c r="D6359" s="565"/>
      <c r="E6359" s="565"/>
      <c r="F6359" s="565"/>
      <c r="G6359" s="70" t="s">
        <v>4223</v>
      </c>
      <c r="H6359" s="387" t="s">
        <v>4696</v>
      </c>
      <c r="K6359" s="62">
        <f>H6385</f>
        <v>5569.2</v>
      </c>
      <c r="L6359" s="62">
        <f>H6395</f>
        <v>2985.8752000000004</v>
      </c>
      <c r="M6359" s="62">
        <f>H6368</f>
        <v>117.279</v>
      </c>
      <c r="N6359" s="62">
        <f>H6389</f>
        <v>800</v>
      </c>
    </row>
    <row r="6360" spans="1:14" ht="43.15" customHeight="1">
      <c r="A6360" s="229" t="s">
        <v>4224</v>
      </c>
      <c r="B6360" s="566" t="str">
        <f>VLOOKUP(H6359,COSTOS!C:M,2,0)</f>
        <v>Red aerea en cable cobre 3 No 14 x 500m</v>
      </c>
      <c r="C6360" s="567"/>
      <c r="D6360" s="567"/>
      <c r="E6360" s="568"/>
      <c r="F6360" s="71" t="s">
        <v>0</v>
      </c>
      <c r="G6360" s="356" t="str">
        <f>VLOOKUP(H6359,COSTOS!C:M,8,0)</f>
        <v>Und</v>
      </c>
      <c r="H6360" s="276"/>
      <c r="I6360" s="306"/>
      <c r="J6360" s="308"/>
      <c r="K6360" s="308"/>
      <c r="L6360" s="308"/>
    </row>
    <row r="6361" spans="1:14">
      <c r="A6361" s="230"/>
      <c r="B6361" s="112"/>
      <c r="C6361" s="112"/>
      <c r="D6361" s="112"/>
      <c r="E6361" s="113"/>
      <c r="F6361" s="114" t="s">
        <v>1</v>
      </c>
      <c r="G6361" s="356">
        <f>VLOOKUP(H6359,COSTOS!C:M,9,0)</f>
        <v>0</v>
      </c>
      <c r="H6361" s="357"/>
      <c r="I6361" s="307"/>
    </row>
    <row r="6362" spans="1:14" ht="16.5">
      <c r="A6362" s="231" t="s">
        <v>4226</v>
      </c>
      <c r="B6362" s="75"/>
      <c r="C6362" s="75"/>
      <c r="D6362" s="76"/>
      <c r="E6362" s="209"/>
      <c r="F6362" s="210"/>
      <c r="G6362" s="211" t="s">
        <v>4227</v>
      </c>
      <c r="H6362" s="217">
        <f>H6368+H6385+H6389+H6395</f>
        <v>9472.3541999999998</v>
      </c>
    </row>
    <row r="6363" spans="1:14" ht="39">
      <c r="A6363" s="569" t="s">
        <v>4224</v>
      </c>
      <c r="B6363" s="569"/>
      <c r="C6363" s="569"/>
      <c r="D6363" s="77" t="s">
        <v>0</v>
      </c>
      <c r="E6363" s="207" t="s">
        <v>4228</v>
      </c>
      <c r="F6363" s="208" t="s">
        <v>4215</v>
      </c>
      <c r="G6363" s="74" t="s">
        <v>2</v>
      </c>
      <c r="H6363" s="218" t="s">
        <v>4229</v>
      </c>
      <c r="K6363" s="309"/>
    </row>
    <row r="6364" spans="1:14">
      <c r="A6364" s="536" t="s">
        <v>3946</v>
      </c>
      <c r="B6364" s="570" t="str">
        <f>VLOOKUP(A6364,'Equip, Herr y Transp'!$B$2:$D$739,2,0)</f>
        <v>EQU</v>
      </c>
      <c r="C6364" s="570"/>
      <c r="D6364" s="95" t="str">
        <f>VLOOKUP(A6364,'Equip, Herr y Transp'!$B$2:$D$218,2,0)</f>
        <v>EQU</v>
      </c>
      <c r="E6364" s="95">
        <f>VLOOKUP(A6364,'Equip, Herr y Transp'!$B$2:$D$218,3,0)</f>
        <v>14130</v>
      </c>
      <c r="F6364" s="96">
        <f>H6354</f>
        <v>8.3000000000000001E-3</v>
      </c>
      <c r="G6364" s="122">
        <f>F6364*E6364</f>
        <v>117.279</v>
      </c>
      <c r="H6364" s="118"/>
    </row>
    <row r="6365" spans="1:14">
      <c r="A6365" s="536" t="s">
        <v>8</v>
      </c>
      <c r="B6365" s="570">
        <f>VLOOKUP(A6365,'Equip, Herr y Transp'!$B$2:$D$739,2,0)</f>
        <v>0</v>
      </c>
      <c r="C6365" s="570"/>
      <c r="D6365" s="95">
        <f>VLOOKUP(A6365,'Equip, Herr y Transp'!$B$2:$D$218,2,0)</f>
        <v>0</v>
      </c>
      <c r="E6365" s="95">
        <f>VLOOKUP(A6365,'Equip, Herr y Transp'!$B$2:$D$218,3,0)</f>
        <v>0</v>
      </c>
      <c r="F6365" s="96">
        <f>H6354</f>
        <v>8.3000000000000001E-3</v>
      </c>
      <c r="G6365" s="122">
        <f>F6365*E6365</f>
        <v>0</v>
      </c>
      <c r="H6365" s="117"/>
    </row>
    <row r="6366" spans="1:14">
      <c r="A6366" s="536" t="s">
        <v>8</v>
      </c>
      <c r="B6366" s="570">
        <f>VLOOKUP(A6366,'Equip, Herr y Transp'!$B$2:$D$739,2,0)</f>
        <v>0</v>
      </c>
      <c r="C6366" s="570"/>
      <c r="D6366" s="95">
        <f>VLOOKUP(A6366,'Equip, Herr y Transp'!$B$2:$D$218,2,0)</f>
        <v>0</v>
      </c>
      <c r="E6366" s="95">
        <f>VLOOKUP(A6366,'Equip, Herr y Transp'!$B$2:$D$218,3,0)</f>
        <v>0</v>
      </c>
      <c r="F6366" s="96">
        <f>H6354</f>
        <v>8.3000000000000001E-3</v>
      </c>
      <c r="G6366" s="122">
        <f>F6366*E6366</f>
        <v>0</v>
      </c>
      <c r="H6366" s="117"/>
    </row>
    <row r="6367" spans="1:14">
      <c r="A6367" s="536" t="s">
        <v>8</v>
      </c>
      <c r="B6367" s="570">
        <f>VLOOKUP(A6367,'Equip, Herr y Transp'!$B$2:$D$739,2,0)</f>
        <v>0</v>
      </c>
      <c r="C6367" s="570"/>
      <c r="D6367" s="95">
        <f>VLOOKUP(A6367,'Equip, Herr y Transp'!$B$2:$D$218,2,0)</f>
        <v>0</v>
      </c>
      <c r="E6367" s="95">
        <f>VLOOKUP(A6367,'Equip, Herr y Transp'!$B$2:$D$218,3,0)</f>
        <v>0</v>
      </c>
      <c r="F6367" s="96">
        <f>H6354</f>
        <v>8.3000000000000001E-3</v>
      </c>
      <c r="G6367" s="122">
        <f>F6367*E6367</f>
        <v>0</v>
      </c>
      <c r="H6367" s="117"/>
    </row>
    <row r="6368" spans="1:14" ht="16.5">
      <c r="A6368" s="540" t="s">
        <v>4100</v>
      </c>
      <c r="B6368" s="541"/>
      <c r="C6368" s="541"/>
      <c r="D6368" s="541"/>
      <c r="E6368" s="541"/>
      <c r="F6368" s="541"/>
      <c r="G6368" s="541"/>
      <c r="H6368" s="97">
        <f>SUM(G6364:G6367)</f>
        <v>117.279</v>
      </c>
    </row>
    <row r="6369" spans="1:15" ht="16.5">
      <c r="A6369" s="571" t="s">
        <v>4230</v>
      </c>
      <c r="B6369" s="572"/>
      <c r="C6369" s="572"/>
      <c r="D6369" s="572"/>
      <c r="E6369" s="572"/>
      <c r="F6369" s="572"/>
      <c r="G6369" s="572"/>
      <c r="H6369" s="573"/>
      <c r="K6369" s="56"/>
      <c r="L6369" s="56"/>
      <c r="M6369" s="56"/>
      <c r="N6369" s="56"/>
      <c r="O6369" s="56"/>
    </row>
    <row r="6370" spans="1:15" ht="30" customHeight="1">
      <c r="A6370" s="574" t="s">
        <v>7</v>
      </c>
      <c r="B6370" s="575"/>
      <c r="C6370" s="109" t="s">
        <v>0</v>
      </c>
      <c r="D6370" s="110" t="s">
        <v>4098</v>
      </c>
      <c r="E6370" s="111" t="s">
        <v>1</v>
      </c>
      <c r="F6370" s="576" t="s">
        <v>4218</v>
      </c>
      <c r="G6370" s="576"/>
      <c r="H6370" s="215"/>
      <c r="K6370" s="56"/>
      <c r="L6370" s="56"/>
      <c r="M6370" s="56"/>
      <c r="N6370" s="56"/>
      <c r="O6370" s="56"/>
    </row>
    <row r="6371" spans="1:15">
      <c r="A6371" s="577" t="s">
        <v>4697</v>
      </c>
      <c r="B6371" s="578"/>
      <c r="C6371" s="98" t="str">
        <f>VLOOKUP(A6371,'Materiales '!$C$2:$F$1302,3,0)</f>
        <v>Ml</v>
      </c>
      <c r="D6371" s="99">
        <f>VLOOKUP(A6371,'Materiales '!$C$2:$F$1302,4,0)</f>
        <v>1856.3999999999999</v>
      </c>
      <c r="E6371" s="100">
        <v>3</v>
      </c>
      <c r="F6371" s="538">
        <f>E6371*D6371</f>
        <v>5569.2</v>
      </c>
      <c r="G6371" s="539"/>
      <c r="H6371" s="121"/>
      <c r="I6371">
        <f>E6371*G6361</f>
        <v>0</v>
      </c>
      <c r="J6371" s="67"/>
      <c r="K6371" s="56"/>
      <c r="L6371" s="56"/>
      <c r="M6371" s="56"/>
      <c r="N6371" s="56"/>
      <c r="O6371" s="56"/>
    </row>
    <row r="6372" spans="1:15">
      <c r="A6372" s="577" t="s">
        <v>8</v>
      </c>
      <c r="B6372" s="578"/>
      <c r="C6372" s="98" t="str">
        <f>VLOOKUP(A6372,'Materiales '!$C$2:$F$1302,3,0)</f>
        <v>-</v>
      </c>
      <c r="D6372" s="99">
        <f>VLOOKUP(A6372,'Materiales '!$C$2:$F$1302,4,0)</f>
        <v>0</v>
      </c>
      <c r="E6372" s="100"/>
      <c r="F6372" s="538">
        <f t="shared" ref="F6372:F6378" si="373">E6372*D6372</f>
        <v>0</v>
      </c>
      <c r="G6372" s="539"/>
      <c r="H6372" s="121"/>
      <c r="I6372">
        <f>E6372*G6361</f>
        <v>0</v>
      </c>
      <c r="J6372" s="67"/>
      <c r="K6372" s="56"/>
      <c r="L6372" s="56"/>
      <c r="M6372" s="56"/>
      <c r="N6372" s="56"/>
      <c r="O6372" s="56"/>
    </row>
    <row r="6373" spans="1:15">
      <c r="A6373" s="536" t="s">
        <v>8</v>
      </c>
      <c r="B6373" s="537" t="str">
        <f>VLOOKUP(A6373,'Materiales '!$C$2:$F$1302,3,0)</f>
        <v>-</v>
      </c>
      <c r="C6373" s="98" t="str">
        <f>VLOOKUP(A6373,'Materiales '!$C$2:$F$1302,3,0)</f>
        <v>-</v>
      </c>
      <c r="D6373" s="99">
        <f>VLOOKUP(A6373,'Materiales '!$C$2:$F$1302,4,0)</f>
        <v>0</v>
      </c>
      <c r="E6373" s="100"/>
      <c r="F6373" s="538">
        <f t="shared" si="373"/>
        <v>0</v>
      </c>
      <c r="G6373" s="539"/>
      <c r="H6373" s="121"/>
      <c r="I6373">
        <f>E6373*G6361</f>
        <v>0</v>
      </c>
      <c r="J6373" s="68"/>
      <c r="K6373" s="56"/>
      <c r="L6373" s="56"/>
      <c r="M6373" s="56"/>
      <c r="N6373" s="56"/>
      <c r="O6373" s="56"/>
    </row>
    <row r="6374" spans="1:15">
      <c r="A6374" s="536" t="s">
        <v>8</v>
      </c>
      <c r="B6374" s="537" t="str">
        <f>VLOOKUP(A6374,'Materiales '!$C$2:$F$1302,3,0)</f>
        <v>-</v>
      </c>
      <c r="C6374" s="98" t="str">
        <f>VLOOKUP(A6374,'Materiales '!$C$2:$F$1302,3,0)</f>
        <v>-</v>
      </c>
      <c r="D6374" s="99">
        <f>VLOOKUP(A6374,'Materiales '!$C$2:$F$1302,4,0)</f>
        <v>0</v>
      </c>
      <c r="E6374" s="100"/>
      <c r="F6374" s="538">
        <f t="shared" si="373"/>
        <v>0</v>
      </c>
      <c r="G6374" s="539"/>
      <c r="H6374" s="121"/>
      <c r="I6374">
        <f>E6374*G6361</f>
        <v>0</v>
      </c>
      <c r="J6374" s="68"/>
      <c r="K6374" s="56"/>
      <c r="L6374" s="56"/>
      <c r="M6374" s="56"/>
      <c r="N6374" s="56"/>
      <c r="O6374" s="56"/>
    </row>
    <row r="6375" spans="1:15">
      <c r="A6375" s="536" t="s">
        <v>8</v>
      </c>
      <c r="B6375" s="537" t="str">
        <f>VLOOKUP(A6375,'Materiales '!$C$2:$F$1302,3,0)</f>
        <v>-</v>
      </c>
      <c r="C6375" s="98" t="str">
        <f>VLOOKUP(A6375,'Materiales '!$C$2:$F$1302,3,0)</f>
        <v>-</v>
      </c>
      <c r="D6375" s="99">
        <f>VLOOKUP(A6375,'Materiales '!$C$2:$F$1302,4,0)</f>
        <v>0</v>
      </c>
      <c r="E6375" s="100"/>
      <c r="F6375" s="538">
        <f t="shared" si="373"/>
        <v>0</v>
      </c>
      <c r="G6375" s="539"/>
      <c r="H6375" s="121"/>
      <c r="I6375">
        <f>E6375*G6361</f>
        <v>0</v>
      </c>
      <c r="J6375" s="68"/>
      <c r="K6375" s="56"/>
      <c r="L6375" s="56"/>
      <c r="M6375" s="56"/>
      <c r="N6375" s="56"/>
      <c r="O6375" s="56"/>
    </row>
    <row r="6376" spans="1:15">
      <c r="A6376" s="536" t="s">
        <v>8</v>
      </c>
      <c r="B6376" s="537" t="str">
        <f>VLOOKUP(A6376,'Materiales '!$C$2:$F$1302,3,0)</f>
        <v>-</v>
      </c>
      <c r="C6376" s="98" t="str">
        <f>VLOOKUP(A6376,'Materiales '!$C$2:$F$1302,3,0)</f>
        <v>-</v>
      </c>
      <c r="D6376" s="99">
        <f>VLOOKUP(A6376,'Materiales '!$C$2:$F$1302,4,0)</f>
        <v>0</v>
      </c>
      <c r="E6376" s="100"/>
      <c r="F6376" s="538">
        <f t="shared" si="373"/>
        <v>0</v>
      </c>
      <c r="G6376" s="539"/>
      <c r="H6376" s="121"/>
      <c r="I6376">
        <f>E6376*G6361</f>
        <v>0</v>
      </c>
      <c r="J6376" s="68"/>
      <c r="K6376" s="56"/>
      <c r="L6376" s="56"/>
      <c r="M6376" s="56"/>
      <c r="N6376" s="56"/>
      <c r="O6376" s="56"/>
    </row>
    <row r="6377" spans="1:15">
      <c r="A6377" s="536" t="s">
        <v>8</v>
      </c>
      <c r="B6377" s="537" t="str">
        <f>VLOOKUP(A6377,'Materiales '!$C$2:$F$1302,3,0)</f>
        <v>-</v>
      </c>
      <c r="C6377" s="98" t="str">
        <f>VLOOKUP(A6377,'Materiales '!$C$2:$F$1302,3,0)</f>
        <v>-</v>
      </c>
      <c r="D6377" s="99">
        <f>VLOOKUP(A6377,'Materiales '!$C$2:$F$1302,4,0)</f>
        <v>0</v>
      </c>
      <c r="E6377" s="100"/>
      <c r="F6377" s="538">
        <f t="shared" si="373"/>
        <v>0</v>
      </c>
      <c r="G6377" s="539"/>
      <c r="H6377" s="121"/>
      <c r="I6377">
        <f>E6377*G6361</f>
        <v>0</v>
      </c>
      <c r="J6377" s="68"/>
      <c r="K6377" s="56"/>
      <c r="L6377" s="56"/>
      <c r="M6377" s="56"/>
      <c r="N6377" s="56"/>
      <c r="O6377" s="56"/>
    </row>
    <row r="6378" spans="1:15" ht="21.75" customHeight="1">
      <c r="A6378" s="536" t="s">
        <v>8</v>
      </c>
      <c r="B6378" s="537" t="str">
        <f>VLOOKUP(A6378,'Materiales '!$C$2:$F$1302,3,0)</f>
        <v>-</v>
      </c>
      <c r="C6378" s="98" t="str">
        <f>VLOOKUP(A6378,'Materiales '!$C$2:$F$1302,3,0)</f>
        <v>-</v>
      </c>
      <c r="D6378" s="99">
        <f>VLOOKUP(A6378,'Materiales '!$C$2:$F$1302,4,0)</f>
        <v>0</v>
      </c>
      <c r="E6378" s="100"/>
      <c r="F6378" s="538">
        <f t="shared" si="373"/>
        <v>0</v>
      </c>
      <c r="G6378" s="539"/>
      <c r="H6378" s="121"/>
      <c r="I6378">
        <f>E6378*G6361</f>
        <v>0</v>
      </c>
      <c r="J6378" s="68"/>
      <c r="K6378" s="56"/>
      <c r="L6378" s="56"/>
      <c r="M6378" s="56"/>
      <c r="N6378" s="56"/>
      <c r="O6378" s="56"/>
    </row>
    <row r="6379" spans="1:15">
      <c r="A6379" s="536" t="s">
        <v>8</v>
      </c>
      <c r="B6379" s="537" t="str">
        <f>VLOOKUP(A6379,'Materiales '!$C$2:$F$1302,3,0)</f>
        <v>-</v>
      </c>
      <c r="C6379" s="98" t="str">
        <f>VLOOKUP(A6379,'Materiales '!$C$2:$F$1302,3,0)</f>
        <v>-</v>
      </c>
      <c r="D6379" s="99">
        <f>VLOOKUP(A6379,'Materiales '!$C$2:$F$1302,4,0)</f>
        <v>0</v>
      </c>
      <c r="E6379" s="100"/>
      <c r="F6379" s="538">
        <f>E6379*D6379</f>
        <v>0</v>
      </c>
      <c r="G6379" s="539"/>
      <c r="H6379" s="120"/>
      <c r="I6379">
        <f>E6379*G6361</f>
        <v>0</v>
      </c>
      <c r="J6379" s="68"/>
      <c r="K6379" s="56"/>
      <c r="L6379" s="56"/>
      <c r="M6379" s="56"/>
      <c r="N6379" s="56"/>
      <c r="O6379" s="56"/>
    </row>
    <row r="6380" spans="1:15">
      <c r="A6380" s="536" t="s">
        <v>8</v>
      </c>
      <c r="B6380" s="537" t="str">
        <f>VLOOKUP(A6380,'Materiales '!$C$2:$F$1302,3,0)</f>
        <v>-</v>
      </c>
      <c r="C6380" s="98" t="str">
        <f>VLOOKUP(A6380,'Materiales '!$C$2:$F$1302,3,0)</f>
        <v>-</v>
      </c>
      <c r="D6380" s="99">
        <f>VLOOKUP(A6380,'Materiales '!$C$2:$F$1302,4,0)</f>
        <v>0</v>
      </c>
      <c r="E6380" s="100"/>
      <c r="F6380" s="538">
        <f t="shared" ref="F6380:F6383" si="374">E6380*D6380</f>
        <v>0</v>
      </c>
      <c r="G6380" s="539"/>
      <c r="H6380" s="121"/>
      <c r="I6380">
        <f>E6380*G6361</f>
        <v>0</v>
      </c>
      <c r="J6380" s="68"/>
      <c r="K6380" s="56"/>
      <c r="L6380" s="56"/>
      <c r="M6380" s="56"/>
      <c r="N6380" s="56"/>
      <c r="O6380" s="56"/>
    </row>
    <row r="6381" spans="1:15">
      <c r="A6381" s="536" t="s">
        <v>8</v>
      </c>
      <c r="B6381" s="537" t="str">
        <f>VLOOKUP(A6381,'Materiales '!$C$2:$F$1302,3,0)</f>
        <v>-</v>
      </c>
      <c r="C6381" s="98" t="str">
        <f>VLOOKUP(A6381,'Materiales '!$C$2:$F$1302,3,0)</f>
        <v>-</v>
      </c>
      <c r="D6381" s="99">
        <f>VLOOKUP(A6381,'Materiales '!$C$2:$F$1302,4,0)</f>
        <v>0</v>
      </c>
      <c r="E6381" s="100"/>
      <c r="F6381" s="538">
        <f t="shared" si="374"/>
        <v>0</v>
      </c>
      <c r="G6381" s="539"/>
      <c r="H6381" s="121"/>
      <c r="I6381">
        <f>E6381*G6361</f>
        <v>0</v>
      </c>
      <c r="J6381" s="68"/>
      <c r="K6381" s="56"/>
      <c r="L6381" s="56"/>
      <c r="M6381" s="56"/>
      <c r="N6381" s="56"/>
      <c r="O6381" s="56"/>
    </row>
    <row r="6382" spans="1:15">
      <c r="A6382" s="536" t="s">
        <v>8</v>
      </c>
      <c r="B6382" s="537" t="str">
        <f>VLOOKUP(A6382,'Materiales '!$C$2:$F$1302,3,0)</f>
        <v>-</v>
      </c>
      <c r="C6382" s="98" t="str">
        <f>VLOOKUP(A6382,'Materiales '!$C$2:$F$1302,3,0)</f>
        <v>-</v>
      </c>
      <c r="D6382" s="99">
        <f>VLOOKUP(A6382,'Materiales '!$C$2:$F$1302,4,0)</f>
        <v>0</v>
      </c>
      <c r="E6382" s="100"/>
      <c r="F6382" s="538">
        <f t="shared" si="374"/>
        <v>0</v>
      </c>
      <c r="G6382" s="539"/>
      <c r="H6382" s="121"/>
      <c r="I6382">
        <f>E6382*G6361</f>
        <v>0</v>
      </c>
      <c r="J6382" s="68"/>
      <c r="K6382" s="56"/>
      <c r="L6382" s="56"/>
      <c r="M6382" s="56"/>
      <c r="N6382" s="56"/>
      <c r="O6382" s="56"/>
    </row>
    <row r="6383" spans="1:15">
      <c r="A6383" s="536" t="s">
        <v>8</v>
      </c>
      <c r="B6383" s="537" t="str">
        <f>VLOOKUP(A6383,'Materiales '!$C$2:$F$1302,3,0)</f>
        <v>-</v>
      </c>
      <c r="C6383" s="98" t="str">
        <f>VLOOKUP(A6383,'Materiales '!$C$2:$F$1302,3,0)</f>
        <v>-</v>
      </c>
      <c r="D6383" s="99">
        <f>VLOOKUP(A6383,'Materiales '!$C$2:$F$1302,4,0)</f>
        <v>0</v>
      </c>
      <c r="E6383" s="100"/>
      <c r="F6383" s="538">
        <f t="shared" si="374"/>
        <v>0</v>
      </c>
      <c r="G6383" s="539"/>
      <c r="H6383" s="121"/>
      <c r="I6383">
        <f>E6383*G6361</f>
        <v>0</v>
      </c>
      <c r="J6383" s="68"/>
      <c r="K6383" s="56"/>
      <c r="L6383" s="56"/>
      <c r="M6383" s="56"/>
      <c r="N6383" s="56"/>
      <c r="O6383" s="56"/>
    </row>
    <row r="6384" spans="1:15">
      <c r="A6384" s="536" t="s">
        <v>8</v>
      </c>
      <c r="B6384" s="537" t="str">
        <f>VLOOKUP(A6384,'Materiales '!$C$2:$F$1302,3,0)</f>
        <v>-</v>
      </c>
      <c r="C6384" s="98" t="str">
        <f>VLOOKUP(A6384,'Materiales '!$C$2:$F$1302,3,0)</f>
        <v>-</v>
      </c>
      <c r="D6384" s="99">
        <f>VLOOKUP(A6384,'Materiales '!$C$2:$F$1302,4,0)</f>
        <v>0</v>
      </c>
      <c r="E6384" s="100"/>
      <c r="F6384" s="538">
        <f>E6384*D6384</f>
        <v>0</v>
      </c>
      <c r="G6384" s="539"/>
      <c r="H6384" s="120"/>
      <c r="I6384">
        <f>E6384*G6361</f>
        <v>0</v>
      </c>
      <c r="J6384" s="68"/>
      <c r="K6384" s="56"/>
      <c r="L6384" s="56"/>
      <c r="M6384" s="56"/>
      <c r="N6384" s="56"/>
      <c r="O6384" s="56"/>
    </row>
    <row r="6385" spans="1:15" ht="16.5">
      <c r="A6385" s="540" t="s">
        <v>4099</v>
      </c>
      <c r="B6385" s="541"/>
      <c r="C6385" s="541"/>
      <c r="D6385" s="541"/>
      <c r="E6385" s="541"/>
      <c r="F6385" s="541"/>
      <c r="G6385" s="542"/>
      <c r="H6385" s="116">
        <f>SUM(F6371:F6384)</f>
        <v>5569.2</v>
      </c>
      <c r="J6385" s="68"/>
      <c r="K6385" s="56"/>
      <c r="L6385" s="56"/>
      <c r="M6385" s="56"/>
      <c r="N6385" s="56"/>
      <c r="O6385" s="56"/>
    </row>
    <row r="6386" spans="1:15" ht="16.5">
      <c r="A6386" s="543" t="s">
        <v>4231</v>
      </c>
      <c r="B6386" s="544"/>
      <c r="C6386" s="544"/>
      <c r="D6386" s="544"/>
      <c r="E6386" s="545"/>
      <c r="F6386" s="544"/>
      <c r="G6386" s="544"/>
      <c r="H6386" s="546"/>
      <c r="J6386" s="68"/>
      <c r="K6386" s="56"/>
      <c r="L6386" s="56"/>
      <c r="M6386" s="56"/>
      <c r="N6386" s="56"/>
      <c r="O6386" s="56"/>
    </row>
    <row r="6387" spans="1:15">
      <c r="A6387" s="547" t="s">
        <v>7</v>
      </c>
      <c r="B6387" s="548"/>
      <c r="C6387" s="108" t="s">
        <v>4232</v>
      </c>
      <c r="D6387" s="107" t="s">
        <v>4233</v>
      </c>
      <c r="E6387" s="206" t="s">
        <v>4234</v>
      </c>
      <c r="F6387" s="549" t="s">
        <v>4218</v>
      </c>
      <c r="G6387" s="549"/>
      <c r="H6387" s="119"/>
      <c r="K6387" s="56"/>
      <c r="L6387" s="56"/>
      <c r="M6387" s="56"/>
      <c r="N6387" s="56"/>
      <c r="O6387" s="56"/>
    </row>
    <row r="6388" spans="1:15">
      <c r="A6388" s="550" t="s">
        <v>3928</v>
      </c>
      <c r="B6388" s="551"/>
      <c r="C6388" s="232">
        <v>1</v>
      </c>
      <c r="D6388" s="102">
        <v>5.0000000000000001E-3</v>
      </c>
      <c r="E6388" s="103">
        <f>VLOOKUP(A6388,'Equip, Herr y Transp'!$B$2:$D$218,3,0)</f>
        <v>160000</v>
      </c>
      <c r="F6388" s="552">
        <f>E6388*D6388*C6388</f>
        <v>800</v>
      </c>
      <c r="G6388" s="553"/>
      <c r="H6388" s="117"/>
      <c r="M6388" s="56"/>
    </row>
    <row r="6389" spans="1:15" ht="16.5">
      <c r="A6389" s="554" t="s">
        <v>4216</v>
      </c>
      <c r="B6389" s="555"/>
      <c r="C6389" s="555"/>
      <c r="D6389" s="555"/>
      <c r="E6389" s="555"/>
      <c r="F6389" s="555"/>
      <c r="G6389" s="555"/>
      <c r="H6389" s="105">
        <f>F6388</f>
        <v>800</v>
      </c>
    </row>
    <row r="6390" spans="1:15" ht="16.5">
      <c r="A6390" s="543" t="s">
        <v>4235</v>
      </c>
      <c r="B6390" s="544"/>
      <c r="C6390" s="544"/>
      <c r="D6390" s="544"/>
      <c r="E6390" s="544"/>
      <c r="F6390" s="544"/>
      <c r="G6390" s="544"/>
      <c r="H6390" s="546"/>
    </row>
    <row r="6391" spans="1:15">
      <c r="A6391" s="547" t="s">
        <v>7</v>
      </c>
      <c r="B6391" s="548"/>
      <c r="C6391" s="106" t="s">
        <v>1</v>
      </c>
      <c r="D6391" s="107" t="s">
        <v>4236</v>
      </c>
      <c r="E6391" s="108" t="s">
        <v>4215</v>
      </c>
      <c r="F6391" s="547" t="s">
        <v>5</v>
      </c>
      <c r="G6391" s="556"/>
      <c r="H6391" s="119"/>
    </row>
    <row r="6392" spans="1:15">
      <c r="A6392" s="550" t="s">
        <v>4196</v>
      </c>
      <c r="B6392" s="551"/>
      <c r="C6392" s="101">
        <v>1</v>
      </c>
      <c r="D6392" s="104">
        <f>VLOOKUP(A6392,'Mano Obra'!$B$2:$T$117,19,0)</f>
        <v>166624</v>
      </c>
      <c r="E6392" s="246">
        <f>H6354</f>
        <v>8.3000000000000001E-3</v>
      </c>
      <c r="F6392" s="538">
        <f>E6392*D6392*C6392</f>
        <v>1382.9792</v>
      </c>
      <c r="G6392" s="557"/>
      <c r="H6392" s="121"/>
      <c r="I6392" s="69"/>
      <c r="J6392" s="136">
        <f>((('Mano Obra'!$M$4/30)*F6392)/D6392)*G6361</f>
        <v>0</v>
      </c>
    </row>
    <row r="6393" spans="1:15">
      <c r="A6393" s="558" t="s">
        <v>4197</v>
      </c>
      <c r="B6393" s="559">
        <f>VLOOKUP(A6393,'Mano Obra'!$B$3:$D$290,2,0)</f>
        <v>2090000.0000000002</v>
      </c>
      <c r="C6393" s="101">
        <v>1</v>
      </c>
      <c r="D6393" s="104">
        <f>VLOOKUP(A6393,'Mano Obra'!$B$2:$T$117,19,0)</f>
        <v>120456</v>
      </c>
      <c r="E6393" s="246">
        <f>H6354</f>
        <v>8.3000000000000001E-3</v>
      </c>
      <c r="F6393" s="538">
        <f t="shared" ref="F6393:F6394" si="375">E6393*D6393*C6393</f>
        <v>999.78480000000002</v>
      </c>
      <c r="G6393" s="557"/>
      <c r="H6393" s="121"/>
      <c r="J6393" s="136">
        <f>((('Mano Obra'!$M$5/30)*F6393)/D6393)*G6361</f>
        <v>0</v>
      </c>
    </row>
    <row r="6394" spans="1:15">
      <c r="A6394" s="558" t="s">
        <v>4186</v>
      </c>
      <c r="B6394" s="559">
        <f>VLOOKUP(A6394,'Mano Obra'!$B$3:$D$290,2,0)</f>
        <v>1100000</v>
      </c>
      <c r="C6394" s="101">
        <v>1</v>
      </c>
      <c r="D6394" s="104">
        <f>VLOOKUP(A6394,'Mano Obra'!$B$2:$T$117,19,0)</f>
        <v>72664</v>
      </c>
      <c r="E6394" s="246">
        <f>H6354</f>
        <v>8.3000000000000001E-3</v>
      </c>
      <c r="F6394" s="538">
        <f t="shared" si="375"/>
        <v>603.11120000000005</v>
      </c>
      <c r="G6394" s="557"/>
      <c r="H6394" s="120"/>
      <c r="J6394" s="136">
        <f>((('Mano Obra'!$M$6/30)*F6394)/D6394)*G6361</f>
        <v>0</v>
      </c>
    </row>
    <row r="6395" spans="1:15" ht="16.5">
      <c r="A6395" s="560" t="s">
        <v>4101</v>
      </c>
      <c r="B6395" s="560"/>
      <c r="C6395" s="560"/>
      <c r="D6395" s="560"/>
      <c r="E6395" s="560"/>
      <c r="F6395" s="560"/>
      <c r="G6395" s="560"/>
      <c r="H6395" s="105">
        <f>SUM(F6392:F6394)</f>
        <v>2985.8752000000004</v>
      </c>
      <c r="J6395" s="136"/>
    </row>
    <row r="6396" spans="1:15">
      <c r="A6396" s="227" t="s">
        <v>4237</v>
      </c>
      <c r="B6396" s="205"/>
      <c r="C6396" s="205"/>
      <c r="D6396" s="202"/>
      <c r="E6396" s="203"/>
      <c r="F6396" s="204"/>
      <c r="G6396" s="203"/>
      <c r="H6396" s="212"/>
    </row>
    <row r="6397" spans="1:15">
      <c r="A6397" s="561" t="s">
        <v>4224</v>
      </c>
      <c r="B6397" s="562"/>
      <c r="C6397" s="562"/>
      <c r="D6397" s="562"/>
      <c r="E6397" s="200"/>
      <c r="F6397" s="201" t="s">
        <v>4238</v>
      </c>
      <c r="G6397" s="200" t="s">
        <v>4239</v>
      </c>
      <c r="H6397" s="213"/>
    </row>
    <row r="6398" spans="1:15">
      <c r="A6398" s="223" t="s">
        <v>4097</v>
      </c>
      <c r="B6398" s="72"/>
      <c r="C6398" s="72"/>
      <c r="D6398" s="73"/>
      <c r="E6398" s="78"/>
      <c r="F6398" s="79">
        <v>0</v>
      </c>
      <c r="G6398" s="80">
        <f>F6398*H6362</f>
        <v>0</v>
      </c>
      <c r="H6398" s="212"/>
    </row>
    <row r="6399" spans="1:15">
      <c r="A6399" s="224" t="s">
        <v>4240</v>
      </c>
      <c r="B6399" s="81"/>
      <c r="C6399" s="81"/>
      <c r="D6399" s="82"/>
      <c r="E6399" s="78"/>
      <c r="F6399" s="79">
        <v>0</v>
      </c>
      <c r="G6399" s="80">
        <f>F6399*H6362</f>
        <v>0</v>
      </c>
      <c r="H6399" s="212"/>
    </row>
    <row r="6400" spans="1:15">
      <c r="A6400" s="224" t="s">
        <v>4</v>
      </c>
      <c r="B6400" s="81"/>
      <c r="C6400" s="81"/>
      <c r="D6400" s="82"/>
      <c r="E6400" s="78"/>
      <c r="F6400" s="79">
        <v>0</v>
      </c>
      <c r="G6400" s="80">
        <f>F6400*H6362</f>
        <v>0</v>
      </c>
      <c r="H6400" s="212"/>
    </row>
    <row r="6401" spans="1:14">
      <c r="A6401" s="225"/>
      <c r="B6401" s="83"/>
      <c r="C6401" s="75"/>
      <c r="D6401" s="84"/>
      <c r="E6401" s="85"/>
      <c r="F6401" s="86"/>
      <c r="G6401" s="87"/>
      <c r="H6401" s="214"/>
    </row>
    <row r="6402" spans="1:14">
      <c r="A6402" s="226"/>
      <c r="B6402" s="83"/>
      <c r="C6402" s="83"/>
      <c r="D6402" s="84"/>
      <c r="E6402" s="88"/>
      <c r="F6402" s="563" t="s">
        <v>4241</v>
      </c>
      <c r="G6402" s="564"/>
      <c r="H6402" s="233">
        <f>H6362+G6398+G6399+G6400</f>
        <v>9472.3541999999998</v>
      </c>
    </row>
    <row r="6403" spans="1:14">
      <c r="A6403" s="83"/>
      <c r="B6403" s="83"/>
      <c r="C6403" s="83"/>
      <c r="D6403" s="84"/>
      <c r="E6403" s="388"/>
      <c r="F6403" s="389"/>
      <c r="G6403" s="389"/>
      <c r="H6403" s="390"/>
    </row>
    <row r="6404" spans="1:14">
      <c r="A6404" s="83"/>
      <c r="B6404" s="83"/>
      <c r="C6404" s="83"/>
      <c r="D6404" s="84"/>
      <c r="E6404" s="388"/>
      <c r="F6404" s="389"/>
      <c r="G6404" s="389"/>
      <c r="H6404" s="390"/>
    </row>
    <row r="6405" spans="1:14">
      <c r="A6405" s="579" t="s">
        <v>4225</v>
      </c>
      <c r="B6405" s="580"/>
      <c r="C6405" s="580"/>
      <c r="D6405" s="580"/>
      <c r="E6405" s="580"/>
      <c r="F6405" s="580"/>
      <c r="G6405" s="580"/>
      <c r="H6405" s="581"/>
    </row>
    <row r="6406" spans="1:14" ht="16.5">
      <c r="A6406" s="91"/>
      <c r="B6406" s="92"/>
      <c r="C6406" s="92"/>
      <c r="D6406" s="92"/>
      <c r="E6406" s="92"/>
      <c r="F6406" s="93"/>
      <c r="G6406" s="94"/>
      <c r="H6406" s="380">
        <f>ROUND((5/60)/8,4)</f>
        <v>1.04E-2</v>
      </c>
      <c r="I6406" s="115"/>
    </row>
    <row r="6407" spans="1:14">
      <c r="A6407" s="582" t="s">
        <v>4220</v>
      </c>
      <c r="B6407" s="584" t="str">
        <f>COSTOS!$C$14</f>
        <v>MODERNIZACION A TECNOLOGIA LED</v>
      </c>
      <c r="C6407" s="584"/>
      <c r="D6407" s="584"/>
      <c r="E6407" s="584"/>
      <c r="F6407" s="584"/>
      <c r="G6407" s="584"/>
      <c r="H6407" s="585" t="s">
        <v>4221</v>
      </c>
    </row>
    <row r="6408" spans="1:14">
      <c r="A6408" s="583"/>
      <c r="B6408" s="584"/>
      <c r="C6408" s="584"/>
      <c r="D6408" s="584"/>
      <c r="E6408" s="584"/>
      <c r="F6408" s="584"/>
      <c r="G6408" s="584"/>
      <c r="H6408" s="585"/>
    </row>
    <row r="6409" spans="1:14">
      <c r="A6409" s="583"/>
      <c r="B6409" s="584"/>
      <c r="C6409" s="584"/>
      <c r="D6409" s="584"/>
      <c r="E6409" s="584"/>
      <c r="F6409" s="584"/>
      <c r="G6409" s="584"/>
      <c r="H6409" s="585"/>
    </row>
    <row r="6410" spans="1:14" ht="15" customHeight="1">
      <c r="A6410" s="583"/>
      <c r="B6410" s="584"/>
      <c r="C6410" s="584"/>
      <c r="D6410" s="584"/>
      <c r="E6410" s="584"/>
      <c r="F6410" s="584"/>
      <c r="G6410" s="584"/>
      <c r="H6410" s="216">
        <f ca="1">TODAY()</f>
        <v>44889</v>
      </c>
      <c r="K6410" t="s">
        <v>4391</v>
      </c>
      <c r="L6410" t="s">
        <v>4392</v>
      </c>
      <c r="M6410" t="s">
        <v>4393</v>
      </c>
      <c r="N6410" t="s">
        <v>4394</v>
      </c>
    </row>
    <row r="6411" spans="1:14" ht="60.75" customHeight="1">
      <c r="A6411" s="228" t="s">
        <v>4222</v>
      </c>
      <c r="B6411" s="565" t="str">
        <f>COSTOS!$D$16</f>
        <v>Luminarias</v>
      </c>
      <c r="C6411" s="565"/>
      <c r="D6411" s="565"/>
      <c r="E6411" s="565"/>
      <c r="F6411" s="565"/>
      <c r="G6411" s="70" t="s">
        <v>4223</v>
      </c>
      <c r="H6411" s="387">
        <v>3.11</v>
      </c>
      <c r="K6411" s="62">
        <f>H6437</f>
        <v>25704</v>
      </c>
      <c r="L6411" s="62">
        <f>H6447</f>
        <v>3741.3375999999998</v>
      </c>
      <c r="M6411" s="62">
        <f>H6420</f>
        <v>146.952</v>
      </c>
      <c r="N6411" s="62">
        <f>H6441</f>
        <v>800</v>
      </c>
    </row>
    <row r="6412" spans="1:14" ht="43.15" customHeight="1">
      <c r="A6412" s="229" t="s">
        <v>4224</v>
      </c>
      <c r="B6412" s="566" t="str">
        <f>VLOOKUP(H6411,COSTOS!C:M,2,0)</f>
        <v>Red canalizada en cable encauchetado 3x8 x 500m</v>
      </c>
      <c r="C6412" s="567"/>
      <c r="D6412" s="567"/>
      <c r="E6412" s="568"/>
      <c r="F6412" s="71" t="s">
        <v>0</v>
      </c>
      <c r="G6412" s="356" t="str">
        <f>VLOOKUP(H6411,COSTOS!C:M,8,0)</f>
        <v>Und</v>
      </c>
      <c r="H6412" s="276"/>
      <c r="I6412" s="306"/>
      <c r="J6412" s="308"/>
      <c r="K6412" s="308"/>
      <c r="L6412" s="308"/>
    </row>
    <row r="6413" spans="1:14">
      <c r="A6413" s="230"/>
      <c r="B6413" s="112"/>
      <c r="C6413" s="112"/>
      <c r="D6413" s="112"/>
      <c r="E6413" s="113"/>
      <c r="F6413" s="114" t="s">
        <v>1</v>
      </c>
      <c r="G6413" s="356">
        <f>VLOOKUP(H6411,COSTOS!C:M,9,0)</f>
        <v>0</v>
      </c>
      <c r="H6413" s="357"/>
      <c r="I6413" s="307"/>
    </row>
    <row r="6414" spans="1:14" ht="16.5">
      <c r="A6414" s="231" t="s">
        <v>4226</v>
      </c>
      <c r="B6414" s="75"/>
      <c r="C6414" s="75"/>
      <c r="D6414" s="76"/>
      <c r="E6414" s="209"/>
      <c r="F6414" s="210"/>
      <c r="G6414" s="211" t="s">
        <v>4227</v>
      </c>
      <c r="H6414" s="217">
        <f>H6420+H6437+H6441+H6447</f>
        <v>30392.2896</v>
      </c>
    </row>
    <row r="6415" spans="1:14" ht="39">
      <c r="A6415" s="569" t="s">
        <v>4224</v>
      </c>
      <c r="B6415" s="569"/>
      <c r="C6415" s="569"/>
      <c r="D6415" s="77" t="s">
        <v>0</v>
      </c>
      <c r="E6415" s="207" t="s">
        <v>4228</v>
      </c>
      <c r="F6415" s="208" t="s">
        <v>4215</v>
      </c>
      <c r="G6415" s="74" t="s">
        <v>2</v>
      </c>
      <c r="H6415" s="218" t="s">
        <v>4229</v>
      </c>
      <c r="K6415" s="309"/>
    </row>
    <row r="6416" spans="1:14">
      <c r="A6416" s="536" t="s">
        <v>3946</v>
      </c>
      <c r="B6416" s="570" t="str">
        <f>VLOOKUP(A6416,'Equip, Herr y Transp'!$B$2:$D$739,2,0)</f>
        <v>EQU</v>
      </c>
      <c r="C6416" s="570"/>
      <c r="D6416" s="95" t="str">
        <f>VLOOKUP(A6416,'Equip, Herr y Transp'!$B$2:$D$218,2,0)</f>
        <v>EQU</v>
      </c>
      <c r="E6416" s="95">
        <f>VLOOKUP(A6416,'Equip, Herr y Transp'!$B$2:$D$218,3,0)</f>
        <v>14130</v>
      </c>
      <c r="F6416" s="96">
        <f>H6406</f>
        <v>1.04E-2</v>
      </c>
      <c r="G6416" s="122">
        <f>F6416*E6416</f>
        <v>146.952</v>
      </c>
      <c r="H6416" s="118"/>
    </row>
    <row r="6417" spans="1:15">
      <c r="A6417" s="536" t="s">
        <v>8</v>
      </c>
      <c r="B6417" s="570">
        <f>VLOOKUP(A6417,'Equip, Herr y Transp'!$B$2:$D$739,2,0)</f>
        <v>0</v>
      </c>
      <c r="C6417" s="570"/>
      <c r="D6417" s="95">
        <f>VLOOKUP(A6417,'Equip, Herr y Transp'!$B$2:$D$218,2,0)</f>
        <v>0</v>
      </c>
      <c r="E6417" s="95">
        <f>VLOOKUP(A6417,'Equip, Herr y Transp'!$B$2:$D$218,3,0)</f>
        <v>0</v>
      </c>
      <c r="F6417" s="96">
        <f>H6406</f>
        <v>1.04E-2</v>
      </c>
      <c r="G6417" s="122">
        <f>F6417*E6417</f>
        <v>0</v>
      </c>
      <c r="H6417" s="117"/>
    </row>
    <row r="6418" spans="1:15">
      <c r="A6418" s="536" t="s">
        <v>8</v>
      </c>
      <c r="B6418" s="570">
        <f>VLOOKUP(A6418,'Equip, Herr y Transp'!$B$2:$D$739,2,0)</f>
        <v>0</v>
      </c>
      <c r="C6418" s="570"/>
      <c r="D6418" s="95">
        <f>VLOOKUP(A6418,'Equip, Herr y Transp'!$B$2:$D$218,2,0)</f>
        <v>0</v>
      </c>
      <c r="E6418" s="95">
        <f>VLOOKUP(A6418,'Equip, Herr y Transp'!$B$2:$D$218,3,0)</f>
        <v>0</v>
      </c>
      <c r="F6418" s="96">
        <f>H6406</f>
        <v>1.04E-2</v>
      </c>
      <c r="G6418" s="122">
        <f>F6418*E6418</f>
        <v>0</v>
      </c>
      <c r="H6418" s="117"/>
    </row>
    <row r="6419" spans="1:15">
      <c r="A6419" s="536" t="s">
        <v>8</v>
      </c>
      <c r="B6419" s="570">
        <f>VLOOKUP(A6419,'Equip, Herr y Transp'!$B$2:$D$739,2,0)</f>
        <v>0</v>
      </c>
      <c r="C6419" s="570"/>
      <c r="D6419" s="95">
        <f>VLOOKUP(A6419,'Equip, Herr y Transp'!$B$2:$D$218,2,0)</f>
        <v>0</v>
      </c>
      <c r="E6419" s="95">
        <f>VLOOKUP(A6419,'Equip, Herr y Transp'!$B$2:$D$218,3,0)</f>
        <v>0</v>
      </c>
      <c r="F6419" s="96">
        <f>H6406</f>
        <v>1.04E-2</v>
      </c>
      <c r="G6419" s="122">
        <f>F6419*E6419</f>
        <v>0</v>
      </c>
      <c r="H6419" s="117"/>
    </row>
    <row r="6420" spans="1:15" ht="16.5">
      <c r="A6420" s="540" t="s">
        <v>4100</v>
      </c>
      <c r="B6420" s="541"/>
      <c r="C6420" s="541"/>
      <c r="D6420" s="541"/>
      <c r="E6420" s="541"/>
      <c r="F6420" s="541"/>
      <c r="G6420" s="541"/>
      <c r="H6420" s="97">
        <f>SUM(G6416:G6419)</f>
        <v>146.952</v>
      </c>
    </row>
    <row r="6421" spans="1:15" ht="16.5">
      <c r="A6421" s="571" t="s">
        <v>4230</v>
      </c>
      <c r="B6421" s="572"/>
      <c r="C6421" s="572"/>
      <c r="D6421" s="572"/>
      <c r="E6421" s="572"/>
      <c r="F6421" s="572"/>
      <c r="G6421" s="572"/>
      <c r="H6421" s="573"/>
      <c r="K6421" s="56"/>
      <c r="L6421" s="56"/>
      <c r="M6421" s="56"/>
      <c r="N6421" s="56"/>
      <c r="O6421" s="56"/>
    </row>
    <row r="6422" spans="1:15" ht="30" customHeight="1">
      <c r="A6422" s="574" t="s">
        <v>7</v>
      </c>
      <c r="B6422" s="575"/>
      <c r="C6422" s="109" t="s">
        <v>0</v>
      </c>
      <c r="D6422" s="110" t="s">
        <v>4098</v>
      </c>
      <c r="E6422" s="111" t="s">
        <v>1</v>
      </c>
      <c r="F6422" s="576" t="s">
        <v>4218</v>
      </c>
      <c r="G6422" s="576"/>
      <c r="H6422" s="215"/>
      <c r="K6422" s="56"/>
      <c r="L6422" s="56"/>
      <c r="M6422" s="56"/>
      <c r="N6422" s="56"/>
      <c r="O6422" s="56"/>
    </row>
    <row r="6423" spans="1:15">
      <c r="A6423" s="577" t="s">
        <v>4447</v>
      </c>
      <c r="B6423" s="578"/>
      <c r="C6423" s="98" t="str">
        <f>VLOOKUP(A6423,'Materiales '!$C$2:$F$1302,3,0)</f>
        <v>Ml</v>
      </c>
      <c r="D6423" s="99">
        <f>VLOOKUP(A6423,'Materiales '!$C$2:$F$1302,4,0)</f>
        <v>25704</v>
      </c>
      <c r="E6423" s="100">
        <v>1</v>
      </c>
      <c r="F6423" s="538">
        <f>E6423*D6423</f>
        <v>25704</v>
      </c>
      <c r="G6423" s="539"/>
      <c r="H6423" s="121"/>
      <c r="I6423">
        <f>E6423*G6413</f>
        <v>0</v>
      </c>
      <c r="J6423" s="67"/>
      <c r="K6423" s="56"/>
      <c r="L6423" s="56"/>
      <c r="M6423" s="56"/>
      <c r="N6423" s="56"/>
      <c r="O6423" s="56"/>
    </row>
    <row r="6424" spans="1:15">
      <c r="A6424" s="577" t="s">
        <v>8</v>
      </c>
      <c r="B6424" s="578"/>
      <c r="C6424" s="98" t="str">
        <f>VLOOKUP(A6424,'Materiales '!$C$2:$F$1302,3,0)</f>
        <v>-</v>
      </c>
      <c r="D6424" s="99">
        <f>VLOOKUP(A6424,'Materiales '!$C$2:$F$1302,4,0)</f>
        <v>0</v>
      </c>
      <c r="E6424" s="100"/>
      <c r="F6424" s="538">
        <f t="shared" ref="F6424:F6430" si="376">E6424*D6424</f>
        <v>0</v>
      </c>
      <c r="G6424" s="539"/>
      <c r="H6424" s="121"/>
      <c r="I6424">
        <f>E6424*G6413</f>
        <v>0</v>
      </c>
      <c r="J6424" s="67"/>
      <c r="K6424" s="56"/>
      <c r="L6424" s="56"/>
      <c r="M6424" s="56"/>
      <c r="N6424" s="56"/>
      <c r="O6424" s="56"/>
    </row>
    <row r="6425" spans="1:15">
      <c r="A6425" s="536" t="s">
        <v>8</v>
      </c>
      <c r="B6425" s="537" t="str">
        <f>VLOOKUP(A6425,'Materiales '!$C$2:$F$1302,3,0)</f>
        <v>-</v>
      </c>
      <c r="C6425" s="98" t="str">
        <f>VLOOKUP(A6425,'Materiales '!$C$2:$F$1302,3,0)</f>
        <v>-</v>
      </c>
      <c r="D6425" s="99">
        <f>VLOOKUP(A6425,'Materiales '!$C$2:$F$1302,4,0)</f>
        <v>0</v>
      </c>
      <c r="E6425" s="100"/>
      <c r="F6425" s="538">
        <f t="shared" si="376"/>
        <v>0</v>
      </c>
      <c r="G6425" s="539"/>
      <c r="H6425" s="121"/>
      <c r="I6425">
        <f>E6425*G6413</f>
        <v>0</v>
      </c>
      <c r="J6425" s="68"/>
      <c r="K6425" s="56"/>
      <c r="L6425" s="56"/>
      <c r="M6425" s="56"/>
      <c r="N6425" s="56"/>
      <c r="O6425" s="56"/>
    </row>
    <row r="6426" spans="1:15">
      <c r="A6426" s="536" t="s">
        <v>8</v>
      </c>
      <c r="B6426" s="537" t="str">
        <f>VLOOKUP(A6426,'Materiales '!$C$2:$F$1302,3,0)</f>
        <v>-</v>
      </c>
      <c r="C6426" s="98" t="str">
        <f>VLOOKUP(A6426,'Materiales '!$C$2:$F$1302,3,0)</f>
        <v>-</v>
      </c>
      <c r="D6426" s="99">
        <f>VLOOKUP(A6426,'Materiales '!$C$2:$F$1302,4,0)</f>
        <v>0</v>
      </c>
      <c r="E6426" s="100"/>
      <c r="F6426" s="538">
        <f t="shared" si="376"/>
        <v>0</v>
      </c>
      <c r="G6426" s="539"/>
      <c r="H6426" s="121"/>
      <c r="I6426">
        <f>E6426*G6413</f>
        <v>0</v>
      </c>
      <c r="J6426" s="68"/>
      <c r="K6426" s="56"/>
      <c r="L6426" s="56"/>
      <c r="M6426" s="56"/>
      <c r="N6426" s="56"/>
      <c r="O6426" s="56"/>
    </row>
    <row r="6427" spans="1:15">
      <c r="A6427" s="536" t="s">
        <v>8</v>
      </c>
      <c r="B6427" s="537" t="str">
        <f>VLOOKUP(A6427,'Materiales '!$C$2:$F$1302,3,0)</f>
        <v>-</v>
      </c>
      <c r="C6427" s="98" t="str">
        <f>VLOOKUP(A6427,'Materiales '!$C$2:$F$1302,3,0)</f>
        <v>-</v>
      </c>
      <c r="D6427" s="99">
        <f>VLOOKUP(A6427,'Materiales '!$C$2:$F$1302,4,0)</f>
        <v>0</v>
      </c>
      <c r="E6427" s="100"/>
      <c r="F6427" s="538">
        <f t="shared" si="376"/>
        <v>0</v>
      </c>
      <c r="G6427" s="539"/>
      <c r="H6427" s="121"/>
      <c r="I6427">
        <f>E6427*G6413</f>
        <v>0</v>
      </c>
      <c r="J6427" s="68"/>
      <c r="K6427" s="56"/>
      <c r="L6427" s="56"/>
      <c r="M6427" s="56"/>
      <c r="N6427" s="56"/>
      <c r="O6427" s="56"/>
    </row>
    <row r="6428" spans="1:15">
      <c r="A6428" s="536" t="s">
        <v>8</v>
      </c>
      <c r="B6428" s="537" t="str">
        <f>VLOOKUP(A6428,'Materiales '!$C$2:$F$1302,3,0)</f>
        <v>-</v>
      </c>
      <c r="C6428" s="98" t="str">
        <f>VLOOKUP(A6428,'Materiales '!$C$2:$F$1302,3,0)</f>
        <v>-</v>
      </c>
      <c r="D6428" s="99">
        <f>VLOOKUP(A6428,'Materiales '!$C$2:$F$1302,4,0)</f>
        <v>0</v>
      </c>
      <c r="E6428" s="100"/>
      <c r="F6428" s="538">
        <f t="shared" si="376"/>
        <v>0</v>
      </c>
      <c r="G6428" s="539"/>
      <c r="H6428" s="121"/>
      <c r="I6428">
        <f>E6428*G6413</f>
        <v>0</v>
      </c>
      <c r="J6428" s="68"/>
      <c r="K6428" s="56"/>
      <c r="L6428" s="56"/>
      <c r="M6428" s="56"/>
      <c r="N6428" s="56"/>
      <c r="O6428" s="56"/>
    </row>
    <row r="6429" spans="1:15">
      <c r="A6429" s="536" t="s">
        <v>8</v>
      </c>
      <c r="B6429" s="537" t="str">
        <f>VLOOKUP(A6429,'Materiales '!$C$2:$F$1302,3,0)</f>
        <v>-</v>
      </c>
      <c r="C6429" s="98" t="str">
        <f>VLOOKUP(A6429,'Materiales '!$C$2:$F$1302,3,0)</f>
        <v>-</v>
      </c>
      <c r="D6429" s="99">
        <f>VLOOKUP(A6429,'Materiales '!$C$2:$F$1302,4,0)</f>
        <v>0</v>
      </c>
      <c r="E6429" s="100"/>
      <c r="F6429" s="538">
        <f t="shared" si="376"/>
        <v>0</v>
      </c>
      <c r="G6429" s="539"/>
      <c r="H6429" s="121"/>
      <c r="I6429">
        <f>E6429*G6413</f>
        <v>0</v>
      </c>
      <c r="J6429" s="68"/>
      <c r="K6429" s="56"/>
      <c r="L6429" s="56"/>
      <c r="M6429" s="56"/>
      <c r="N6429" s="56"/>
      <c r="O6429" s="56"/>
    </row>
    <row r="6430" spans="1:15" ht="21.75" customHeight="1">
      <c r="A6430" s="536" t="s">
        <v>8</v>
      </c>
      <c r="B6430" s="537" t="str">
        <f>VLOOKUP(A6430,'Materiales '!$C$2:$F$1302,3,0)</f>
        <v>-</v>
      </c>
      <c r="C6430" s="98" t="str">
        <f>VLOOKUP(A6430,'Materiales '!$C$2:$F$1302,3,0)</f>
        <v>-</v>
      </c>
      <c r="D6430" s="99">
        <f>VLOOKUP(A6430,'Materiales '!$C$2:$F$1302,4,0)</f>
        <v>0</v>
      </c>
      <c r="E6430" s="100"/>
      <c r="F6430" s="538">
        <f t="shared" si="376"/>
        <v>0</v>
      </c>
      <c r="G6430" s="539"/>
      <c r="H6430" s="121"/>
      <c r="I6430">
        <f>E6430*G6413</f>
        <v>0</v>
      </c>
      <c r="J6430" s="68"/>
      <c r="K6430" s="56"/>
      <c r="L6430" s="56"/>
      <c r="M6430" s="56"/>
      <c r="N6430" s="56"/>
      <c r="O6430" s="56"/>
    </row>
    <row r="6431" spans="1:15">
      <c r="A6431" s="536" t="s">
        <v>8</v>
      </c>
      <c r="B6431" s="537" t="str">
        <f>VLOOKUP(A6431,'Materiales '!$C$2:$F$1302,3,0)</f>
        <v>-</v>
      </c>
      <c r="C6431" s="98" t="str">
        <f>VLOOKUP(A6431,'Materiales '!$C$2:$F$1302,3,0)</f>
        <v>-</v>
      </c>
      <c r="D6431" s="99">
        <f>VLOOKUP(A6431,'Materiales '!$C$2:$F$1302,4,0)</f>
        <v>0</v>
      </c>
      <c r="E6431" s="100"/>
      <c r="F6431" s="538">
        <f>E6431*D6431</f>
        <v>0</v>
      </c>
      <c r="G6431" s="539"/>
      <c r="H6431" s="120"/>
      <c r="I6431">
        <f>E6431*G6413</f>
        <v>0</v>
      </c>
      <c r="J6431" s="68"/>
      <c r="K6431" s="56"/>
      <c r="L6431" s="56"/>
      <c r="M6431" s="56"/>
      <c r="N6431" s="56"/>
      <c r="O6431" s="56"/>
    </row>
    <row r="6432" spans="1:15">
      <c r="A6432" s="536" t="s">
        <v>8</v>
      </c>
      <c r="B6432" s="537" t="str">
        <f>VLOOKUP(A6432,'Materiales '!$C$2:$F$1302,3,0)</f>
        <v>-</v>
      </c>
      <c r="C6432" s="98" t="str">
        <f>VLOOKUP(A6432,'Materiales '!$C$2:$F$1302,3,0)</f>
        <v>-</v>
      </c>
      <c r="D6432" s="99">
        <f>VLOOKUP(A6432,'Materiales '!$C$2:$F$1302,4,0)</f>
        <v>0</v>
      </c>
      <c r="E6432" s="100"/>
      <c r="F6432" s="538">
        <f t="shared" ref="F6432:F6435" si="377">E6432*D6432</f>
        <v>0</v>
      </c>
      <c r="G6432" s="539"/>
      <c r="H6432" s="121"/>
      <c r="I6432">
        <f>E6432*G6413</f>
        <v>0</v>
      </c>
      <c r="J6432" s="68"/>
      <c r="K6432" s="56"/>
      <c r="L6432" s="56"/>
      <c r="M6432" s="56"/>
      <c r="N6432" s="56"/>
      <c r="O6432" s="56"/>
    </row>
    <row r="6433" spans="1:15">
      <c r="A6433" s="536" t="s">
        <v>8</v>
      </c>
      <c r="B6433" s="537" t="str">
        <f>VLOOKUP(A6433,'Materiales '!$C$2:$F$1302,3,0)</f>
        <v>-</v>
      </c>
      <c r="C6433" s="98" t="str">
        <f>VLOOKUP(A6433,'Materiales '!$C$2:$F$1302,3,0)</f>
        <v>-</v>
      </c>
      <c r="D6433" s="99">
        <f>VLOOKUP(A6433,'Materiales '!$C$2:$F$1302,4,0)</f>
        <v>0</v>
      </c>
      <c r="E6433" s="100"/>
      <c r="F6433" s="538">
        <f t="shared" si="377"/>
        <v>0</v>
      </c>
      <c r="G6433" s="539"/>
      <c r="H6433" s="121"/>
      <c r="I6433">
        <f>E6433*G6413</f>
        <v>0</v>
      </c>
      <c r="J6433" s="68"/>
      <c r="K6433" s="56"/>
      <c r="L6433" s="56"/>
      <c r="M6433" s="56"/>
      <c r="N6433" s="56"/>
      <c r="O6433" s="56"/>
    </row>
    <row r="6434" spans="1:15">
      <c r="A6434" s="536" t="s">
        <v>8</v>
      </c>
      <c r="B6434" s="537" t="str">
        <f>VLOOKUP(A6434,'Materiales '!$C$2:$F$1302,3,0)</f>
        <v>-</v>
      </c>
      <c r="C6434" s="98" t="str">
        <f>VLOOKUP(A6434,'Materiales '!$C$2:$F$1302,3,0)</f>
        <v>-</v>
      </c>
      <c r="D6434" s="99">
        <f>VLOOKUP(A6434,'Materiales '!$C$2:$F$1302,4,0)</f>
        <v>0</v>
      </c>
      <c r="E6434" s="100"/>
      <c r="F6434" s="538">
        <f t="shared" si="377"/>
        <v>0</v>
      </c>
      <c r="G6434" s="539"/>
      <c r="H6434" s="121"/>
      <c r="I6434">
        <f>E6434*G6413</f>
        <v>0</v>
      </c>
      <c r="J6434" s="68"/>
      <c r="K6434" s="56"/>
      <c r="L6434" s="56"/>
      <c r="M6434" s="56"/>
      <c r="N6434" s="56"/>
      <c r="O6434" s="56"/>
    </row>
    <row r="6435" spans="1:15">
      <c r="A6435" s="536" t="s">
        <v>8</v>
      </c>
      <c r="B6435" s="537" t="str">
        <f>VLOOKUP(A6435,'Materiales '!$C$2:$F$1302,3,0)</f>
        <v>-</v>
      </c>
      <c r="C6435" s="98" t="str">
        <f>VLOOKUP(A6435,'Materiales '!$C$2:$F$1302,3,0)</f>
        <v>-</v>
      </c>
      <c r="D6435" s="99">
        <f>VLOOKUP(A6435,'Materiales '!$C$2:$F$1302,4,0)</f>
        <v>0</v>
      </c>
      <c r="E6435" s="100"/>
      <c r="F6435" s="538">
        <f t="shared" si="377"/>
        <v>0</v>
      </c>
      <c r="G6435" s="539"/>
      <c r="H6435" s="121"/>
      <c r="I6435">
        <f>E6435*G6413</f>
        <v>0</v>
      </c>
      <c r="J6435" s="68"/>
      <c r="K6435" s="56"/>
      <c r="L6435" s="56"/>
      <c r="M6435" s="56"/>
      <c r="N6435" s="56"/>
      <c r="O6435" s="56"/>
    </row>
    <row r="6436" spans="1:15">
      <c r="A6436" s="536" t="s">
        <v>8</v>
      </c>
      <c r="B6436" s="537" t="str">
        <f>VLOOKUP(A6436,'Materiales '!$C$2:$F$1302,3,0)</f>
        <v>-</v>
      </c>
      <c r="C6436" s="98" t="str">
        <f>VLOOKUP(A6436,'Materiales '!$C$2:$F$1302,3,0)</f>
        <v>-</v>
      </c>
      <c r="D6436" s="99">
        <f>VLOOKUP(A6436,'Materiales '!$C$2:$F$1302,4,0)</f>
        <v>0</v>
      </c>
      <c r="E6436" s="100"/>
      <c r="F6436" s="538">
        <f>E6436*D6436</f>
        <v>0</v>
      </c>
      <c r="G6436" s="539"/>
      <c r="H6436" s="120"/>
      <c r="I6436">
        <f>E6436*G6413</f>
        <v>0</v>
      </c>
      <c r="J6436" s="68"/>
      <c r="K6436" s="56"/>
      <c r="L6436" s="56"/>
      <c r="M6436" s="56"/>
      <c r="N6436" s="56"/>
      <c r="O6436" s="56"/>
    </row>
    <row r="6437" spans="1:15" ht="16.5">
      <c r="A6437" s="540" t="s">
        <v>4099</v>
      </c>
      <c r="B6437" s="541"/>
      <c r="C6437" s="541"/>
      <c r="D6437" s="541"/>
      <c r="E6437" s="541"/>
      <c r="F6437" s="541"/>
      <c r="G6437" s="542"/>
      <c r="H6437" s="116">
        <f>SUM(F6423:F6436)</f>
        <v>25704</v>
      </c>
      <c r="J6437" s="68"/>
      <c r="K6437" s="56"/>
      <c r="L6437" s="56"/>
      <c r="M6437" s="56"/>
      <c r="N6437" s="56"/>
      <c r="O6437" s="56"/>
    </row>
    <row r="6438" spans="1:15" ht="16.5">
      <c r="A6438" s="543" t="s">
        <v>4231</v>
      </c>
      <c r="B6438" s="544"/>
      <c r="C6438" s="544"/>
      <c r="D6438" s="544"/>
      <c r="E6438" s="545"/>
      <c r="F6438" s="544"/>
      <c r="G6438" s="544"/>
      <c r="H6438" s="546"/>
      <c r="J6438" s="68"/>
      <c r="K6438" s="56"/>
      <c r="L6438" s="56"/>
      <c r="M6438" s="56"/>
      <c r="N6438" s="56"/>
      <c r="O6438" s="56"/>
    </row>
    <row r="6439" spans="1:15">
      <c r="A6439" s="547" t="s">
        <v>7</v>
      </c>
      <c r="B6439" s="548"/>
      <c r="C6439" s="108" t="s">
        <v>4232</v>
      </c>
      <c r="D6439" s="107" t="s">
        <v>4233</v>
      </c>
      <c r="E6439" s="206" t="s">
        <v>4234</v>
      </c>
      <c r="F6439" s="549" t="s">
        <v>4218</v>
      </c>
      <c r="G6439" s="549"/>
      <c r="H6439" s="119"/>
      <c r="K6439" s="56"/>
      <c r="L6439" s="56"/>
      <c r="M6439" s="56"/>
      <c r="N6439" s="56"/>
      <c r="O6439" s="56"/>
    </row>
    <row r="6440" spans="1:15">
      <c r="A6440" s="550" t="s">
        <v>3928</v>
      </c>
      <c r="B6440" s="551"/>
      <c r="C6440" s="232">
        <v>1</v>
      </c>
      <c r="D6440" s="102">
        <v>5.0000000000000001E-3</v>
      </c>
      <c r="E6440" s="103">
        <f>VLOOKUP(A6440,'Equip, Herr y Transp'!$B$2:$D$218,3,0)</f>
        <v>160000</v>
      </c>
      <c r="F6440" s="552">
        <f>E6440*D6440*C6440</f>
        <v>800</v>
      </c>
      <c r="G6440" s="553"/>
      <c r="H6440" s="117"/>
      <c r="M6440" s="56"/>
    </row>
    <row r="6441" spans="1:15" ht="16.5">
      <c r="A6441" s="554" t="s">
        <v>4216</v>
      </c>
      <c r="B6441" s="555"/>
      <c r="C6441" s="555"/>
      <c r="D6441" s="555"/>
      <c r="E6441" s="555"/>
      <c r="F6441" s="555"/>
      <c r="G6441" s="555"/>
      <c r="H6441" s="105">
        <f>F6440</f>
        <v>800</v>
      </c>
    </row>
    <row r="6442" spans="1:15" ht="16.5">
      <c r="A6442" s="543" t="s">
        <v>4235</v>
      </c>
      <c r="B6442" s="544"/>
      <c r="C6442" s="544"/>
      <c r="D6442" s="544"/>
      <c r="E6442" s="544"/>
      <c r="F6442" s="544"/>
      <c r="G6442" s="544"/>
      <c r="H6442" s="546"/>
    </row>
    <row r="6443" spans="1:15">
      <c r="A6443" s="547" t="s">
        <v>7</v>
      </c>
      <c r="B6443" s="548"/>
      <c r="C6443" s="106" t="s">
        <v>1</v>
      </c>
      <c r="D6443" s="107" t="s">
        <v>4236</v>
      </c>
      <c r="E6443" s="108" t="s">
        <v>4215</v>
      </c>
      <c r="F6443" s="547" t="s">
        <v>5</v>
      </c>
      <c r="G6443" s="556"/>
      <c r="H6443" s="119"/>
    </row>
    <row r="6444" spans="1:15">
      <c r="A6444" s="550" t="s">
        <v>4196</v>
      </c>
      <c r="B6444" s="551"/>
      <c r="C6444" s="101">
        <v>1</v>
      </c>
      <c r="D6444" s="104">
        <f>VLOOKUP(A6444,'Mano Obra'!$B$2:$T$117,19,0)</f>
        <v>166624</v>
      </c>
      <c r="E6444" s="246">
        <f>H6406</f>
        <v>1.04E-2</v>
      </c>
      <c r="F6444" s="538">
        <f>E6444*D6444*C6444</f>
        <v>1732.8896</v>
      </c>
      <c r="G6444" s="557"/>
      <c r="H6444" s="121"/>
      <c r="I6444" s="69"/>
      <c r="J6444" s="136">
        <f>((('Mano Obra'!$M$4/30)*F6444)/D6444)*G6413</f>
        <v>0</v>
      </c>
    </row>
    <row r="6445" spans="1:15">
      <c r="A6445" s="558" t="s">
        <v>4197</v>
      </c>
      <c r="B6445" s="559">
        <f>VLOOKUP(A6445,'Mano Obra'!$B$3:$D$290,2,0)</f>
        <v>2090000.0000000002</v>
      </c>
      <c r="C6445" s="101">
        <v>1</v>
      </c>
      <c r="D6445" s="104">
        <f>VLOOKUP(A6445,'Mano Obra'!$B$2:$T$117,19,0)</f>
        <v>120456</v>
      </c>
      <c r="E6445" s="246">
        <f>H6406</f>
        <v>1.04E-2</v>
      </c>
      <c r="F6445" s="538">
        <f t="shared" ref="F6445:F6446" si="378">E6445*D6445*C6445</f>
        <v>1252.7423999999999</v>
      </c>
      <c r="G6445" s="557"/>
      <c r="H6445" s="121"/>
      <c r="J6445" s="136">
        <f>((('Mano Obra'!$M$5/30)*F6445)/D6445)*G6413</f>
        <v>0</v>
      </c>
    </row>
    <row r="6446" spans="1:15">
      <c r="A6446" s="558" t="s">
        <v>4186</v>
      </c>
      <c r="B6446" s="559">
        <f>VLOOKUP(A6446,'Mano Obra'!$B$3:$D$290,2,0)</f>
        <v>1100000</v>
      </c>
      <c r="C6446" s="101">
        <v>1</v>
      </c>
      <c r="D6446" s="104">
        <f>VLOOKUP(A6446,'Mano Obra'!$B$2:$T$117,19,0)</f>
        <v>72664</v>
      </c>
      <c r="E6446" s="246">
        <f>H6406</f>
        <v>1.04E-2</v>
      </c>
      <c r="F6446" s="538">
        <f t="shared" si="378"/>
        <v>755.7056</v>
      </c>
      <c r="G6446" s="557"/>
      <c r="H6446" s="120"/>
      <c r="J6446" s="136">
        <f>((('Mano Obra'!$M$6/30)*F6446)/D6446)*G6413</f>
        <v>0</v>
      </c>
    </row>
    <row r="6447" spans="1:15" ht="16.5">
      <c r="A6447" s="560" t="s">
        <v>4101</v>
      </c>
      <c r="B6447" s="560"/>
      <c r="C6447" s="560"/>
      <c r="D6447" s="560"/>
      <c r="E6447" s="560"/>
      <c r="F6447" s="560"/>
      <c r="G6447" s="560"/>
      <c r="H6447" s="105">
        <f>SUM(F6444:F6446)</f>
        <v>3741.3375999999998</v>
      </c>
      <c r="J6447" s="136"/>
    </row>
    <row r="6448" spans="1:15">
      <c r="A6448" s="227" t="s">
        <v>4237</v>
      </c>
      <c r="B6448" s="205"/>
      <c r="C6448" s="205"/>
      <c r="D6448" s="202"/>
      <c r="E6448" s="203"/>
      <c r="F6448" s="204"/>
      <c r="G6448" s="203"/>
      <c r="H6448" s="212"/>
    </row>
    <row r="6449" spans="1:14">
      <c r="A6449" s="561" t="s">
        <v>4224</v>
      </c>
      <c r="B6449" s="562"/>
      <c r="C6449" s="562"/>
      <c r="D6449" s="562"/>
      <c r="E6449" s="200"/>
      <c r="F6449" s="201" t="s">
        <v>4238</v>
      </c>
      <c r="G6449" s="200" t="s">
        <v>4239</v>
      </c>
      <c r="H6449" s="213"/>
    </row>
    <row r="6450" spans="1:14">
      <c r="A6450" s="223" t="s">
        <v>4097</v>
      </c>
      <c r="B6450" s="72"/>
      <c r="C6450" s="72"/>
      <c r="D6450" s="73"/>
      <c r="E6450" s="78"/>
      <c r="F6450" s="79">
        <v>0</v>
      </c>
      <c r="G6450" s="80">
        <f>F6450*H6414</f>
        <v>0</v>
      </c>
      <c r="H6450" s="212"/>
    </row>
    <row r="6451" spans="1:14">
      <c r="A6451" s="224" t="s">
        <v>4240</v>
      </c>
      <c r="B6451" s="81"/>
      <c r="C6451" s="81"/>
      <c r="D6451" s="82"/>
      <c r="E6451" s="78"/>
      <c r="F6451" s="79">
        <v>0</v>
      </c>
      <c r="G6451" s="80">
        <f>F6451*H6414</f>
        <v>0</v>
      </c>
      <c r="H6451" s="212"/>
    </row>
    <row r="6452" spans="1:14">
      <c r="A6452" s="224" t="s">
        <v>4</v>
      </c>
      <c r="B6452" s="81"/>
      <c r="C6452" s="81"/>
      <c r="D6452" s="82"/>
      <c r="E6452" s="78"/>
      <c r="F6452" s="79">
        <v>0</v>
      </c>
      <c r="G6452" s="80">
        <f>F6452*H6414</f>
        <v>0</v>
      </c>
      <c r="H6452" s="212"/>
    </row>
    <row r="6453" spans="1:14">
      <c r="A6453" s="225"/>
      <c r="B6453" s="83"/>
      <c r="C6453" s="75"/>
      <c r="D6453" s="84"/>
      <c r="E6453" s="85"/>
      <c r="F6453" s="86"/>
      <c r="G6453" s="87"/>
      <c r="H6453" s="214"/>
    </row>
    <row r="6454" spans="1:14">
      <c r="A6454" s="226"/>
      <c r="B6454" s="83"/>
      <c r="C6454" s="83"/>
      <c r="D6454" s="84"/>
      <c r="E6454" s="88"/>
      <c r="F6454" s="563" t="s">
        <v>4241</v>
      </c>
      <c r="G6454" s="564"/>
      <c r="H6454" s="233">
        <f>H6414+G6450+G6451+G6452</f>
        <v>30392.2896</v>
      </c>
    </row>
    <row r="6455" spans="1:14">
      <c r="A6455" s="83"/>
      <c r="B6455" s="83"/>
      <c r="C6455" s="83"/>
      <c r="D6455" s="84"/>
      <c r="E6455" s="388"/>
      <c r="F6455" s="389"/>
      <c r="G6455" s="389"/>
      <c r="H6455" s="390"/>
    </row>
    <row r="6456" spans="1:14">
      <c r="A6456" s="83"/>
      <c r="B6456" s="83"/>
      <c r="C6456" s="83"/>
      <c r="D6456" s="84"/>
      <c r="E6456" s="388"/>
      <c r="F6456" s="389"/>
      <c r="G6456" s="389"/>
      <c r="H6456" s="390"/>
    </row>
    <row r="6457" spans="1:14">
      <c r="A6457" s="579" t="s">
        <v>4225</v>
      </c>
      <c r="B6457" s="580"/>
      <c r="C6457" s="580"/>
      <c r="D6457" s="580"/>
      <c r="E6457" s="580"/>
      <c r="F6457" s="580"/>
      <c r="G6457" s="580"/>
      <c r="H6457" s="581"/>
    </row>
    <row r="6458" spans="1:14" ht="16.5">
      <c r="A6458" s="91"/>
      <c r="B6458" s="92"/>
      <c r="C6458" s="92"/>
      <c r="D6458" s="92"/>
      <c r="E6458" s="92"/>
      <c r="F6458" s="93"/>
      <c r="G6458" s="94"/>
      <c r="H6458" s="380">
        <f>ROUND((5/60)/8,4)</f>
        <v>1.04E-2</v>
      </c>
      <c r="I6458" s="115"/>
    </row>
    <row r="6459" spans="1:14">
      <c r="A6459" s="582" t="s">
        <v>4220</v>
      </c>
      <c r="B6459" s="584" t="str">
        <f>COSTOS!$C$14</f>
        <v>MODERNIZACION A TECNOLOGIA LED</v>
      </c>
      <c r="C6459" s="584"/>
      <c r="D6459" s="584"/>
      <c r="E6459" s="584"/>
      <c r="F6459" s="584"/>
      <c r="G6459" s="584"/>
      <c r="H6459" s="585" t="s">
        <v>4221</v>
      </c>
    </row>
    <row r="6460" spans="1:14">
      <c r="A6460" s="583"/>
      <c r="B6460" s="584"/>
      <c r="C6460" s="584"/>
      <c r="D6460" s="584"/>
      <c r="E6460" s="584"/>
      <c r="F6460" s="584"/>
      <c r="G6460" s="584"/>
      <c r="H6460" s="585"/>
    </row>
    <row r="6461" spans="1:14">
      <c r="A6461" s="583"/>
      <c r="B6461" s="584"/>
      <c r="C6461" s="584"/>
      <c r="D6461" s="584"/>
      <c r="E6461" s="584"/>
      <c r="F6461" s="584"/>
      <c r="G6461" s="584"/>
      <c r="H6461" s="585"/>
    </row>
    <row r="6462" spans="1:14" ht="15" customHeight="1">
      <c r="A6462" s="583"/>
      <c r="B6462" s="584"/>
      <c r="C6462" s="584"/>
      <c r="D6462" s="584"/>
      <c r="E6462" s="584"/>
      <c r="F6462" s="584"/>
      <c r="G6462" s="584"/>
      <c r="H6462" s="216">
        <f ca="1">TODAY()</f>
        <v>44889</v>
      </c>
      <c r="K6462" t="s">
        <v>4391</v>
      </c>
      <c r="L6462" t="s">
        <v>4392</v>
      </c>
      <c r="M6462" t="s">
        <v>4393</v>
      </c>
      <c r="N6462" t="s">
        <v>4394</v>
      </c>
    </row>
    <row r="6463" spans="1:14" ht="60.75" customHeight="1">
      <c r="A6463" s="228" t="s">
        <v>4222</v>
      </c>
      <c r="B6463" s="565" t="str">
        <f>COSTOS!$D$16</f>
        <v>Luminarias</v>
      </c>
      <c r="C6463" s="565"/>
      <c r="D6463" s="565"/>
      <c r="E6463" s="565"/>
      <c r="F6463" s="565"/>
      <c r="G6463" s="70" t="s">
        <v>4223</v>
      </c>
      <c r="H6463" s="391">
        <v>3.12</v>
      </c>
      <c r="K6463" s="62">
        <f>H6489</f>
        <v>12138</v>
      </c>
      <c r="L6463" s="62">
        <f>H6499</f>
        <v>3741.3375999999998</v>
      </c>
      <c r="M6463" s="62">
        <f>H6472</f>
        <v>146.952</v>
      </c>
      <c r="N6463" s="62">
        <f>H6493</f>
        <v>800</v>
      </c>
    </row>
    <row r="6464" spans="1:14" ht="43.15" customHeight="1">
      <c r="A6464" s="229" t="s">
        <v>4224</v>
      </c>
      <c r="B6464" s="566" t="str">
        <f>VLOOKUP(H6463,COSTOS!C:M,2,0)</f>
        <v>Red aérea en cable concentrico aluminio 8+8 AWG x500m</v>
      </c>
      <c r="C6464" s="567"/>
      <c r="D6464" s="567"/>
      <c r="E6464" s="568"/>
      <c r="F6464" s="71" t="s">
        <v>0</v>
      </c>
      <c r="G6464" s="356" t="str">
        <f>VLOOKUP(H6463,COSTOS!C:M,8,0)</f>
        <v>Und</v>
      </c>
      <c r="H6464" s="276"/>
      <c r="I6464" s="306"/>
      <c r="J6464" s="308"/>
      <c r="K6464" s="308"/>
      <c r="L6464" s="308"/>
    </row>
    <row r="6465" spans="1:15">
      <c r="A6465" s="230"/>
      <c r="B6465" s="112"/>
      <c r="C6465" s="112"/>
      <c r="D6465" s="112"/>
      <c r="E6465" s="113"/>
      <c r="F6465" s="114" t="s">
        <v>1</v>
      </c>
      <c r="G6465" s="356">
        <f>VLOOKUP(H6463,COSTOS!C:M,9,0)</f>
        <v>0</v>
      </c>
      <c r="H6465" s="357"/>
      <c r="I6465" s="307"/>
    </row>
    <row r="6466" spans="1:15" ht="16.5">
      <c r="A6466" s="231" t="s">
        <v>4226</v>
      </c>
      <c r="B6466" s="75"/>
      <c r="C6466" s="75"/>
      <c r="D6466" s="76"/>
      <c r="E6466" s="209"/>
      <c r="F6466" s="210"/>
      <c r="G6466" s="211" t="s">
        <v>4227</v>
      </c>
      <c r="H6466" s="217">
        <f>H6472+H6489+H6493+H6499</f>
        <v>16826.2896</v>
      </c>
    </row>
    <row r="6467" spans="1:15" ht="39">
      <c r="A6467" s="569" t="s">
        <v>4224</v>
      </c>
      <c r="B6467" s="569"/>
      <c r="C6467" s="569"/>
      <c r="D6467" s="77" t="s">
        <v>0</v>
      </c>
      <c r="E6467" s="207" t="s">
        <v>4228</v>
      </c>
      <c r="F6467" s="208" t="s">
        <v>4215</v>
      </c>
      <c r="G6467" s="74" t="s">
        <v>2</v>
      </c>
      <c r="H6467" s="218" t="s">
        <v>4229</v>
      </c>
      <c r="K6467" s="309"/>
    </row>
    <row r="6468" spans="1:15">
      <c r="A6468" s="536" t="s">
        <v>3946</v>
      </c>
      <c r="B6468" s="570" t="str">
        <f>VLOOKUP(A6468,'Equip, Herr y Transp'!$B$2:$D$739,2,0)</f>
        <v>EQU</v>
      </c>
      <c r="C6468" s="570"/>
      <c r="D6468" s="95" t="str">
        <f>VLOOKUP(A6468,'Equip, Herr y Transp'!$B$2:$D$218,2,0)</f>
        <v>EQU</v>
      </c>
      <c r="E6468" s="95">
        <f>VLOOKUP(A6468,'Equip, Herr y Transp'!$B$2:$D$218,3,0)</f>
        <v>14130</v>
      </c>
      <c r="F6468" s="96">
        <f>H6458</f>
        <v>1.04E-2</v>
      </c>
      <c r="G6468" s="122">
        <f>F6468*E6468</f>
        <v>146.952</v>
      </c>
      <c r="H6468" s="118"/>
    </row>
    <row r="6469" spans="1:15">
      <c r="A6469" s="536" t="s">
        <v>8</v>
      </c>
      <c r="B6469" s="570">
        <f>VLOOKUP(A6469,'Equip, Herr y Transp'!$B$2:$D$739,2,0)</f>
        <v>0</v>
      </c>
      <c r="C6469" s="570"/>
      <c r="D6469" s="95">
        <f>VLOOKUP(A6469,'Equip, Herr y Transp'!$B$2:$D$218,2,0)</f>
        <v>0</v>
      </c>
      <c r="E6469" s="95">
        <f>VLOOKUP(A6469,'Equip, Herr y Transp'!$B$2:$D$218,3,0)</f>
        <v>0</v>
      </c>
      <c r="F6469" s="96">
        <f>H6458</f>
        <v>1.04E-2</v>
      </c>
      <c r="G6469" s="122">
        <f>F6469*E6469</f>
        <v>0</v>
      </c>
      <c r="H6469" s="117"/>
    </row>
    <row r="6470" spans="1:15">
      <c r="A6470" s="536" t="s">
        <v>8</v>
      </c>
      <c r="B6470" s="570">
        <f>VLOOKUP(A6470,'Equip, Herr y Transp'!$B$2:$D$739,2,0)</f>
        <v>0</v>
      </c>
      <c r="C6470" s="570"/>
      <c r="D6470" s="95">
        <f>VLOOKUP(A6470,'Equip, Herr y Transp'!$B$2:$D$218,2,0)</f>
        <v>0</v>
      </c>
      <c r="E6470" s="95">
        <f>VLOOKUP(A6470,'Equip, Herr y Transp'!$B$2:$D$218,3,0)</f>
        <v>0</v>
      </c>
      <c r="F6470" s="96">
        <f>H6458</f>
        <v>1.04E-2</v>
      </c>
      <c r="G6470" s="122">
        <f>F6470*E6470</f>
        <v>0</v>
      </c>
      <c r="H6470" s="117"/>
    </row>
    <row r="6471" spans="1:15">
      <c r="A6471" s="536" t="s">
        <v>8</v>
      </c>
      <c r="B6471" s="570">
        <f>VLOOKUP(A6471,'Equip, Herr y Transp'!$B$2:$D$739,2,0)</f>
        <v>0</v>
      </c>
      <c r="C6471" s="570"/>
      <c r="D6471" s="95">
        <f>VLOOKUP(A6471,'Equip, Herr y Transp'!$B$2:$D$218,2,0)</f>
        <v>0</v>
      </c>
      <c r="E6471" s="95">
        <f>VLOOKUP(A6471,'Equip, Herr y Transp'!$B$2:$D$218,3,0)</f>
        <v>0</v>
      </c>
      <c r="F6471" s="96">
        <f>H6458</f>
        <v>1.04E-2</v>
      </c>
      <c r="G6471" s="122">
        <f>F6471*E6471</f>
        <v>0</v>
      </c>
      <c r="H6471" s="117"/>
    </row>
    <row r="6472" spans="1:15" ht="16.5">
      <c r="A6472" s="540" t="s">
        <v>4100</v>
      </c>
      <c r="B6472" s="541"/>
      <c r="C6472" s="541"/>
      <c r="D6472" s="541"/>
      <c r="E6472" s="541"/>
      <c r="F6472" s="541"/>
      <c r="G6472" s="541"/>
      <c r="H6472" s="97">
        <f>SUM(G6468:G6471)</f>
        <v>146.952</v>
      </c>
    </row>
    <row r="6473" spans="1:15" ht="16.5">
      <c r="A6473" s="571" t="s">
        <v>4230</v>
      </c>
      <c r="B6473" s="572"/>
      <c r="C6473" s="572"/>
      <c r="D6473" s="572"/>
      <c r="E6473" s="572"/>
      <c r="F6473" s="572"/>
      <c r="G6473" s="572"/>
      <c r="H6473" s="573"/>
      <c r="K6473" s="56"/>
      <c r="L6473" s="56"/>
      <c r="M6473" s="56"/>
      <c r="N6473" s="56"/>
      <c r="O6473" s="56"/>
    </row>
    <row r="6474" spans="1:15" ht="30" customHeight="1">
      <c r="A6474" s="574" t="s">
        <v>7</v>
      </c>
      <c r="B6474" s="575"/>
      <c r="C6474" s="109" t="s">
        <v>0</v>
      </c>
      <c r="D6474" s="110" t="s">
        <v>4098</v>
      </c>
      <c r="E6474" s="111" t="s">
        <v>1</v>
      </c>
      <c r="F6474" s="576" t="s">
        <v>4218</v>
      </c>
      <c r="G6474" s="576"/>
      <c r="H6474" s="215"/>
      <c r="K6474" s="56"/>
      <c r="L6474" s="56"/>
      <c r="M6474" s="56"/>
      <c r="N6474" s="56"/>
      <c r="O6474" s="56"/>
    </row>
    <row r="6475" spans="1:15">
      <c r="A6475" s="577" t="s">
        <v>4698</v>
      </c>
      <c r="B6475" s="578"/>
      <c r="C6475" s="98" t="str">
        <f>VLOOKUP(A6475,'Materiales '!$C$2:$F$1302,3,0)</f>
        <v>Ml</v>
      </c>
      <c r="D6475" s="99">
        <f>VLOOKUP(A6475,'Materiales '!$C$2:$F$1302,4,0)</f>
        <v>12138</v>
      </c>
      <c r="E6475" s="100">
        <v>1</v>
      </c>
      <c r="F6475" s="538">
        <f>E6475*D6475</f>
        <v>12138</v>
      </c>
      <c r="G6475" s="539"/>
      <c r="H6475" s="121"/>
      <c r="I6475">
        <f>E6475*G6465</f>
        <v>0</v>
      </c>
      <c r="J6475" s="67"/>
      <c r="K6475" s="56"/>
      <c r="L6475" s="56"/>
      <c r="M6475" s="56"/>
      <c r="N6475" s="56"/>
      <c r="O6475" s="56"/>
    </row>
    <row r="6476" spans="1:15">
      <c r="A6476" s="577" t="s">
        <v>8</v>
      </c>
      <c r="B6476" s="578"/>
      <c r="C6476" s="98" t="str">
        <f>VLOOKUP(A6476,'Materiales '!$C$2:$F$1302,3,0)</f>
        <v>-</v>
      </c>
      <c r="D6476" s="99">
        <f>VLOOKUP(A6476,'Materiales '!$C$2:$F$1302,4,0)</f>
        <v>0</v>
      </c>
      <c r="E6476" s="100"/>
      <c r="F6476" s="538">
        <f t="shared" ref="F6476:F6482" si="379">E6476*D6476</f>
        <v>0</v>
      </c>
      <c r="G6476" s="539"/>
      <c r="H6476" s="121"/>
      <c r="I6476">
        <f>E6476*G6465</f>
        <v>0</v>
      </c>
      <c r="J6476" s="67"/>
      <c r="K6476" s="56"/>
      <c r="L6476" s="56"/>
      <c r="M6476" s="56"/>
      <c r="N6476" s="56"/>
      <c r="O6476" s="56"/>
    </row>
    <row r="6477" spans="1:15">
      <c r="A6477" s="536" t="s">
        <v>8</v>
      </c>
      <c r="B6477" s="537" t="str">
        <f>VLOOKUP(A6477,'Materiales '!$C$2:$F$1302,3,0)</f>
        <v>-</v>
      </c>
      <c r="C6477" s="98" t="str">
        <f>VLOOKUP(A6477,'Materiales '!$C$2:$F$1302,3,0)</f>
        <v>-</v>
      </c>
      <c r="D6477" s="99">
        <f>VLOOKUP(A6477,'Materiales '!$C$2:$F$1302,4,0)</f>
        <v>0</v>
      </c>
      <c r="E6477" s="100"/>
      <c r="F6477" s="538">
        <f t="shared" si="379"/>
        <v>0</v>
      </c>
      <c r="G6477" s="539"/>
      <c r="H6477" s="121"/>
      <c r="I6477">
        <f>E6477*G6465</f>
        <v>0</v>
      </c>
      <c r="J6477" s="68"/>
      <c r="K6477" s="56"/>
      <c r="L6477" s="56"/>
      <c r="M6477" s="56"/>
      <c r="N6477" s="56"/>
      <c r="O6477" s="56"/>
    </row>
    <row r="6478" spans="1:15">
      <c r="A6478" s="536" t="s">
        <v>8</v>
      </c>
      <c r="B6478" s="537" t="str">
        <f>VLOOKUP(A6478,'Materiales '!$C$2:$F$1302,3,0)</f>
        <v>-</v>
      </c>
      <c r="C6478" s="98" t="str">
        <f>VLOOKUP(A6478,'Materiales '!$C$2:$F$1302,3,0)</f>
        <v>-</v>
      </c>
      <c r="D6478" s="99">
        <f>VLOOKUP(A6478,'Materiales '!$C$2:$F$1302,4,0)</f>
        <v>0</v>
      </c>
      <c r="E6478" s="100"/>
      <c r="F6478" s="538">
        <f t="shared" si="379"/>
        <v>0</v>
      </c>
      <c r="G6478" s="539"/>
      <c r="H6478" s="121"/>
      <c r="I6478">
        <f>E6478*G6465</f>
        <v>0</v>
      </c>
      <c r="J6478" s="68"/>
      <c r="K6478" s="56"/>
      <c r="L6478" s="56"/>
      <c r="M6478" s="56"/>
      <c r="N6478" s="56"/>
      <c r="O6478" s="56"/>
    </row>
    <row r="6479" spans="1:15">
      <c r="A6479" s="536" t="s">
        <v>8</v>
      </c>
      <c r="B6479" s="537" t="str">
        <f>VLOOKUP(A6479,'Materiales '!$C$2:$F$1302,3,0)</f>
        <v>-</v>
      </c>
      <c r="C6479" s="98" t="str">
        <f>VLOOKUP(A6479,'Materiales '!$C$2:$F$1302,3,0)</f>
        <v>-</v>
      </c>
      <c r="D6479" s="99">
        <f>VLOOKUP(A6479,'Materiales '!$C$2:$F$1302,4,0)</f>
        <v>0</v>
      </c>
      <c r="E6479" s="100"/>
      <c r="F6479" s="538">
        <f t="shared" si="379"/>
        <v>0</v>
      </c>
      <c r="G6479" s="539"/>
      <c r="H6479" s="121"/>
      <c r="I6479">
        <f>E6479*G6465</f>
        <v>0</v>
      </c>
      <c r="J6479" s="68"/>
      <c r="K6479" s="56"/>
      <c r="L6479" s="56"/>
      <c r="M6479" s="56"/>
      <c r="N6479" s="56"/>
      <c r="O6479" s="56"/>
    </row>
    <row r="6480" spans="1:15">
      <c r="A6480" s="536" t="s">
        <v>8</v>
      </c>
      <c r="B6480" s="537" t="str">
        <f>VLOOKUP(A6480,'Materiales '!$C$2:$F$1302,3,0)</f>
        <v>-</v>
      </c>
      <c r="C6480" s="98" t="str">
        <f>VLOOKUP(A6480,'Materiales '!$C$2:$F$1302,3,0)</f>
        <v>-</v>
      </c>
      <c r="D6480" s="99">
        <f>VLOOKUP(A6480,'Materiales '!$C$2:$F$1302,4,0)</f>
        <v>0</v>
      </c>
      <c r="E6480" s="100"/>
      <c r="F6480" s="538">
        <f t="shared" si="379"/>
        <v>0</v>
      </c>
      <c r="G6480" s="539"/>
      <c r="H6480" s="121"/>
      <c r="I6480">
        <f>E6480*G6465</f>
        <v>0</v>
      </c>
      <c r="J6480" s="68"/>
      <c r="K6480" s="56"/>
      <c r="L6480" s="56"/>
      <c r="M6480" s="56"/>
      <c r="N6480" s="56"/>
      <c r="O6480" s="56"/>
    </row>
    <row r="6481" spans="1:15">
      <c r="A6481" s="536" t="s">
        <v>8</v>
      </c>
      <c r="B6481" s="537" t="str">
        <f>VLOOKUP(A6481,'Materiales '!$C$2:$F$1302,3,0)</f>
        <v>-</v>
      </c>
      <c r="C6481" s="98" t="str">
        <f>VLOOKUP(A6481,'Materiales '!$C$2:$F$1302,3,0)</f>
        <v>-</v>
      </c>
      <c r="D6481" s="99">
        <f>VLOOKUP(A6481,'Materiales '!$C$2:$F$1302,4,0)</f>
        <v>0</v>
      </c>
      <c r="E6481" s="100"/>
      <c r="F6481" s="538">
        <f t="shared" si="379"/>
        <v>0</v>
      </c>
      <c r="G6481" s="539"/>
      <c r="H6481" s="121"/>
      <c r="I6481">
        <f>E6481*G6465</f>
        <v>0</v>
      </c>
      <c r="J6481" s="68"/>
      <c r="K6481" s="56"/>
      <c r="L6481" s="56"/>
      <c r="M6481" s="56"/>
      <c r="N6481" s="56"/>
      <c r="O6481" s="56"/>
    </row>
    <row r="6482" spans="1:15" ht="21.75" customHeight="1">
      <c r="A6482" s="536" t="s">
        <v>8</v>
      </c>
      <c r="B6482" s="537" t="str">
        <f>VLOOKUP(A6482,'Materiales '!$C$2:$F$1302,3,0)</f>
        <v>-</v>
      </c>
      <c r="C6482" s="98" t="str">
        <f>VLOOKUP(A6482,'Materiales '!$C$2:$F$1302,3,0)</f>
        <v>-</v>
      </c>
      <c r="D6482" s="99">
        <f>VLOOKUP(A6482,'Materiales '!$C$2:$F$1302,4,0)</f>
        <v>0</v>
      </c>
      <c r="E6482" s="100"/>
      <c r="F6482" s="538">
        <f t="shared" si="379"/>
        <v>0</v>
      </c>
      <c r="G6482" s="539"/>
      <c r="H6482" s="121"/>
      <c r="I6482">
        <f>E6482*G6465</f>
        <v>0</v>
      </c>
      <c r="J6482" s="68"/>
      <c r="K6482" s="56"/>
      <c r="L6482" s="56"/>
      <c r="M6482" s="56"/>
      <c r="N6482" s="56"/>
      <c r="O6482" s="56"/>
    </row>
    <row r="6483" spans="1:15">
      <c r="A6483" s="536" t="s">
        <v>8</v>
      </c>
      <c r="B6483" s="537" t="str">
        <f>VLOOKUP(A6483,'Materiales '!$C$2:$F$1302,3,0)</f>
        <v>-</v>
      </c>
      <c r="C6483" s="98" t="str">
        <f>VLOOKUP(A6483,'Materiales '!$C$2:$F$1302,3,0)</f>
        <v>-</v>
      </c>
      <c r="D6483" s="99">
        <f>VLOOKUP(A6483,'Materiales '!$C$2:$F$1302,4,0)</f>
        <v>0</v>
      </c>
      <c r="E6483" s="100"/>
      <c r="F6483" s="538">
        <f>E6483*D6483</f>
        <v>0</v>
      </c>
      <c r="G6483" s="539"/>
      <c r="H6483" s="120"/>
      <c r="I6483">
        <f>E6483*G6465</f>
        <v>0</v>
      </c>
      <c r="J6483" s="68"/>
      <c r="K6483" s="56"/>
      <c r="L6483" s="56"/>
      <c r="M6483" s="56"/>
      <c r="N6483" s="56"/>
      <c r="O6483" s="56"/>
    </row>
    <row r="6484" spans="1:15">
      <c r="A6484" s="536" t="s">
        <v>8</v>
      </c>
      <c r="B6484" s="537" t="str">
        <f>VLOOKUP(A6484,'Materiales '!$C$2:$F$1302,3,0)</f>
        <v>-</v>
      </c>
      <c r="C6484" s="98" t="str">
        <f>VLOOKUP(A6484,'Materiales '!$C$2:$F$1302,3,0)</f>
        <v>-</v>
      </c>
      <c r="D6484" s="99">
        <f>VLOOKUP(A6484,'Materiales '!$C$2:$F$1302,4,0)</f>
        <v>0</v>
      </c>
      <c r="E6484" s="100"/>
      <c r="F6484" s="538">
        <f t="shared" ref="F6484:F6487" si="380">E6484*D6484</f>
        <v>0</v>
      </c>
      <c r="G6484" s="539"/>
      <c r="H6484" s="121"/>
      <c r="I6484">
        <f>E6484*G6465</f>
        <v>0</v>
      </c>
      <c r="J6484" s="68"/>
      <c r="K6484" s="56"/>
      <c r="L6484" s="56"/>
      <c r="M6484" s="56"/>
      <c r="N6484" s="56"/>
      <c r="O6484" s="56"/>
    </row>
    <row r="6485" spans="1:15">
      <c r="A6485" s="536" t="s">
        <v>8</v>
      </c>
      <c r="B6485" s="537" t="str">
        <f>VLOOKUP(A6485,'Materiales '!$C$2:$F$1302,3,0)</f>
        <v>-</v>
      </c>
      <c r="C6485" s="98" t="str">
        <f>VLOOKUP(A6485,'Materiales '!$C$2:$F$1302,3,0)</f>
        <v>-</v>
      </c>
      <c r="D6485" s="99">
        <f>VLOOKUP(A6485,'Materiales '!$C$2:$F$1302,4,0)</f>
        <v>0</v>
      </c>
      <c r="E6485" s="100"/>
      <c r="F6485" s="538">
        <f t="shared" si="380"/>
        <v>0</v>
      </c>
      <c r="G6485" s="539"/>
      <c r="H6485" s="121"/>
      <c r="I6485">
        <f>E6485*G6465</f>
        <v>0</v>
      </c>
      <c r="J6485" s="68"/>
      <c r="K6485" s="56"/>
      <c r="L6485" s="56"/>
      <c r="M6485" s="56"/>
      <c r="N6485" s="56"/>
      <c r="O6485" s="56"/>
    </row>
    <row r="6486" spans="1:15">
      <c r="A6486" s="536" t="s">
        <v>8</v>
      </c>
      <c r="B6486" s="537" t="str">
        <f>VLOOKUP(A6486,'Materiales '!$C$2:$F$1302,3,0)</f>
        <v>-</v>
      </c>
      <c r="C6486" s="98" t="str">
        <f>VLOOKUP(A6486,'Materiales '!$C$2:$F$1302,3,0)</f>
        <v>-</v>
      </c>
      <c r="D6486" s="99">
        <f>VLOOKUP(A6486,'Materiales '!$C$2:$F$1302,4,0)</f>
        <v>0</v>
      </c>
      <c r="E6486" s="100"/>
      <c r="F6486" s="538">
        <f t="shared" si="380"/>
        <v>0</v>
      </c>
      <c r="G6486" s="539"/>
      <c r="H6486" s="121"/>
      <c r="I6486">
        <f>E6486*G6465</f>
        <v>0</v>
      </c>
      <c r="J6486" s="68"/>
      <c r="K6486" s="56"/>
      <c r="L6486" s="56"/>
      <c r="M6486" s="56"/>
      <c r="N6486" s="56"/>
      <c r="O6486" s="56"/>
    </row>
    <row r="6487" spans="1:15">
      <c r="A6487" s="536" t="s">
        <v>8</v>
      </c>
      <c r="B6487" s="537" t="str">
        <f>VLOOKUP(A6487,'Materiales '!$C$2:$F$1302,3,0)</f>
        <v>-</v>
      </c>
      <c r="C6487" s="98" t="str">
        <f>VLOOKUP(A6487,'Materiales '!$C$2:$F$1302,3,0)</f>
        <v>-</v>
      </c>
      <c r="D6487" s="99">
        <f>VLOOKUP(A6487,'Materiales '!$C$2:$F$1302,4,0)</f>
        <v>0</v>
      </c>
      <c r="E6487" s="100"/>
      <c r="F6487" s="538">
        <f t="shared" si="380"/>
        <v>0</v>
      </c>
      <c r="G6487" s="539"/>
      <c r="H6487" s="121"/>
      <c r="I6487">
        <f>E6487*G6465</f>
        <v>0</v>
      </c>
      <c r="J6487" s="68"/>
      <c r="K6487" s="56"/>
      <c r="L6487" s="56"/>
      <c r="M6487" s="56"/>
      <c r="N6487" s="56"/>
      <c r="O6487" s="56"/>
    </row>
    <row r="6488" spans="1:15">
      <c r="A6488" s="536" t="s">
        <v>8</v>
      </c>
      <c r="B6488" s="537" t="str">
        <f>VLOOKUP(A6488,'Materiales '!$C$2:$F$1302,3,0)</f>
        <v>-</v>
      </c>
      <c r="C6488" s="98" t="str">
        <f>VLOOKUP(A6488,'Materiales '!$C$2:$F$1302,3,0)</f>
        <v>-</v>
      </c>
      <c r="D6488" s="99">
        <f>VLOOKUP(A6488,'Materiales '!$C$2:$F$1302,4,0)</f>
        <v>0</v>
      </c>
      <c r="E6488" s="100"/>
      <c r="F6488" s="538">
        <f>E6488*D6488</f>
        <v>0</v>
      </c>
      <c r="G6488" s="539"/>
      <c r="H6488" s="120"/>
      <c r="I6488">
        <f>E6488*G6465</f>
        <v>0</v>
      </c>
      <c r="J6488" s="68"/>
      <c r="K6488" s="56"/>
      <c r="L6488" s="56"/>
      <c r="M6488" s="56"/>
      <c r="N6488" s="56"/>
      <c r="O6488" s="56"/>
    </row>
    <row r="6489" spans="1:15" ht="16.5">
      <c r="A6489" s="540" t="s">
        <v>4099</v>
      </c>
      <c r="B6489" s="541"/>
      <c r="C6489" s="541"/>
      <c r="D6489" s="541"/>
      <c r="E6489" s="541"/>
      <c r="F6489" s="541"/>
      <c r="G6489" s="542"/>
      <c r="H6489" s="116">
        <f>SUM(F6475:F6488)</f>
        <v>12138</v>
      </c>
      <c r="J6489" s="68"/>
      <c r="K6489" s="56"/>
      <c r="L6489" s="56"/>
      <c r="M6489" s="56"/>
      <c r="N6489" s="56"/>
      <c r="O6489" s="56"/>
    </row>
    <row r="6490" spans="1:15" ht="16.5">
      <c r="A6490" s="543" t="s">
        <v>4231</v>
      </c>
      <c r="B6490" s="544"/>
      <c r="C6490" s="544"/>
      <c r="D6490" s="544"/>
      <c r="E6490" s="545"/>
      <c r="F6490" s="544"/>
      <c r="G6490" s="544"/>
      <c r="H6490" s="546"/>
      <c r="J6490" s="68"/>
      <c r="K6490" s="56"/>
      <c r="L6490" s="56"/>
      <c r="M6490" s="56"/>
      <c r="N6490" s="56"/>
      <c r="O6490" s="56"/>
    </row>
    <row r="6491" spans="1:15">
      <c r="A6491" s="547" t="s">
        <v>7</v>
      </c>
      <c r="B6491" s="548"/>
      <c r="C6491" s="108" t="s">
        <v>4232</v>
      </c>
      <c r="D6491" s="107" t="s">
        <v>4233</v>
      </c>
      <c r="E6491" s="206" t="s">
        <v>4234</v>
      </c>
      <c r="F6491" s="549" t="s">
        <v>4218</v>
      </c>
      <c r="G6491" s="549"/>
      <c r="H6491" s="119"/>
      <c r="K6491" s="56"/>
      <c r="L6491" s="56"/>
      <c r="M6491" s="56"/>
      <c r="N6491" s="56"/>
      <c r="O6491" s="56"/>
    </row>
    <row r="6492" spans="1:15">
      <c r="A6492" s="550" t="s">
        <v>3928</v>
      </c>
      <c r="B6492" s="551"/>
      <c r="C6492" s="232">
        <v>1</v>
      </c>
      <c r="D6492" s="102">
        <v>5.0000000000000001E-3</v>
      </c>
      <c r="E6492" s="103">
        <f>VLOOKUP(A6492,'Equip, Herr y Transp'!$B$2:$D$218,3,0)</f>
        <v>160000</v>
      </c>
      <c r="F6492" s="552">
        <f>E6492*D6492*C6492</f>
        <v>800</v>
      </c>
      <c r="G6492" s="553"/>
      <c r="H6492" s="117"/>
      <c r="M6492" s="56"/>
    </row>
    <row r="6493" spans="1:15" ht="16.5">
      <c r="A6493" s="554" t="s">
        <v>4216</v>
      </c>
      <c r="B6493" s="555"/>
      <c r="C6493" s="555"/>
      <c r="D6493" s="555"/>
      <c r="E6493" s="555"/>
      <c r="F6493" s="555"/>
      <c r="G6493" s="555"/>
      <c r="H6493" s="105">
        <f>F6492</f>
        <v>800</v>
      </c>
    </row>
    <row r="6494" spans="1:15" ht="16.5">
      <c r="A6494" s="543" t="s">
        <v>4235</v>
      </c>
      <c r="B6494" s="544"/>
      <c r="C6494" s="544"/>
      <c r="D6494" s="544"/>
      <c r="E6494" s="544"/>
      <c r="F6494" s="544"/>
      <c r="G6494" s="544"/>
      <c r="H6494" s="546"/>
    </row>
    <row r="6495" spans="1:15">
      <c r="A6495" s="547" t="s">
        <v>7</v>
      </c>
      <c r="B6495" s="548"/>
      <c r="C6495" s="106" t="s">
        <v>1</v>
      </c>
      <c r="D6495" s="107" t="s">
        <v>4236</v>
      </c>
      <c r="E6495" s="108" t="s">
        <v>4215</v>
      </c>
      <c r="F6495" s="547" t="s">
        <v>5</v>
      </c>
      <c r="G6495" s="556"/>
      <c r="H6495" s="119"/>
    </row>
    <row r="6496" spans="1:15">
      <c r="A6496" s="550" t="s">
        <v>4196</v>
      </c>
      <c r="B6496" s="551"/>
      <c r="C6496" s="101">
        <v>1</v>
      </c>
      <c r="D6496" s="104">
        <f>VLOOKUP(A6496,'Mano Obra'!$B$2:$T$117,19,0)</f>
        <v>166624</v>
      </c>
      <c r="E6496" s="246">
        <f>H6458</f>
        <v>1.04E-2</v>
      </c>
      <c r="F6496" s="538">
        <f>E6496*D6496*C6496</f>
        <v>1732.8896</v>
      </c>
      <c r="G6496" s="557"/>
      <c r="H6496" s="121"/>
      <c r="I6496" s="69"/>
      <c r="J6496" s="136">
        <f>((('Mano Obra'!$M$4/30)*F6496)/D6496)*G6465</f>
        <v>0</v>
      </c>
    </row>
    <row r="6497" spans="1:10">
      <c r="A6497" s="558" t="s">
        <v>4197</v>
      </c>
      <c r="B6497" s="559">
        <f>VLOOKUP(A6497,'Mano Obra'!$B$3:$D$290,2,0)</f>
        <v>2090000.0000000002</v>
      </c>
      <c r="C6497" s="101">
        <v>1</v>
      </c>
      <c r="D6497" s="104">
        <f>VLOOKUP(A6497,'Mano Obra'!$B$2:$T$117,19,0)</f>
        <v>120456</v>
      </c>
      <c r="E6497" s="246">
        <f>H6458</f>
        <v>1.04E-2</v>
      </c>
      <c r="F6497" s="538">
        <f t="shared" ref="F6497:F6498" si="381">E6497*D6497*C6497</f>
        <v>1252.7423999999999</v>
      </c>
      <c r="G6497" s="557"/>
      <c r="H6497" s="121"/>
      <c r="J6497" s="136">
        <f>((('Mano Obra'!$M$5/30)*F6497)/D6497)*G6465</f>
        <v>0</v>
      </c>
    </row>
    <row r="6498" spans="1:10">
      <c r="A6498" s="558" t="s">
        <v>4186</v>
      </c>
      <c r="B6498" s="559">
        <f>VLOOKUP(A6498,'Mano Obra'!$B$3:$D$290,2,0)</f>
        <v>1100000</v>
      </c>
      <c r="C6498" s="101">
        <v>1</v>
      </c>
      <c r="D6498" s="104">
        <f>VLOOKUP(A6498,'Mano Obra'!$B$2:$T$117,19,0)</f>
        <v>72664</v>
      </c>
      <c r="E6498" s="246">
        <f>H6458</f>
        <v>1.04E-2</v>
      </c>
      <c r="F6498" s="538">
        <f t="shared" si="381"/>
        <v>755.7056</v>
      </c>
      <c r="G6498" s="557"/>
      <c r="H6498" s="120"/>
      <c r="J6498" s="136">
        <f>((('Mano Obra'!$M$6/30)*F6498)/D6498)*G6465</f>
        <v>0</v>
      </c>
    </row>
    <row r="6499" spans="1:10" ht="16.5">
      <c r="A6499" s="560" t="s">
        <v>4101</v>
      </c>
      <c r="B6499" s="560"/>
      <c r="C6499" s="560"/>
      <c r="D6499" s="560"/>
      <c r="E6499" s="560"/>
      <c r="F6499" s="560"/>
      <c r="G6499" s="560"/>
      <c r="H6499" s="105">
        <f>SUM(F6496:F6498)</f>
        <v>3741.3375999999998</v>
      </c>
      <c r="J6499" s="136"/>
    </row>
    <row r="6500" spans="1:10">
      <c r="A6500" s="227" t="s">
        <v>4237</v>
      </c>
      <c r="B6500" s="205"/>
      <c r="C6500" s="205"/>
      <c r="D6500" s="202"/>
      <c r="E6500" s="203"/>
      <c r="F6500" s="204"/>
      <c r="G6500" s="203"/>
      <c r="H6500" s="212"/>
    </row>
    <row r="6501" spans="1:10">
      <c r="A6501" s="561" t="s">
        <v>4224</v>
      </c>
      <c r="B6501" s="562"/>
      <c r="C6501" s="562"/>
      <c r="D6501" s="562"/>
      <c r="E6501" s="200"/>
      <c r="F6501" s="201" t="s">
        <v>4238</v>
      </c>
      <c r="G6501" s="200" t="s">
        <v>4239</v>
      </c>
      <c r="H6501" s="213"/>
    </row>
    <row r="6502" spans="1:10">
      <c r="A6502" s="223" t="s">
        <v>4097</v>
      </c>
      <c r="B6502" s="72"/>
      <c r="C6502" s="72"/>
      <c r="D6502" s="73"/>
      <c r="E6502" s="78"/>
      <c r="F6502" s="79">
        <v>0</v>
      </c>
      <c r="G6502" s="80">
        <f>F6502*H6466</f>
        <v>0</v>
      </c>
      <c r="H6502" s="212"/>
    </row>
    <row r="6503" spans="1:10">
      <c r="A6503" s="224" t="s">
        <v>4240</v>
      </c>
      <c r="B6503" s="81"/>
      <c r="C6503" s="81"/>
      <c r="D6503" s="82"/>
      <c r="E6503" s="78"/>
      <c r="F6503" s="79">
        <v>0</v>
      </c>
      <c r="G6503" s="80">
        <f>F6503*H6466</f>
        <v>0</v>
      </c>
      <c r="H6503" s="212"/>
    </row>
    <row r="6504" spans="1:10">
      <c r="A6504" s="224" t="s">
        <v>4</v>
      </c>
      <c r="B6504" s="81"/>
      <c r="C6504" s="81"/>
      <c r="D6504" s="82"/>
      <c r="E6504" s="78"/>
      <c r="F6504" s="79">
        <v>0</v>
      </c>
      <c r="G6504" s="80">
        <f>F6504*H6466</f>
        <v>0</v>
      </c>
      <c r="H6504" s="212"/>
    </row>
    <row r="6505" spans="1:10">
      <c r="A6505" s="225"/>
      <c r="B6505" s="83"/>
      <c r="C6505" s="75"/>
      <c r="D6505" s="84"/>
      <c r="E6505" s="85"/>
      <c r="F6505" s="86"/>
      <c r="G6505" s="87"/>
      <c r="H6505" s="214"/>
    </row>
    <row r="6506" spans="1:10">
      <c r="A6506" s="226"/>
      <c r="B6506" s="83"/>
      <c r="C6506" s="83"/>
      <c r="D6506" s="84"/>
      <c r="E6506" s="88"/>
      <c r="F6506" s="563" t="s">
        <v>4241</v>
      </c>
      <c r="G6506" s="564"/>
      <c r="H6506" s="233">
        <f>H6466+G6502+G6503+G6504</f>
        <v>16826.2896</v>
      </c>
    </row>
    <row r="6507" spans="1:10">
      <c r="A6507" s="83"/>
      <c r="B6507" s="83"/>
      <c r="C6507" s="83"/>
      <c r="D6507" s="84"/>
      <c r="E6507" s="388"/>
      <c r="F6507" s="389"/>
      <c r="G6507" s="389"/>
      <c r="H6507" s="390"/>
    </row>
    <row r="6508" spans="1:10">
      <c r="A6508" s="83"/>
      <c r="B6508" s="83"/>
      <c r="C6508" s="83"/>
      <c r="D6508" s="84"/>
      <c r="E6508" s="388"/>
      <c r="F6508" s="389"/>
      <c r="G6508" s="389"/>
      <c r="H6508" s="390"/>
    </row>
    <row r="6509" spans="1:10">
      <c r="A6509" s="579" t="s">
        <v>4225</v>
      </c>
      <c r="B6509" s="580"/>
      <c r="C6509" s="580"/>
      <c r="D6509" s="580"/>
      <c r="E6509" s="580"/>
      <c r="F6509" s="580"/>
      <c r="G6509" s="580"/>
      <c r="H6509" s="581"/>
    </row>
    <row r="6510" spans="1:10" ht="16.5">
      <c r="A6510" s="91"/>
      <c r="B6510" s="92"/>
      <c r="C6510" s="92"/>
      <c r="D6510" s="92"/>
      <c r="E6510" s="92"/>
      <c r="F6510" s="93"/>
      <c r="G6510" s="94"/>
      <c r="H6510" s="380">
        <f>ROUND((5/60)/8,4)</f>
        <v>1.04E-2</v>
      </c>
      <c r="I6510" s="115"/>
    </row>
    <row r="6511" spans="1:10">
      <c r="A6511" s="582" t="s">
        <v>4220</v>
      </c>
      <c r="B6511" s="584" t="str">
        <f>COSTOS!$C$14</f>
        <v>MODERNIZACION A TECNOLOGIA LED</v>
      </c>
      <c r="C6511" s="584"/>
      <c r="D6511" s="584"/>
      <c r="E6511" s="584"/>
      <c r="F6511" s="584"/>
      <c r="G6511" s="584"/>
      <c r="H6511" s="585" t="s">
        <v>4221</v>
      </c>
    </row>
    <row r="6512" spans="1:10">
      <c r="A6512" s="583"/>
      <c r="B6512" s="584"/>
      <c r="C6512" s="584"/>
      <c r="D6512" s="584"/>
      <c r="E6512" s="584"/>
      <c r="F6512" s="584"/>
      <c r="G6512" s="584"/>
      <c r="H6512" s="585"/>
    </row>
    <row r="6513" spans="1:15">
      <c r="A6513" s="583"/>
      <c r="B6513" s="584"/>
      <c r="C6513" s="584"/>
      <c r="D6513" s="584"/>
      <c r="E6513" s="584"/>
      <c r="F6513" s="584"/>
      <c r="G6513" s="584"/>
      <c r="H6513" s="585"/>
    </row>
    <row r="6514" spans="1:15" ht="15" customHeight="1">
      <c r="A6514" s="583"/>
      <c r="B6514" s="584"/>
      <c r="C6514" s="584"/>
      <c r="D6514" s="584"/>
      <c r="E6514" s="584"/>
      <c r="F6514" s="584"/>
      <c r="G6514" s="584"/>
      <c r="H6514" s="216">
        <f ca="1">TODAY()</f>
        <v>44889</v>
      </c>
      <c r="K6514" t="s">
        <v>4391</v>
      </c>
      <c r="L6514" t="s">
        <v>4392</v>
      </c>
      <c r="M6514" t="s">
        <v>4393</v>
      </c>
      <c r="N6514" t="s">
        <v>4394</v>
      </c>
    </row>
    <row r="6515" spans="1:15" ht="60.75" customHeight="1">
      <c r="A6515" s="228" t="s">
        <v>4222</v>
      </c>
      <c r="B6515" s="565" t="str">
        <f>COSTOS!$D$16</f>
        <v>Luminarias</v>
      </c>
      <c r="C6515" s="565"/>
      <c r="D6515" s="565"/>
      <c r="E6515" s="565"/>
      <c r="F6515" s="565"/>
      <c r="G6515" s="70" t="s">
        <v>4223</v>
      </c>
      <c r="H6515" s="391">
        <v>3.13</v>
      </c>
      <c r="K6515" s="62">
        <f>H6541</f>
        <v>13280.400000000001</v>
      </c>
      <c r="L6515" s="62">
        <f>H6551</f>
        <v>3741.3375999999998</v>
      </c>
      <c r="M6515" s="62">
        <f>H6524</f>
        <v>146.952</v>
      </c>
      <c r="N6515" s="62">
        <f>H6545</f>
        <v>800</v>
      </c>
    </row>
    <row r="6516" spans="1:15" ht="43.15" customHeight="1">
      <c r="A6516" s="229" t="s">
        <v>4224</v>
      </c>
      <c r="B6516" s="566" t="str">
        <f>VLOOKUP(H6515,COSTOS!C:M,2,0)</f>
        <v>Red canalizada en cable aluminio 3 No 2 x 500m</v>
      </c>
      <c r="C6516" s="567"/>
      <c r="D6516" s="567"/>
      <c r="E6516" s="568"/>
      <c r="F6516" s="71" t="s">
        <v>0</v>
      </c>
      <c r="G6516" s="356" t="str">
        <f>VLOOKUP(H6515,COSTOS!C:M,8,0)</f>
        <v>Und</v>
      </c>
      <c r="H6516" s="276"/>
      <c r="I6516" s="306"/>
      <c r="J6516" s="308"/>
      <c r="K6516" s="308"/>
      <c r="L6516" s="308"/>
    </row>
    <row r="6517" spans="1:15">
      <c r="A6517" s="230"/>
      <c r="B6517" s="112"/>
      <c r="C6517" s="112"/>
      <c r="D6517" s="112"/>
      <c r="E6517" s="113"/>
      <c r="F6517" s="114" t="s">
        <v>1</v>
      </c>
      <c r="G6517" s="356">
        <f>VLOOKUP(H6515,COSTOS!C:M,9,0)</f>
        <v>0</v>
      </c>
      <c r="H6517" s="357"/>
      <c r="I6517" s="307"/>
    </row>
    <row r="6518" spans="1:15" ht="16.5">
      <c r="A6518" s="231" t="s">
        <v>4226</v>
      </c>
      <c r="B6518" s="75"/>
      <c r="C6518" s="75"/>
      <c r="D6518" s="76"/>
      <c r="E6518" s="209"/>
      <c r="F6518" s="210"/>
      <c r="G6518" s="211" t="s">
        <v>4227</v>
      </c>
      <c r="H6518" s="217">
        <f>H6524+H6541+H6545+H6551</f>
        <v>17968.689600000002</v>
      </c>
    </row>
    <row r="6519" spans="1:15" ht="39">
      <c r="A6519" s="569" t="s">
        <v>4224</v>
      </c>
      <c r="B6519" s="569"/>
      <c r="C6519" s="569"/>
      <c r="D6519" s="77" t="s">
        <v>0</v>
      </c>
      <c r="E6519" s="207" t="s">
        <v>4228</v>
      </c>
      <c r="F6519" s="208" t="s">
        <v>4215</v>
      </c>
      <c r="G6519" s="74" t="s">
        <v>2</v>
      </c>
      <c r="H6519" s="218" t="s">
        <v>4229</v>
      </c>
      <c r="K6519" s="309"/>
    </row>
    <row r="6520" spans="1:15">
      <c r="A6520" s="536" t="s">
        <v>3946</v>
      </c>
      <c r="B6520" s="570" t="str">
        <f>VLOOKUP(A6520,'Equip, Herr y Transp'!$B$2:$D$739,2,0)</f>
        <v>EQU</v>
      </c>
      <c r="C6520" s="570"/>
      <c r="D6520" s="95" t="str">
        <f>VLOOKUP(A6520,'Equip, Herr y Transp'!$B$2:$D$218,2,0)</f>
        <v>EQU</v>
      </c>
      <c r="E6520" s="95">
        <f>VLOOKUP(A6520,'Equip, Herr y Transp'!$B$2:$D$218,3,0)</f>
        <v>14130</v>
      </c>
      <c r="F6520" s="96">
        <f>H6510</f>
        <v>1.04E-2</v>
      </c>
      <c r="G6520" s="122">
        <f>F6520*E6520</f>
        <v>146.952</v>
      </c>
      <c r="H6520" s="118"/>
    </row>
    <row r="6521" spans="1:15">
      <c r="A6521" s="536" t="s">
        <v>8</v>
      </c>
      <c r="B6521" s="570">
        <f>VLOOKUP(A6521,'Equip, Herr y Transp'!$B$2:$D$739,2,0)</f>
        <v>0</v>
      </c>
      <c r="C6521" s="570"/>
      <c r="D6521" s="95">
        <f>VLOOKUP(A6521,'Equip, Herr y Transp'!$B$2:$D$218,2,0)</f>
        <v>0</v>
      </c>
      <c r="E6521" s="95">
        <f>VLOOKUP(A6521,'Equip, Herr y Transp'!$B$2:$D$218,3,0)</f>
        <v>0</v>
      </c>
      <c r="F6521" s="96">
        <f>H6510</f>
        <v>1.04E-2</v>
      </c>
      <c r="G6521" s="122">
        <f>F6521*E6521</f>
        <v>0</v>
      </c>
      <c r="H6521" s="117"/>
    </row>
    <row r="6522" spans="1:15">
      <c r="A6522" s="536" t="s">
        <v>8</v>
      </c>
      <c r="B6522" s="570">
        <f>VLOOKUP(A6522,'Equip, Herr y Transp'!$B$2:$D$739,2,0)</f>
        <v>0</v>
      </c>
      <c r="C6522" s="570"/>
      <c r="D6522" s="95">
        <f>VLOOKUP(A6522,'Equip, Herr y Transp'!$B$2:$D$218,2,0)</f>
        <v>0</v>
      </c>
      <c r="E6522" s="95">
        <f>VLOOKUP(A6522,'Equip, Herr y Transp'!$B$2:$D$218,3,0)</f>
        <v>0</v>
      </c>
      <c r="F6522" s="96">
        <f>H6510</f>
        <v>1.04E-2</v>
      </c>
      <c r="G6522" s="122">
        <f>F6522*E6522</f>
        <v>0</v>
      </c>
      <c r="H6522" s="117"/>
    </row>
    <row r="6523" spans="1:15">
      <c r="A6523" s="536" t="s">
        <v>8</v>
      </c>
      <c r="B6523" s="570">
        <f>VLOOKUP(A6523,'Equip, Herr y Transp'!$B$2:$D$739,2,0)</f>
        <v>0</v>
      </c>
      <c r="C6523" s="570"/>
      <c r="D6523" s="95">
        <f>VLOOKUP(A6523,'Equip, Herr y Transp'!$B$2:$D$218,2,0)</f>
        <v>0</v>
      </c>
      <c r="E6523" s="95">
        <f>VLOOKUP(A6523,'Equip, Herr y Transp'!$B$2:$D$218,3,0)</f>
        <v>0</v>
      </c>
      <c r="F6523" s="96">
        <f>H6510</f>
        <v>1.04E-2</v>
      </c>
      <c r="G6523" s="122">
        <f>F6523*E6523</f>
        <v>0</v>
      </c>
      <c r="H6523" s="117"/>
    </row>
    <row r="6524" spans="1:15" ht="16.5">
      <c r="A6524" s="540" t="s">
        <v>4100</v>
      </c>
      <c r="B6524" s="541"/>
      <c r="C6524" s="541"/>
      <c r="D6524" s="541"/>
      <c r="E6524" s="541"/>
      <c r="F6524" s="541"/>
      <c r="G6524" s="541"/>
      <c r="H6524" s="97">
        <f>SUM(G6520:G6523)</f>
        <v>146.952</v>
      </c>
    </row>
    <row r="6525" spans="1:15" ht="16.5">
      <c r="A6525" s="571" t="s">
        <v>4230</v>
      </c>
      <c r="B6525" s="572"/>
      <c r="C6525" s="572"/>
      <c r="D6525" s="572"/>
      <c r="E6525" s="572"/>
      <c r="F6525" s="572"/>
      <c r="G6525" s="572"/>
      <c r="H6525" s="573"/>
      <c r="K6525" s="56"/>
      <c r="L6525" s="56"/>
      <c r="M6525" s="56"/>
      <c r="N6525" s="56"/>
      <c r="O6525" s="56"/>
    </row>
    <row r="6526" spans="1:15" ht="30" customHeight="1">
      <c r="A6526" s="574" t="s">
        <v>7</v>
      </c>
      <c r="B6526" s="575"/>
      <c r="C6526" s="109" t="s">
        <v>0</v>
      </c>
      <c r="D6526" s="110" t="s">
        <v>4098</v>
      </c>
      <c r="E6526" s="111" t="s">
        <v>1</v>
      </c>
      <c r="F6526" s="576" t="s">
        <v>4218</v>
      </c>
      <c r="G6526" s="576"/>
      <c r="H6526" s="215"/>
      <c r="K6526" s="56"/>
      <c r="L6526" s="56"/>
      <c r="M6526" s="56"/>
      <c r="N6526" s="56"/>
      <c r="O6526" s="56"/>
    </row>
    <row r="6527" spans="1:15">
      <c r="A6527" s="577" t="s">
        <v>4445</v>
      </c>
      <c r="B6527" s="578"/>
      <c r="C6527" s="98" t="str">
        <f>VLOOKUP(A6527,'Materiales '!$C$2:$F$1302,3,0)</f>
        <v>Ml</v>
      </c>
      <c r="D6527" s="99">
        <f>VLOOKUP(A6527,'Materiales '!$C$2:$F$1302,4,0)</f>
        <v>4426.8</v>
      </c>
      <c r="E6527" s="100">
        <v>3</v>
      </c>
      <c r="F6527" s="538">
        <f>E6527*D6527</f>
        <v>13280.400000000001</v>
      </c>
      <c r="G6527" s="539"/>
      <c r="H6527" s="121"/>
      <c r="I6527">
        <f>E6527*G6517</f>
        <v>0</v>
      </c>
      <c r="J6527" s="67"/>
      <c r="K6527" s="56"/>
      <c r="L6527" s="56"/>
      <c r="M6527" s="56"/>
      <c r="N6527" s="56"/>
      <c r="O6527" s="56"/>
    </row>
    <row r="6528" spans="1:15">
      <c r="A6528" s="577" t="s">
        <v>8</v>
      </c>
      <c r="B6528" s="578"/>
      <c r="C6528" s="98" t="str">
        <f>VLOOKUP(A6528,'Materiales '!$C$2:$F$1302,3,0)</f>
        <v>-</v>
      </c>
      <c r="D6528" s="99">
        <f>VLOOKUP(A6528,'Materiales '!$C$2:$F$1302,4,0)</f>
        <v>0</v>
      </c>
      <c r="E6528" s="100"/>
      <c r="F6528" s="538">
        <f t="shared" ref="F6528:F6534" si="382">E6528*D6528</f>
        <v>0</v>
      </c>
      <c r="G6528" s="539"/>
      <c r="H6528" s="121"/>
      <c r="I6528">
        <f>E6528*G6517</f>
        <v>0</v>
      </c>
      <c r="J6528" s="67"/>
      <c r="K6528" s="56"/>
      <c r="L6528" s="56"/>
      <c r="M6528" s="56"/>
      <c r="N6528" s="56"/>
      <c r="O6528" s="56"/>
    </row>
    <row r="6529" spans="1:15">
      <c r="A6529" s="536" t="s">
        <v>8</v>
      </c>
      <c r="B6529" s="537" t="str">
        <f>VLOOKUP(A6529,'Materiales '!$C$2:$F$1302,3,0)</f>
        <v>-</v>
      </c>
      <c r="C6529" s="98" t="str">
        <f>VLOOKUP(A6529,'Materiales '!$C$2:$F$1302,3,0)</f>
        <v>-</v>
      </c>
      <c r="D6529" s="99">
        <f>VLOOKUP(A6529,'Materiales '!$C$2:$F$1302,4,0)</f>
        <v>0</v>
      </c>
      <c r="E6529" s="100"/>
      <c r="F6529" s="538">
        <f t="shared" si="382"/>
        <v>0</v>
      </c>
      <c r="G6529" s="539"/>
      <c r="H6529" s="121"/>
      <c r="I6529">
        <f>E6529*G6517</f>
        <v>0</v>
      </c>
      <c r="J6529" s="68"/>
      <c r="K6529" s="56"/>
      <c r="L6529" s="56"/>
      <c r="M6529" s="56"/>
      <c r="N6529" s="56"/>
      <c r="O6529" s="56"/>
    </row>
    <row r="6530" spans="1:15">
      <c r="A6530" s="536" t="s">
        <v>8</v>
      </c>
      <c r="B6530" s="537" t="str">
        <f>VLOOKUP(A6530,'Materiales '!$C$2:$F$1302,3,0)</f>
        <v>-</v>
      </c>
      <c r="C6530" s="98" t="str">
        <f>VLOOKUP(A6530,'Materiales '!$C$2:$F$1302,3,0)</f>
        <v>-</v>
      </c>
      <c r="D6530" s="99">
        <f>VLOOKUP(A6530,'Materiales '!$C$2:$F$1302,4,0)</f>
        <v>0</v>
      </c>
      <c r="E6530" s="100"/>
      <c r="F6530" s="538">
        <f t="shared" si="382"/>
        <v>0</v>
      </c>
      <c r="G6530" s="539"/>
      <c r="H6530" s="121"/>
      <c r="I6530">
        <f>E6530*G6517</f>
        <v>0</v>
      </c>
      <c r="J6530" s="68"/>
      <c r="K6530" s="56"/>
      <c r="L6530" s="56"/>
      <c r="M6530" s="56"/>
      <c r="N6530" s="56"/>
      <c r="O6530" s="56"/>
    </row>
    <row r="6531" spans="1:15">
      <c r="A6531" s="536" t="s">
        <v>8</v>
      </c>
      <c r="B6531" s="537" t="str">
        <f>VLOOKUP(A6531,'Materiales '!$C$2:$F$1302,3,0)</f>
        <v>-</v>
      </c>
      <c r="C6531" s="98" t="str">
        <f>VLOOKUP(A6531,'Materiales '!$C$2:$F$1302,3,0)</f>
        <v>-</v>
      </c>
      <c r="D6531" s="99">
        <f>VLOOKUP(A6531,'Materiales '!$C$2:$F$1302,4,0)</f>
        <v>0</v>
      </c>
      <c r="E6531" s="100"/>
      <c r="F6531" s="538">
        <f t="shared" si="382"/>
        <v>0</v>
      </c>
      <c r="G6531" s="539"/>
      <c r="H6531" s="121"/>
      <c r="I6531">
        <f>E6531*G6517</f>
        <v>0</v>
      </c>
      <c r="J6531" s="68"/>
      <c r="K6531" s="56"/>
      <c r="L6531" s="56"/>
      <c r="M6531" s="56"/>
      <c r="N6531" s="56"/>
      <c r="O6531" s="56"/>
    </row>
    <row r="6532" spans="1:15">
      <c r="A6532" s="536" t="s">
        <v>8</v>
      </c>
      <c r="B6532" s="537" t="str">
        <f>VLOOKUP(A6532,'Materiales '!$C$2:$F$1302,3,0)</f>
        <v>-</v>
      </c>
      <c r="C6532" s="98" t="str">
        <f>VLOOKUP(A6532,'Materiales '!$C$2:$F$1302,3,0)</f>
        <v>-</v>
      </c>
      <c r="D6532" s="99">
        <f>VLOOKUP(A6532,'Materiales '!$C$2:$F$1302,4,0)</f>
        <v>0</v>
      </c>
      <c r="E6532" s="100"/>
      <c r="F6532" s="538">
        <f t="shared" si="382"/>
        <v>0</v>
      </c>
      <c r="G6532" s="539"/>
      <c r="H6532" s="121"/>
      <c r="I6532">
        <f>E6532*G6517</f>
        <v>0</v>
      </c>
      <c r="J6532" s="68"/>
      <c r="K6532" s="56"/>
      <c r="L6532" s="56"/>
      <c r="M6532" s="56"/>
      <c r="N6532" s="56"/>
      <c r="O6532" s="56"/>
    </row>
    <row r="6533" spans="1:15">
      <c r="A6533" s="536" t="s">
        <v>8</v>
      </c>
      <c r="B6533" s="537" t="str">
        <f>VLOOKUP(A6533,'Materiales '!$C$2:$F$1302,3,0)</f>
        <v>-</v>
      </c>
      <c r="C6533" s="98" t="str">
        <f>VLOOKUP(A6533,'Materiales '!$C$2:$F$1302,3,0)</f>
        <v>-</v>
      </c>
      <c r="D6533" s="99">
        <f>VLOOKUP(A6533,'Materiales '!$C$2:$F$1302,4,0)</f>
        <v>0</v>
      </c>
      <c r="E6533" s="100"/>
      <c r="F6533" s="538">
        <f t="shared" si="382"/>
        <v>0</v>
      </c>
      <c r="G6533" s="539"/>
      <c r="H6533" s="121"/>
      <c r="I6533">
        <f>E6533*G6517</f>
        <v>0</v>
      </c>
      <c r="J6533" s="68"/>
      <c r="K6533" s="56"/>
      <c r="L6533" s="56"/>
      <c r="M6533" s="56"/>
      <c r="N6533" s="56"/>
      <c r="O6533" s="56"/>
    </row>
    <row r="6534" spans="1:15" ht="21.75" customHeight="1">
      <c r="A6534" s="536" t="s">
        <v>8</v>
      </c>
      <c r="B6534" s="537" t="str">
        <f>VLOOKUP(A6534,'Materiales '!$C$2:$F$1302,3,0)</f>
        <v>-</v>
      </c>
      <c r="C6534" s="98" t="str">
        <f>VLOOKUP(A6534,'Materiales '!$C$2:$F$1302,3,0)</f>
        <v>-</v>
      </c>
      <c r="D6534" s="99">
        <f>VLOOKUP(A6534,'Materiales '!$C$2:$F$1302,4,0)</f>
        <v>0</v>
      </c>
      <c r="E6534" s="100"/>
      <c r="F6534" s="538">
        <f t="shared" si="382"/>
        <v>0</v>
      </c>
      <c r="G6534" s="539"/>
      <c r="H6534" s="121"/>
      <c r="I6534">
        <f>E6534*G6517</f>
        <v>0</v>
      </c>
      <c r="J6534" s="68"/>
      <c r="K6534" s="56"/>
      <c r="L6534" s="56"/>
      <c r="M6534" s="56"/>
      <c r="N6534" s="56"/>
      <c r="O6534" s="56"/>
    </row>
    <row r="6535" spans="1:15">
      <c r="A6535" s="536" t="s">
        <v>8</v>
      </c>
      <c r="B6535" s="537" t="str">
        <f>VLOOKUP(A6535,'Materiales '!$C$2:$F$1302,3,0)</f>
        <v>-</v>
      </c>
      <c r="C6535" s="98" t="str">
        <f>VLOOKUP(A6535,'Materiales '!$C$2:$F$1302,3,0)</f>
        <v>-</v>
      </c>
      <c r="D6535" s="99">
        <f>VLOOKUP(A6535,'Materiales '!$C$2:$F$1302,4,0)</f>
        <v>0</v>
      </c>
      <c r="E6535" s="100"/>
      <c r="F6535" s="538">
        <f>E6535*D6535</f>
        <v>0</v>
      </c>
      <c r="G6535" s="539"/>
      <c r="H6535" s="120"/>
      <c r="I6535">
        <f>E6535*G6517</f>
        <v>0</v>
      </c>
      <c r="J6535" s="68"/>
      <c r="K6535" s="56"/>
      <c r="L6535" s="56"/>
      <c r="M6535" s="56"/>
      <c r="N6535" s="56"/>
      <c r="O6535" s="56"/>
    </row>
    <row r="6536" spans="1:15">
      <c r="A6536" s="536" t="s">
        <v>8</v>
      </c>
      <c r="B6536" s="537" t="str">
        <f>VLOOKUP(A6536,'Materiales '!$C$2:$F$1302,3,0)</f>
        <v>-</v>
      </c>
      <c r="C6536" s="98" t="str">
        <f>VLOOKUP(A6536,'Materiales '!$C$2:$F$1302,3,0)</f>
        <v>-</v>
      </c>
      <c r="D6536" s="99">
        <f>VLOOKUP(A6536,'Materiales '!$C$2:$F$1302,4,0)</f>
        <v>0</v>
      </c>
      <c r="E6536" s="100"/>
      <c r="F6536" s="538">
        <f t="shared" ref="F6536:F6539" si="383">E6536*D6536</f>
        <v>0</v>
      </c>
      <c r="G6536" s="539"/>
      <c r="H6536" s="121"/>
      <c r="I6536">
        <f>E6536*G6517</f>
        <v>0</v>
      </c>
      <c r="J6536" s="68"/>
      <c r="K6536" s="56"/>
      <c r="L6536" s="56"/>
      <c r="M6536" s="56"/>
      <c r="N6536" s="56"/>
      <c r="O6536" s="56"/>
    </row>
    <row r="6537" spans="1:15">
      <c r="A6537" s="536" t="s">
        <v>8</v>
      </c>
      <c r="B6537" s="537" t="str">
        <f>VLOOKUP(A6537,'Materiales '!$C$2:$F$1302,3,0)</f>
        <v>-</v>
      </c>
      <c r="C6537" s="98" t="str">
        <f>VLOOKUP(A6537,'Materiales '!$C$2:$F$1302,3,0)</f>
        <v>-</v>
      </c>
      <c r="D6537" s="99">
        <f>VLOOKUP(A6537,'Materiales '!$C$2:$F$1302,4,0)</f>
        <v>0</v>
      </c>
      <c r="E6537" s="100"/>
      <c r="F6537" s="538">
        <f t="shared" si="383"/>
        <v>0</v>
      </c>
      <c r="G6537" s="539"/>
      <c r="H6537" s="121"/>
      <c r="I6537">
        <f>E6537*G6517</f>
        <v>0</v>
      </c>
      <c r="J6537" s="68"/>
      <c r="K6537" s="56"/>
      <c r="L6537" s="56"/>
      <c r="M6537" s="56"/>
      <c r="N6537" s="56"/>
      <c r="O6537" s="56"/>
    </row>
    <row r="6538" spans="1:15">
      <c r="A6538" s="536" t="s">
        <v>8</v>
      </c>
      <c r="B6538" s="537" t="str">
        <f>VLOOKUP(A6538,'Materiales '!$C$2:$F$1302,3,0)</f>
        <v>-</v>
      </c>
      <c r="C6538" s="98" t="str">
        <f>VLOOKUP(A6538,'Materiales '!$C$2:$F$1302,3,0)</f>
        <v>-</v>
      </c>
      <c r="D6538" s="99">
        <f>VLOOKUP(A6538,'Materiales '!$C$2:$F$1302,4,0)</f>
        <v>0</v>
      </c>
      <c r="E6538" s="100"/>
      <c r="F6538" s="538">
        <f t="shared" si="383"/>
        <v>0</v>
      </c>
      <c r="G6538" s="539"/>
      <c r="H6538" s="121"/>
      <c r="I6538">
        <f>E6538*G6517</f>
        <v>0</v>
      </c>
      <c r="J6538" s="68"/>
      <c r="K6538" s="56"/>
      <c r="L6538" s="56"/>
      <c r="M6538" s="56"/>
      <c r="N6538" s="56"/>
      <c r="O6538" s="56"/>
    </row>
    <row r="6539" spans="1:15">
      <c r="A6539" s="536" t="s">
        <v>8</v>
      </c>
      <c r="B6539" s="537" t="str">
        <f>VLOOKUP(A6539,'Materiales '!$C$2:$F$1302,3,0)</f>
        <v>-</v>
      </c>
      <c r="C6539" s="98" t="str">
        <f>VLOOKUP(A6539,'Materiales '!$C$2:$F$1302,3,0)</f>
        <v>-</v>
      </c>
      <c r="D6539" s="99">
        <f>VLOOKUP(A6539,'Materiales '!$C$2:$F$1302,4,0)</f>
        <v>0</v>
      </c>
      <c r="E6539" s="100"/>
      <c r="F6539" s="538">
        <f t="shared" si="383"/>
        <v>0</v>
      </c>
      <c r="G6539" s="539"/>
      <c r="H6539" s="121"/>
      <c r="I6539">
        <f>E6539*G6517</f>
        <v>0</v>
      </c>
      <c r="J6539" s="68"/>
      <c r="K6539" s="56"/>
      <c r="L6539" s="56"/>
      <c r="M6539" s="56"/>
      <c r="N6539" s="56"/>
      <c r="O6539" s="56"/>
    </row>
    <row r="6540" spans="1:15">
      <c r="A6540" s="536" t="s">
        <v>8</v>
      </c>
      <c r="B6540" s="537" t="str">
        <f>VLOOKUP(A6540,'Materiales '!$C$2:$F$1302,3,0)</f>
        <v>-</v>
      </c>
      <c r="C6540" s="98" t="str">
        <f>VLOOKUP(A6540,'Materiales '!$C$2:$F$1302,3,0)</f>
        <v>-</v>
      </c>
      <c r="D6540" s="99">
        <f>VLOOKUP(A6540,'Materiales '!$C$2:$F$1302,4,0)</f>
        <v>0</v>
      </c>
      <c r="E6540" s="100"/>
      <c r="F6540" s="538">
        <f>E6540*D6540</f>
        <v>0</v>
      </c>
      <c r="G6540" s="539"/>
      <c r="H6540" s="120"/>
      <c r="I6540">
        <f>E6540*G6517</f>
        <v>0</v>
      </c>
      <c r="J6540" s="68"/>
      <c r="K6540" s="56"/>
      <c r="L6540" s="56"/>
      <c r="M6540" s="56"/>
      <c r="N6540" s="56"/>
      <c r="O6540" s="56"/>
    </row>
    <row r="6541" spans="1:15" ht="16.5">
      <c r="A6541" s="540" t="s">
        <v>4099</v>
      </c>
      <c r="B6541" s="541"/>
      <c r="C6541" s="541"/>
      <c r="D6541" s="541"/>
      <c r="E6541" s="541"/>
      <c r="F6541" s="541"/>
      <c r="G6541" s="542"/>
      <c r="H6541" s="116">
        <f>SUM(F6527:F6540)</f>
        <v>13280.400000000001</v>
      </c>
      <c r="J6541" s="68"/>
      <c r="K6541" s="56"/>
      <c r="L6541" s="56"/>
      <c r="M6541" s="56"/>
      <c r="N6541" s="56"/>
      <c r="O6541" s="56"/>
    </row>
    <row r="6542" spans="1:15" ht="16.5">
      <c r="A6542" s="543" t="s">
        <v>4231</v>
      </c>
      <c r="B6542" s="544"/>
      <c r="C6542" s="544"/>
      <c r="D6542" s="544"/>
      <c r="E6542" s="545"/>
      <c r="F6542" s="544"/>
      <c r="G6542" s="544"/>
      <c r="H6542" s="546"/>
      <c r="J6542" s="68"/>
      <c r="K6542" s="56"/>
      <c r="L6542" s="56"/>
      <c r="M6542" s="56"/>
      <c r="N6542" s="56"/>
      <c r="O6542" s="56"/>
    </row>
    <row r="6543" spans="1:15">
      <c r="A6543" s="547" t="s">
        <v>7</v>
      </c>
      <c r="B6543" s="548"/>
      <c r="C6543" s="108" t="s">
        <v>4232</v>
      </c>
      <c r="D6543" s="107" t="s">
        <v>4233</v>
      </c>
      <c r="E6543" s="206" t="s">
        <v>4234</v>
      </c>
      <c r="F6543" s="549" t="s">
        <v>4218</v>
      </c>
      <c r="G6543" s="549"/>
      <c r="H6543" s="119"/>
      <c r="K6543" s="56"/>
      <c r="L6543" s="56"/>
      <c r="M6543" s="56"/>
      <c r="N6543" s="56"/>
      <c r="O6543" s="56"/>
    </row>
    <row r="6544" spans="1:15">
      <c r="A6544" s="550" t="s">
        <v>3928</v>
      </c>
      <c r="B6544" s="551"/>
      <c r="C6544" s="232">
        <v>1</v>
      </c>
      <c r="D6544" s="102">
        <v>5.0000000000000001E-3</v>
      </c>
      <c r="E6544" s="103">
        <f>VLOOKUP(A6544,'Equip, Herr y Transp'!$B$2:$D$218,3,0)</f>
        <v>160000</v>
      </c>
      <c r="F6544" s="552">
        <f>E6544*D6544*C6544</f>
        <v>800</v>
      </c>
      <c r="G6544" s="553"/>
      <c r="H6544" s="117"/>
      <c r="M6544" s="56"/>
    </row>
    <row r="6545" spans="1:10" ht="16.5">
      <c r="A6545" s="554" t="s">
        <v>4216</v>
      </c>
      <c r="B6545" s="555"/>
      <c r="C6545" s="555"/>
      <c r="D6545" s="555"/>
      <c r="E6545" s="555"/>
      <c r="F6545" s="555"/>
      <c r="G6545" s="555"/>
      <c r="H6545" s="105">
        <f>F6544</f>
        <v>800</v>
      </c>
    </row>
    <row r="6546" spans="1:10" ht="16.5">
      <c r="A6546" s="543" t="s">
        <v>4235</v>
      </c>
      <c r="B6546" s="544"/>
      <c r="C6546" s="544"/>
      <c r="D6546" s="544"/>
      <c r="E6546" s="544"/>
      <c r="F6546" s="544"/>
      <c r="G6546" s="544"/>
      <c r="H6546" s="546"/>
    </row>
    <row r="6547" spans="1:10">
      <c r="A6547" s="547" t="s">
        <v>7</v>
      </c>
      <c r="B6547" s="548"/>
      <c r="C6547" s="106" t="s">
        <v>1</v>
      </c>
      <c r="D6547" s="107" t="s">
        <v>4236</v>
      </c>
      <c r="E6547" s="108" t="s">
        <v>4215</v>
      </c>
      <c r="F6547" s="547" t="s">
        <v>5</v>
      </c>
      <c r="G6547" s="556"/>
      <c r="H6547" s="119"/>
    </row>
    <row r="6548" spans="1:10">
      <c r="A6548" s="550" t="s">
        <v>4196</v>
      </c>
      <c r="B6548" s="551"/>
      <c r="C6548" s="101">
        <v>1</v>
      </c>
      <c r="D6548" s="104">
        <f>VLOOKUP(A6548,'Mano Obra'!$B$2:$T$117,19,0)</f>
        <v>166624</v>
      </c>
      <c r="E6548" s="246">
        <f>H6510</f>
        <v>1.04E-2</v>
      </c>
      <c r="F6548" s="538">
        <f>E6548*D6548*C6548</f>
        <v>1732.8896</v>
      </c>
      <c r="G6548" s="557"/>
      <c r="H6548" s="121"/>
      <c r="I6548" s="69"/>
      <c r="J6548" s="136">
        <f>((('Mano Obra'!$M$4/30)*F6548)/D6548)*G6517</f>
        <v>0</v>
      </c>
    </row>
    <row r="6549" spans="1:10">
      <c r="A6549" s="558" t="s">
        <v>4197</v>
      </c>
      <c r="B6549" s="559">
        <f>VLOOKUP(A6549,'Mano Obra'!$B$3:$D$290,2,0)</f>
        <v>2090000.0000000002</v>
      </c>
      <c r="C6549" s="101">
        <v>1</v>
      </c>
      <c r="D6549" s="104">
        <f>VLOOKUP(A6549,'Mano Obra'!$B$2:$T$117,19,0)</f>
        <v>120456</v>
      </c>
      <c r="E6549" s="246">
        <f>H6510</f>
        <v>1.04E-2</v>
      </c>
      <c r="F6549" s="538">
        <f t="shared" ref="F6549:F6550" si="384">E6549*D6549*C6549</f>
        <v>1252.7423999999999</v>
      </c>
      <c r="G6549" s="557"/>
      <c r="H6549" s="121"/>
      <c r="J6549" s="136">
        <f>((('Mano Obra'!$M$5/30)*F6549)/D6549)*G6517</f>
        <v>0</v>
      </c>
    </row>
    <row r="6550" spans="1:10">
      <c r="A6550" s="558" t="s">
        <v>4186</v>
      </c>
      <c r="B6550" s="559">
        <f>VLOOKUP(A6550,'Mano Obra'!$B$3:$D$290,2,0)</f>
        <v>1100000</v>
      </c>
      <c r="C6550" s="101">
        <v>1</v>
      </c>
      <c r="D6550" s="104">
        <f>VLOOKUP(A6550,'Mano Obra'!$B$2:$T$117,19,0)</f>
        <v>72664</v>
      </c>
      <c r="E6550" s="246">
        <f>H6510</f>
        <v>1.04E-2</v>
      </c>
      <c r="F6550" s="538">
        <f t="shared" si="384"/>
        <v>755.7056</v>
      </c>
      <c r="G6550" s="557"/>
      <c r="H6550" s="120"/>
      <c r="J6550" s="136">
        <f>((('Mano Obra'!$M$6/30)*F6550)/D6550)*G6517</f>
        <v>0</v>
      </c>
    </row>
    <row r="6551" spans="1:10" ht="16.5">
      <c r="A6551" s="560" t="s">
        <v>4101</v>
      </c>
      <c r="B6551" s="560"/>
      <c r="C6551" s="560"/>
      <c r="D6551" s="560"/>
      <c r="E6551" s="560"/>
      <c r="F6551" s="560"/>
      <c r="G6551" s="560"/>
      <c r="H6551" s="105">
        <f>SUM(F6548:F6550)</f>
        <v>3741.3375999999998</v>
      </c>
      <c r="J6551" s="136"/>
    </row>
    <row r="6552" spans="1:10">
      <c r="A6552" s="227" t="s">
        <v>4237</v>
      </c>
      <c r="B6552" s="205"/>
      <c r="C6552" s="205"/>
      <c r="D6552" s="202"/>
      <c r="E6552" s="203"/>
      <c r="F6552" s="204"/>
      <c r="G6552" s="203"/>
      <c r="H6552" s="212"/>
    </row>
    <row r="6553" spans="1:10">
      <c r="A6553" s="561" t="s">
        <v>4224</v>
      </c>
      <c r="B6553" s="562"/>
      <c r="C6553" s="562"/>
      <c r="D6553" s="562"/>
      <c r="E6553" s="200"/>
      <c r="F6553" s="201" t="s">
        <v>4238</v>
      </c>
      <c r="G6553" s="200" t="s">
        <v>4239</v>
      </c>
      <c r="H6553" s="213"/>
    </row>
    <row r="6554" spans="1:10">
      <c r="A6554" s="223" t="s">
        <v>4097</v>
      </c>
      <c r="B6554" s="72"/>
      <c r="C6554" s="72"/>
      <c r="D6554" s="73"/>
      <c r="E6554" s="78"/>
      <c r="F6554" s="79">
        <v>0</v>
      </c>
      <c r="G6554" s="80">
        <f>F6554*H6518</f>
        <v>0</v>
      </c>
      <c r="H6554" s="212"/>
    </row>
    <row r="6555" spans="1:10">
      <c r="A6555" s="224" t="s">
        <v>4240</v>
      </c>
      <c r="B6555" s="81"/>
      <c r="C6555" s="81"/>
      <c r="D6555" s="82"/>
      <c r="E6555" s="78"/>
      <c r="F6555" s="79">
        <v>0</v>
      </c>
      <c r="G6555" s="80">
        <f>F6555*H6518</f>
        <v>0</v>
      </c>
      <c r="H6555" s="212"/>
    </row>
    <row r="6556" spans="1:10">
      <c r="A6556" s="224" t="s">
        <v>4</v>
      </c>
      <c r="B6556" s="81"/>
      <c r="C6556" s="81"/>
      <c r="D6556" s="82"/>
      <c r="E6556" s="78"/>
      <c r="F6556" s="79">
        <v>0</v>
      </c>
      <c r="G6556" s="80">
        <f>F6556*H6518</f>
        <v>0</v>
      </c>
      <c r="H6556" s="212"/>
    </row>
    <row r="6557" spans="1:10">
      <c r="A6557" s="225"/>
      <c r="B6557" s="83"/>
      <c r="C6557" s="75"/>
      <c r="D6557" s="84"/>
      <c r="E6557" s="85"/>
      <c r="F6557" s="86"/>
      <c r="G6557" s="87"/>
      <c r="H6557" s="214"/>
    </row>
    <row r="6558" spans="1:10">
      <c r="A6558" s="226"/>
      <c r="B6558" s="83"/>
      <c r="C6558" s="83"/>
      <c r="D6558" s="84"/>
      <c r="E6558" s="88"/>
      <c r="F6558" s="563" t="s">
        <v>4241</v>
      </c>
      <c r="G6558" s="564"/>
      <c r="H6558" s="233">
        <f>H6518+G6554+G6555+G6556</f>
        <v>17968.689600000002</v>
      </c>
    </row>
    <row r="6559" spans="1:10">
      <c r="A6559" s="83"/>
      <c r="B6559" s="83"/>
      <c r="C6559" s="83"/>
      <c r="D6559" s="84"/>
      <c r="E6559" s="388"/>
      <c r="F6559" s="389"/>
      <c r="G6559" s="389"/>
      <c r="H6559" s="390"/>
    </row>
    <row r="6560" spans="1:10" ht="16.5">
      <c r="A6560" s="90"/>
      <c r="B6560" s="90"/>
      <c r="C6560" s="90"/>
      <c r="D6560" s="90"/>
      <c r="E6560" s="90"/>
      <c r="F6560" s="90"/>
      <c r="G6560" s="90"/>
      <c r="H6560" s="381"/>
    </row>
    <row r="6561" spans="1:14">
      <c r="A6561" s="579" t="s">
        <v>4225</v>
      </c>
      <c r="B6561" s="580"/>
      <c r="C6561" s="580"/>
      <c r="D6561" s="580"/>
      <c r="E6561" s="580"/>
      <c r="F6561" s="580"/>
      <c r="G6561" s="580"/>
      <c r="H6561" s="581"/>
    </row>
    <row r="6562" spans="1:14" ht="16.5">
      <c r="A6562" s="91"/>
      <c r="B6562" s="92"/>
      <c r="C6562" s="92"/>
      <c r="D6562" s="92"/>
      <c r="E6562" s="92"/>
      <c r="F6562" s="93"/>
      <c r="G6562" s="94"/>
      <c r="H6562" s="380">
        <f>ROUND((5/60)/8,4)</f>
        <v>1.04E-2</v>
      </c>
      <c r="I6562" s="115"/>
    </row>
    <row r="6563" spans="1:14">
      <c r="A6563" s="582" t="s">
        <v>4220</v>
      </c>
      <c r="B6563" s="584" t="str">
        <f>COSTOS!$C$14</f>
        <v>MODERNIZACION A TECNOLOGIA LED</v>
      </c>
      <c r="C6563" s="584"/>
      <c r="D6563" s="584"/>
      <c r="E6563" s="584"/>
      <c r="F6563" s="584"/>
      <c r="G6563" s="584"/>
      <c r="H6563" s="585" t="s">
        <v>4221</v>
      </c>
    </row>
    <row r="6564" spans="1:14">
      <c r="A6564" s="583"/>
      <c r="B6564" s="584"/>
      <c r="C6564" s="584"/>
      <c r="D6564" s="584"/>
      <c r="E6564" s="584"/>
      <c r="F6564" s="584"/>
      <c r="G6564" s="584"/>
      <c r="H6564" s="585"/>
    </row>
    <row r="6565" spans="1:14">
      <c r="A6565" s="583"/>
      <c r="B6565" s="584"/>
      <c r="C6565" s="584"/>
      <c r="D6565" s="584"/>
      <c r="E6565" s="584"/>
      <c r="F6565" s="584"/>
      <c r="G6565" s="584"/>
      <c r="H6565" s="585"/>
    </row>
    <row r="6566" spans="1:14" ht="15" customHeight="1">
      <c r="A6566" s="583"/>
      <c r="B6566" s="584"/>
      <c r="C6566" s="584"/>
      <c r="D6566" s="584"/>
      <c r="E6566" s="584"/>
      <c r="F6566" s="584"/>
      <c r="G6566" s="584"/>
      <c r="H6566" s="216">
        <f ca="1">TODAY()</f>
        <v>44889</v>
      </c>
      <c r="K6566" t="s">
        <v>4391</v>
      </c>
      <c r="L6566" t="s">
        <v>4392</v>
      </c>
      <c r="M6566" t="s">
        <v>4393</v>
      </c>
      <c r="N6566" t="s">
        <v>4394</v>
      </c>
    </row>
    <row r="6567" spans="1:14" ht="60.75" customHeight="1">
      <c r="A6567" s="228" t="s">
        <v>4222</v>
      </c>
      <c r="B6567" s="565" t="str">
        <f>COSTOS!$D$16</f>
        <v>Luminarias</v>
      </c>
      <c r="C6567" s="565"/>
      <c r="D6567" s="565"/>
      <c r="E6567" s="565"/>
      <c r="F6567" s="565"/>
      <c r="G6567" s="70" t="s">
        <v>4223</v>
      </c>
      <c r="H6567" s="387">
        <v>3.14</v>
      </c>
      <c r="K6567" s="62">
        <f>H6593</f>
        <v>41412</v>
      </c>
      <c r="L6567" s="62">
        <f>H6603</f>
        <v>3741.3375999999998</v>
      </c>
      <c r="M6567" s="62">
        <f>H6576</f>
        <v>424.346</v>
      </c>
      <c r="N6567" s="62">
        <f>H6597</f>
        <v>800</v>
      </c>
    </row>
    <row r="6568" spans="1:14" ht="43.15" customHeight="1">
      <c r="A6568" s="229" t="s">
        <v>4224</v>
      </c>
      <c r="B6568" s="566" t="str">
        <f>VLOOKUP(H6567,COSTOS!C:M,2,0)</f>
        <v>Red aérea en cable encauchetado 3x6 x 500m</v>
      </c>
      <c r="C6568" s="567"/>
      <c r="D6568" s="567"/>
      <c r="E6568" s="568"/>
      <c r="F6568" s="71" t="s">
        <v>0</v>
      </c>
      <c r="G6568" s="356" t="str">
        <f>VLOOKUP(H6567,COSTOS!C:M,8,0)</f>
        <v>Und</v>
      </c>
      <c r="H6568" s="276"/>
      <c r="I6568" s="306"/>
      <c r="J6568" s="308"/>
      <c r="K6568" s="308"/>
      <c r="L6568" s="308"/>
    </row>
    <row r="6569" spans="1:14">
      <c r="A6569" s="230"/>
      <c r="B6569" s="112"/>
      <c r="C6569" s="112"/>
      <c r="D6569" s="112"/>
      <c r="E6569" s="113"/>
      <c r="F6569" s="114" t="s">
        <v>1</v>
      </c>
      <c r="G6569" s="356">
        <f>VLOOKUP(H6567,COSTOS!C:M,9,0)</f>
        <v>0</v>
      </c>
      <c r="H6569" s="357"/>
      <c r="I6569" s="307"/>
    </row>
    <row r="6570" spans="1:14" ht="16.5">
      <c r="A6570" s="231" t="s">
        <v>4226</v>
      </c>
      <c r="B6570" s="75"/>
      <c r="C6570" s="75"/>
      <c r="D6570" s="76"/>
      <c r="E6570" s="209"/>
      <c r="F6570" s="210"/>
      <c r="G6570" s="211" t="s">
        <v>4227</v>
      </c>
      <c r="H6570" s="217">
        <f>H6576+H6593+H6597+H6603</f>
        <v>46377.683599999997</v>
      </c>
    </row>
    <row r="6571" spans="1:14" ht="39">
      <c r="A6571" s="569" t="s">
        <v>4224</v>
      </c>
      <c r="B6571" s="569"/>
      <c r="C6571" s="569"/>
      <c r="D6571" s="77" t="s">
        <v>0</v>
      </c>
      <c r="E6571" s="207" t="s">
        <v>4228</v>
      </c>
      <c r="F6571" s="208" t="s">
        <v>4215</v>
      </c>
      <c r="G6571" s="74" t="s">
        <v>2</v>
      </c>
      <c r="H6571" s="218" t="s">
        <v>4229</v>
      </c>
      <c r="K6571" s="309"/>
    </row>
    <row r="6572" spans="1:14">
      <c r="A6572" s="536" t="s">
        <v>3946</v>
      </c>
      <c r="B6572" s="570" t="str">
        <f>VLOOKUP(A6572,'Equip, Herr y Transp'!$B$2:$D$739,2,0)</f>
        <v>EQU</v>
      </c>
      <c r="C6572" s="570"/>
      <c r="D6572" s="95" t="str">
        <f>VLOOKUP(A6572,'Equip, Herr y Transp'!$B$2:$D$218,2,0)</f>
        <v>EQU</v>
      </c>
      <c r="E6572" s="95">
        <f>VLOOKUP(A6572,'Equip, Herr y Transp'!$B$2:$D$218,3,0)</f>
        <v>14130</v>
      </c>
      <c r="F6572" s="96">
        <f>H6562</f>
        <v>1.04E-2</v>
      </c>
      <c r="G6572" s="122">
        <f>F6572*E6572</f>
        <v>146.952</v>
      </c>
      <c r="H6572" s="118"/>
    </row>
    <row r="6573" spans="1:14">
      <c r="A6573" s="536" t="s">
        <v>3904</v>
      </c>
      <c r="B6573" s="570" t="str">
        <f>VLOOKUP(A6573,'Equip, Herr y Transp'!$B$2:$D$739,2,0)</f>
        <v>EQU</v>
      </c>
      <c r="C6573" s="570"/>
      <c r="D6573" s="95" t="str">
        <f>VLOOKUP(A6573,'Equip, Herr y Transp'!$B$2:$D$218,2,0)</f>
        <v>EQU</v>
      </c>
      <c r="E6573" s="95">
        <f>VLOOKUP(A6573,'Equip, Herr y Transp'!$B$2:$D$218,3,0)</f>
        <v>26672.5</v>
      </c>
      <c r="F6573" s="96">
        <f>H6562</f>
        <v>1.04E-2</v>
      </c>
      <c r="G6573" s="122">
        <f>F6573*E6573</f>
        <v>277.39400000000001</v>
      </c>
      <c r="H6573" s="117"/>
    </row>
    <row r="6574" spans="1:14">
      <c r="A6574" s="536" t="s">
        <v>8</v>
      </c>
      <c r="B6574" s="570">
        <f>VLOOKUP(A6574,'Equip, Herr y Transp'!$B$2:$D$739,2,0)</f>
        <v>0</v>
      </c>
      <c r="C6574" s="570"/>
      <c r="D6574" s="95">
        <f>VLOOKUP(A6574,'Equip, Herr y Transp'!$B$2:$D$218,2,0)</f>
        <v>0</v>
      </c>
      <c r="E6574" s="95">
        <f>VLOOKUP(A6574,'Equip, Herr y Transp'!$B$2:$D$218,3,0)</f>
        <v>0</v>
      </c>
      <c r="F6574" s="96">
        <f>H6562</f>
        <v>1.04E-2</v>
      </c>
      <c r="G6574" s="122">
        <f>F6574*E6574</f>
        <v>0</v>
      </c>
      <c r="H6574" s="117"/>
    </row>
    <row r="6575" spans="1:14">
      <c r="A6575" s="536" t="s">
        <v>8</v>
      </c>
      <c r="B6575" s="570">
        <f>VLOOKUP(A6575,'Equip, Herr y Transp'!$B$2:$D$739,2,0)</f>
        <v>0</v>
      </c>
      <c r="C6575" s="570"/>
      <c r="D6575" s="95">
        <f>VLOOKUP(A6575,'Equip, Herr y Transp'!$B$2:$D$218,2,0)</f>
        <v>0</v>
      </c>
      <c r="E6575" s="95">
        <f>VLOOKUP(A6575,'Equip, Herr y Transp'!$B$2:$D$218,3,0)</f>
        <v>0</v>
      </c>
      <c r="F6575" s="96">
        <f>H6562</f>
        <v>1.04E-2</v>
      </c>
      <c r="G6575" s="122">
        <f>F6575*E6575</f>
        <v>0</v>
      </c>
      <c r="H6575" s="117"/>
    </row>
    <row r="6576" spans="1:14" ht="16.5">
      <c r="A6576" s="540" t="s">
        <v>4100</v>
      </c>
      <c r="B6576" s="541"/>
      <c r="C6576" s="541"/>
      <c r="D6576" s="541"/>
      <c r="E6576" s="541"/>
      <c r="F6576" s="541"/>
      <c r="G6576" s="541"/>
      <c r="H6576" s="97">
        <f>SUM(G6572:G6575)</f>
        <v>424.346</v>
      </c>
    </row>
    <row r="6577" spans="1:15" ht="16.5">
      <c r="A6577" s="571" t="s">
        <v>4230</v>
      </c>
      <c r="B6577" s="572"/>
      <c r="C6577" s="572"/>
      <c r="D6577" s="572"/>
      <c r="E6577" s="572"/>
      <c r="F6577" s="572"/>
      <c r="G6577" s="572"/>
      <c r="H6577" s="573"/>
      <c r="K6577" s="56"/>
      <c r="L6577" s="56"/>
      <c r="M6577" s="56"/>
      <c r="N6577" s="56"/>
      <c r="O6577" s="56"/>
    </row>
    <row r="6578" spans="1:15" ht="30" customHeight="1">
      <c r="A6578" s="574" t="s">
        <v>7</v>
      </c>
      <c r="B6578" s="575"/>
      <c r="C6578" s="109" t="s">
        <v>0</v>
      </c>
      <c r="D6578" s="110" t="s">
        <v>4098</v>
      </c>
      <c r="E6578" s="111" t="s">
        <v>1</v>
      </c>
      <c r="F6578" s="576" t="s">
        <v>4218</v>
      </c>
      <c r="G6578" s="576"/>
      <c r="H6578" s="215"/>
      <c r="K6578" s="56"/>
      <c r="L6578" s="56"/>
      <c r="M6578" s="56"/>
      <c r="N6578" s="56"/>
      <c r="O6578" s="56"/>
    </row>
    <row r="6579" spans="1:15">
      <c r="A6579" s="577" t="s">
        <v>4738</v>
      </c>
      <c r="B6579" s="578"/>
      <c r="C6579" s="98" t="str">
        <f>VLOOKUP(A6579,'Materiales '!$C$2:$F$1302,3,0)</f>
        <v>Ml</v>
      </c>
      <c r="D6579" s="99">
        <f>VLOOKUP(A6579,'Materiales '!$C$2:$F$1302,4,0)</f>
        <v>41412</v>
      </c>
      <c r="E6579" s="100">
        <v>1</v>
      </c>
      <c r="F6579" s="538">
        <f>E6579*D6579</f>
        <v>41412</v>
      </c>
      <c r="G6579" s="539"/>
      <c r="H6579" s="121"/>
      <c r="I6579">
        <f>E6579*G6569</f>
        <v>0</v>
      </c>
      <c r="J6579" s="67"/>
      <c r="K6579" s="56"/>
      <c r="L6579" s="56"/>
      <c r="M6579" s="56"/>
      <c r="N6579" s="56"/>
      <c r="O6579" s="56"/>
    </row>
    <row r="6580" spans="1:15">
      <c r="A6580" s="577" t="s">
        <v>8</v>
      </c>
      <c r="B6580" s="578"/>
      <c r="C6580" s="98" t="str">
        <f>VLOOKUP(A6580,'Materiales '!$C$2:$F$1302,3,0)</f>
        <v>-</v>
      </c>
      <c r="D6580" s="99">
        <f>VLOOKUP(A6580,'Materiales '!$C$2:$F$1302,4,0)</f>
        <v>0</v>
      </c>
      <c r="E6580" s="100"/>
      <c r="F6580" s="538">
        <f t="shared" ref="F6580:F6586" si="385">E6580*D6580</f>
        <v>0</v>
      </c>
      <c r="G6580" s="539"/>
      <c r="H6580" s="121"/>
      <c r="I6580">
        <f>E6580*G6569</f>
        <v>0</v>
      </c>
      <c r="J6580" s="67"/>
      <c r="K6580" s="56"/>
      <c r="L6580" s="56"/>
      <c r="M6580" s="56"/>
      <c r="N6580" s="56"/>
      <c r="O6580" s="56"/>
    </row>
    <row r="6581" spans="1:15">
      <c r="A6581" s="536" t="s">
        <v>8</v>
      </c>
      <c r="B6581" s="537" t="str">
        <f>VLOOKUP(A6581,'Materiales '!$C$2:$F$1302,3,0)</f>
        <v>-</v>
      </c>
      <c r="C6581" s="98" t="str">
        <f>VLOOKUP(A6581,'Materiales '!$C$2:$F$1302,3,0)</f>
        <v>-</v>
      </c>
      <c r="D6581" s="99">
        <f>VLOOKUP(A6581,'Materiales '!$C$2:$F$1302,4,0)</f>
        <v>0</v>
      </c>
      <c r="E6581" s="100"/>
      <c r="F6581" s="538">
        <f t="shared" si="385"/>
        <v>0</v>
      </c>
      <c r="G6581" s="539"/>
      <c r="H6581" s="121"/>
      <c r="I6581">
        <f>E6581*G6569</f>
        <v>0</v>
      </c>
      <c r="J6581" s="68"/>
      <c r="K6581" s="56"/>
      <c r="L6581" s="56"/>
      <c r="M6581" s="56"/>
      <c r="N6581" s="56"/>
      <c r="O6581" s="56"/>
    </row>
    <row r="6582" spans="1:15">
      <c r="A6582" s="536" t="s">
        <v>8</v>
      </c>
      <c r="B6582" s="537" t="str">
        <f>VLOOKUP(A6582,'Materiales '!$C$2:$F$1302,3,0)</f>
        <v>-</v>
      </c>
      <c r="C6582" s="98" t="str">
        <f>VLOOKUP(A6582,'Materiales '!$C$2:$F$1302,3,0)</f>
        <v>-</v>
      </c>
      <c r="D6582" s="99">
        <f>VLOOKUP(A6582,'Materiales '!$C$2:$F$1302,4,0)</f>
        <v>0</v>
      </c>
      <c r="E6582" s="100"/>
      <c r="F6582" s="538">
        <f t="shared" si="385"/>
        <v>0</v>
      </c>
      <c r="G6582" s="539"/>
      <c r="H6582" s="121"/>
      <c r="I6582">
        <f>E6582*G6569</f>
        <v>0</v>
      </c>
      <c r="J6582" s="68"/>
      <c r="K6582" s="56"/>
      <c r="L6582" s="56"/>
      <c r="M6582" s="56"/>
      <c r="N6582" s="56"/>
      <c r="O6582" s="56"/>
    </row>
    <row r="6583" spans="1:15">
      <c r="A6583" s="536" t="s">
        <v>8</v>
      </c>
      <c r="B6583" s="537" t="str">
        <f>VLOOKUP(A6583,'Materiales '!$C$2:$F$1302,3,0)</f>
        <v>-</v>
      </c>
      <c r="C6583" s="98" t="str">
        <f>VLOOKUP(A6583,'Materiales '!$C$2:$F$1302,3,0)</f>
        <v>-</v>
      </c>
      <c r="D6583" s="99">
        <f>VLOOKUP(A6583,'Materiales '!$C$2:$F$1302,4,0)</f>
        <v>0</v>
      </c>
      <c r="E6583" s="100"/>
      <c r="F6583" s="538">
        <f t="shared" si="385"/>
        <v>0</v>
      </c>
      <c r="G6583" s="539"/>
      <c r="H6583" s="121"/>
      <c r="I6583">
        <f>E6583*G6569</f>
        <v>0</v>
      </c>
      <c r="J6583" s="68"/>
      <c r="K6583" s="56"/>
      <c r="L6583" s="56"/>
      <c r="M6583" s="56"/>
      <c r="N6583" s="56"/>
      <c r="O6583" s="56"/>
    </row>
    <row r="6584" spans="1:15">
      <c r="A6584" s="536" t="s">
        <v>8</v>
      </c>
      <c r="B6584" s="537" t="str">
        <f>VLOOKUP(A6584,'Materiales '!$C$2:$F$1302,3,0)</f>
        <v>-</v>
      </c>
      <c r="C6584" s="98" t="str">
        <f>VLOOKUP(A6584,'Materiales '!$C$2:$F$1302,3,0)</f>
        <v>-</v>
      </c>
      <c r="D6584" s="99">
        <f>VLOOKUP(A6584,'Materiales '!$C$2:$F$1302,4,0)</f>
        <v>0</v>
      </c>
      <c r="E6584" s="100"/>
      <c r="F6584" s="538">
        <f t="shared" si="385"/>
        <v>0</v>
      </c>
      <c r="G6584" s="539"/>
      <c r="H6584" s="121"/>
      <c r="I6584">
        <f>E6584*G6569</f>
        <v>0</v>
      </c>
      <c r="J6584" s="68"/>
      <c r="K6584" s="56"/>
      <c r="L6584" s="56"/>
      <c r="M6584" s="56"/>
      <c r="N6584" s="56"/>
      <c r="O6584" s="56"/>
    </row>
    <row r="6585" spans="1:15">
      <c r="A6585" s="536" t="s">
        <v>8</v>
      </c>
      <c r="B6585" s="537" t="str">
        <f>VLOOKUP(A6585,'Materiales '!$C$2:$F$1302,3,0)</f>
        <v>-</v>
      </c>
      <c r="C6585" s="98" t="str">
        <f>VLOOKUP(A6585,'Materiales '!$C$2:$F$1302,3,0)</f>
        <v>-</v>
      </c>
      <c r="D6585" s="99">
        <f>VLOOKUP(A6585,'Materiales '!$C$2:$F$1302,4,0)</f>
        <v>0</v>
      </c>
      <c r="E6585" s="100"/>
      <c r="F6585" s="538">
        <f t="shared" si="385"/>
        <v>0</v>
      </c>
      <c r="G6585" s="539"/>
      <c r="H6585" s="121"/>
      <c r="I6585">
        <f>E6585*G6569</f>
        <v>0</v>
      </c>
      <c r="J6585" s="68"/>
      <c r="K6585" s="56"/>
      <c r="L6585" s="56"/>
      <c r="M6585" s="56"/>
      <c r="N6585" s="56"/>
      <c r="O6585" s="56"/>
    </row>
    <row r="6586" spans="1:15" ht="21.75" customHeight="1">
      <c r="A6586" s="536" t="s">
        <v>8</v>
      </c>
      <c r="B6586" s="537" t="str">
        <f>VLOOKUP(A6586,'Materiales '!$C$2:$F$1302,3,0)</f>
        <v>-</v>
      </c>
      <c r="C6586" s="98" t="str">
        <f>VLOOKUP(A6586,'Materiales '!$C$2:$F$1302,3,0)</f>
        <v>-</v>
      </c>
      <c r="D6586" s="99">
        <f>VLOOKUP(A6586,'Materiales '!$C$2:$F$1302,4,0)</f>
        <v>0</v>
      </c>
      <c r="E6586" s="100"/>
      <c r="F6586" s="538">
        <f t="shared" si="385"/>
        <v>0</v>
      </c>
      <c r="G6586" s="539"/>
      <c r="H6586" s="121"/>
      <c r="I6586">
        <f>E6586*G6569</f>
        <v>0</v>
      </c>
      <c r="J6586" s="68"/>
      <c r="K6586" s="56"/>
      <c r="L6586" s="56"/>
      <c r="M6586" s="56"/>
      <c r="N6586" s="56"/>
      <c r="O6586" s="56"/>
    </row>
    <row r="6587" spans="1:15">
      <c r="A6587" s="536" t="s">
        <v>8</v>
      </c>
      <c r="B6587" s="537" t="str">
        <f>VLOOKUP(A6587,'Materiales '!$C$2:$F$1302,3,0)</f>
        <v>-</v>
      </c>
      <c r="C6587" s="98" t="str">
        <f>VLOOKUP(A6587,'Materiales '!$C$2:$F$1302,3,0)</f>
        <v>-</v>
      </c>
      <c r="D6587" s="99">
        <f>VLOOKUP(A6587,'Materiales '!$C$2:$F$1302,4,0)</f>
        <v>0</v>
      </c>
      <c r="E6587" s="100"/>
      <c r="F6587" s="538">
        <f>E6587*D6587</f>
        <v>0</v>
      </c>
      <c r="G6587" s="539"/>
      <c r="H6587" s="120"/>
      <c r="I6587">
        <f>E6587*G6569</f>
        <v>0</v>
      </c>
      <c r="J6587" s="68"/>
      <c r="K6587" s="56"/>
      <c r="L6587" s="56"/>
      <c r="M6587" s="56"/>
      <c r="N6587" s="56"/>
      <c r="O6587" s="56"/>
    </row>
    <row r="6588" spans="1:15">
      <c r="A6588" s="536" t="s">
        <v>8</v>
      </c>
      <c r="B6588" s="537" t="str">
        <f>VLOOKUP(A6588,'Materiales '!$C$2:$F$1302,3,0)</f>
        <v>-</v>
      </c>
      <c r="C6588" s="98" t="str">
        <f>VLOOKUP(A6588,'Materiales '!$C$2:$F$1302,3,0)</f>
        <v>-</v>
      </c>
      <c r="D6588" s="99">
        <f>VLOOKUP(A6588,'Materiales '!$C$2:$F$1302,4,0)</f>
        <v>0</v>
      </c>
      <c r="E6588" s="100"/>
      <c r="F6588" s="538">
        <f t="shared" ref="F6588:F6591" si="386">E6588*D6588</f>
        <v>0</v>
      </c>
      <c r="G6588" s="539"/>
      <c r="H6588" s="121"/>
      <c r="I6588">
        <f>E6588*G6569</f>
        <v>0</v>
      </c>
      <c r="J6588" s="68"/>
      <c r="K6588" s="56"/>
      <c r="L6588" s="56"/>
      <c r="M6588" s="56"/>
      <c r="N6588" s="56"/>
      <c r="O6588" s="56"/>
    </row>
    <row r="6589" spans="1:15">
      <c r="A6589" s="536" t="s">
        <v>8</v>
      </c>
      <c r="B6589" s="537" t="str">
        <f>VLOOKUP(A6589,'Materiales '!$C$2:$F$1302,3,0)</f>
        <v>-</v>
      </c>
      <c r="C6589" s="98" t="str">
        <f>VLOOKUP(A6589,'Materiales '!$C$2:$F$1302,3,0)</f>
        <v>-</v>
      </c>
      <c r="D6589" s="99">
        <f>VLOOKUP(A6589,'Materiales '!$C$2:$F$1302,4,0)</f>
        <v>0</v>
      </c>
      <c r="E6589" s="100"/>
      <c r="F6589" s="538">
        <f t="shared" si="386"/>
        <v>0</v>
      </c>
      <c r="G6589" s="539"/>
      <c r="H6589" s="121"/>
      <c r="I6589">
        <f>E6589*G6569</f>
        <v>0</v>
      </c>
      <c r="J6589" s="68"/>
      <c r="K6589" s="56"/>
      <c r="L6589" s="56"/>
      <c r="M6589" s="56"/>
      <c r="N6589" s="56"/>
      <c r="O6589" s="56"/>
    </row>
    <row r="6590" spans="1:15">
      <c r="A6590" s="536" t="s">
        <v>8</v>
      </c>
      <c r="B6590" s="537" t="str">
        <f>VLOOKUP(A6590,'Materiales '!$C$2:$F$1302,3,0)</f>
        <v>-</v>
      </c>
      <c r="C6590" s="98" t="str">
        <f>VLOOKUP(A6590,'Materiales '!$C$2:$F$1302,3,0)</f>
        <v>-</v>
      </c>
      <c r="D6590" s="99">
        <f>VLOOKUP(A6590,'Materiales '!$C$2:$F$1302,4,0)</f>
        <v>0</v>
      </c>
      <c r="E6590" s="100"/>
      <c r="F6590" s="538">
        <f t="shared" si="386"/>
        <v>0</v>
      </c>
      <c r="G6590" s="539"/>
      <c r="H6590" s="121"/>
      <c r="I6590">
        <f>E6590*G6569</f>
        <v>0</v>
      </c>
      <c r="J6590" s="68"/>
      <c r="K6590" s="56"/>
      <c r="L6590" s="56"/>
      <c r="M6590" s="56"/>
      <c r="N6590" s="56"/>
      <c r="O6590" s="56"/>
    </row>
    <row r="6591" spans="1:15">
      <c r="A6591" s="536" t="s">
        <v>8</v>
      </c>
      <c r="B6591" s="537" t="str">
        <f>VLOOKUP(A6591,'Materiales '!$C$2:$F$1302,3,0)</f>
        <v>-</v>
      </c>
      <c r="C6591" s="98" t="str">
        <f>VLOOKUP(A6591,'Materiales '!$C$2:$F$1302,3,0)</f>
        <v>-</v>
      </c>
      <c r="D6591" s="99">
        <f>VLOOKUP(A6591,'Materiales '!$C$2:$F$1302,4,0)</f>
        <v>0</v>
      </c>
      <c r="E6591" s="100"/>
      <c r="F6591" s="538">
        <f t="shared" si="386"/>
        <v>0</v>
      </c>
      <c r="G6591" s="539"/>
      <c r="H6591" s="121"/>
      <c r="I6591">
        <f>E6591*G6569</f>
        <v>0</v>
      </c>
      <c r="J6591" s="68"/>
      <c r="K6591" s="56"/>
      <c r="L6591" s="56"/>
      <c r="M6591" s="56"/>
      <c r="N6591" s="56"/>
      <c r="O6591" s="56"/>
    </row>
    <row r="6592" spans="1:15">
      <c r="A6592" s="536" t="s">
        <v>8</v>
      </c>
      <c r="B6592" s="537" t="str">
        <f>VLOOKUP(A6592,'Materiales '!$C$2:$F$1302,3,0)</f>
        <v>-</v>
      </c>
      <c r="C6592" s="98" t="str">
        <f>VLOOKUP(A6592,'Materiales '!$C$2:$F$1302,3,0)</f>
        <v>-</v>
      </c>
      <c r="D6592" s="99">
        <f>VLOOKUP(A6592,'Materiales '!$C$2:$F$1302,4,0)</f>
        <v>0</v>
      </c>
      <c r="E6592" s="100"/>
      <c r="F6592" s="538">
        <f>E6592*D6592</f>
        <v>0</v>
      </c>
      <c r="G6592" s="539"/>
      <c r="H6592" s="120"/>
      <c r="I6592">
        <f>E6592*G6569</f>
        <v>0</v>
      </c>
      <c r="J6592" s="68"/>
      <c r="K6592" s="56"/>
      <c r="L6592" s="56"/>
      <c r="M6592" s="56"/>
      <c r="N6592" s="56"/>
      <c r="O6592" s="56"/>
    </row>
    <row r="6593" spans="1:15" ht="16.5">
      <c r="A6593" s="540" t="s">
        <v>4099</v>
      </c>
      <c r="B6593" s="541"/>
      <c r="C6593" s="541"/>
      <c r="D6593" s="541"/>
      <c r="E6593" s="541"/>
      <c r="F6593" s="541"/>
      <c r="G6593" s="542"/>
      <c r="H6593" s="116">
        <f>SUM(F6579:F6592)</f>
        <v>41412</v>
      </c>
      <c r="J6593" s="68"/>
      <c r="K6593" s="56"/>
      <c r="L6593" s="56"/>
      <c r="M6593" s="56"/>
      <c r="N6593" s="56"/>
      <c r="O6593" s="56"/>
    </row>
    <row r="6594" spans="1:15" ht="16.5">
      <c r="A6594" s="543" t="s">
        <v>4231</v>
      </c>
      <c r="B6594" s="544"/>
      <c r="C6594" s="544"/>
      <c r="D6594" s="544"/>
      <c r="E6594" s="545"/>
      <c r="F6594" s="544"/>
      <c r="G6594" s="544"/>
      <c r="H6594" s="546"/>
      <c r="J6594" s="68"/>
      <c r="K6594" s="56"/>
      <c r="L6594" s="56"/>
      <c r="M6594" s="56"/>
      <c r="N6594" s="56"/>
      <c r="O6594" s="56"/>
    </row>
    <row r="6595" spans="1:15">
      <c r="A6595" s="547" t="s">
        <v>7</v>
      </c>
      <c r="B6595" s="548"/>
      <c r="C6595" s="108" t="s">
        <v>4232</v>
      </c>
      <c r="D6595" s="107" t="s">
        <v>4233</v>
      </c>
      <c r="E6595" s="206" t="s">
        <v>4234</v>
      </c>
      <c r="F6595" s="549" t="s">
        <v>4218</v>
      </c>
      <c r="G6595" s="549"/>
      <c r="H6595" s="119"/>
      <c r="K6595" s="56"/>
      <c r="L6595" s="56"/>
      <c r="M6595" s="56"/>
      <c r="N6595" s="56"/>
      <c r="O6595" s="56"/>
    </row>
    <row r="6596" spans="1:15">
      <c r="A6596" s="550" t="s">
        <v>3928</v>
      </c>
      <c r="B6596" s="551"/>
      <c r="C6596" s="232">
        <v>1</v>
      </c>
      <c r="D6596" s="102">
        <v>5.0000000000000001E-3</v>
      </c>
      <c r="E6596" s="103">
        <f>VLOOKUP(A6596,'Equip, Herr y Transp'!$B$2:$D$218,3,0)</f>
        <v>160000</v>
      </c>
      <c r="F6596" s="552">
        <f>E6596*D6596*C6596</f>
        <v>800</v>
      </c>
      <c r="G6596" s="553"/>
      <c r="H6596" s="117"/>
      <c r="M6596" s="56"/>
    </row>
    <row r="6597" spans="1:15" ht="16.5">
      <c r="A6597" s="554" t="s">
        <v>4216</v>
      </c>
      <c r="B6597" s="555"/>
      <c r="C6597" s="555"/>
      <c r="D6597" s="555"/>
      <c r="E6597" s="555"/>
      <c r="F6597" s="555"/>
      <c r="G6597" s="555"/>
      <c r="H6597" s="105">
        <f>F6596</f>
        <v>800</v>
      </c>
    </row>
    <row r="6598" spans="1:15" ht="16.5">
      <c r="A6598" s="543" t="s">
        <v>4235</v>
      </c>
      <c r="B6598" s="544"/>
      <c r="C6598" s="544"/>
      <c r="D6598" s="544"/>
      <c r="E6598" s="544"/>
      <c r="F6598" s="544"/>
      <c r="G6598" s="544"/>
      <c r="H6598" s="546"/>
    </row>
    <row r="6599" spans="1:15">
      <c r="A6599" s="547" t="s">
        <v>7</v>
      </c>
      <c r="B6599" s="548"/>
      <c r="C6599" s="106" t="s">
        <v>1</v>
      </c>
      <c r="D6599" s="107" t="s">
        <v>4236</v>
      </c>
      <c r="E6599" s="108" t="s">
        <v>4215</v>
      </c>
      <c r="F6599" s="547" t="s">
        <v>5</v>
      </c>
      <c r="G6599" s="556"/>
      <c r="H6599" s="119"/>
    </row>
    <row r="6600" spans="1:15">
      <c r="A6600" s="550" t="s">
        <v>4196</v>
      </c>
      <c r="B6600" s="551"/>
      <c r="C6600" s="101">
        <v>1</v>
      </c>
      <c r="D6600" s="104">
        <f>VLOOKUP(A6600,'Mano Obra'!$B$2:$T$117,19,0)</f>
        <v>166624</v>
      </c>
      <c r="E6600" s="246">
        <f>H6562</f>
        <v>1.04E-2</v>
      </c>
      <c r="F6600" s="538">
        <f>E6600*D6600*C6600</f>
        <v>1732.8896</v>
      </c>
      <c r="G6600" s="557"/>
      <c r="H6600" s="121"/>
      <c r="I6600" s="69"/>
      <c r="J6600" s="136">
        <f>((('Mano Obra'!$M$4/30)*F6600)/D6600)*G6569</f>
        <v>0</v>
      </c>
    </row>
    <row r="6601" spans="1:15">
      <c r="A6601" s="558" t="s">
        <v>4197</v>
      </c>
      <c r="B6601" s="559">
        <f>VLOOKUP(A6601,'Mano Obra'!$B$3:$D$290,2,0)</f>
        <v>2090000.0000000002</v>
      </c>
      <c r="C6601" s="101">
        <v>1</v>
      </c>
      <c r="D6601" s="104">
        <f>VLOOKUP(A6601,'Mano Obra'!$B$2:$T$117,19,0)</f>
        <v>120456</v>
      </c>
      <c r="E6601" s="246">
        <f>H6562</f>
        <v>1.04E-2</v>
      </c>
      <c r="F6601" s="538">
        <f t="shared" ref="F6601:F6602" si="387">E6601*D6601*C6601</f>
        <v>1252.7423999999999</v>
      </c>
      <c r="G6601" s="557"/>
      <c r="H6601" s="121"/>
      <c r="J6601" s="136">
        <f>((('Mano Obra'!$M$5/30)*F6601)/D6601)*G6569</f>
        <v>0</v>
      </c>
    </row>
    <row r="6602" spans="1:15">
      <c r="A6602" s="558" t="s">
        <v>4186</v>
      </c>
      <c r="B6602" s="559">
        <f>VLOOKUP(A6602,'Mano Obra'!$B$3:$D$290,2,0)</f>
        <v>1100000</v>
      </c>
      <c r="C6602" s="101">
        <v>1</v>
      </c>
      <c r="D6602" s="104">
        <f>VLOOKUP(A6602,'Mano Obra'!$B$2:$T$117,19,0)</f>
        <v>72664</v>
      </c>
      <c r="E6602" s="246">
        <f>H6562</f>
        <v>1.04E-2</v>
      </c>
      <c r="F6602" s="538">
        <f t="shared" si="387"/>
        <v>755.7056</v>
      </c>
      <c r="G6602" s="557"/>
      <c r="H6602" s="120"/>
      <c r="J6602" s="136">
        <f>((('Mano Obra'!$M$6/30)*F6602)/D6602)*G6569</f>
        <v>0</v>
      </c>
    </row>
    <row r="6603" spans="1:15" ht="16.5">
      <c r="A6603" s="560" t="s">
        <v>4101</v>
      </c>
      <c r="B6603" s="560"/>
      <c r="C6603" s="560"/>
      <c r="D6603" s="560"/>
      <c r="E6603" s="560"/>
      <c r="F6603" s="560"/>
      <c r="G6603" s="560"/>
      <c r="H6603" s="105">
        <f>SUM(F6600:F6602)</f>
        <v>3741.3375999999998</v>
      </c>
      <c r="J6603" s="136"/>
    </row>
    <row r="6604" spans="1:15">
      <c r="A6604" s="227" t="s">
        <v>4237</v>
      </c>
      <c r="B6604" s="205"/>
      <c r="C6604" s="205"/>
      <c r="D6604" s="202"/>
      <c r="E6604" s="203"/>
      <c r="F6604" s="204"/>
      <c r="G6604" s="203"/>
      <c r="H6604" s="212"/>
    </row>
    <row r="6605" spans="1:15">
      <c r="A6605" s="561" t="s">
        <v>4224</v>
      </c>
      <c r="B6605" s="562"/>
      <c r="C6605" s="562"/>
      <c r="D6605" s="562"/>
      <c r="E6605" s="200"/>
      <c r="F6605" s="201" t="s">
        <v>4238</v>
      </c>
      <c r="G6605" s="200" t="s">
        <v>4239</v>
      </c>
      <c r="H6605" s="213"/>
    </row>
    <row r="6606" spans="1:15">
      <c r="A6606" s="223" t="s">
        <v>4097</v>
      </c>
      <c r="B6606" s="72"/>
      <c r="C6606" s="72"/>
      <c r="D6606" s="73"/>
      <c r="E6606" s="78"/>
      <c r="F6606" s="79">
        <v>0</v>
      </c>
      <c r="G6606" s="80">
        <f>F6606*H6570</f>
        <v>0</v>
      </c>
      <c r="H6606" s="212"/>
    </row>
    <row r="6607" spans="1:15">
      <c r="A6607" s="224" t="s">
        <v>4240</v>
      </c>
      <c r="B6607" s="81"/>
      <c r="C6607" s="81"/>
      <c r="D6607" s="82"/>
      <c r="E6607" s="78"/>
      <c r="F6607" s="79">
        <v>0</v>
      </c>
      <c r="G6607" s="80">
        <f>F6607*H6570</f>
        <v>0</v>
      </c>
      <c r="H6607" s="212"/>
    </row>
    <row r="6608" spans="1:15">
      <c r="A6608" s="224" t="s">
        <v>4</v>
      </c>
      <c r="B6608" s="81"/>
      <c r="C6608" s="81"/>
      <c r="D6608" s="82"/>
      <c r="E6608" s="78"/>
      <c r="F6608" s="79">
        <v>0</v>
      </c>
      <c r="G6608" s="80">
        <f>F6608*H6570</f>
        <v>0</v>
      </c>
      <c r="H6608" s="212"/>
    </row>
    <row r="6609" spans="1:14">
      <c r="A6609" s="225"/>
      <c r="B6609" s="83"/>
      <c r="C6609" s="75"/>
      <c r="D6609" s="84"/>
      <c r="E6609" s="85"/>
      <c r="F6609" s="86"/>
      <c r="G6609" s="87"/>
      <c r="H6609" s="214"/>
    </row>
    <row r="6610" spans="1:14">
      <c r="A6610" s="226"/>
      <c r="B6610" s="83"/>
      <c r="C6610" s="83"/>
      <c r="D6610" s="84"/>
      <c r="E6610" s="88"/>
      <c r="F6610" s="563" t="s">
        <v>4241</v>
      </c>
      <c r="G6610" s="564"/>
      <c r="H6610" s="233">
        <f>H6570+G6606+G6607+G6608</f>
        <v>46377.683599999997</v>
      </c>
    </row>
    <row r="6611" spans="1:14">
      <c r="A6611" s="83"/>
      <c r="B6611" s="83"/>
      <c r="C6611" s="83"/>
      <c r="D6611" s="84"/>
      <c r="E6611" s="388"/>
      <c r="F6611" s="389"/>
      <c r="G6611" s="389"/>
      <c r="H6611" s="390"/>
    </row>
    <row r="6612" spans="1:14" ht="16.5">
      <c r="A6612" s="90"/>
      <c r="B6612" s="90"/>
      <c r="C6612" s="90"/>
      <c r="D6612" s="90"/>
      <c r="E6612" s="90"/>
      <c r="F6612" s="90"/>
      <c r="G6612" s="90"/>
      <c r="H6612" s="381"/>
    </row>
    <row r="6613" spans="1:14">
      <c r="A6613" s="579" t="s">
        <v>4225</v>
      </c>
      <c r="B6613" s="580"/>
      <c r="C6613" s="580"/>
      <c r="D6613" s="580"/>
      <c r="E6613" s="580"/>
      <c r="F6613" s="580"/>
      <c r="G6613" s="580"/>
      <c r="H6613" s="581"/>
    </row>
    <row r="6614" spans="1:14" ht="16.5">
      <c r="A6614" s="91"/>
      <c r="B6614" s="92"/>
      <c r="C6614" s="92"/>
      <c r="D6614" s="92"/>
      <c r="E6614" s="92"/>
      <c r="F6614" s="93"/>
      <c r="G6614" s="94"/>
      <c r="H6614" s="380">
        <f>ROUND((8/60)/8,4)</f>
        <v>1.67E-2</v>
      </c>
      <c r="I6614" s="115"/>
    </row>
    <row r="6615" spans="1:14">
      <c r="A6615" s="582" t="s">
        <v>4220</v>
      </c>
      <c r="B6615" s="584" t="str">
        <f>COSTOS!$C$14</f>
        <v>MODERNIZACION A TECNOLOGIA LED</v>
      </c>
      <c r="C6615" s="584"/>
      <c r="D6615" s="584"/>
      <c r="E6615" s="584"/>
      <c r="F6615" s="584"/>
      <c r="G6615" s="584"/>
      <c r="H6615" s="585" t="s">
        <v>4221</v>
      </c>
    </row>
    <row r="6616" spans="1:14">
      <c r="A6616" s="583"/>
      <c r="B6616" s="584"/>
      <c r="C6616" s="584"/>
      <c r="D6616" s="584"/>
      <c r="E6616" s="584"/>
      <c r="F6616" s="584"/>
      <c r="G6616" s="584"/>
      <c r="H6616" s="585"/>
    </row>
    <row r="6617" spans="1:14">
      <c r="A6617" s="583"/>
      <c r="B6617" s="584"/>
      <c r="C6617" s="584"/>
      <c r="D6617" s="584"/>
      <c r="E6617" s="584"/>
      <c r="F6617" s="584"/>
      <c r="G6617" s="584"/>
      <c r="H6617" s="585"/>
    </row>
    <row r="6618" spans="1:14" ht="15" customHeight="1">
      <c r="A6618" s="583"/>
      <c r="B6618" s="584"/>
      <c r="C6618" s="584"/>
      <c r="D6618" s="584"/>
      <c r="E6618" s="584"/>
      <c r="F6618" s="584"/>
      <c r="G6618" s="584"/>
      <c r="H6618" s="216">
        <f ca="1">TODAY()</f>
        <v>44889</v>
      </c>
      <c r="K6618" t="s">
        <v>4391</v>
      </c>
      <c r="L6618" t="s">
        <v>4392</v>
      </c>
      <c r="M6618" t="s">
        <v>4393</v>
      </c>
      <c r="N6618" t="s">
        <v>4394</v>
      </c>
    </row>
    <row r="6619" spans="1:14" ht="60.75" customHeight="1">
      <c r="A6619" s="228" t="s">
        <v>4222</v>
      </c>
      <c r="B6619" s="565" t="str">
        <f>COSTOS!$D$16</f>
        <v>Luminarias</v>
      </c>
      <c r="C6619" s="565"/>
      <c r="D6619" s="565"/>
      <c r="E6619" s="565"/>
      <c r="F6619" s="565"/>
      <c r="G6619" s="70" t="s">
        <v>4223</v>
      </c>
      <c r="H6619" s="391">
        <v>3.15</v>
      </c>
      <c r="K6619" s="62">
        <f>H6645</f>
        <v>18762.491999999998</v>
      </c>
      <c r="L6619" s="62">
        <f>H6655</f>
        <v>6007.7248</v>
      </c>
      <c r="M6619" s="62">
        <f>H6628</f>
        <v>681.40174999999999</v>
      </c>
      <c r="N6619" s="62">
        <f>H6649</f>
        <v>800</v>
      </c>
    </row>
    <row r="6620" spans="1:14" ht="43.15" customHeight="1">
      <c r="A6620" s="229" t="s">
        <v>4224</v>
      </c>
      <c r="B6620" s="566" t="str">
        <f>VLOOKUP(H6619,COSTOS!C:M,2,0)</f>
        <v>Red aerea en cable multiplex 2x1/0+1/0 AWG AL x 500m</v>
      </c>
      <c r="C6620" s="567"/>
      <c r="D6620" s="567"/>
      <c r="E6620" s="568"/>
      <c r="F6620" s="71" t="s">
        <v>0</v>
      </c>
      <c r="G6620" s="356" t="str">
        <f>VLOOKUP(H6619,COSTOS!C:M,8,0)</f>
        <v>Und</v>
      </c>
      <c r="H6620" s="276"/>
      <c r="I6620" s="306"/>
      <c r="J6620" s="308"/>
      <c r="K6620" s="308"/>
      <c r="L6620" s="308"/>
    </row>
    <row r="6621" spans="1:14">
      <c r="A6621" s="230"/>
      <c r="B6621" s="112"/>
      <c r="C6621" s="112"/>
      <c r="D6621" s="112"/>
      <c r="E6621" s="113"/>
      <c r="F6621" s="114" t="s">
        <v>1</v>
      </c>
      <c r="G6621" s="356">
        <f>VLOOKUP(H6619,COSTOS!C:M,9,0)</f>
        <v>0</v>
      </c>
      <c r="H6621" s="357"/>
      <c r="I6621" s="307"/>
    </row>
    <row r="6622" spans="1:14" ht="16.5">
      <c r="A6622" s="231" t="s">
        <v>4226</v>
      </c>
      <c r="B6622" s="75"/>
      <c r="C6622" s="75"/>
      <c r="D6622" s="76"/>
      <c r="E6622" s="209"/>
      <c r="F6622" s="210"/>
      <c r="G6622" s="211" t="s">
        <v>4227</v>
      </c>
      <c r="H6622" s="217">
        <f>H6628+H6645+H6649+H6655</f>
        <v>26251.618549999999</v>
      </c>
    </row>
    <row r="6623" spans="1:14" ht="39">
      <c r="A6623" s="569" t="s">
        <v>4224</v>
      </c>
      <c r="B6623" s="569"/>
      <c r="C6623" s="569"/>
      <c r="D6623" s="77" t="s">
        <v>0</v>
      </c>
      <c r="E6623" s="207" t="s">
        <v>4228</v>
      </c>
      <c r="F6623" s="208" t="s">
        <v>4215</v>
      </c>
      <c r="G6623" s="74" t="s">
        <v>2</v>
      </c>
      <c r="H6623" s="218" t="s">
        <v>4229</v>
      </c>
      <c r="K6623" s="309"/>
    </row>
    <row r="6624" spans="1:14">
      <c r="A6624" s="536" t="s">
        <v>3946</v>
      </c>
      <c r="B6624" s="570" t="str">
        <f>VLOOKUP(A6624,'Equip, Herr y Transp'!$B$2:$D$739,2,0)</f>
        <v>EQU</v>
      </c>
      <c r="C6624" s="570"/>
      <c r="D6624" s="95" t="str">
        <f>VLOOKUP(A6624,'Equip, Herr y Transp'!$B$2:$D$218,2,0)</f>
        <v>EQU</v>
      </c>
      <c r="E6624" s="95">
        <f>VLOOKUP(A6624,'Equip, Herr y Transp'!$B$2:$D$218,3,0)</f>
        <v>14130</v>
      </c>
      <c r="F6624" s="96">
        <f>H6614</f>
        <v>1.67E-2</v>
      </c>
      <c r="G6624" s="122">
        <f>F6624*E6624</f>
        <v>235.971</v>
      </c>
      <c r="H6624" s="118"/>
    </row>
    <row r="6625" spans="1:15">
      <c r="A6625" s="536" t="s">
        <v>3904</v>
      </c>
      <c r="B6625" s="570" t="str">
        <f>VLOOKUP(A6625,'Equip, Herr y Transp'!$B$2:$D$739,2,0)</f>
        <v>EQU</v>
      </c>
      <c r="C6625" s="570"/>
      <c r="D6625" s="95" t="str">
        <f>VLOOKUP(A6625,'Equip, Herr y Transp'!$B$2:$D$218,2,0)</f>
        <v>EQU</v>
      </c>
      <c r="E6625" s="95">
        <f>VLOOKUP(A6625,'Equip, Herr y Transp'!$B$2:$D$218,3,0)</f>
        <v>26672.5</v>
      </c>
      <c r="F6625" s="96">
        <f>H6614</f>
        <v>1.67E-2</v>
      </c>
      <c r="G6625" s="122">
        <f>F6625*E6625</f>
        <v>445.43074999999999</v>
      </c>
      <c r="H6625" s="117"/>
    </row>
    <row r="6626" spans="1:15">
      <c r="A6626" s="536" t="s">
        <v>8</v>
      </c>
      <c r="B6626" s="570">
        <f>VLOOKUP(A6626,'Equip, Herr y Transp'!$B$2:$D$739,2,0)</f>
        <v>0</v>
      </c>
      <c r="C6626" s="570"/>
      <c r="D6626" s="95">
        <f>VLOOKUP(A6626,'Equip, Herr y Transp'!$B$2:$D$218,2,0)</f>
        <v>0</v>
      </c>
      <c r="E6626" s="95">
        <f>VLOOKUP(A6626,'Equip, Herr y Transp'!$B$2:$D$218,3,0)</f>
        <v>0</v>
      </c>
      <c r="F6626" s="96">
        <f>H6614</f>
        <v>1.67E-2</v>
      </c>
      <c r="G6626" s="122">
        <f>F6626*E6626</f>
        <v>0</v>
      </c>
      <c r="H6626" s="117"/>
    </row>
    <row r="6627" spans="1:15">
      <c r="A6627" s="536" t="s">
        <v>8</v>
      </c>
      <c r="B6627" s="570">
        <f>VLOOKUP(A6627,'Equip, Herr y Transp'!$B$2:$D$739,2,0)</f>
        <v>0</v>
      </c>
      <c r="C6627" s="570"/>
      <c r="D6627" s="95">
        <f>VLOOKUP(A6627,'Equip, Herr y Transp'!$B$2:$D$218,2,0)</f>
        <v>0</v>
      </c>
      <c r="E6627" s="95">
        <f>VLOOKUP(A6627,'Equip, Herr y Transp'!$B$2:$D$218,3,0)</f>
        <v>0</v>
      </c>
      <c r="F6627" s="96">
        <f>H6614</f>
        <v>1.67E-2</v>
      </c>
      <c r="G6627" s="122">
        <f>F6627*E6627</f>
        <v>0</v>
      </c>
      <c r="H6627" s="117"/>
    </row>
    <row r="6628" spans="1:15" ht="16.5">
      <c r="A6628" s="540" t="s">
        <v>4100</v>
      </c>
      <c r="B6628" s="541"/>
      <c r="C6628" s="541"/>
      <c r="D6628" s="541"/>
      <c r="E6628" s="541"/>
      <c r="F6628" s="541"/>
      <c r="G6628" s="541"/>
      <c r="H6628" s="97">
        <f>SUM(G6624:G6627)</f>
        <v>681.40174999999999</v>
      </c>
    </row>
    <row r="6629" spans="1:15" ht="16.5">
      <c r="A6629" s="571" t="s">
        <v>4230</v>
      </c>
      <c r="B6629" s="572"/>
      <c r="C6629" s="572"/>
      <c r="D6629" s="572"/>
      <c r="E6629" s="572"/>
      <c r="F6629" s="572"/>
      <c r="G6629" s="572"/>
      <c r="H6629" s="573"/>
      <c r="K6629" s="56"/>
      <c r="L6629" s="56"/>
      <c r="M6629" s="56"/>
      <c r="N6629" s="56"/>
      <c r="O6629" s="56"/>
    </row>
    <row r="6630" spans="1:15" ht="30" customHeight="1">
      <c r="A6630" s="574" t="s">
        <v>7</v>
      </c>
      <c r="B6630" s="575"/>
      <c r="C6630" s="109" t="s">
        <v>0</v>
      </c>
      <c r="D6630" s="110" t="s">
        <v>4098</v>
      </c>
      <c r="E6630" s="111" t="s">
        <v>1</v>
      </c>
      <c r="F6630" s="576" t="s">
        <v>4218</v>
      </c>
      <c r="G6630" s="576"/>
      <c r="H6630" s="215"/>
      <c r="K6630" s="56"/>
      <c r="L6630" s="56"/>
      <c r="M6630" s="56"/>
      <c r="N6630" s="56"/>
      <c r="O6630" s="56"/>
    </row>
    <row r="6631" spans="1:15">
      <c r="A6631" s="577" t="s">
        <v>4453</v>
      </c>
      <c r="B6631" s="578"/>
      <c r="C6631" s="98" t="str">
        <f>VLOOKUP(A6631,'Materiales '!$C$2:$F$1302,3,0)</f>
        <v>Ml</v>
      </c>
      <c r="D6631" s="99">
        <f>VLOOKUP(A6631,'Materiales '!$C$2:$F$1302,4,0)</f>
        <v>18762.491999999998</v>
      </c>
      <c r="E6631" s="100">
        <v>1</v>
      </c>
      <c r="F6631" s="538">
        <f>E6631*D6631</f>
        <v>18762.491999999998</v>
      </c>
      <c r="G6631" s="539"/>
      <c r="H6631" s="121"/>
      <c r="I6631">
        <f>E6631*G6621</f>
        <v>0</v>
      </c>
      <c r="J6631" s="67"/>
      <c r="K6631" s="56"/>
      <c r="L6631" s="56"/>
      <c r="M6631" s="56"/>
      <c r="N6631" s="56"/>
      <c r="O6631" s="56"/>
    </row>
    <row r="6632" spans="1:15">
      <c r="A6632" s="577" t="s">
        <v>8</v>
      </c>
      <c r="B6632" s="578"/>
      <c r="C6632" s="98" t="str">
        <f>VLOOKUP(A6632,'Materiales '!$C$2:$F$1302,3,0)</f>
        <v>-</v>
      </c>
      <c r="D6632" s="99">
        <f>VLOOKUP(A6632,'Materiales '!$C$2:$F$1302,4,0)</f>
        <v>0</v>
      </c>
      <c r="E6632" s="100"/>
      <c r="F6632" s="538">
        <f t="shared" ref="F6632:F6638" si="388">E6632*D6632</f>
        <v>0</v>
      </c>
      <c r="G6632" s="539"/>
      <c r="H6632" s="121"/>
      <c r="I6632">
        <f>E6632*G6621</f>
        <v>0</v>
      </c>
      <c r="J6632" s="67"/>
      <c r="K6632" s="56"/>
      <c r="L6632" s="56"/>
      <c r="M6632" s="56"/>
      <c r="N6632" s="56"/>
      <c r="O6632" s="56"/>
    </row>
    <row r="6633" spans="1:15">
      <c r="A6633" s="536" t="s">
        <v>8</v>
      </c>
      <c r="B6633" s="537" t="str">
        <f>VLOOKUP(A6633,'Materiales '!$C$2:$F$1302,3,0)</f>
        <v>-</v>
      </c>
      <c r="C6633" s="98" t="str">
        <f>VLOOKUP(A6633,'Materiales '!$C$2:$F$1302,3,0)</f>
        <v>-</v>
      </c>
      <c r="D6633" s="99">
        <f>VLOOKUP(A6633,'Materiales '!$C$2:$F$1302,4,0)</f>
        <v>0</v>
      </c>
      <c r="E6633" s="100"/>
      <c r="F6633" s="538">
        <f t="shared" si="388"/>
        <v>0</v>
      </c>
      <c r="G6633" s="539"/>
      <c r="H6633" s="121"/>
      <c r="I6633">
        <f>E6633*G6621</f>
        <v>0</v>
      </c>
      <c r="J6633" s="68"/>
      <c r="K6633" s="56"/>
      <c r="L6633" s="56"/>
      <c r="M6633" s="56"/>
      <c r="N6633" s="56"/>
      <c r="O6633" s="56"/>
    </row>
    <row r="6634" spans="1:15">
      <c r="A6634" s="536" t="s">
        <v>8</v>
      </c>
      <c r="B6634" s="537" t="str">
        <f>VLOOKUP(A6634,'Materiales '!$C$2:$F$1302,3,0)</f>
        <v>-</v>
      </c>
      <c r="C6634" s="98" t="str">
        <f>VLOOKUP(A6634,'Materiales '!$C$2:$F$1302,3,0)</f>
        <v>-</v>
      </c>
      <c r="D6634" s="99">
        <f>VLOOKUP(A6634,'Materiales '!$C$2:$F$1302,4,0)</f>
        <v>0</v>
      </c>
      <c r="E6634" s="100"/>
      <c r="F6634" s="538">
        <f t="shared" si="388"/>
        <v>0</v>
      </c>
      <c r="G6634" s="539"/>
      <c r="H6634" s="121"/>
      <c r="I6634">
        <f>E6634*G6621</f>
        <v>0</v>
      </c>
      <c r="J6634" s="68"/>
      <c r="K6634" s="56"/>
      <c r="L6634" s="56"/>
      <c r="M6634" s="56"/>
      <c r="N6634" s="56"/>
      <c r="O6634" s="56"/>
    </row>
    <row r="6635" spans="1:15">
      <c r="A6635" s="536" t="s">
        <v>8</v>
      </c>
      <c r="B6635" s="537" t="str">
        <f>VLOOKUP(A6635,'Materiales '!$C$2:$F$1302,3,0)</f>
        <v>-</v>
      </c>
      <c r="C6635" s="98" t="str">
        <f>VLOOKUP(A6635,'Materiales '!$C$2:$F$1302,3,0)</f>
        <v>-</v>
      </c>
      <c r="D6635" s="99">
        <f>VLOOKUP(A6635,'Materiales '!$C$2:$F$1302,4,0)</f>
        <v>0</v>
      </c>
      <c r="E6635" s="100"/>
      <c r="F6635" s="538">
        <f t="shared" si="388"/>
        <v>0</v>
      </c>
      <c r="G6635" s="539"/>
      <c r="H6635" s="121"/>
      <c r="I6635">
        <f>E6635*G6621</f>
        <v>0</v>
      </c>
      <c r="J6635" s="68"/>
      <c r="K6635" s="56"/>
      <c r="L6635" s="56"/>
      <c r="M6635" s="56"/>
      <c r="N6635" s="56"/>
      <c r="O6635" s="56"/>
    </row>
    <row r="6636" spans="1:15">
      <c r="A6636" s="536" t="s">
        <v>8</v>
      </c>
      <c r="B6636" s="537" t="str">
        <f>VLOOKUP(A6636,'Materiales '!$C$2:$F$1302,3,0)</f>
        <v>-</v>
      </c>
      <c r="C6636" s="98" t="str">
        <f>VLOOKUP(A6636,'Materiales '!$C$2:$F$1302,3,0)</f>
        <v>-</v>
      </c>
      <c r="D6636" s="99">
        <f>VLOOKUP(A6636,'Materiales '!$C$2:$F$1302,4,0)</f>
        <v>0</v>
      </c>
      <c r="E6636" s="100"/>
      <c r="F6636" s="538">
        <f t="shared" si="388"/>
        <v>0</v>
      </c>
      <c r="G6636" s="539"/>
      <c r="H6636" s="121"/>
      <c r="I6636">
        <f>E6636*G6621</f>
        <v>0</v>
      </c>
      <c r="J6636" s="68"/>
      <c r="K6636" s="56"/>
      <c r="L6636" s="56"/>
      <c r="M6636" s="56"/>
      <c r="N6636" s="56"/>
      <c r="O6636" s="56"/>
    </row>
    <row r="6637" spans="1:15">
      <c r="A6637" s="536" t="s">
        <v>8</v>
      </c>
      <c r="B6637" s="537" t="str">
        <f>VLOOKUP(A6637,'Materiales '!$C$2:$F$1302,3,0)</f>
        <v>-</v>
      </c>
      <c r="C6637" s="98" t="str">
        <f>VLOOKUP(A6637,'Materiales '!$C$2:$F$1302,3,0)</f>
        <v>-</v>
      </c>
      <c r="D6637" s="99">
        <f>VLOOKUP(A6637,'Materiales '!$C$2:$F$1302,4,0)</f>
        <v>0</v>
      </c>
      <c r="E6637" s="100"/>
      <c r="F6637" s="538">
        <f t="shared" si="388"/>
        <v>0</v>
      </c>
      <c r="G6637" s="539"/>
      <c r="H6637" s="121"/>
      <c r="I6637">
        <f>E6637*G6621</f>
        <v>0</v>
      </c>
      <c r="J6637" s="68"/>
      <c r="K6637" s="56"/>
      <c r="L6637" s="56"/>
      <c r="M6637" s="56"/>
      <c r="N6637" s="56"/>
      <c r="O6637" s="56"/>
    </row>
    <row r="6638" spans="1:15" ht="21.75" customHeight="1">
      <c r="A6638" s="536" t="s">
        <v>8</v>
      </c>
      <c r="B6638" s="537" t="str">
        <f>VLOOKUP(A6638,'Materiales '!$C$2:$F$1302,3,0)</f>
        <v>-</v>
      </c>
      <c r="C6638" s="98" t="str">
        <f>VLOOKUP(A6638,'Materiales '!$C$2:$F$1302,3,0)</f>
        <v>-</v>
      </c>
      <c r="D6638" s="99">
        <f>VLOOKUP(A6638,'Materiales '!$C$2:$F$1302,4,0)</f>
        <v>0</v>
      </c>
      <c r="E6638" s="100"/>
      <c r="F6638" s="538">
        <f t="shared" si="388"/>
        <v>0</v>
      </c>
      <c r="G6638" s="539"/>
      <c r="H6638" s="121"/>
      <c r="I6638">
        <f>E6638*G6621</f>
        <v>0</v>
      </c>
      <c r="J6638" s="68"/>
      <c r="K6638" s="56"/>
      <c r="L6638" s="56"/>
      <c r="M6638" s="56"/>
      <c r="N6638" s="56"/>
      <c r="O6638" s="56"/>
    </row>
    <row r="6639" spans="1:15">
      <c r="A6639" s="536" t="s">
        <v>8</v>
      </c>
      <c r="B6639" s="537" t="str">
        <f>VLOOKUP(A6639,'Materiales '!$C$2:$F$1302,3,0)</f>
        <v>-</v>
      </c>
      <c r="C6639" s="98" t="str">
        <f>VLOOKUP(A6639,'Materiales '!$C$2:$F$1302,3,0)</f>
        <v>-</v>
      </c>
      <c r="D6639" s="99">
        <f>VLOOKUP(A6639,'Materiales '!$C$2:$F$1302,4,0)</f>
        <v>0</v>
      </c>
      <c r="E6639" s="100"/>
      <c r="F6639" s="538">
        <f>E6639*D6639</f>
        <v>0</v>
      </c>
      <c r="G6639" s="539"/>
      <c r="H6639" s="120"/>
      <c r="I6639">
        <f>E6639*G6621</f>
        <v>0</v>
      </c>
      <c r="J6639" s="68"/>
      <c r="K6639" s="56"/>
      <c r="L6639" s="56"/>
      <c r="M6639" s="56"/>
      <c r="N6639" s="56"/>
      <c r="O6639" s="56"/>
    </row>
    <row r="6640" spans="1:15">
      <c r="A6640" s="536" t="s">
        <v>8</v>
      </c>
      <c r="B6640" s="537" t="str">
        <f>VLOOKUP(A6640,'Materiales '!$C$2:$F$1302,3,0)</f>
        <v>-</v>
      </c>
      <c r="C6640" s="98" t="str">
        <f>VLOOKUP(A6640,'Materiales '!$C$2:$F$1302,3,0)</f>
        <v>-</v>
      </c>
      <c r="D6640" s="99">
        <f>VLOOKUP(A6640,'Materiales '!$C$2:$F$1302,4,0)</f>
        <v>0</v>
      </c>
      <c r="E6640" s="100"/>
      <c r="F6640" s="538">
        <f t="shared" ref="F6640:F6643" si="389">E6640*D6640</f>
        <v>0</v>
      </c>
      <c r="G6640" s="539"/>
      <c r="H6640" s="121"/>
      <c r="I6640">
        <f>E6640*G6621</f>
        <v>0</v>
      </c>
      <c r="J6640" s="68"/>
      <c r="K6640" s="56"/>
      <c r="L6640" s="56"/>
      <c r="M6640" s="56"/>
      <c r="N6640" s="56"/>
      <c r="O6640" s="56"/>
    </row>
    <row r="6641" spans="1:15">
      <c r="A6641" s="536" t="s">
        <v>8</v>
      </c>
      <c r="B6641" s="537" t="str">
        <f>VLOOKUP(A6641,'Materiales '!$C$2:$F$1302,3,0)</f>
        <v>-</v>
      </c>
      <c r="C6641" s="98" t="str">
        <f>VLOOKUP(A6641,'Materiales '!$C$2:$F$1302,3,0)</f>
        <v>-</v>
      </c>
      <c r="D6641" s="99">
        <f>VLOOKUP(A6641,'Materiales '!$C$2:$F$1302,4,0)</f>
        <v>0</v>
      </c>
      <c r="E6641" s="100"/>
      <c r="F6641" s="538">
        <f t="shared" si="389"/>
        <v>0</v>
      </c>
      <c r="G6641" s="539"/>
      <c r="H6641" s="121"/>
      <c r="I6641">
        <f>E6641*G6621</f>
        <v>0</v>
      </c>
      <c r="J6641" s="68"/>
      <c r="K6641" s="56"/>
      <c r="L6641" s="56"/>
      <c r="M6641" s="56"/>
      <c r="N6641" s="56"/>
      <c r="O6641" s="56"/>
    </row>
    <row r="6642" spans="1:15">
      <c r="A6642" s="536" t="s">
        <v>8</v>
      </c>
      <c r="B6642" s="537" t="str">
        <f>VLOOKUP(A6642,'Materiales '!$C$2:$F$1302,3,0)</f>
        <v>-</v>
      </c>
      <c r="C6642" s="98" t="str">
        <f>VLOOKUP(A6642,'Materiales '!$C$2:$F$1302,3,0)</f>
        <v>-</v>
      </c>
      <c r="D6642" s="99">
        <f>VLOOKUP(A6642,'Materiales '!$C$2:$F$1302,4,0)</f>
        <v>0</v>
      </c>
      <c r="E6642" s="100"/>
      <c r="F6642" s="538">
        <f t="shared" si="389"/>
        <v>0</v>
      </c>
      <c r="G6642" s="539"/>
      <c r="H6642" s="121"/>
      <c r="I6642">
        <f>E6642*G6621</f>
        <v>0</v>
      </c>
      <c r="J6642" s="68"/>
      <c r="K6642" s="56"/>
      <c r="L6642" s="56"/>
      <c r="M6642" s="56"/>
      <c r="N6642" s="56"/>
      <c r="O6642" s="56"/>
    </row>
    <row r="6643" spans="1:15">
      <c r="A6643" s="536" t="s">
        <v>8</v>
      </c>
      <c r="B6643" s="537" t="str">
        <f>VLOOKUP(A6643,'Materiales '!$C$2:$F$1302,3,0)</f>
        <v>-</v>
      </c>
      <c r="C6643" s="98" t="str">
        <f>VLOOKUP(A6643,'Materiales '!$C$2:$F$1302,3,0)</f>
        <v>-</v>
      </c>
      <c r="D6643" s="99">
        <f>VLOOKUP(A6643,'Materiales '!$C$2:$F$1302,4,0)</f>
        <v>0</v>
      </c>
      <c r="E6643" s="100"/>
      <c r="F6643" s="538">
        <f t="shared" si="389"/>
        <v>0</v>
      </c>
      <c r="G6643" s="539"/>
      <c r="H6643" s="121"/>
      <c r="I6643">
        <f>E6643*G6621</f>
        <v>0</v>
      </c>
      <c r="J6643" s="68"/>
      <c r="K6643" s="56"/>
      <c r="L6643" s="56"/>
      <c r="M6643" s="56"/>
      <c r="N6643" s="56"/>
      <c r="O6643" s="56"/>
    </row>
    <row r="6644" spans="1:15">
      <c r="A6644" s="536" t="s">
        <v>8</v>
      </c>
      <c r="B6644" s="537" t="str">
        <f>VLOOKUP(A6644,'Materiales '!$C$2:$F$1302,3,0)</f>
        <v>-</v>
      </c>
      <c r="C6644" s="98" t="str">
        <f>VLOOKUP(A6644,'Materiales '!$C$2:$F$1302,3,0)</f>
        <v>-</v>
      </c>
      <c r="D6644" s="99">
        <f>VLOOKUP(A6644,'Materiales '!$C$2:$F$1302,4,0)</f>
        <v>0</v>
      </c>
      <c r="E6644" s="100"/>
      <c r="F6644" s="538">
        <f>E6644*D6644</f>
        <v>0</v>
      </c>
      <c r="G6644" s="539"/>
      <c r="H6644" s="120"/>
      <c r="I6644">
        <f>E6644*G6621</f>
        <v>0</v>
      </c>
      <c r="J6644" s="68"/>
      <c r="K6644" s="56"/>
      <c r="L6644" s="56"/>
      <c r="M6644" s="56"/>
      <c r="N6644" s="56"/>
      <c r="O6644" s="56"/>
    </row>
    <row r="6645" spans="1:15" ht="16.5">
      <c r="A6645" s="540" t="s">
        <v>4099</v>
      </c>
      <c r="B6645" s="541"/>
      <c r="C6645" s="541"/>
      <c r="D6645" s="541"/>
      <c r="E6645" s="541"/>
      <c r="F6645" s="541"/>
      <c r="G6645" s="542"/>
      <c r="H6645" s="116">
        <f>SUM(F6631:F6644)</f>
        <v>18762.491999999998</v>
      </c>
      <c r="J6645" s="68"/>
      <c r="K6645" s="56"/>
      <c r="L6645" s="56"/>
      <c r="M6645" s="56"/>
      <c r="N6645" s="56"/>
      <c r="O6645" s="56"/>
    </row>
    <row r="6646" spans="1:15" ht="16.5">
      <c r="A6646" s="543" t="s">
        <v>4231</v>
      </c>
      <c r="B6646" s="544"/>
      <c r="C6646" s="544"/>
      <c r="D6646" s="544"/>
      <c r="E6646" s="545"/>
      <c r="F6646" s="544"/>
      <c r="G6646" s="544"/>
      <c r="H6646" s="546"/>
      <c r="J6646" s="68"/>
      <c r="K6646" s="56"/>
      <c r="L6646" s="56"/>
      <c r="M6646" s="56"/>
      <c r="N6646" s="56"/>
      <c r="O6646" s="56"/>
    </row>
    <row r="6647" spans="1:15">
      <c r="A6647" s="547" t="s">
        <v>7</v>
      </c>
      <c r="B6647" s="548"/>
      <c r="C6647" s="108" t="s">
        <v>4232</v>
      </c>
      <c r="D6647" s="107" t="s">
        <v>4233</v>
      </c>
      <c r="E6647" s="206" t="s">
        <v>4234</v>
      </c>
      <c r="F6647" s="549" t="s">
        <v>4218</v>
      </c>
      <c r="G6647" s="549"/>
      <c r="H6647" s="119"/>
      <c r="K6647" s="56"/>
      <c r="L6647" s="56"/>
      <c r="M6647" s="56"/>
      <c r="N6647" s="56"/>
      <c r="O6647" s="56"/>
    </row>
    <row r="6648" spans="1:15">
      <c r="A6648" s="550" t="s">
        <v>3928</v>
      </c>
      <c r="B6648" s="551"/>
      <c r="C6648" s="232">
        <v>1</v>
      </c>
      <c r="D6648" s="102">
        <v>5.0000000000000001E-3</v>
      </c>
      <c r="E6648" s="103">
        <f>VLOOKUP(A6648,'Equip, Herr y Transp'!$B$2:$D$218,3,0)</f>
        <v>160000</v>
      </c>
      <c r="F6648" s="552">
        <f>E6648*D6648*C6648</f>
        <v>800</v>
      </c>
      <c r="G6648" s="553"/>
      <c r="H6648" s="117"/>
      <c r="M6648" s="56"/>
    </row>
    <row r="6649" spans="1:15" ht="16.5">
      <c r="A6649" s="554" t="s">
        <v>4216</v>
      </c>
      <c r="B6649" s="555"/>
      <c r="C6649" s="555"/>
      <c r="D6649" s="555"/>
      <c r="E6649" s="555"/>
      <c r="F6649" s="555"/>
      <c r="G6649" s="555"/>
      <c r="H6649" s="105">
        <f>F6648</f>
        <v>800</v>
      </c>
    </row>
    <row r="6650" spans="1:15" ht="16.5">
      <c r="A6650" s="543" t="s">
        <v>4235</v>
      </c>
      <c r="B6650" s="544"/>
      <c r="C6650" s="544"/>
      <c r="D6650" s="544"/>
      <c r="E6650" s="544"/>
      <c r="F6650" s="544"/>
      <c r="G6650" s="544"/>
      <c r="H6650" s="546"/>
    </row>
    <row r="6651" spans="1:15">
      <c r="A6651" s="547" t="s">
        <v>7</v>
      </c>
      <c r="B6651" s="548"/>
      <c r="C6651" s="106" t="s">
        <v>1</v>
      </c>
      <c r="D6651" s="107" t="s">
        <v>4236</v>
      </c>
      <c r="E6651" s="108" t="s">
        <v>4215</v>
      </c>
      <c r="F6651" s="547" t="s">
        <v>5</v>
      </c>
      <c r="G6651" s="556"/>
      <c r="H6651" s="119"/>
    </row>
    <row r="6652" spans="1:15">
      <c r="A6652" s="550" t="s">
        <v>4196</v>
      </c>
      <c r="B6652" s="551"/>
      <c r="C6652" s="101">
        <v>1</v>
      </c>
      <c r="D6652" s="104">
        <f>VLOOKUP(A6652,'Mano Obra'!$B$2:$T$117,19,0)</f>
        <v>166624</v>
      </c>
      <c r="E6652" s="246">
        <f>H6614</f>
        <v>1.67E-2</v>
      </c>
      <c r="F6652" s="538">
        <f>E6652*D6652*C6652</f>
        <v>2782.6208000000001</v>
      </c>
      <c r="G6652" s="557"/>
      <c r="H6652" s="121"/>
      <c r="I6652" s="69"/>
      <c r="J6652" s="136">
        <f>((('Mano Obra'!$M$4/30)*F6652)/D6652)*G6621</f>
        <v>0</v>
      </c>
    </row>
    <row r="6653" spans="1:15">
      <c r="A6653" s="558" t="s">
        <v>4197</v>
      </c>
      <c r="B6653" s="559">
        <f>VLOOKUP(A6653,'Mano Obra'!$B$3:$D$290,2,0)</f>
        <v>2090000.0000000002</v>
      </c>
      <c r="C6653" s="101">
        <v>1</v>
      </c>
      <c r="D6653" s="104">
        <f>VLOOKUP(A6653,'Mano Obra'!$B$2:$T$117,19,0)</f>
        <v>120456</v>
      </c>
      <c r="E6653" s="246">
        <f>H6614</f>
        <v>1.67E-2</v>
      </c>
      <c r="F6653" s="538">
        <f t="shared" ref="F6653:F6654" si="390">E6653*D6653*C6653</f>
        <v>2011.6152</v>
      </c>
      <c r="G6653" s="557"/>
      <c r="H6653" s="121"/>
      <c r="J6653" s="136">
        <f>((('Mano Obra'!$M$5/30)*F6653)/D6653)*G6621</f>
        <v>0</v>
      </c>
    </row>
    <row r="6654" spans="1:15">
      <c r="A6654" s="558" t="s">
        <v>4186</v>
      </c>
      <c r="B6654" s="559">
        <f>VLOOKUP(A6654,'Mano Obra'!$B$3:$D$290,2,0)</f>
        <v>1100000</v>
      </c>
      <c r="C6654" s="101">
        <v>1</v>
      </c>
      <c r="D6654" s="104">
        <f>VLOOKUP(A6654,'Mano Obra'!$B$2:$T$117,19,0)</f>
        <v>72664</v>
      </c>
      <c r="E6654" s="246">
        <f>H6614</f>
        <v>1.67E-2</v>
      </c>
      <c r="F6654" s="538">
        <f t="shared" si="390"/>
        <v>1213.4887999999999</v>
      </c>
      <c r="G6654" s="557"/>
      <c r="H6654" s="120"/>
      <c r="J6654" s="136">
        <f>((('Mano Obra'!$M$6/30)*F6654)/D6654)*G6621</f>
        <v>0</v>
      </c>
    </row>
    <row r="6655" spans="1:15" ht="16.5">
      <c r="A6655" s="560" t="s">
        <v>4101</v>
      </c>
      <c r="B6655" s="560"/>
      <c r="C6655" s="560"/>
      <c r="D6655" s="560"/>
      <c r="E6655" s="560"/>
      <c r="F6655" s="560"/>
      <c r="G6655" s="560"/>
      <c r="H6655" s="105">
        <f>SUM(F6652:F6654)</f>
        <v>6007.7248</v>
      </c>
      <c r="J6655" s="136"/>
    </row>
    <row r="6656" spans="1:15">
      <c r="A6656" s="227" t="s">
        <v>4237</v>
      </c>
      <c r="B6656" s="205"/>
      <c r="C6656" s="205"/>
      <c r="D6656" s="202"/>
      <c r="E6656" s="203"/>
      <c r="F6656" s="204"/>
      <c r="G6656" s="203"/>
      <c r="H6656" s="212"/>
    </row>
    <row r="6657" spans="1:14">
      <c r="A6657" s="561" t="s">
        <v>4224</v>
      </c>
      <c r="B6657" s="562"/>
      <c r="C6657" s="562"/>
      <c r="D6657" s="562"/>
      <c r="E6657" s="200"/>
      <c r="F6657" s="201" t="s">
        <v>4238</v>
      </c>
      <c r="G6657" s="200" t="s">
        <v>4239</v>
      </c>
      <c r="H6657" s="213"/>
    </row>
    <row r="6658" spans="1:14">
      <c r="A6658" s="223" t="s">
        <v>4097</v>
      </c>
      <c r="B6658" s="72"/>
      <c r="C6658" s="72"/>
      <c r="D6658" s="73"/>
      <c r="E6658" s="78"/>
      <c r="F6658" s="79">
        <v>0</v>
      </c>
      <c r="G6658" s="80">
        <f>F6658*H6622</f>
        <v>0</v>
      </c>
      <c r="H6658" s="212"/>
    </row>
    <row r="6659" spans="1:14">
      <c r="A6659" s="224" t="s">
        <v>4240</v>
      </c>
      <c r="B6659" s="81"/>
      <c r="C6659" s="81"/>
      <c r="D6659" s="82"/>
      <c r="E6659" s="78"/>
      <c r="F6659" s="79">
        <v>0</v>
      </c>
      <c r="G6659" s="80">
        <f>F6659*H6622</f>
        <v>0</v>
      </c>
      <c r="H6659" s="212"/>
    </row>
    <row r="6660" spans="1:14">
      <c r="A6660" s="224" t="s">
        <v>4</v>
      </c>
      <c r="B6660" s="81"/>
      <c r="C6660" s="81"/>
      <c r="D6660" s="82"/>
      <c r="E6660" s="78"/>
      <c r="F6660" s="79">
        <v>0</v>
      </c>
      <c r="G6660" s="80">
        <f>F6660*H6622</f>
        <v>0</v>
      </c>
      <c r="H6660" s="212"/>
    </row>
    <row r="6661" spans="1:14">
      <c r="A6661" s="225"/>
      <c r="B6661" s="83"/>
      <c r="C6661" s="75"/>
      <c r="D6661" s="84"/>
      <c r="E6661" s="85"/>
      <c r="F6661" s="86"/>
      <c r="G6661" s="87"/>
      <c r="H6661" s="214"/>
    </row>
    <row r="6662" spans="1:14">
      <c r="A6662" s="226"/>
      <c r="B6662" s="83"/>
      <c r="C6662" s="83"/>
      <c r="D6662" s="84"/>
      <c r="E6662" s="88"/>
      <c r="F6662" s="563" t="s">
        <v>4241</v>
      </c>
      <c r="G6662" s="564"/>
      <c r="H6662" s="233">
        <f>H6622+G6658+G6659+G6660</f>
        <v>26251.618549999999</v>
      </c>
    </row>
    <row r="6663" spans="1:14">
      <c r="A6663" s="83"/>
      <c r="B6663" s="83"/>
      <c r="C6663" s="83"/>
      <c r="D6663" s="84"/>
      <c r="E6663" s="388"/>
      <c r="F6663" s="389"/>
      <c r="G6663" s="389"/>
      <c r="H6663" s="390"/>
    </row>
    <row r="6664" spans="1:14" ht="16.5">
      <c r="A6664" s="90"/>
      <c r="B6664" s="90"/>
      <c r="C6664" s="90"/>
      <c r="D6664" s="90"/>
      <c r="E6664" s="90"/>
      <c r="F6664" s="90"/>
      <c r="G6664" s="90"/>
      <c r="H6664" s="381"/>
    </row>
    <row r="6665" spans="1:14">
      <c r="A6665" s="579" t="s">
        <v>4225</v>
      </c>
      <c r="B6665" s="580"/>
      <c r="C6665" s="580"/>
      <c r="D6665" s="580"/>
      <c r="E6665" s="580"/>
      <c r="F6665" s="580"/>
      <c r="G6665" s="580"/>
      <c r="H6665" s="581"/>
    </row>
    <row r="6666" spans="1:14" ht="16.5">
      <c r="A6666" s="91"/>
      <c r="B6666" s="92"/>
      <c r="C6666" s="92"/>
      <c r="D6666" s="92"/>
      <c r="E6666" s="92"/>
      <c r="F6666" s="93"/>
      <c r="G6666" s="94"/>
      <c r="H6666" s="380">
        <f>ROUND((8/60)/8,4)</f>
        <v>1.67E-2</v>
      </c>
      <c r="I6666" s="115"/>
    </row>
    <row r="6667" spans="1:14">
      <c r="A6667" s="582" t="s">
        <v>4220</v>
      </c>
      <c r="B6667" s="584" t="str">
        <f>COSTOS!$C$14</f>
        <v>MODERNIZACION A TECNOLOGIA LED</v>
      </c>
      <c r="C6667" s="584"/>
      <c r="D6667" s="584"/>
      <c r="E6667" s="584"/>
      <c r="F6667" s="584"/>
      <c r="G6667" s="584"/>
      <c r="H6667" s="585" t="s">
        <v>4221</v>
      </c>
    </row>
    <row r="6668" spans="1:14">
      <c r="A6668" s="583"/>
      <c r="B6668" s="584"/>
      <c r="C6668" s="584"/>
      <c r="D6668" s="584"/>
      <c r="E6668" s="584"/>
      <c r="F6668" s="584"/>
      <c r="G6668" s="584"/>
      <c r="H6668" s="585"/>
    </row>
    <row r="6669" spans="1:14">
      <c r="A6669" s="583"/>
      <c r="B6669" s="584"/>
      <c r="C6669" s="584"/>
      <c r="D6669" s="584"/>
      <c r="E6669" s="584"/>
      <c r="F6669" s="584"/>
      <c r="G6669" s="584"/>
      <c r="H6669" s="585"/>
    </row>
    <row r="6670" spans="1:14" ht="15" customHeight="1">
      <c r="A6670" s="583"/>
      <c r="B6670" s="584"/>
      <c r="C6670" s="584"/>
      <c r="D6670" s="584"/>
      <c r="E6670" s="584"/>
      <c r="F6670" s="584"/>
      <c r="G6670" s="584"/>
      <c r="H6670" s="216">
        <f ca="1">TODAY()</f>
        <v>44889</v>
      </c>
      <c r="K6670" t="s">
        <v>4391</v>
      </c>
      <c r="L6670" t="s">
        <v>4392</v>
      </c>
      <c r="M6670" t="s">
        <v>4393</v>
      </c>
      <c r="N6670" t="s">
        <v>4394</v>
      </c>
    </row>
    <row r="6671" spans="1:14" ht="60.75" customHeight="1">
      <c r="A6671" s="228" t="s">
        <v>4222</v>
      </c>
      <c r="B6671" s="565" t="str">
        <f>COSTOS!$D$16</f>
        <v>Luminarias</v>
      </c>
      <c r="C6671" s="565"/>
      <c r="D6671" s="565"/>
      <c r="E6671" s="565"/>
      <c r="F6671" s="565"/>
      <c r="G6671" s="70" t="s">
        <v>4223</v>
      </c>
      <c r="H6671" s="391">
        <v>3.16</v>
      </c>
      <c r="K6671" s="62">
        <f>H6697</f>
        <v>3960.0867599999997</v>
      </c>
      <c r="L6671" s="62">
        <f>H6707</f>
        <v>6007.7248</v>
      </c>
      <c r="M6671" s="62">
        <f>H6680</f>
        <v>1195.971</v>
      </c>
      <c r="N6671" s="62">
        <f>H6701</f>
        <v>800</v>
      </c>
    </row>
    <row r="6672" spans="1:14" ht="43.15" customHeight="1">
      <c r="A6672" s="229" t="s">
        <v>4224</v>
      </c>
      <c r="B6672" s="566" t="str">
        <f>VLOOKUP(H6671,COSTOS!C:M,2,0)</f>
        <v>Red aerea en cable AAAC 123 kcmil x 500m</v>
      </c>
      <c r="C6672" s="567"/>
      <c r="D6672" s="567"/>
      <c r="E6672" s="568"/>
      <c r="F6672" s="71" t="s">
        <v>0</v>
      </c>
      <c r="G6672" s="356" t="str">
        <f>VLOOKUP(H6671,COSTOS!C:M,8,0)</f>
        <v>Und</v>
      </c>
      <c r="H6672" s="276"/>
      <c r="I6672" s="306"/>
      <c r="J6672" s="308"/>
      <c r="K6672" s="308"/>
      <c r="L6672" s="308"/>
    </row>
    <row r="6673" spans="1:15">
      <c r="A6673" s="230"/>
      <c r="B6673" s="112"/>
      <c r="C6673" s="112"/>
      <c r="D6673" s="112"/>
      <c r="E6673" s="113"/>
      <c r="F6673" s="114" t="s">
        <v>1</v>
      </c>
      <c r="G6673" s="356">
        <f>VLOOKUP(H6671,COSTOS!C:M,9,0)</f>
        <v>0</v>
      </c>
      <c r="H6673" s="357"/>
      <c r="I6673" s="307"/>
    </row>
    <row r="6674" spans="1:15" ht="16.5">
      <c r="A6674" s="231" t="s">
        <v>4226</v>
      </c>
      <c r="B6674" s="75"/>
      <c r="C6674" s="75"/>
      <c r="D6674" s="76"/>
      <c r="E6674" s="209"/>
      <c r="F6674" s="210"/>
      <c r="G6674" s="211" t="s">
        <v>4227</v>
      </c>
      <c r="H6674" s="217">
        <f>H6680+H6697+H6701+H6707</f>
        <v>11963.78256</v>
      </c>
    </row>
    <row r="6675" spans="1:15" ht="39">
      <c r="A6675" s="569" t="s">
        <v>4224</v>
      </c>
      <c r="B6675" s="569"/>
      <c r="C6675" s="569"/>
      <c r="D6675" s="77" t="s">
        <v>0</v>
      </c>
      <c r="E6675" s="207" t="s">
        <v>4228</v>
      </c>
      <c r="F6675" s="208" t="s">
        <v>4215</v>
      </c>
      <c r="G6675" s="74" t="s">
        <v>2</v>
      </c>
      <c r="H6675" s="218" t="s">
        <v>4229</v>
      </c>
      <c r="K6675" s="309"/>
    </row>
    <row r="6676" spans="1:15">
      <c r="A6676" s="536" t="s">
        <v>3946</v>
      </c>
      <c r="B6676" s="570" t="str">
        <f>VLOOKUP(A6676,'Equip, Herr y Transp'!$B$2:$D$739,2,0)</f>
        <v>EQU</v>
      </c>
      <c r="C6676" s="570"/>
      <c r="D6676" s="95" t="str">
        <f>VLOOKUP(A6676,'Equip, Herr y Transp'!$B$2:$D$218,2,0)</f>
        <v>EQU</v>
      </c>
      <c r="E6676" s="95">
        <f>VLOOKUP(A6676,'Equip, Herr y Transp'!$B$2:$D$218,3,0)</f>
        <v>14130</v>
      </c>
      <c r="F6676" s="96">
        <f>H6666</f>
        <v>1.67E-2</v>
      </c>
      <c r="G6676" s="122">
        <f>F6676*E6676</f>
        <v>235.971</v>
      </c>
      <c r="H6676" s="118"/>
    </row>
    <row r="6677" spans="1:15">
      <c r="A6677" s="536" t="s">
        <v>3895</v>
      </c>
      <c r="B6677" s="570" t="str">
        <f>VLOOKUP(A6677,'Equip, Herr y Transp'!$B$2:$D$739,2,0)</f>
        <v>TR</v>
      </c>
      <c r="C6677" s="570"/>
      <c r="D6677" s="95" t="str">
        <f>VLOOKUP(A6677,'Equip, Herr y Transp'!$B$2:$D$218,2,0)</f>
        <v>TR</v>
      </c>
      <c r="E6677" s="95">
        <f>VLOOKUP(A6677,'Equip, Herr y Transp'!$B$2:$D$218,3,0)</f>
        <v>960000</v>
      </c>
      <c r="F6677" s="96">
        <v>1E-3</v>
      </c>
      <c r="G6677" s="122">
        <f>F6677*E6677</f>
        <v>960</v>
      </c>
      <c r="H6677" s="117"/>
    </row>
    <row r="6678" spans="1:15">
      <c r="A6678" s="536" t="s">
        <v>8</v>
      </c>
      <c r="B6678" s="570">
        <f>VLOOKUP(A6678,'Equip, Herr y Transp'!$B$2:$D$739,2,0)</f>
        <v>0</v>
      </c>
      <c r="C6678" s="570"/>
      <c r="D6678" s="95">
        <f>VLOOKUP(A6678,'Equip, Herr y Transp'!$B$2:$D$218,2,0)</f>
        <v>0</v>
      </c>
      <c r="E6678" s="95">
        <f>VLOOKUP(A6678,'Equip, Herr y Transp'!$B$2:$D$218,3,0)</f>
        <v>0</v>
      </c>
      <c r="F6678" s="96">
        <f>H6666</f>
        <v>1.67E-2</v>
      </c>
      <c r="G6678" s="122">
        <f>F6678*E6678</f>
        <v>0</v>
      </c>
      <c r="H6678" s="117"/>
    </row>
    <row r="6679" spans="1:15">
      <c r="A6679" s="536" t="s">
        <v>8</v>
      </c>
      <c r="B6679" s="570">
        <f>VLOOKUP(A6679,'Equip, Herr y Transp'!$B$2:$D$739,2,0)</f>
        <v>0</v>
      </c>
      <c r="C6679" s="570"/>
      <c r="D6679" s="95">
        <f>VLOOKUP(A6679,'Equip, Herr y Transp'!$B$2:$D$218,2,0)</f>
        <v>0</v>
      </c>
      <c r="E6679" s="95">
        <f>VLOOKUP(A6679,'Equip, Herr y Transp'!$B$2:$D$218,3,0)</f>
        <v>0</v>
      </c>
      <c r="F6679" s="96">
        <f>H6666</f>
        <v>1.67E-2</v>
      </c>
      <c r="G6679" s="122">
        <f>F6679*E6679</f>
        <v>0</v>
      </c>
      <c r="H6679" s="117"/>
    </row>
    <row r="6680" spans="1:15" ht="16.5">
      <c r="A6680" s="540" t="s">
        <v>4100</v>
      </c>
      <c r="B6680" s="541"/>
      <c r="C6680" s="541"/>
      <c r="D6680" s="541"/>
      <c r="E6680" s="541"/>
      <c r="F6680" s="541"/>
      <c r="G6680" s="541"/>
      <c r="H6680" s="97">
        <f>SUM(G6676:G6679)</f>
        <v>1195.971</v>
      </c>
    </row>
    <row r="6681" spans="1:15" ht="16.5">
      <c r="A6681" s="571" t="s">
        <v>4230</v>
      </c>
      <c r="B6681" s="572"/>
      <c r="C6681" s="572"/>
      <c r="D6681" s="572"/>
      <c r="E6681" s="572"/>
      <c r="F6681" s="572"/>
      <c r="G6681" s="572"/>
      <c r="H6681" s="573"/>
      <c r="K6681" s="56"/>
      <c r="L6681" s="56"/>
      <c r="M6681" s="56"/>
      <c r="N6681" s="56"/>
      <c r="O6681" s="56"/>
    </row>
    <row r="6682" spans="1:15" ht="30" customHeight="1">
      <c r="A6682" s="574" t="s">
        <v>7</v>
      </c>
      <c r="B6682" s="575"/>
      <c r="C6682" s="109" t="s">
        <v>0</v>
      </c>
      <c r="D6682" s="110" t="s">
        <v>4098</v>
      </c>
      <c r="E6682" s="111" t="s">
        <v>1</v>
      </c>
      <c r="F6682" s="576" t="s">
        <v>4218</v>
      </c>
      <c r="G6682" s="576"/>
      <c r="H6682" s="215"/>
      <c r="K6682" s="56"/>
      <c r="L6682" s="56"/>
      <c r="M6682" s="56"/>
      <c r="N6682" s="56"/>
      <c r="O6682" s="56"/>
    </row>
    <row r="6683" spans="1:15">
      <c r="A6683" s="577" t="s">
        <v>4442</v>
      </c>
      <c r="B6683" s="578"/>
      <c r="C6683" s="98" t="str">
        <f>VLOOKUP(A6683,'Materiales '!$C$2:$F$1302,3,0)</f>
        <v>Ml</v>
      </c>
      <c r="D6683" s="99">
        <f>VLOOKUP(A6683,'Materiales '!$C$2:$F$1302,4,0)</f>
        <v>3960.0867599999997</v>
      </c>
      <c r="E6683" s="100">
        <v>1</v>
      </c>
      <c r="F6683" s="538">
        <f>E6683*D6683</f>
        <v>3960.0867599999997</v>
      </c>
      <c r="G6683" s="539"/>
      <c r="H6683" s="121"/>
      <c r="I6683">
        <f>E6683*G6673</f>
        <v>0</v>
      </c>
      <c r="J6683" s="67"/>
      <c r="K6683" s="56"/>
      <c r="L6683" s="56"/>
      <c r="M6683" s="56"/>
      <c r="N6683" s="56"/>
      <c r="O6683" s="56"/>
    </row>
    <row r="6684" spans="1:15">
      <c r="A6684" s="577" t="s">
        <v>8</v>
      </c>
      <c r="B6684" s="578"/>
      <c r="C6684" s="98" t="str">
        <f>VLOOKUP(A6684,'Materiales '!$C$2:$F$1302,3,0)</f>
        <v>-</v>
      </c>
      <c r="D6684" s="99">
        <f>VLOOKUP(A6684,'Materiales '!$C$2:$F$1302,4,0)</f>
        <v>0</v>
      </c>
      <c r="E6684" s="100"/>
      <c r="F6684" s="538">
        <f t="shared" ref="F6684:F6690" si="391">E6684*D6684</f>
        <v>0</v>
      </c>
      <c r="G6684" s="539"/>
      <c r="H6684" s="121"/>
      <c r="I6684">
        <f>E6684*G6673</f>
        <v>0</v>
      </c>
      <c r="J6684" s="67"/>
      <c r="K6684" s="56"/>
      <c r="L6684" s="56"/>
      <c r="M6684" s="56"/>
      <c r="N6684" s="56"/>
      <c r="O6684" s="56"/>
    </row>
    <row r="6685" spans="1:15">
      <c r="A6685" s="536" t="s">
        <v>8</v>
      </c>
      <c r="B6685" s="537" t="str">
        <f>VLOOKUP(A6685,'Materiales '!$C$2:$F$1302,3,0)</f>
        <v>-</v>
      </c>
      <c r="C6685" s="98" t="str">
        <f>VLOOKUP(A6685,'Materiales '!$C$2:$F$1302,3,0)</f>
        <v>-</v>
      </c>
      <c r="D6685" s="99">
        <f>VLOOKUP(A6685,'Materiales '!$C$2:$F$1302,4,0)</f>
        <v>0</v>
      </c>
      <c r="E6685" s="100"/>
      <c r="F6685" s="538">
        <f t="shared" si="391"/>
        <v>0</v>
      </c>
      <c r="G6685" s="539"/>
      <c r="H6685" s="121"/>
      <c r="I6685">
        <f>E6685*G6673</f>
        <v>0</v>
      </c>
      <c r="J6685" s="68"/>
      <c r="K6685" s="56"/>
      <c r="L6685" s="56"/>
      <c r="M6685" s="56"/>
      <c r="N6685" s="56"/>
      <c r="O6685" s="56"/>
    </row>
    <row r="6686" spans="1:15">
      <c r="A6686" s="536" t="s">
        <v>8</v>
      </c>
      <c r="B6686" s="537" t="str">
        <f>VLOOKUP(A6686,'Materiales '!$C$2:$F$1302,3,0)</f>
        <v>-</v>
      </c>
      <c r="C6686" s="98" t="str">
        <f>VLOOKUP(A6686,'Materiales '!$C$2:$F$1302,3,0)</f>
        <v>-</v>
      </c>
      <c r="D6686" s="99">
        <f>VLOOKUP(A6686,'Materiales '!$C$2:$F$1302,4,0)</f>
        <v>0</v>
      </c>
      <c r="E6686" s="100"/>
      <c r="F6686" s="538">
        <f t="shared" si="391"/>
        <v>0</v>
      </c>
      <c r="G6686" s="539"/>
      <c r="H6686" s="121"/>
      <c r="I6686">
        <f>E6686*G6673</f>
        <v>0</v>
      </c>
      <c r="J6686" s="68"/>
      <c r="K6686" s="56"/>
      <c r="L6686" s="56"/>
      <c r="M6686" s="56"/>
      <c r="N6686" s="56"/>
      <c r="O6686" s="56"/>
    </row>
    <row r="6687" spans="1:15">
      <c r="A6687" s="536" t="s">
        <v>8</v>
      </c>
      <c r="B6687" s="537" t="str">
        <f>VLOOKUP(A6687,'Materiales '!$C$2:$F$1302,3,0)</f>
        <v>-</v>
      </c>
      <c r="C6687" s="98" t="str">
        <f>VLOOKUP(A6687,'Materiales '!$C$2:$F$1302,3,0)</f>
        <v>-</v>
      </c>
      <c r="D6687" s="99">
        <f>VLOOKUP(A6687,'Materiales '!$C$2:$F$1302,4,0)</f>
        <v>0</v>
      </c>
      <c r="E6687" s="100"/>
      <c r="F6687" s="538">
        <f t="shared" si="391"/>
        <v>0</v>
      </c>
      <c r="G6687" s="539"/>
      <c r="H6687" s="121"/>
      <c r="I6687">
        <f>E6687*G6673</f>
        <v>0</v>
      </c>
      <c r="J6687" s="68"/>
      <c r="K6687" s="56"/>
      <c r="L6687" s="56"/>
      <c r="M6687" s="56"/>
      <c r="N6687" s="56"/>
      <c r="O6687" s="56"/>
    </row>
    <row r="6688" spans="1:15">
      <c r="A6688" s="536" t="s">
        <v>8</v>
      </c>
      <c r="B6688" s="537" t="str">
        <f>VLOOKUP(A6688,'Materiales '!$C$2:$F$1302,3,0)</f>
        <v>-</v>
      </c>
      <c r="C6688" s="98" t="str">
        <f>VLOOKUP(A6688,'Materiales '!$C$2:$F$1302,3,0)</f>
        <v>-</v>
      </c>
      <c r="D6688" s="99">
        <f>VLOOKUP(A6688,'Materiales '!$C$2:$F$1302,4,0)</f>
        <v>0</v>
      </c>
      <c r="E6688" s="100"/>
      <c r="F6688" s="538">
        <f t="shared" si="391"/>
        <v>0</v>
      </c>
      <c r="G6688" s="539"/>
      <c r="H6688" s="121"/>
      <c r="I6688">
        <f>E6688*G6673</f>
        <v>0</v>
      </c>
      <c r="J6688" s="68"/>
      <c r="K6688" s="56"/>
      <c r="L6688" s="56"/>
      <c r="M6688" s="56"/>
      <c r="N6688" s="56"/>
      <c r="O6688" s="56"/>
    </row>
    <row r="6689" spans="1:15">
      <c r="A6689" s="536" t="s">
        <v>8</v>
      </c>
      <c r="B6689" s="537" t="str">
        <f>VLOOKUP(A6689,'Materiales '!$C$2:$F$1302,3,0)</f>
        <v>-</v>
      </c>
      <c r="C6689" s="98" t="str">
        <f>VLOOKUP(A6689,'Materiales '!$C$2:$F$1302,3,0)</f>
        <v>-</v>
      </c>
      <c r="D6689" s="99">
        <f>VLOOKUP(A6689,'Materiales '!$C$2:$F$1302,4,0)</f>
        <v>0</v>
      </c>
      <c r="E6689" s="100"/>
      <c r="F6689" s="538">
        <f t="shared" si="391"/>
        <v>0</v>
      </c>
      <c r="G6689" s="539"/>
      <c r="H6689" s="121"/>
      <c r="I6689">
        <f>E6689*G6673</f>
        <v>0</v>
      </c>
      <c r="J6689" s="68"/>
      <c r="K6689" s="56"/>
      <c r="L6689" s="56"/>
      <c r="M6689" s="56"/>
      <c r="N6689" s="56"/>
      <c r="O6689" s="56"/>
    </row>
    <row r="6690" spans="1:15" ht="21.75" customHeight="1">
      <c r="A6690" s="536" t="s">
        <v>8</v>
      </c>
      <c r="B6690" s="537" t="str">
        <f>VLOOKUP(A6690,'Materiales '!$C$2:$F$1302,3,0)</f>
        <v>-</v>
      </c>
      <c r="C6690" s="98" t="str">
        <f>VLOOKUP(A6690,'Materiales '!$C$2:$F$1302,3,0)</f>
        <v>-</v>
      </c>
      <c r="D6690" s="99">
        <f>VLOOKUP(A6690,'Materiales '!$C$2:$F$1302,4,0)</f>
        <v>0</v>
      </c>
      <c r="E6690" s="100"/>
      <c r="F6690" s="538">
        <f t="shared" si="391"/>
        <v>0</v>
      </c>
      <c r="G6690" s="539"/>
      <c r="H6690" s="121"/>
      <c r="I6690">
        <f>E6690*G6673</f>
        <v>0</v>
      </c>
      <c r="J6690" s="68"/>
      <c r="K6690" s="56"/>
      <c r="L6690" s="56"/>
      <c r="M6690" s="56"/>
      <c r="N6690" s="56"/>
      <c r="O6690" s="56"/>
    </row>
    <row r="6691" spans="1:15">
      <c r="A6691" s="536" t="s">
        <v>8</v>
      </c>
      <c r="B6691" s="537" t="str">
        <f>VLOOKUP(A6691,'Materiales '!$C$2:$F$1302,3,0)</f>
        <v>-</v>
      </c>
      <c r="C6691" s="98" t="str">
        <f>VLOOKUP(A6691,'Materiales '!$C$2:$F$1302,3,0)</f>
        <v>-</v>
      </c>
      <c r="D6691" s="99">
        <f>VLOOKUP(A6691,'Materiales '!$C$2:$F$1302,4,0)</f>
        <v>0</v>
      </c>
      <c r="E6691" s="100"/>
      <c r="F6691" s="538">
        <f>E6691*D6691</f>
        <v>0</v>
      </c>
      <c r="G6691" s="539"/>
      <c r="H6691" s="120"/>
      <c r="I6691">
        <f>E6691*G6673</f>
        <v>0</v>
      </c>
      <c r="J6691" s="68"/>
      <c r="K6691" s="56"/>
      <c r="L6691" s="56"/>
      <c r="M6691" s="56"/>
      <c r="N6691" s="56"/>
      <c r="O6691" s="56"/>
    </row>
    <row r="6692" spans="1:15">
      <c r="A6692" s="536" t="s">
        <v>8</v>
      </c>
      <c r="B6692" s="537" t="str">
        <f>VLOOKUP(A6692,'Materiales '!$C$2:$F$1302,3,0)</f>
        <v>-</v>
      </c>
      <c r="C6692" s="98" t="str">
        <f>VLOOKUP(A6692,'Materiales '!$C$2:$F$1302,3,0)</f>
        <v>-</v>
      </c>
      <c r="D6692" s="99">
        <f>VLOOKUP(A6692,'Materiales '!$C$2:$F$1302,4,0)</f>
        <v>0</v>
      </c>
      <c r="E6692" s="100"/>
      <c r="F6692" s="538">
        <f t="shared" ref="F6692:F6695" si="392">E6692*D6692</f>
        <v>0</v>
      </c>
      <c r="G6692" s="539"/>
      <c r="H6692" s="121"/>
      <c r="I6692">
        <f>E6692*G6673</f>
        <v>0</v>
      </c>
      <c r="J6692" s="68"/>
      <c r="K6692" s="56"/>
      <c r="L6692" s="56"/>
      <c r="M6692" s="56"/>
      <c r="N6692" s="56"/>
      <c r="O6692" s="56"/>
    </row>
    <row r="6693" spans="1:15">
      <c r="A6693" s="536" t="s">
        <v>8</v>
      </c>
      <c r="B6693" s="537" t="str">
        <f>VLOOKUP(A6693,'Materiales '!$C$2:$F$1302,3,0)</f>
        <v>-</v>
      </c>
      <c r="C6693" s="98" t="str">
        <f>VLOOKUP(A6693,'Materiales '!$C$2:$F$1302,3,0)</f>
        <v>-</v>
      </c>
      <c r="D6693" s="99">
        <f>VLOOKUP(A6693,'Materiales '!$C$2:$F$1302,4,0)</f>
        <v>0</v>
      </c>
      <c r="E6693" s="100"/>
      <c r="F6693" s="538">
        <f t="shared" si="392"/>
        <v>0</v>
      </c>
      <c r="G6693" s="539"/>
      <c r="H6693" s="121"/>
      <c r="I6693">
        <f>E6693*G6673</f>
        <v>0</v>
      </c>
      <c r="J6693" s="68"/>
      <c r="K6693" s="56"/>
      <c r="L6693" s="56"/>
      <c r="M6693" s="56"/>
      <c r="N6693" s="56"/>
      <c r="O6693" s="56"/>
    </row>
    <row r="6694" spans="1:15">
      <c r="A6694" s="536" t="s">
        <v>8</v>
      </c>
      <c r="B6694" s="537" t="str">
        <f>VLOOKUP(A6694,'Materiales '!$C$2:$F$1302,3,0)</f>
        <v>-</v>
      </c>
      <c r="C6694" s="98" t="str">
        <f>VLOOKUP(A6694,'Materiales '!$C$2:$F$1302,3,0)</f>
        <v>-</v>
      </c>
      <c r="D6694" s="99">
        <f>VLOOKUP(A6694,'Materiales '!$C$2:$F$1302,4,0)</f>
        <v>0</v>
      </c>
      <c r="E6694" s="100"/>
      <c r="F6694" s="538">
        <f t="shared" si="392"/>
        <v>0</v>
      </c>
      <c r="G6694" s="539"/>
      <c r="H6694" s="121"/>
      <c r="I6694">
        <f>E6694*G6673</f>
        <v>0</v>
      </c>
      <c r="J6694" s="68"/>
      <c r="K6694" s="56"/>
      <c r="L6694" s="56"/>
      <c r="M6694" s="56"/>
      <c r="N6694" s="56"/>
      <c r="O6694" s="56"/>
    </row>
    <row r="6695" spans="1:15">
      <c r="A6695" s="536" t="s">
        <v>8</v>
      </c>
      <c r="B6695" s="537" t="str">
        <f>VLOOKUP(A6695,'Materiales '!$C$2:$F$1302,3,0)</f>
        <v>-</v>
      </c>
      <c r="C6695" s="98" t="str">
        <f>VLOOKUP(A6695,'Materiales '!$C$2:$F$1302,3,0)</f>
        <v>-</v>
      </c>
      <c r="D6695" s="99">
        <f>VLOOKUP(A6695,'Materiales '!$C$2:$F$1302,4,0)</f>
        <v>0</v>
      </c>
      <c r="E6695" s="100"/>
      <c r="F6695" s="538">
        <f t="shared" si="392"/>
        <v>0</v>
      </c>
      <c r="G6695" s="539"/>
      <c r="H6695" s="121"/>
      <c r="I6695">
        <f>E6695*G6673</f>
        <v>0</v>
      </c>
      <c r="J6695" s="68"/>
      <c r="K6695" s="56"/>
      <c r="L6695" s="56"/>
      <c r="M6695" s="56"/>
      <c r="N6695" s="56"/>
      <c r="O6695" s="56"/>
    </row>
    <row r="6696" spans="1:15">
      <c r="A6696" s="536" t="s">
        <v>8</v>
      </c>
      <c r="B6696" s="537" t="str">
        <f>VLOOKUP(A6696,'Materiales '!$C$2:$F$1302,3,0)</f>
        <v>-</v>
      </c>
      <c r="C6696" s="98" t="str">
        <f>VLOOKUP(A6696,'Materiales '!$C$2:$F$1302,3,0)</f>
        <v>-</v>
      </c>
      <c r="D6696" s="99">
        <f>VLOOKUP(A6696,'Materiales '!$C$2:$F$1302,4,0)</f>
        <v>0</v>
      </c>
      <c r="E6696" s="100"/>
      <c r="F6696" s="538">
        <f>E6696*D6696</f>
        <v>0</v>
      </c>
      <c r="G6696" s="539"/>
      <c r="H6696" s="120"/>
      <c r="I6696">
        <f>E6696*G6673</f>
        <v>0</v>
      </c>
      <c r="J6696" s="68"/>
      <c r="K6696" s="56"/>
      <c r="L6696" s="56"/>
      <c r="M6696" s="56"/>
      <c r="N6696" s="56"/>
      <c r="O6696" s="56"/>
    </row>
    <row r="6697" spans="1:15" ht="16.5">
      <c r="A6697" s="540" t="s">
        <v>4099</v>
      </c>
      <c r="B6697" s="541"/>
      <c r="C6697" s="541"/>
      <c r="D6697" s="541"/>
      <c r="E6697" s="541"/>
      <c r="F6697" s="541"/>
      <c r="G6697" s="542"/>
      <c r="H6697" s="116">
        <f>SUM(F6683:F6696)</f>
        <v>3960.0867599999997</v>
      </c>
      <c r="J6697" s="68"/>
      <c r="K6697" s="56"/>
      <c r="L6697" s="56"/>
      <c r="M6697" s="56"/>
      <c r="N6697" s="56"/>
      <c r="O6697" s="56"/>
    </row>
    <row r="6698" spans="1:15" ht="16.5">
      <c r="A6698" s="543" t="s">
        <v>4231</v>
      </c>
      <c r="B6698" s="544"/>
      <c r="C6698" s="544"/>
      <c r="D6698" s="544"/>
      <c r="E6698" s="545"/>
      <c r="F6698" s="544"/>
      <c r="G6698" s="544"/>
      <c r="H6698" s="546"/>
      <c r="J6698" s="68"/>
      <c r="K6698" s="56"/>
      <c r="L6698" s="56"/>
      <c r="M6698" s="56"/>
      <c r="N6698" s="56"/>
      <c r="O6698" s="56"/>
    </row>
    <row r="6699" spans="1:15">
      <c r="A6699" s="547" t="s">
        <v>7</v>
      </c>
      <c r="B6699" s="548"/>
      <c r="C6699" s="108" t="s">
        <v>4232</v>
      </c>
      <c r="D6699" s="107" t="s">
        <v>4233</v>
      </c>
      <c r="E6699" s="206" t="s">
        <v>4234</v>
      </c>
      <c r="F6699" s="549" t="s">
        <v>4218</v>
      </c>
      <c r="G6699" s="549"/>
      <c r="H6699" s="119"/>
      <c r="K6699" s="56"/>
      <c r="L6699" s="56"/>
      <c r="M6699" s="56"/>
      <c r="N6699" s="56"/>
      <c r="O6699" s="56"/>
    </row>
    <row r="6700" spans="1:15">
      <c r="A6700" s="550" t="s">
        <v>3928</v>
      </c>
      <c r="B6700" s="551"/>
      <c r="C6700" s="232">
        <v>1</v>
      </c>
      <c r="D6700" s="102">
        <v>5.0000000000000001E-3</v>
      </c>
      <c r="E6700" s="103">
        <f>VLOOKUP(A6700,'Equip, Herr y Transp'!$B$2:$D$218,3,0)</f>
        <v>160000</v>
      </c>
      <c r="F6700" s="552">
        <f>E6700*D6700*C6700</f>
        <v>800</v>
      </c>
      <c r="G6700" s="553"/>
      <c r="H6700" s="117"/>
      <c r="M6700" s="56"/>
    </row>
    <row r="6701" spans="1:15" ht="16.5">
      <c r="A6701" s="554" t="s">
        <v>4216</v>
      </c>
      <c r="B6701" s="555"/>
      <c r="C6701" s="555"/>
      <c r="D6701" s="555"/>
      <c r="E6701" s="555"/>
      <c r="F6701" s="555"/>
      <c r="G6701" s="555"/>
      <c r="H6701" s="105">
        <f>F6700</f>
        <v>800</v>
      </c>
    </row>
    <row r="6702" spans="1:15" ht="16.5">
      <c r="A6702" s="543" t="s">
        <v>4235</v>
      </c>
      <c r="B6702" s="544"/>
      <c r="C6702" s="544"/>
      <c r="D6702" s="544"/>
      <c r="E6702" s="544"/>
      <c r="F6702" s="544"/>
      <c r="G6702" s="544"/>
      <c r="H6702" s="546"/>
    </row>
    <row r="6703" spans="1:15">
      <c r="A6703" s="547" t="s">
        <v>7</v>
      </c>
      <c r="B6703" s="548"/>
      <c r="C6703" s="106" t="s">
        <v>1</v>
      </c>
      <c r="D6703" s="107" t="s">
        <v>4236</v>
      </c>
      <c r="E6703" s="108" t="s">
        <v>4215</v>
      </c>
      <c r="F6703" s="547" t="s">
        <v>5</v>
      </c>
      <c r="G6703" s="556"/>
      <c r="H6703" s="119"/>
    </row>
    <row r="6704" spans="1:15">
      <c r="A6704" s="550" t="s">
        <v>4196</v>
      </c>
      <c r="B6704" s="551"/>
      <c r="C6704" s="101">
        <v>1</v>
      </c>
      <c r="D6704" s="104">
        <f>VLOOKUP(A6704,'Mano Obra'!$B$2:$T$117,19,0)</f>
        <v>166624</v>
      </c>
      <c r="E6704" s="246">
        <f>H6666</f>
        <v>1.67E-2</v>
      </c>
      <c r="F6704" s="538">
        <f>E6704*D6704*C6704</f>
        <v>2782.6208000000001</v>
      </c>
      <c r="G6704" s="557"/>
      <c r="H6704" s="121"/>
      <c r="I6704" s="69"/>
      <c r="J6704" s="136">
        <f>((('Mano Obra'!$M$4/30)*F6704)/D6704)*G6673</f>
        <v>0</v>
      </c>
    </row>
    <row r="6705" spans="1:10">
      <c r="A6705" s="558" t="s">
        <v>4197</v>
      </c>
      <c r="B6705" s="559">
        <f>VLOOKUP(A6705,'Mano Obra'!$B$3:$D$290,2,0)</f>
        <v>2090000.0000000002</v>
      </c>
      <c r="C6705" s="101">
        <v>1</v>
      </c>
      <c r="D6705" s="104">
        <f>VLOOKUP(A6705,'Mano Obra'!$B$2:$T$117,19,0)</f>
        <v>120456</v>
      </c>
      <c r="E6705" s="246">
        <f>H6666</f>
        <v>1.67E-2</v>
      </c>
      <c r="F6705" s="538">
        <f t="shared" ref="F6705:F6706" si="393">E6705*D6705*C6705</f>
        <v>2011.6152</v>
      </c>
      <c r="G6705" s="557"/>
      <c r="H6705" s="121"/>
      <c r="J6705" s="136">
        <f>((('Mano Obra'!$M$5/30)*F6705)/D6705)*G6673</f>
        <v>0</v>
      </c>
    </row>
    <row r="6706" spans="1:10">
      <c r="A6706" s="558" t="s">
        <v>4186</v>
      </c>
      <c r="B6706" s="559">
        <f>VLOOKUP(A6706,'Mano Obra'!$B$3:$D$290,2,0)</f>
        <v>1100000</v>
      </c>
      <c r="C6706" s="101">
        <v>1</v>
      </c>
      <c r="D6706" s="104">
        <f>VLOOKUP(A6706,'Mano Obra'!$B$2:$T$117,19,0)</f>
        <v>72664</v>
      </c>
      <c r="E6706" s="246">
        <f>H6666</f>
        <v>1.67E-2</v>
      </c>
      <c r="F6706" s="538">
        <f t="shared" si="393"/>
        <v>1213.4887999999999</v>
      </c>
      <c r="G6706" s="557"/>
      <c r="H6706" s="120"/>
      <c r="J6706" s="136">
        <f>((('Mano Obra'!$M$6/30)*F6706)/D6706)*G6673</f>
        <v>0</v>
      </c>
    </row>
    <row r="6707" spans="1:10" ht="16.5">
      <c r="A6707" s="560" t="s">
        <v>4101</v>
      </c>
      <c r="B6707" s="560"/>
      <c r="C6707" s="560"/>
      <c r="D6707" s="560"/>
      <c r="E6707" s="560"/>
      <c r="F6707" s="560"/>
      <c r="G6707" s="560"/>
      <c r="H6707" s="105">
        <f>SUM(F6704:F6706)</f>
        <v>6007.7248</v>
      </c>
      <c r="J6707" s="136"/>
    </row>
    <row r="6708" spans="1:10">
      <c r="A6708" s="227" t="s">
        <v>4237</v>
      </c>
      <c r="B6708" s="205"/>
      <c r="C6708" s="205"/>
      <c r="D6708" s="202"/>
      <c r="E6708" s="203"/>
      <c r="F6708" s="204"/>
      <c r="G6708" s="203"/>
      <c r="H6708" s="212"/>
    </row>
    <row r="6709" spans="1:10">
      <c r="A6709" s="561" t="s">
        <v>4224</v>
      </c>
      <c r="B6709" s="562"/>
      <c r="C6709" s="562"/>
      <c r="D6709" s="562"/>
      <c r="E6709" s="200"/>
      <c r="F6709" s="201" t="s">
        <v>4238</v>
      </c>
      <c r="G6709" s="200" t="s">
        <v>4239</v>
      </c>
      <c r="H6709" s="213"/>
    </row>
    <row r="6710" spans="1:10">
      <c r="A6710" s="223" t="s">
        <v>4097</v>
      </c>
      <c r="B6710" s="72"/>
      <c r="C6710" s="72"/>
      <c r="D6710" s="73"/>
      <c r="E6710" s="78"/>
      <c r="F6710" s="79">
        <v>0</v>
      </c>
      <c r="G6710" s="80">
        <f>F6710*H6674</f>
        <v>0</v>
      </c>
      <c r="H6710" s="212"/>
    </row>
    <row r="6711" spans="1:10">
      <c r="A6711" s="224" t="s">
        <v>4240</v>
      </c>
      <c r="B6711" s="81"/>
      <c r="C6711" s="81"/>
      <c r="D6711" s="82"/>
      <c r="E6711" s="78"/>
      <c r="F6711" s="79">
        <v>0</v>
      </c>
      <c r="G6711" s="80">
        <f>F6711*H6674</f>
        <v>0</v>
      </c>
      <c r="H6711" s="212"/>
    </row>
    <row r="6712" spans="1:10">
      <c r="A6712" s="224" t="s">
        <v>4</v>
      </c>
      <c r="B6712" s="81"/>
      <c r="C6712" s="81"/>
      <c r="D6712" s="82"/>
      <c r="E6712" s="78"/>
      <c r="F6712" s="79">
        <v>0</v>
      </c>
      <c r="G6712" s="80">
        <f>F6712*H6674</f>
        <v>0</v>
      </c>
      <c r="H6712" s="212"/>
    </row>
    <row r="6713" spans="1:10">
      <c r="A6713" s="225"/>
      <c r="B6713" s="83"/>
      <c r="C6713" s="75"/>
      <c r="D6713" s="84"/>
      <c r="E6713" s="85"/>
      <c r="F6713" s="86"/>
      <c r="G6713" s="87"/>
      <c r="H6713" s="214"/>
    </row>
    <row r="6714" spans="1:10">
      <c r="A6714" s="226"/>
      <c r="B6714" s="83"/>
      <c r="C6714" s="83"/>
      <c r="D6714" s="84"/>
      <c r="E6714" s="88"/>
      <c r="F6714" s="563" t="s">
        <v>4241</v>
      </c>
      <c r="G6714" s="564"/>
      <c r="H6714" s="233">
        <f>H6674+G6710+G6711+G6712</f>
        <v>11963.78256</v>
      </c>
    </row>
    <row r="6715" spans="1:10">
      <c r="A6715" s="83"/>
      <c r="B6715" s="83"/>
      <c r="C6715" s="83"/>
      <c r="D6715" s="84"/>
      <c r="E6715" s="388"/>
      <c r="F6715" s="389"/>
      <c r="G6715" s="389"/>
      <c r="H6715" s="390"/>
    </row>
    <row r="6716" spans="1:10">
      <c r="A6716" s="83"/>
      <c r="B6716" s="83"/>
      <c r="C6716" s="83"/>
      <c r="D6716" s="84"/>
      <c r="E6716" s="388"/>
      <c r="F6716" s="389"/>
      <c r="G6716" s="389"/>
      <c r="H6716" s="390"/>
    </row>
    <row r="6717" spans="1:10">
      <c r="A6717" s="579" t="s">
        <v>4225</v>
      </c>
      <c r="B6717" s="580"/>
      <c r="C6717" s="580"/>
      <c r="D6717" s="580"/>
      <c r="E6717" s="580"/>
      <c r="F6717" s="580"/>
      <c r="G6717" s="580"/>
      <c r="H6717" s="581"/>
    </row>
    <row r="6718" spans="1:10" ht="16.5">
      <c r="A6718" s="91"/>
      <c r="B6718" s="92"/>
      <c r="C6718" s="92"/>
      <c r="D6718" s="92"/>
      <c r="E6718" s="92"/>
      <c r="F6718" s="93"/>
      <c r="G6718" s="94"/>
      <c r="H6718" s="380">
        <f>ROUND((3/60)/8,4)</f>
        <v>6.3E-3</v>
      </c>
      <c r="I6718" s="115"/>
    </row>
    <row r="6719" spans="1:10">
      <c r="A6719" s="582" t="s">
        <v>4220</v>
      </c>
      <c r="B6719" s="584" t="str">
        <f>COSTOS!$C$14</f>
        <v>MODERNIZACION A TECNOLOGIA LED</v>
      </c>
      <c r="C6719" s="584"/>
      <c r="D6719" s="584"/>
      <c r="E6719" s="584"/>
      <c r="F6719" s="584"/>
      <c r="G6719" s="584"/>
      <c r="H6719" s="585" t="s">
        <v>4221</v>
      </c>
    </row>
    <row r="6720" spans="1:10">
      <c r="A6720" s="583"/>
      <c r="B6720" s="584"/>
      <c r="C6720" s="584"/>
      <c r="D6720" s="584"/>
      <c r="E6720" s="584"/>
      <c r="F6720" s="584"/>
      <c r="G6720" s="584"/>
      <c r="H6720" s="585"/>
    </row>
    <row r="6721" spans="1:15">
      <c r="A6721" s="583"/>
      <c r="B6721" s="584"/>
      <c r="C6721" s="584"/>
      <c r="D6721" s="584"/>
      <c r="E6721" s="584"/>
      <c r="F6721" s="584"/>
      <c r="G6721" s="584"/>
      <c r="H6721" s="585"/>
    </row>
    <row r="6722" spans="1:15" ht="15" customHeight="1">
      <c r="A6722" s="583"/>
      <c r="B6722" s="584"/>
      <c r="C6722" s="584"/>
      <c r="D6722" s="584"/>
      <c r="E6722" s="584"/>
      <c r="F6722" s="584"/>
      <c r="G6722" s="584"/>
      <c r="H6722" s="216">
        <f ca="1">TODAY()</f>
        <v>44889</v>
      </c>
      <c r="K6722" t="s">
        <v>4391</v>
      </c>
      <c r="L6722" t="s">
        <v>4392</v>
      </c>
      <c r="M6722" t="s">
        <v>4393</v>
      </c>
      <c r="N6722" t="s">
        <v>4394</v>
      </c>
    </row>
    <row r="6723" spans="1:15" ht="60.75" customHeight="1">
      <c r="A6723" s="228" t="s">
        <v>4222</v>
      </c>
      <c r="B6723" s="565" t="str">
        <f>COSTOS!$D$16</f>
        <v>Luminarias</v>
      </c>
      <c r="C6723" s="565"/>
      <c r="D6723" s="565"/>
      <c r="E6723" s="565"/>
      <c r="F6723" s="565"/>
      <c r="G6723" s="70" t="s">
        <v>4223</v>
      </c>
      <c r="H6723" s="391">
        <v>3.17</v>
      </c>
      <c r="K6723" s="62">
        <f>H6749</f>
        <v>3284.4</v>
      </c>
      <c r="L6723" s="62">
        <f>H6759</f>
        <v>2266.3871999999997</v>
      </c>
      <c r="M6723" s="62">
        <f>H6732</f>
        <v>89.019000000000005</v>
      </c>
      <c r="N6723" s="62">
        <f>H6753</f>
        <v>480</v>
      </c>
    </row>
    <row r="6724" spans="1:15" ht="43.15" customHeight="1">
      <c r="A6724" s="229" t="s">
        <v>4224</v>
      </c>
      <c r="B6724" s="566" t="str">
        <f>VLOOKUP(H6723,COSTOS!C:M,2,0)</f>
        <v>Cable serie 8000 AL #4 x500m</v>
      </c>
      <c r="C6724" s="567"/>
      <c r="D6724" s="567"/>
      <c r="E6724" s="568"/>
      <c r="F6724" s="71" t="s">
        <v>0</v>
      </c>
      <c r="G6724" s="356" t="str">
        <f>VLOOKUP(H6723,COSTOS!C:M,8,0)</f>
        <v>Und</v>
      </c>
      <c r="H6724" s="276"/>
      <c r="I6724" s="306"/>
      <c r="J6724" s="308"/>
      <c r="K6724" s="308"/>
      <c r="L6724" s="308"/>
    </row>
    <row r="6725" spans="1:15">
      <c r="A6725" s="230"/>
      <c r="B6725" s="112"/>
      <c r="C6725" s="112"/>
      <c r="D6725" s="112"/>
      <c r="E6725" s="113"/>
      <c r="F6725" s="114" t="s">
        <v>1</v>
      </c>
      <c r="G6725" s="356">
        <f>VLOOKUP(H6723,COSTOS!C:M,9,0)</f>
        <v>0</v>
      </c>
      <c r="H6725" s="357"/>
      <c r="I6725" s="307"/>
    </row>
    <row r="6726" spans="1:15" ht="16.5">
      <c r="A6726" s="231" t="s">
        <v>4226</v>
      </c>
      <c r="B6726" s="75"/>
      <c r="C6726" s="75"/>
      <c r="D6726" s="76"/>
      <c r="E6726" s="209"/>
      <c r="F6726" s="210"/>
      <c r="G6726" s="211" t="s">
        <v>4227</v>
      </c>
      <c r="H6726" s="217">
        <f>H6732+H6749+H6753+H6759</f>
        <v>6119.8061999999991</v>
      </c>
    </row>
    <row r="6727" spans="1:15" ht="39">
      <c r="A6727" s="569" t="s">
        <v>4224</v>
      </c>
      <c r="B6727" s="569"/>
      <c r="C6727" s="569"/>
      <c r="D6727" s="77" t="s">
        <v>0</v>
      </c>
      <c r="E6727" s="207" t="s">
        <v>4228</v>
      </c>
      <c r="F6727" s="208" t="s">
        <v>4215</v>
      </c>
      <c r="G6727" s="74" t="s">
        <v>2</v>
      </c>
      <c r="H6727" s="218" t="s">
        <v>4229</v>
      </c>
      <c r="K6727" s="309"/>
    </row>
    <row r="6728" spans="1:15">
      <c r="A6728" s="536" t="s">
        <v>3946</v>
      </c>
      <c r="B6728" s="570" t="str">
        <f>VLOOKUP(A6728,'Equip, Herr y Transp'!$B$2:$D$739,2,0)</f>
        <v>EQU</v>
      </c>
      <c r="C6728" s="570"/>
      <c r="D6728" s="95" t="str">
        <f>VLOOKUP(A6728,'Equip, Herr y Transp'!$B$2:$D$218,2,0)</f>
        <v>EQU</v>
      </c>
      <c r="E6728" s="95">
        <f>VLOOKUP(A6728,'Equip, Herr y Transp'!$B$2:$D$218,3,0)</f>
        <v>14130</v>
      </c>
      <c r="F6728" s="96">
        <f>H6718</f>
        <v>6.3E-3</v>
      </c>
      <c r="G6728" s="122">
        <f>F6728*E6728</f>
        <v>89.019000000000005</v>
      </c>
      <c r="H6728" s="118"/>
    </row>
    <row r="6729" spans="1:15">
      <c r="A6729" s="536" t="s">
        <v>8</v>
      </c>
      <c r="B6729" s="570">
        <f>VLOOKUP(A6729,'Equip, Herr y Transp'!$B$2:$D$739,2,0)</f>
        <v>0</v>
      </c>
      <c r="C6729" s="570"/>
      <c r="D6729" s="95">
        <f>VLOOKUP(A6729,'Equip, Herr y Transp'!$B$2:$D$218,2,0)</f>
        <v>0</v>
      </c>
      <c r="E6729" s="95">
        <f>VLOOKUP(A6729,'Equip, Herr y Transp'!$B$2:$D$218,3,0)</f>
        <v>0</v>
      </c>
      <c r="F6729" s="96">
        <f>H6718</f>
        <v>6.3E-3</v>
      </c>
      <c r="G6729" s="122">
        <f>F6729*E6729</f>
        <v>0</v>
      </c>
      <c r="H6729" s="117"/>
    </row>
    <row r="6730" spans="1:15">
      <c r="A6730" s="536" t="s">
        <v>8</v>
      </c>
      <c r="B6730" s="570">
        <f>VLOOKUP(A6730,'Equip, Herr y Transp'!$B$2:$D$739,2,0)</f>
        <v>0</v>
      </c>
      <c r="C6730" s="570"/>
      <c r="D6730" s="95">
        <f>VLOOKUP(A6730,'Equip, Herr y Transp'!$B$2:$D$218,2,0)</f>
        <v>0</v>
      </c>
      <c r="E6730" s="95">
        <f>VLOOKUP(A6730,'Equip, Herr y Transp'!$B$2:$D$218,3,0)</f>
        <v>0</v>
      </c>
      <c r="F6730" s="96">
        <f>H6718</f>
        <v>6.3E-3</v>
      </c>
      <c r="G6730" s="122">
        <f>F6730*E6730</f>
        <v>0</v>
      </c>
      <c r="H6730" s="117"/>
    </row>
    <row r="6731" spans="1:15">
      <c r="A6731" s="536" t="s">
        <v>8</v>
      </c>
      <c r="B6731" s="570">
        <f>VLOOKUP(A6731,'Equip, Herr y Transp'!$B$2:$D$739,2,0)</f>
        <v>0</v>
      </c>
      <c r="C6731" s="570"/>
      <c r="D6731" s="95">
        <f>VLOOKUP(A6731,'Equip, Herr y Transp'!$B$2:$D$218,2,0)</f>
        <v>0</v>
      </c>
      <c r="E6731" s="95">
        <f>VLOOKUP(A6731,'Equip, Herr y Transp'!$B$2:$D$218,3,0)</f>
        <v>0</v>
      </c>
      <c r="F6731" s="96">
        <f>H6718</f>
        <v>6.3E-3</v>
      </c>
      <c r="G6731" s="122">
        <f>F6731*E6731</f>
        <v>0</v>
      </c>
      <c r="H6731" s="117"/>
    </row>
    <row r="6732" spans="1:15" ht="16.5">
      <c r="A6732" s="540" t="s">
        <v>4100</v>
      </c>
      <c r="B6732" s="541"/>
      <c r="C6732" s="541"/>
      <c r="D6732" s="541"/>
      <c r="E6732" s="541"/>
      <c r="F6732" s="541"/>
      <c r="G6732" s="541"/>
      <c r="H6732" s="97">
        <f>SUM(G6728:G6731)</f>
        <v>89.019000000000005</v>
      </c>
    </row>
    <row r="6733" spans="1:15" ht="16.5">
      <c r="A6733" s="571" t="s">
        <v>4230</v>
      </c>
      <c r="B6733" s="572"/>
      <c r="C6733" s="572"/>
      <c r="D6733" s="572"/>
      <c r="E6733" s="572"/>
      <c r="F6733" s="572"/>
      <c r="G6733" s="572"/>
      <c r="H6733" s="573"/>
      <c r="K6733" s="56"/>
      <c r="L6733" s="56"/>
      <c r="M6733" s="56"/>
      <c r="N6733" s="56"/>
      <c r="O6733" s="56"/>
    </row>
    <row r="6734" spans="1:15" ht="30" customHeight="1">
      <c r="A6734" s="574" t="s">
        <v>7</v>
      </c>
      <c r="B6734" s="575"/>
      <c r="C6734" s="109" t="s">
        <v>0</v>
      </c>
      <c r="D6734" s="110" t="s">
        <v>4098</v>
      </c>
      <c r="E6734" s="111" t="s">
        <v>1</v>
      </c>
      <c r="F6734" s="576" t="s">
        <v>4218</v>
      </c>
      <c r="G6734" s="576"/>
      <c r="H6734" s="215"/>
      <c r="K6734" s="56"/>
      <c r="L6734" s="56"/>
      <c r="M6734" s="56"/>
      <c r="N6734" s="56"/>
      <c r="O6734" s="56"/>
    </row>
    <row r="6735" spans="1:15">
      <c r="A6735" s="577" t="s">
        <v>4444</v>
      </c>
      <c r="B6735" s="578"/>
      <c r="C6735" s="98" t="str">
        <f>VLOOKUP(A6735,'Materiales '!$C$2:$F$1302,3,0)</f>
        <v>Ml</v>
      </c>
      <c r="D6735" s="99">
        <f>VLOOKUP(A6735,'Materiales '!$C$2:$F$1302,4,0)</f>
        <v>3284.4</v>
      </c>
      <c r="E6735" s="100">
        <v>1</v>
      </c>
      <c r="F6735" s="538">
        <f>E6735*D6735</f>
        <v>3284.4</v>
      </c>
      <c r="G6735" s="539"/>
      <c r="H6735" s="121"/>
      <c r="I6735">
        <f>E6735*G6725</f>
        <v>0</v>
      </c>
      <c r="J6735" s="67"/>
      <c r="K6735" s="56"/>
      <c r="L6735" s="56"/>
      <c r="M6735" s="56"/>
      <c r="N6735" s="56"/>
      <c r="O6735" s="56"/>
    </row>
    <row r="6736" spans="1:15">
      <c r="A6736" s="577" t="s">
        <v>8</v>
      </c>
      <c r="B6736" s="578"/>
      <c r="C6736" s="98" t="str">
        <f>VLOOKUP(A6736,'Materiales '!$C$2:$F$1302,3,0)</f>
        <v>-</v>
      </c>
      <c r="D6736" s="99">
        <f>VLOOKUP(A6736,'Materiales '!$C$2:$F$1302,4,0)</f>
        <v>0</v>
      </c>
      <c r="E6736" s="100"/>
      <c r="F6736" s="538">
        <f t="shared" ref="F6736:F6742" si="394">E6736*D6736</f>
        <v>0</v>
      </c>
      <c r="G6736" s="539"/>
      <c r="H6736" s="121"/>
      <c r="I6736">
        <f>E6736*G6725</f>
        <v>0</v>
      </c>
      <c r="J6736" s="67"/>
      <c r="K6736" s="56"/>
      <c r="L6736" s="56"/>
      <c r="M6736" s="56"/>
      <c r="N6736" s="56"/>
      <c r="O6736" s="56"/>
    </row>
    <row r="6737" spans="1:15">
      <c r="A6737" s="536" t="s">
        <v>8</v>
      </c>
      <c r="B6737" s="537" t="str">
        <f>VLOOKUP(A6737,'Materiales '!$C$2:$F$1302,3,0)</f>
        <v>-</v>
      </c>
      <c r="C6737" s="98" t="str">
        <f>VLOOKUP(A6737,'Materiales '!$C$2:$F$1302,3,0)</f>
        <v>-</v>
      </c>
      <c r="D6737" s="99">
        <f>VLOOKUP(A6737,'Materiales '!$C$2:$F$1302,4,0)</f>
        <v>0</v>
      </c>
      <c r="E6737" s="100"/>
      <c r="F6737" s="538">
        <f t="shared" si="394"/>
        <v>0</v>
      </c>
      <c r="G6737" s="539"/>
      <c r="H6737" s="121"/>
      <c r="I6737">
        <f>E6737*G6725</f>
        <v>0</v>
      </c>
      <c r="J6737" s="68"/>
      <c r="K6737" s="56"/>
      <c r="L6737" s="56"/>
      <c r="M6737" s="56"/>
      <c r="N6737" s="56"/>
      <c r="O6737" s="56"/>
    </row>
    <row r="6738" spans="1:15">
      <c r="A6738" s="536" t="s">
        <v>8</v>
      </c>
      <c r="B6738" s="537" t="str">
        <f>VLOOKUP(A6738,'Materiales '!$C$2:$F$1302,3,0)</f>
        <v>-</v>
      </c>
      <c r="C6738" s="98" t="str">
        <f>VLOOKUP(A6738,'Materiales '!$C$2:$F$1302,3,0)</f>
        <v>-</v>
      </c>
      <c r="D6738" s="99">
        <f>VLOOKUP(A6738,'Materiales '!$C$2:$F$1302,4,0)</f>
        <v>0</v>
      </c>
      <c r="E6738" s="100"/>
      <c r="F6738" s="538">
        <f t="shared" si="394"/>
        <v>0</v>
      </c>
      <c r="G6738" s="539"/>
      <c r="H6738" s="121"/>
      <c r="I6738">
        <f>E6738*G6725</f>
        <v>0</v>
      </c>
      <c r="J6738" s="68"/>
      <c r="K6738" s="56"/>
      <c r="L6738" s="56"/>
      <c r="M6738" s="56"/>
      <c r="N6738" s="56"/>
      <c r="O6738" s="56"/>
    </row>
    <row r="6739" spans="1:15">
      <c r="A6739" s="536" t="s">
        <v>8</v>
      </c>
      <c r="B6739" s="537" t="str">
        <f>VLOOKUP(A6739,'Materiales '!$C$2:$F$1302,3,0)</f>
        <v>-</v>
      </c>
      <c r="C6739" s="98" t="str">
        <f>VLOOKUP(A6739,'Materiales '!$C$2:$F$1302,3,0)</f>
        <v>-</v>
      </c>
      <c r="D6739" s="99">
        <f>VLOOKUP(A6739,'Materiales '!$C$2:$F$1302,4,0)</f>
        <v>0</v>
      </c>
      <c r="E6739" s="100"/>
      <c r="F6739" s="538">
        <f t="shared" si="394"/>
        <v>0</v>
      </c>
      <c r="G6739" s="539"/>
      <c r="H6739" s="121"/>
      <c r="I6739">
        <f>E6739*G6725</f>
        <v>0</v>
      </c>
      <c r="J6739" s="68"/>
      <c r="K6739" s="56"/>
      <c r="L6739" s="56"/>
      <c r="M6739" s="56"/>
      <c r="N6739" s="56"/>
      <c r="O6739" s="56"/>
    </row>
    <row r="6740" spans="1:15">
      <c r="A6740" s="536" t="s">
        <v>8</v>
      </c>
      <c r="B6740" s="537" t="str">
        <f>VLOOKUP(A6740,'Materiales '!$C$2:$F$1302,3,0)</f>
        <v>-</v>
      </c>
      <c r="C6740" s="98" t="str">
        <f>VLOOKUP(A6740,'Materiales '!$C$2:$F$1302,3,0)</f>
        <v>-</v>
      </c>
      <c r="D6740" s="99">
        <f>VLOOKUP(A6740,'Materiales '!$C$2:$F$1302,4,0)</f>
        <v>0</v>
      </c>
      <c r="E6740" s="100"/>
      <c r="F6740" s="538">
        <f t="shared" si="394"/>
        <v>0</v>
      </c>
      <c r="G6740" s="539"/>
      <c r="H6740" s="121"/>
      <c r="I6740">
        <f>E6740*G6725</f>
        <v>0</v>
      </c>
      <c r="J6740" s="68"/>
      <c r="K6740" s="56"/>
      <c r="L6740" s="56"/>
      <c r="M6740" s="56"/>
      <c r="N6740" s="56"/>
      <c r="O6740" s="56"/>
    </row>
    <row r="6741" spans="1:15">
      <c r="A6741" s="536" t="s">
        <v>8</v>
      </c>
      <c r="B6741" s="537" t="str">
        <f>VLOOKUP(A6741,'Materiales '!$C$2:$F$1302,3,0)</f>
        <v>-</v>
      </c>
      <c r="C6741" s="98" t="str">
        <f>VLOOKUP(A6741,'Materiales '!$C$2:$F$1302,3,0)</f>
        <v>-</v>
      </c>
      <c r="D6741" s="99">
        <f>VLOOKUP(A6741,'Materiales '!$C$2:$F$1302,4,0)</f>
        <v>0</v>
      </c>
      <c r="E6741" s="100"/>
      <c r="F6741" s="538">
        <f t="shared" si="394"/>
        <v>0</v>
      </c>
      <c r="G6741" s="539"/>
      <c r="H6741" s="121"/>
      <c r="I6741">
        <f>E6741*G6725</f>
        <v>0</v>
      </c>
      <c r="J6741" s="68"/>
      <c r="K6741" s="56"/>
      <c r="L6741" s="56"/>
      <c r="M6741" s="56"/>
      <c r="N6741" s="56"/>
      <c r="O6741" s="56"/>
    </row>
    <row r="6742" spans="1:15" ht="21.75" customHeight="1">
      <c r="A6742" s="536" t="s">
        <v>8</v>
      </c>
      <c r="B6742" s="537" t="str">
        <f>VLOOKUP(A6742,'Materiales '!$C$2:$F$1302,3,0)</f>
        <v>-</v>
      </c>
      <c r="C6742" s="98" t="str">
        <f>VLOOKUP(A6742,'Materiales '!$C$2:$F$1302,3,0)</f>
        <v>-</v>
      </c>
      <c r="D6742" s="99">
        <f>VLOOKUP(A6742,'Materiales '!$C$2:$F$1302,4,0)</f>
        <v>0</v>
      </c>
      <c r="E6742" s="100"/>
      <c r="F6742" s="538">
        <f t="shared" si="394"/>
        <v>0</v>
      </c>
      <c r="G6742" s="539"/>
      <c r="H6742" s="121"/>
      <c r="I6742">
        <f>E6742*G6725</f>
        <v>0</v>
      </c>
      <c r="J6742" s="68"/>
      <c r="K6742" s="56"/>
      <c r="L6742" s="56"/>
      <c r="M6742" s="56"/>
      <c r="N6742" s="56"/>
      <c r="O6742" s="56"/>
    </row>
    <row r="6743" spans="1:15">
      <c r="A6743" s="536" t="s">
        <v>8</v>
      </c>
      <c r="B6743" s="537" t="str">
        <f>VLOOKUP(A6743,'Materiales '!$C$2:$F$1302,3,0)</f>
        <v>-</v>
      </c>
      <c r="C6743" s="98" t="str">
        <f>VLOOKUP(A6743,'Materiales '!$C$2:$F$1302,3,0)</f>
        <v>-</v>
      </c>
      <c r="D6743" s="99">
        <f>VLOOKUP(A6743,'Materiales '!$C$2:$F$1302,4,0)</f>
        <v>0</v>
      </c>
      <c r="E6743" s="100"/>
      <c r="F6743" s="538">
        <f>E6743*D6743</f>
        <v>0</v>
      </c>
      <c r="G6743" s="539"/>
      <c r="H6743" s="120"/>
      <c r="I6743">
        <f>E6743*G6725</f>
        <v>0</v>
      </c>
      <c r="J6743" s="68"/>
      <c r="K6743" s="56"/>
      <c r="L6743" s="56"/>
      <c r="M6743" s="56"/>
      <c r="N6743" s="56"/>
      <c r="O6743" s="56"/>
    </row>
    <row r="6744" spans="1:15">
      <c r="A6744" s="536" t="s">
        <v>8</v>
      </c>
      <c r="B6744" s="537" t="str">
        <f>VLOOKUP(A6744,'Materiales '!$C$2:$F$1302,3,0)</f>
        <v>-</v>
      </c>
      <c r="C6744" s="98" t="str">
        <f>VLOOKUP(A6744,'Materiales '!$C$2:$F$1302,3,0)</f>
        <v>-</v>
      </c>
      <c r="D6744" s="99">
        <f>VLOOKUP(A6744,'Materiales '!$C$2:$F$1302,4,0)</f>
        <v>0</v>
      </c>
      <c r="E6744" s="100"/>
      <c r="F6744" s="538">
        <f t="shared" ref="F6744:F6747" si="395">E6744*D6744</f>
        <v>0</v>
      </c>
      <c r="G6744" s="539"/>
      <c r="H6744" s="121"/>
      <c r="I6744">
        <f>E6744*G6725</f>
        <v>0</v>
      </c>
      <c r="J6744" s="68"/>
      <c r="K6744" s="56"/>
      <c r="L6744" s="56"/>
      <c r="M6744" s="56"/>
      <c r="N6744" s="56"/>
      <c r="O6744" s="56"/>
    </row>
    <row r="6745" spans="1:15">
      <c r="A6745" s="536" t="s">
        <v>8</v>
      </c>
      <c r="B6745" s="537" t="str">
        <f>VLOOKUP(A6745,'Materiales '!$C$2:$F$1302,3,0)</f>
        <v>-</v>
      </c>
      <c r="C6745" s="98" t="str">
        <f>VLOOKUP(A6745,'Materiales '!$C$2:$F$1302,3,0)</f>
        <v>-</v>
      </c>
      <c r="D6745" s="99">
        <f>VLOOKUP(A6745,'Materiales '!$C$2:$F$1302,4,0)</f>
        <v>0</v>
      </c>
      <c r="E6745" s="100"/>
      <c r="F6745" s="538">
        <f t="shared" si="395"/>
        <v>0</v>
      </c>
      <c r="G6745" s="539"/>
      <c r="H6745" s="121"/>
      <c r="I6745">
        <f>E6745*G6725</f>
        <v>0</v>
      </c>
      <c r="J6745" s="68"/>
      <c r="K6745" s="56"/>
      <c r="L6745" s="56"/>
      <c r="M6745" s="56"/>
      <c r="N6745" s="56"/>
      <c r="O6745" s="56"/>
    </row>
    <row r="6746" spans="1:15">
      <c r="A6746" s="536" t="s">
        <v>8</v>
      </c>
      <c r="B6746" s="537" t="str">
        <f>VLOOKUP(A6746,'Materiales '!$C$2:$F$1302,3,0)</f>
        <v>-</v>
      </c>
      <c r="C6746" s="98" t="str">
        <f>VLOOKUP(A6746,'Materiales '!$C$2:$F$1302,3,0)</f>
        <v>-</v>
      </c>
      <c r="D6746" s="99">
        <f>VLOOKUP(A6746,'Materiales '!$C$2:$F$1302,4,0)</f>
        <v>0</v>
      </c>
      <c r="E6746" s="100"/>
      <c r="F6746" s="538">
        <f t="shared" si="395"/>
        <v>0</v>
      </c>
      <c r="G6746" s="539"/>
      <c r="H6746" s="121"/>
      <c r="I6746">
        <f>E6746*G6725</f>
        <v>0</v>
      </c>
      <c r="J6746" s="68"/>
      <c r="K6746" s="56"/>
      <c r="L6746" s="56"/>
      <c r="M6746" s="56"/>
      <c r="N6746" s="56"/>
      <c r="O6746" s="56"/>
    </row>
    <row r="6747" spans="1:15">
      <c r="A6747" s="536" t="s">
        <v>8</v>
      </c>
      <c r="B6747" s="537" t="str">
        <f>VLOOKUP(A6747,'Materiales '!$C$2:$F$1302,3,0)</f>
        <v>-</v>
      </c>
      <c r="C6747" s="98" t="str">
        <f>VLOOKUP(A6747,'Materiales '!$C$2:$F$1302,3,0)</f>
        <v>-</v>
      </c>
      <c r="D6747" s="99">
        <f>VLOOKUP(A6747,'Materiales '!$C$2:$F$1302,4,0)</f>
        <v>0</v>
      </c>
      <c r="E6747" s="100"/>
      <c r="F6747" s="538">
        <f t="shared" si="395"/>
        <v>0</v>
      </c>
      <c r="G6747" s="539"/>
      <c r="H6747" s="121"/>
      <c r="I6747">
        <f>E6747*G6725</f>
        <v>0</v>
      </c>
      <c r="J6747" s="68"/>
      <c r="K6747" s="56"/>
      <c r="L6747" s="56"/>
      <c r="M6747" s="56"/>
      <c r="N6747" s="56"/>
      <c r="O6747" s="56"/>
    </row>
    <row r="6748" spans="1:15">
      <c r="A6748" s="536" t="s">
        <v>8</v>
      </c>
      <c r="B6748" s="537" t="str">
        <f>VLOOKUP(A6748,'Materiales '!$C$2:$F$1302,3,0)</f>
        <v>-</v>
      </c>
      <c r="C6748" s="98" t="str">
        <f>VLOOKUP(A6748,'Materiales '!$C$2:$F$1302,3,0)</f>
        <v>-</v>
      </c>
      <c r="D6748" s="99">
        <f>VLOOKUP(A6748,'Materiales '!$C$2:$F$1302,4,0)</f>
        <v>0</v>
      </c>
      <c r="E6748" s="100"/>
      <c r="F6748" s="538">
        <f>E6748*D6748</f>
        <v>0</v>
      </c>
      <c r="G6748" s="539"/>
      <c r="H6748" s="120"/>
      <c r="I6748">
        <f>E6748*G6725</f>
        <v>0</v>
      </c>
      <c r="J6748" s="68"/>
      <c r="K6748" s="56"/>
      <c r="L6748" s="56"/>
      <c r="M6748" s="56"/>
      <c r="N6748" s="56"/>
      <c r="O6748" s="56"/>
    </row>
    <row r="6749" spans="1:15" ht="16.5">
      <c r="A6749" s="540" t="s">
        <v>4099</v>
      </c>
      <c r="B6749" s="541"/>
      <c r="C6749" s="541"/>
      <c r="D6749" s="541"/>
      <c r="E6749" s="541"/>
      <c r="F6749" s="541"/>
      <c r="G6749" s="542"/>
      <c r="H6749" s="116">
        <f>SUM(F6735:F6748)</f>
        <v>3284.4</v>
      </c>
      <c r="J6749" s="68"/>
      <c r="K6749" s="56"/>
      <c r="L6749" s="56"/>
      <c r="M6749" s="56"/>
      <c r="N6749" s="56"/>
      <c r="O6749" s="56"/>
    </row>
    <row r="6750" spans="1:15" ht="16.5">
      <c r="A6750" s="543" t="s">
        <v>4231</v>
      </c>
      <c r="B6750" s="544"/>
      <c r="C6750" s="544"/>
      <c r="D6750" s="544"/>
      <c r="E6750" s="545"/>
      <c r="F6750" s="544"/>
      <c r="G6750" s="544"/>
      <c r="H6750" s="546"/>
      <c r="J6750" s="68"/>
      <c r="K6750" s="56"/>
      <c r="L6750" s="56"/>
      <c r="M6750" s="56"/>
      <c r="N6750" s="56"/>
      <c r="O6750" s="56"/>
    </row>
    <row r="6751" spans="1:15">
      <c r="A6751" s="547" t="s">
        <v>7</v>
      </c>
      <c r="B6751" s="548"/>
      <c r="C6751" s="108" t="s">
        <v>4232</v>
      </c>
      <c r="D6751" s="107" t="s">
        <v>4233</v>
      </c>
      <c r="E6751" s="206" t="s">
        <v>4234</v>
      </c>
      <c r="F6751" s="549" t="s">
        <v>4218</v>
      </c>
      <c r="G6751" s="549"/>
      <c r="H6751" s="119"/>
      <c r="K6751" s="56"/>
      <c r="L6751" s="56"/>
      <c r="M6751" s="56"/>
      <c r="N6751" s="56"/>
      <c r="O6751" s="56"/>
    </row>
    <row r="6752" spans="1:15">
      <c r="A6752" s="550" t="s">
        <v>3928</v>
      </c>
      <c r="B6752" s="551"/>
      <c r="C6752" s="232">
        <v>1</v>
      </c>
      <c r="D6752" s="102">
        <v>3.0000000000000001E-3</v>
      </c>
      <c r="E6752" s="103">
        <f>VLOOKUP(A6752,'Equip, Herr y Transp'!$B$2:$D$218,3,0)</f>
        <v>160000</v>
      </c>
      <c r="F6752" s="552">
        <f>E6752*D6752*C6752</f>
        <v>480</v>
      </c>
      <c r="G6752" s="553"/>
      <c r="H6752" s="117"/>
      <c r="M6752" s="56"/>
    </row>
    <row r="6753" spans="1:10" ht="16.5">
      <c r="A6753" s="554" t="s">
        <v>4216</v>
      </c>
      <c r="B6753" s="555"/>
      <c r="C6753" s="555"/>
      <c r="D6753" s="555"/>
      <c r="E6753" s="555"/>
      <c r="F6753" s="555"/>
      <c r="G6753" s="555"/>
      <c r="H6753" s="105">
        <f>F6752</f>
        <v>480</v>
      </c>
    </row>
    <row r="6754" spans="1:10" ht="16.5">
      <c r="A6754" s="543" t="s">
        <v>4235</v>
      </c>
      <c r="B6754" s="544"/>
      <c r="C6754" s="544"/>
      <c r="D6754" s="544"/>
      <c r="E6754" s="544"/>
      <c r="F6754" s="544"/>
      <c r="G6754" s="544"/>
      <c r="H6754" s="546"/>
    </row>
    <row r="6755" spans="1:10">
      <c r="A6755" s="547" t="s">
        <v>7</v>
      </c>
      <c r="B6755" s="548"/>
      <c r="C6755" s="106" t="s">
        <v>1</v>
      </c>
      <c r="D6755" s="107" t="s">
        <v>4236</v>
      </c>
      <c r="E6755" s="108" t="s">
        <v>4215</v>
      </c>
      <c r="F6755" s="547" t="s">
        <v>5</v>
      </c>
      <c r="G6755" s="556"/>
      <c r="H6755" s="119"/>
    </row>
    <row r="6756" spans="1:10">
      <c r="A6756" s="550" t="s">
        <v>4196</v>
      </c>
      <c r="B6756" s="551"/>
      <c r="C6756" s="101">
        <v>1</v>
      </c>
      <c r="D6756" s="104">
        <f>VLOOKUP(A6756,'Mano Obra'!$B$2:$T$117,19,0)</f>
        <v>166624</v>
      </c>
      <c r="E6756" s="246">
        <f>H6718</f>
        <v>6.3E-3</v>
      </c>
      <c r="F6756" s="538">
        <f>E6756*D6756*C6756</f>
        <v>1049.7311999999999</v>
      </c>
      <c r="G6756" s="557"/>
      <c r="H6756" s="121"/>
      <c r="I6756" s="69"/>
      <c r="J6756" s="136">
        <f>((('Mano Obra'!$M$4/30)*F6756)/D6756)*G6725</f>
        <v>0</v>
      </c>
    </row>
    <row r="6757" spans="1:10">
      <c r="A6757" s="558" t="s">
        <v>4197</v>
      </c>
      <c r="B6757" s="559">
        <f>VLOOKUP(A6757,'Mano Obra'!$B$3:$D$290,2,0)</f>
        <v>2090000.0000000002</v>
      </c>
      <c r="C6757" s="101">
        <v>1</v>
      </c>
      <c r="D6757" s="104">
        <f>VLOOKUP(A6757,'Mano Obra'!$B$2:$T$117,19,0)</f>
        <v>120456</v>
      </c>
      <c r="E6757" s="246">
        <f>H6718</f>
        <v>6.3E-3</v>
      </c>
      <c r="F6757" s="538">
        <f t="shared" ref="F6757:F6758" si="396">E6757*D6757*C6757</f>
        <v>758.87279999999998</v>
      </c>
      <c r="G6757" s="557"/>
      <c r="H6757" s="121"/>
      <c r="J6757" s="136">
        <f>((('Mano Obra'!$M$5/30)*F6757)/D6757)*G6725</f>
        <v>0</v>
      </c>
    </row>
    <row r="6758" spans="1:10">
      <c r="A6758" s="558" t="s">
        <v>4186</v>
      </c>
      <c r="B6758" s="559">
        <f>VLOOKUP(A6758,'Mano Obra'!$B$3:$D$290,2,0)</f>
        <v>1100000</v>
      </c>
      <c r="C6758" s="101">
        <v>1</v>
      </c>
      <c r="D6758" s="104">
        <f>VLOOKUP(A6758,'Mano Obra'!$B$2:$T$117,19,0)</f>
        <v>72664</v>
      </c>
      <c r="E6758" s="246">
        <f>H6718</f>
        <v>6.3E-3</v>
      </c>
      <c r="F6758" s="538">
        <f t="shared" si="396"/>
        <v>457.78320000000002</v>
      </c>
      <c r="G6758" s="557"/>
      <c r="H6758" s="120"/>
      <c r="J6758" s="136">
        <f>((('Mano Obra'!$M$6/30)*F6758)/D6758)*G6725</f>
        <v>0</v>
      </c>
    </row>
    <row r="6759" spans="1:10" ht="16.5">
      <c r="A6759" s="560" t="s">
        <v>4101</v>
      </c>
      <c r="B6759" s="560"/>
      <c r="C6759" s="560"/>
      <c r="D6759" s="560"/>
      <c r="E6759" s="560"/>
      <c r="F6759" s="560"/>
      <c r="G6759" s="560"/>
      <c r="H6759" s="105">
        <f>SUM(F6756:F6758)</f>
        <v>2266.3871999999997</v>
      </c>
      <c r="J6759" s="136"/>
    </row>
    <row r="6760" spans="1:10">
      <c r="A6760" s="227" t="s">
        <v>4237</v>
      </c>
      <c r="B6760" s="205"/>
      <c r="C6760" s="205"/>
      <c r="D6760" s="202"/>
      <c r="E6760" s="203"/>
      <c r="F6760" s="204"/>
      <c r="G6760" s="203"/>
      <c r="H6760" s="212"/>
    </row>
    <row r="6761" spans="1:10">
      <c r="A6761" s="561" t="s">
        <v>4224</v>
      </c>
      <c r="B6761" s="562"/>
      <c r="C6761" s="562"/>
      <c r="D6761" s="562"/>
      <c r="E6761" s="200"/>
      <c r="F6761" s="201" t="s">
        <v>4238</v>
      </c>
      <c r="G6761" s="200" t="s">
        <v>4239</v>
      </c>
      <c r="H6761" s="213"/>
    </row>
    <row r="6762" spans="1:10">
      <c r="A6762" s="223" t="s">
        <v>4097</v>
      </c>
      <c r="B6762" s="72"/>
      <c r="C6762" s="72"/>
      <c r="D6762" s="73"/>
      <c r="E6762" s="78"/>
      <c r="F6762" s="79">
        <v>0</v>
      </c>
      <c r="G6762" s="80">
        <f>F6762*H6726</f>
        <v>0</v>
      </c>
      <c r="H6762" s="212"/>
    </row>
    <row r="6763" spans="1:10">
      <c r="A6763" s="224" t="s">
        <v>4240</v>
      </c>
      <c r="B6763" s="81"/>
      <c r="C6763" s="81"/>
      <c r="D6763" s="82"/>
      <c r="E6763" s="78"/>
      <c r="F6763" s="79">
        <v>0</v>
      </c>
      <c r="G6763" s="80">
        <f>F6763*H6726</f>
        <v>0</v>
      </c>
      <c r="H6763" s="212"/>
    </row>
    <row r="6764" spans="1:10">
      <c r="A6764" s="224" t="s">
        <v>4</v>
      </c>
      <c r="B6764" s="81"/>
      <c r="C6764" s="81"/>
      <c r="D6764" s="82"/>
      <c r="E6764" s="78"/>
      <c r="F6764" s="79">
        <v>0</v>
      </c>
      <c r="G6764" s="80">
        <f>F6764*H6726</f>
        <v>0</v>
      </c>
      <c r="H6764" s="212"/>
    </row>
    <row r="6765" spans="1:10">
      <c r="A6765" s="225"/>
      <c r="B6765" s="83"/>
      <c r="C6765" s="75"/>
      <c r="D6765" s="84"/>
      <c r="E6765" s="85"/>
      <c r="F6765" s="86"/>
      <c r="G6765" s="87"/>
      <c r="H6765" s="214"/>
    </row>
    <row r="6766" spans="1:10">
      <c r="A6766" s="226"/>
      <c r="B6766" s="83"/>
      <c r="C6766" s="83"/>
      <c r="D6766" s="84"/>
      <c r="E6766" s="88"/>
      <c r="F6766" s="563" t="s">
        <v>4241</v>
      </c>
      <c r="G6766" s="564"/>
      <c r="H6766" s="233">
        <f>H6726+G6762+G6763+G6764</f>
        <v>6119.8061999999991</v>
      </c>
    </row>
    <row r="6767" spans="1:10">
      <c r="A6767" s="83"/>
      <c r="B6767" s="83"/>
      <c r="C6767" s="83"/>
      <c r="D6767" s="84"/>
      <c r="E6767" s="388"/>
      <c r="F6767" s="389"/>
      <c r="G6767" s="389"/>
      <c r="H6767" s="390"/>
    </row>
    <row r="6768" spans="1:10">
      <c r="A6768" s="83"/>
      <c r="B6768" s="83"/>
      <c r="C6768" s="83"/>
      <c r="D6768" s="84"/>
      <c r="E6768" s="388"/>
      <c r="F6768" s="389"/>
      <c r="G6768" s="389"/>
      <c r="H6768" s="390"/>
    </row>
    <row r="6769" spans="1:14">
      <c r="A6769" s="83"/>
      <c r="B6769" s="83"/>
      <c r="C6769" s="83"/>
      <c r="D6769" s="84"/>
      <c r="E6769" s="388"/>
      <c r="F6769" s="389"/>
      <c r="G6769" s="389"/>
      <c r="H6769" s="390"/>
    </row>
    <row r="6770" spans="1:14">
      <c r="A6770" s="579" t="s">
        <v>4225</v>
      </c>
      <c r="B6770" s="580"/>
      <c r="C6770" s="580"/>
      <c r="D6770" s="580"/>
      <c r="E6770" s="580"/>
      <c r="F6770" s="580"/>
      <c r="G6770" s="580"/>
      <c r="H6770" s="581"/>
    </row>
    <row r="6771" spans="1:14" ht="16.5">
      <c r="A6771" s="91"/>
      <c r="B6771" s="92"/>
      <c r="C6771" s="92"/>
      <c r="D6771" s="92"/>
      <c r="E6771" s="92"/>
      <c r="F6771" s="93"/>
      <c r="G6771" s="94"/>
      <c r="H6771" s="380">
        <f>ROUND((3/60)/8,4)</f>
        <v>6.3E-3</v>
      </c>
      <c r="I6771" s="115"/>
    </row>
    <row r="6772" spans="1:14">
      <c r="A6772" s="582" t="s">
        <v>4220</v>
      </c>
      <c r="B6772" s="584" t="str">
        <f>COSTOS!$C$14</f>
        <v>MODERNIZACION A TECNOLOGIA LED</v>
      </c>
      <c r="C6772" s="584"/>
      <c r="D6772" s="584"/>
      <c r="E6772" s="584"/>
      <c r="F6772" s="584"/>
      <c r="G6772" s="584"/>
      <c r="H6772" s="585" t="s">
        <v>4221</v>
      </c>
    </row>
    <row r="6773" spans="1:14">
      <c r="A6773" s="583"/>
      <c r="B6773" s="584"/>
      <c r="C6773" s="584"/>
      <c r="D6773" s="584"/>
      <c r="E6773" s="584"/>
      <c r="F6773" s="584"/>
      <c r="G6773" s="584"/>
      <c r="H6773" s="585"/>
    </row>
    <row r="6774" spans="1:14">
      <c r="A6774" s="583"/>
      <c r="B6774" s="584"/>
      <c r="C6774" s="584"/>
      <c r="D6774" s="584"/>
      <c r="E6774" s="584"/>
      <c r="F6774" s="584"/>
      <c r="G6774" s="584"/>
      <c r="H6774" s="585"/>
    </row>
    <row r="6775" spans="1:14" ht="15" customHeight="1">
      <c r="A6775" s="583"/>
      <c r="B6775" s="584"/>
      <c r="C6775" s="584"/>
      <c r="D6775" s="584"/>
      <c r="E6775" s="584"/>
      <c r="F6775" s="584"/>
      <c r="G6775" s="584"/>
      <c r="H6775" s="216">
        <f ca="1">TODAY()</f>
        <v>44889</v>
      </c>
      <c r="K6775" t="s">
        <v>4391</v>
      </c>
      <c r="L6775" t="s">
        <v>4392</v>
      </c>
      <c r="M6775" t="s">
        <v>4393</v>
      </c>
      <c r="N6775" t="s">
        <v>4394</v>
      </c>
    </row>
    <row r="6776" spans="1:14" ht="60.75" customHeight="1">
      <c r="A6776" s="228" t="s">
        <v>4222</v>
      </c>
      <c r="B6776" s="565" t="str">
        <f>COSTOS!$D$16</f>
        <v>Luminarias</v>
      </c>
      <c r="C6776" s="565"/>
      <c r="D6776" s="565"/>
      <c r="E6776" s="565"/>
      <c r="F6776" s="565"/>
      <c r="G6776" s="70" t="s">
        <v>4223</v>
      </c>
      <c r="H6776" s="391">
        <v>3.18</v>
      </c>
      <c r="K6776" s="62">
        <f>H6802</f>
        <v>2856</v>
      </c>
      <c r="L6776" s="62">
        <f>H6812</f>
        <v>2266.3871999999997</v>
      </c>
      <c r="M6776" s="62">
        <f>H6785</f>
        <v>89.019000000000005</v>
      </c>
      <c r="N6776" s="62">
        <f>H6806</f>
        <v>480</v>
      </c>
    </row>
    <row r="6777" spans="1:14" ht="43.15" customHeight="1">
      <c r="A6777" s="229" t="s">
        <v>4224</v>
      </c>
      <c r="B6777" s="566" t="str">
        <f>VLOOKUP(H6776,COSTOS!C:M,2,0)</f>
        <v>Cable serie 8000 AL #6 x500m</v>
      </c>
      <c r="C6777" s="567"/>
      <c r="D6777" s="567"/>
      <c r="E6777" s="568"/>
      <c r="F6777" s="71" t="s">
        <v>0</v>
      </c>
      <c r="G6777" s="356" t="str">
        <f>VLOOKUP(H6776,COSTOS!C:M,8,0)</f>
        <v>Und</v>
      </c>
      <c r="H6777" s="276"/>
      <c r="I6777" s="306"/>
      <c r="J6777" s="308"/>
      <c r="K6777" s="308"/>
      <c r="L6777" s="308"/>
    </row>
    <row r="6778" spans="1:14">
      <c r="A6778" s="230"/>
      <c r="B6778" s="112"/>
      <c r="C6778" s="112"/>
      <c r="D6778" s="112"/>
      <c r="E6778" s="113"/>
      <c r="F6778" s="114" t="s">
        <v>1</v>
      </c>
      <c r="G6778" s="356">
        <f>VLOOKUP(H6776,COSTOS!C:M,9,0)</f>
        <v>0</v>
      </c>
      <c r="H6778" s="357"/>
      <c r="I6778" s="307"/>
    </row>
    <row r="6779" spans="1:14" ht="16.5">
      <c r="A6779" s="231" t="s">
        <v>4226</v>
      </c>
      <c r="B6779" s="75"/>
      <c r="C6779" s="75"/>
      <c r="D6779" s="76"/>
      <c r="E6779" s="209"/>
      <c r="F6779" s="210"/>
      <c r="G6779" s="211" t="s">
        <v>4227</v>
      </c>
      <c r="H6779" s="217">
        <f>H6785+H6802+H6806+H6812</f>
        <v>5691.4061999999994</v>
      </c>
    </row>
    <row r="6780" spans="1:14" ht="39">
      <c r="A6780" s="569" t="s">
        <v>4224</v>
      </c>
      <c r="B6780" s="569"/>
      <c r="C6780" s="569"/>
      <c r="D6780" s="77" t="s">
        <v>0</v>
      </c>
      <c r="E6780" s="207" t="s">
        <v>4228</v>
      </c>
      <c r="F6780" s="208" t="s">
        <v>4215</v>
      </c>
      <c r="G6780" s="74" t="s">
        <v>2</v>
      </c>
      <c r="H6780" s="218" t="s">
        <v>4229</v>
      </c>
      <c r="K6780" s="309"/>
    </row>
    <row r="6781" spans="1:14">
      <c r="A6781" s="536" t="s">
        <v>3946</v>
      </c>
      <c r="B6781" s="570" t="str">
        <f>VLOOKUP(A6781,'Equip, Herr y Transp'!$B$2:$D$739,2,0)</f>
        <v>EQU</v>
      </c>
      <c r="C6781" s="570"/>
      <c r="D6781" s="95" t="str">
        <f>VLOOKUP(A6781,'Equip, Herr y Transp'!$B$2:$D$218,2,0)</f>
        <v>EQU</v>
      </c>
      <c r="E6781" s="95">
        <f>VLOOKUP(A6781,'Equip, Herr y Transp'!$B$2:$D$218,3,0)</f>
        <v>14130</v>
      </c>
      <c r="F6781" s="96">
        <f>H6771</f>
        <v>6.3E-3</v>
      </c>
      <c r="G6781" s="122">
        <f>F6781*E6781</f>
        <v>89.019000000000005</v>
      </c>
      <c r="H6781" s="118"/>
    </row>
    <row r="6782" spans="1:14">
      <c r="A6782" s="536" t="s">
        <v>8</v>
      </c>
      <c r="B6782" s="570">
        <f>VLOOKUP(A6782,'Equip, Herr y Transp'!$B$2:$D$739,2,0)</f>
        <v>0</v>
      </c>
      <c r="C6782" s="570"/>
      <c r="D6782" s="95">
        <f>VLOOKUP(A6782,'Equip, Herr y Transp'!$B$2:$D$218,2,0)</f>
        <v>0</v>
      </c>
      <c r="E6782" s="95">
        <f>VLOOKUP(A6782,'Equip, Herr y Transp'!$B$2:$D$218,3,0)</f>
        <v>0</v>
      </c>
      <c r="F6782" s="96">
        <f>H6771</f>
        <v>6.3E-3</v>
      </c>
      <c r="G6782" s="122">
        <f>F6782*E6782</f>
        <v>0</v>
      </c>
      <c r="H6782" s="117"/>
    </row>
    <row r="6783" spans="1:14">
      <c r="A6783" s="536" t="s">
        <v>8</v>
      </c>
      <c r="B6783" s="570">
        <f>VLOOKUP(A6783,'Equip, Herr y Transp'!$B$2:$D$739,2,0)</f>
        <v>0</v>
      </c>
      <c r="C6783" s="570"/>
      <c r="D6783" s="95">
        <f>VLOOKUP(A6783,'Equip, Herr y Transp'!$B$2:$D$218,2,0)</f>
        <v>0</v>
      </c>
      <c r="E6783" s="95">
        <f>VLOOKUP(A6783,'Equip, Herr y Transp'!$B$2:$D$218,3,0)</f>
        <v>0</v>
      </c>
      <c r="F6783" s="96">
        <f>H6771</f>
        <v>6.3E-3</v>
      </c>
      <c r="G6783" s="122">
        <f>F6783*E6783</f>
        <v>0</v>
      </c>
      <c r="H6783" s="117"/>
    </row>
    <row r="6784" spans="1:14">
      <c r="A6784" s="536" t="s">
        <v>8</v>
      </c>
      <c r="B6784" s="570">
        <f>VLOOKUP(A6784,'Equip, Herr y Transp'!$B$2:$D$739,2,0)</f>
        <v>0</v>
      </c>
      <c r="C6784" s="570"/>
      <c r="D6784" s="95">
        <f>VLOOKUP(A6784,'Equip, Herr y Transp'!$B$2:$D$218,2,0)</f>
        <v>0</v>
      </c>
      <c r="E6784" s="95">
        <f>VLOOKUP(A6784,'Equip, Herr y Transp'!$B$2:$D$218,3,0)</f>
        <v>0</v>
      </c>
      <c r="F6784" s="96">
        <f>H6771</f>
        <v>6.3E-3</v>
      </c>
      <c r="G6784" s="122">
        <f>F6784*E6784</f>
        <v>0</v>
      </c>
      <c r="H6784" s="117"/>
    </row>
    <row r="6785" spans="1:15" ht="16.5">
      <c r="A6785" s="540" t="s">
        <v>4100</v>
      </c>
      <c r="B6785" s="541"/>
      <c r="C6785" s="541"/>
      <c r="D6785" s="541"/>
      <c r="E6785" s="541"/>
      <c r="F6785" s="541"/>
      <c r="G6785" s="541"/>
      <c r="H6785" s="97">
        <f>SUM(G6781:G6784)</f>
        <v>89.019000000000005</v>
      </c>
    </row>
    <row r="6786" spans="1:15" ht="16.5">
      <c r="A6786" s="571" t="s">
        <v>4230</v>
      </c>
      <c r="B6786" s="572"/>
      <c r="C6786" s="572"/>
      <c r="D6786" s="572"/>
      <c r="E6786" s="572"/>
      <c r="F6786" s="572"/>
      <c r="G6786" s="572"/>
      <c r="H6786" s="573"/>
      <c r="K6786" s="56"/>
      <c r="L6786" s="56"/>
      <c r="M6786" s="56"/>
      <c r="N6786" s="56"/>
      <c r="O6786" s="56"/>
    </row>
    <row r="6787" spans="1:15" ht="30" customHeight="1">
      <c r="A6787" s="574" t="s">
        <v>7</v>
      </c>
      <c r="B6787" s="575"/>
      <c r="C6787" s="109" t="s">
        <v>0</v>
      </c>
      <c r="D6787" s="110" t="s">
        <v>4098</v>
      </c>
      <c r="E6787" s="111" t="s">
        <v>1</v>
      </c>
      <c r="F6787" s="576" t="s">
        <v>4218</v>
      </c>
      <c r="G6787" s="576"/>
      <c r="H6787" s="215"/>
      <c r="K6787" s="56"/>
      <c r="L6787" s="56"/>
      <c r="M6787" s="56"/>
      <c r="N6787" s="56"/>
      <c r="O6787" s="56"/>
    </row>
    <row r="6788" spans="1:15">
      <c r="A6788" s="577" t="s">
        <v>4446</v>
      </c>
      <c r="B6788" s="578"/>
      <c r="C6788" s="98" t="str">
        <f>VLOOKUP(A6788,'Materiales '!$C$2:$F$1302,3,0)</f>
        <v>Ml</v>
      </c>
      <c r="D6788" s="99">
        <f>VLOOKUP(A6788,'Materiales '!$C$2:$F$1302,4,0)</f>
        <v>2856</v>
      </c>
      <c r="E6788" s="100">
        <v>1</v>
      </c>
      <c r="F6788" s="538">
        <f>E6788*D6788</f>
        <v>2856</v>
      </c>
      <c r="G6788" s="539"/>
      <c r="H6788" s="121"/>
      <c r="I6788">
        <f>E6788*G6778</f>
        <v>0</v>
      </c>
      <c r="J6788" s="67"/>
      <c r="K6788" s="56"/>
      <c r="L6788" s="56"/>
      <c r="M6788" s="56"/>
      <c r="N6788" s="56"/>
      <c r="O6788" s="56"/>
    </row>
    <row r="6789" spans="1:15">
      <c r="A6789" s="577" t="s">
        <v>8</v>
      </c>
      <c r="B6789" s="578"/>
      <c r="C6789" s="98" t="str">
        <f>VLOOKUP(A6789,'Materiales '!$C$2:$F$1302,3,0)</f>
        <v>-</v>
      </c>
      <c r="D6789" s="99">
        <f>VLOOKUP(A6789,'Materiales '!$C$2:$F$1302,4,0)</f>
        <v>0</v>
      </c>
      <c r="E6789" s="100"/>
      <c r="F6789" s="538">
        <f t="shared" ref="F6789:F6795" si="397">E6789*D6789</f>
        <v>0</v>
      </c>
      <c r="G6789" s="539"/>
      <c r="H6789" s="121"/>
      <c r="I6789">
        <f>E6789*G6778</f>
        <v>0</v>
      </c>
      <c r="J6789" s="67"/>
      <c r="K6789" s="56"/>
      <c r="L6789" s="56"/>
      <c r="M6789" s="56"/>
      <c r="N6789" s="56"/>
      <c r="O6789" s="56"/>
    </row>
    <row r="6790" spans="1:15">
      <c r="A6790" s="536" t="s">
        <v>8</v>
      </c>
      <c r="B6790" s="537" t="str">
        <f>VLOOKUP(A6790,'Materiales '!$C$2:$F$1302,3,0)</f>
        <v>-</v>
      </c>
      <c r="C6790" s="98" t="str">
        <f>VLOOKUP(A6790,'Materiales '!$C$2:$F$1302,3,0)</f>
        <v>-</v>
      </c>
      <c r="D6790" s="99">
        <f>VLOOKUP(A6790,'Materiales '!$C$2:$F$1302,4,0)</f>
        <v>0</v>
      </c>
      <c r="E6790" s="100"/>
      <c r="F6790" s="538">
        <f t="shared" si="397"/>
        <v>0</v>
      </c>
      <c r="G6790" s="539"/>
      <c r="H6790" s="121"/>
      <c r="I6790">
        <f>E6790*G6778</f>
        <v>0</v>
      </c>
      <c r="J6790" s="68"/>
      <c r="K6790" s="56"/>
      <c r="L6790" s="56"/>
      <c r="M6790" s="56"/>
      <c r="N6790" s="56"/>
      <c r="O6790" s="56"/>
    </row>
    <row r="6791" spans="1:15">
      <c r="A6791" s="536" t="s">
        <v>8</v>
      </c>
      <c r="B6791" s="537" t="str">
        <f>VLOOKUP(A6791,'Materiales '!$C$2:$F$1302,3,0)</f>
        <v>-</v>
      </c>
      <c r="C6791" s="98" t="str">
        <f>VLOOKUP(A6791,'Materiales '!$C$2:$F$1302,3,0)</f>
        <v>-</v>
      </c>
      <c r="D6791" s="99">
        <f>VLOOKUP(A6791,'Materiales '!$C$2:$F$1302,4,0)</f>
        <v>0</v>
      </c>
      <c r="E6791" s="100"/>
      <c r="F6791" s="538">
        <f t="shared" si="397"/>
        <v>0</v>
      </c>
      <c r="G6791" s="539"/>
      <c r="H6791" s="121"/>
      <c r="I6791">
        <f>E6791*G6778</f>
        <v>0</v>
      </c>
      <c r="J6791" s="68"/>
      <c r="K6791" s="56"/>
      <c r="L6791" s="56"/>
      <c r="M6791" s="56"/>
      <c r="N6791" s="56"/>
      <c r="O6791" s="56"/>
    </row>
    <row r="6792" spans="1:15">
      <c r="A6792" s="536" t="s">
        <v>8</v>
      </c>
      <c r="B6792" s="537" t="str">
        <f>VLOOKUP(A6792,'Materiales '!$C$2:$F$1302,3,0)</f>
        <v>-</v>
      </c>
      <c r="C6792" s="98" t="str">
        <f>VLOOKUP(A6792,'Materiales '!$C$2:$F$1302,3,0)</f>
        <v>-</v>
      </c>
      <c r="D6792" s="99">
        <f>VLOOKUP(A6792,'Materiales '!$C$2:$F$1302,4,0)</f>
        <v>0</v>
      </c>
      <c r="E6792" s="100"/>
      <c r="F6792" s="538">
        <f t="shared" si="397"/>
        <v>0</v>
      </c>
      <c r="G6792" s="539"/>
      <c r="H6792" s="121"/>
      <c r="I6792">
        <f>E6792*G6778</f>
        <v>0</v>
      </c>
      <c r="J6792" s="68"/>
      <c r="K6792" s="56"/>
      <c r="L6792" s="56"/>
      <c r="M6792" s="56"/>
      <c r="N6792" s="56"/>
      <c r="O6792" s="56"/>
    </row>
    <row r="6793" spans="1:15">
      <c r="A6793" s="536" t="s">
        <v>8</v>
      </c>
      <c r="B6793" s="537" t="str">
        <f>VLOOKUP(A6793,'Materiales '!$C$2:$F$1302,3,0)</f>
        <v>-</v>
      </c>
      <c r="C6793" s="98" t="str">
        <f>VLOOKUP(A6793,'Materiales '!$C$2:$F$1302,3,0)</f>
        <v>-</v>
      </c>
      <c r="D6793" s="99">
        <f>VLOOKUP(A6793,'Materiales '!$C$2:$F$1302,4,0)</f>
        <v>0</v>
      </c>
      <c r="E6793" s="100"/>
      <c r="F6793" s="538">
        <f t="shared" si="397"/>
        <v>0</v>
      </c>
      <c r="G6793" s="539"/>
      <c r="H6793" s="121"/>
      <c r="I6793">
        <f>E6793*G6778</f>
        <v>0</v>
      </c>
      <c r="J6793" s="68"/>
      <c r="K6793" s="56"/>
      <c r="L6793" s="56"/>
      <c r="M6793" s="56"/>
      <c r="N6793" s="56"/>
      <c r="O6793" s="56"/>
    </row>
    <row r="6794" spans="1:15">
      <c r="A6794" s="536" t="s">
        <v>8</v>
      </c>
      <c r="B6794" s="537" t="str">
        <f>VLOOKUP(A6794,'Materiales '!$C$2:$F$1302,3,0)</f>
        <v>-</v>
      </c>
      <c r="C6794" s="98" t="str">
        <f>VLOOKUP(A6794,'Materiales '!$C$2:$F$1302,3,0)</f>
        <v>-</v>
      </c>
      <c r="D6794" s="99">
        <f>VLOOKUP(A6794,'Materiales '!$C$2:$F$1302,4,0)</f>
        <v>0</v>
      </c>
      <c r="E6794" s="100"/>
      <c r="F6794" s="538">
        <f t="shared" si="397"/>
        <v>0</v>
      </c>
      <c r="G6794" s="539"/>
      <c r="H6794" s="121"/>
      <c r="I6794">
        <f>E6794*G6778</f>
        <v>0</v>
      </c>
      <c r="J6794" s="68"/>
      <c r="K6794" s="56"/>
      <c r="L6794" s="56"/>
      <c r="M6794" s="56"/>
      <c r="N6794" s="56"/>
      <c r="O6794" s="56"/>
    </row>
    <row r="6795" spans="1:15" ht="21.75" customHeight="1">
      <c r="A6795" s="536" t="s">
        <v>8</v>
      </c>
      <c r="B6795" s="537" t="str">
        <f>VLOOKUP(A6795,'Materiales '!$C$2:$F$1302,3,0)</f>
        <v>-</v>
      </c>
      <c r="C6795" s="98" t="str">
        <f>VLOOKUP(A6795,'Materiales '!$C$2:$F$1302,3,0)</f>
        <v>-</v>
      </c>
      <c r="D6795" s="99">
        <f>VLOOKUP(A6795,'Materiales '!$C$2:$F$1302,4,0)</f>
        <v>0</v>
      </c>
      <c r="E6795" s="100"/>
      <c r="F6795" s="538">
        <f t="shared" si="397"/>
        <v>0</v>
      </c>
      <c r="G6795" s="539"/>
      <c r="H6795" s="121"/>
      <c r="I6795">
        <f>E6795*G6778</f>
        <v>0</v>
      </c>
      <c r="J6795" s="68"/>
      <c r="K6795" s="56"/>
      <c r="L6795" s="56"/>
      <c r="M6795" s="56"/>
      <c r="N6795" s="56"/>
      <c r="O6795" s="56"/>
    </row>
    <row r="6796" spans="1:15">
      <c r="A6796" s="536" t="s">
        <v>8</v>
      </c>
      <c r="B6796" s="537" t="str">
        <f>VLOOKUP(A6796,'Materiales '!$C$2:$F$1302,3,0)</f>
        <v>-</v>
      </c>
      <c r="C6796" s="98" t="str">
        <f>VLOOKUP(A6796,'Materiales '!$C$2:$F$1302,3,0)</f>
        <v>-</v>
      </c>
      <c r="D6796" s="99">
        <f>VLOOKUP(A6796,'Materiales '!$C$2:$F$1302,4,0)</f>
        <v>0</v>
      </c>
      <c r="E6796" s="100"/>
      <c r="F6796" s="538">
        <f>E6796*D6796</f>
        <v>0</v>
      </c>
      <c r="G6796" s="539"/>
      <c r="H6796" s="120"/>
      <c r="I6796">
        <f>E6796*G6778</f>
        <v>0</v>
      </c>
      <c r="J6796" s="68"/>
      <c r="K6796" s="56"/>
      <c r="L6796" s="56"/>
      <c r="M6796" s="56"/>
      <c r="N6796" s="56"/>
      <c r="O6796" s="56"/>
    </row>
    <row r="6797" spans="1:15">
      <c r="A6797" s="536" t="s">
        <v>8</v>
      </c>
      <c r="B6797" s="537" t="str">
        <f>VLOOKUP(A6797,'Materiales '!$C$2:$F$1302,3,0)</f>
        <v>-</v>
      </c>
      <c r="C6797" s="98" t="str">
        <f>VLOOKUP(A6797,'Materiales '!$C$2:$F$1302,3,0)</f>
        <v>-</v>
      </c>
      <c r="D6797" s="99">
        <f>VLOOKUP(A6797,'Materiales '!$C$2:$F$1302,4,0)</f>
        <v>0</v>
      </c>
      <c r="E6797" s="100"/>
      <c r="F6797" s="538">
        <f t="shared" ref="F6797:F6800" si="398">E6797*D6797</f>
        <v>0</v>
      </c>
      <c r="G6797" s="539"/>
      <c r="H6797" s="121"/>
      <c r="I6797">
        <f>E6797*G6778</f>
        <v>0</v>
      </c>
      <c r="J6797" s="68"/>
      <c r="K6797" s="56"/>
      <c r="L6797" s="56"/>
      <c r="M6797" s="56"/>
      <c r="N6797" s="56"/>
      <c r="O6797" s="56"/>
    </row>
    <row r="6798" spans="1:15">
      <c r="A6798" s="536" t="s">
        <v>8</v>
      </c>
      <c r="B6798" s="537" t="str">
        <f>VLOOKUP(A6798,'Materiales '!$C$2:$F$1302,3,0)</f>
        <v>-</v>
      </c>
      <c r="C6798" s="98" t="str">
        <f>VLOOKUP(A6798,'Materiales '!$C$2:$F$1302,3,0)</f>
        <v>-</v>
      </c>
      <c r="D6798" s="99">
        <f>VLOOKUP(A6798,'Materiales '!$C$2:$F$1302,4,0)</f>
        <v>0</v>
      </c>
      <c r="E6798" s="100"/>
      <c r="F6798" s="538">
        <f t="shared" si="398"/>
        <v>0</v>
      </c>
      <c r="G6798" s="539"/>
      <c r="H6798" s="121"/>
      <c r="I6798">
        <f>E6798*G6778</f>
        <v>0</v>
      </c>
      <c r="J6798" s="68"/>
      <c r="K6798" s="56"/>
      <c r="L6798" s="56"/>
      <c r="M6798" s="56"/>
      <c r="N6798" s="56"/>
      <c r="O6798" s="56"/>
    </row>
    <row r="6799" spans="1:15">
      <c r="A6799" s="536" t="s">
        <v>8</v>
      </c>
      <c r="B6799" s="537" t="str">
        <f>VLOOKUP(A6799,'Materiales '!$C$2:$F$1302,3,0)</f>
        <v>-</v>
      </c>
      <c r="C6799" s="98" t="str">
        <f>VLOOKUP(A6799,'Materiales '!$C$2:$F$1302,3,0)</f>
        <v>-</v>
      </c>
      <c r="D6799" s="99">
        <f>VLOOKUP(A6799,'Materiales '!$C$2:$F$1302,4,0)</f>
        <v>0</v>
      </c>
      <c r="E6799" s="100"/>
      <c r="F6799" s="538">
        <f t="shared" si="398"/>
        <v>0</v>
      </c>
      <c r="G6799" s="539"/>
      <c r="H6799" s="121"/>
      <c r="I6799">
        <f>E6799*G6778</f>
        <v>0</v>
      </c>
      <c r="J6799" s="68"/>
      <c r="K6799" s="56"/>
      <c r="L6799" s="56"/>
      <c r="M6799" s="56"/>
      <c r="N6799" s="56"/>
      <c r="O6799" s="56"/>
    </row>
    <row r="6800" spans="1:15">
      <c r="A6800" s="536" t="s">
        <v>8</v>
      </c>
      <c r="B6800" s="537" t="str">
        <f>VLOOKUP(A6800,'Materiales '!$C$2:$F$1302,3,0)</f>
        <v>-</v>
      </c>
      <c r="C6800" s="98" t="str">
        <f>VLOOKUP(A6800,'Materiales '!$C$2:$F$1302,3,0)</f>
        <v>-</v>
      </c>
      <c r="D6800" s="99">
        <f>VLOOKUP(A6800,'Materiales '!$C$2:$F$1302,4,0)</f>
        <v>0</v>
      </c>
      <c r="E6800" s="100"/>
      <c r="F6800" s="538">
        <f t="shared" si="398"/>
        <v>0</v>
      </c>
      <c r="G6800" s="539"/>
      <c r="H6800" s="121"/>
      <c r="I6800">
        <f>E6800*G6778</f>
        <v>0</v>
      </c>
      <c r="J6800" s="68"/>
      <c r="K6800" s="56"/>
      <c r="L6800" s="56"/>
      <c r="M6800" s="56"/>
      <c r="N6800" s="56"/>
      <c r="O6800" s="56"/>
    </row>
    <row r="6801" spans="1:15">
      <c r="A6801" s="536" t="s">
        <v>8</v>
      </c>
      <c r="B6801" s="537" t="str">
        <f>VLOOKUP(A6801,'Materiales '!$C$2:$F$1302,3,0)</f>
        <v>-</v>
      </c>
      <c r="C6801" s="98" t="str">
        <f>VLOOKUP(A6801,'Materiales '!$C$2:$F$1302,3,0)</f>
        <v>-</v>
      </c>
      <c r="D6801" s="99">
        <f>VLOOKUP(A6801,'Materiales '!$C$2:$F$1302,4,0)</f>
        <v>0</v>
      </c>
      <c r="E6801" s="100"/>
      <c r="F6801" s="538">
        <f>E6801*D6801</f>
        <v>0</v>
      </c>
      <c r="G6801" s="539"/>
      <c r="H6801" s="120"/>
      <c r="I6801">
        <f>E6801*G6778</f>
        <v>0</v>
      </c>
      <c r="J6801" s="68"/>
      <c r="K6801" s="56"/>
      <c r="L6801" s="56"/>
      <c r="M6801" s="56"/>
      <c r="N6801" s="56"/>
      <c r="O6801" s="56"/>
    </row>
    <row r="6802" spans="1:15" ht="16.5">
      <c r="A6802" s="540" t="s">
        <v>4099</v>
      </c>
      <c r="B6802" s="541"/>
      <c r="C6802" s="541"/>
      <c r="D6802" s="541"/>
      <c r="E6802" s="541"/>
      <c r="F6802" s="541"/>
      <c r="G6802" s="542"/>
      <c r="H6802" s="116">
        <f>SUM(F6788:F6801)</f>
        <v>2856</v>
      </c>
      <c r="J6802" s="68"/>
      <c r="K6802" s="56"/>
      <c r="L6802" s="56"/>
      <c r="M6802" s="56"/>
      <c r="N6802" s="56"/>
      <c r="O6802" s="56"/>
    </row>
    <row r="6803" spans="1:15" ht="16.5">
      <c r="A6803" s="543" t="s">
        <v>4231</v>
      </c>
      <c r="B6803" s="544"/>
      <c r="C6803" s="544"/>
      <c r="D6803" s="544"/>
      <c r="E6803" s="545"/>
      <c r="F6803" s="544"/>
      <c r="G6803" s="544"/>
      <c r="H6803" s="546"/>
      <c r="J6803" s="68"/>
      <c r="K6803" s="56"/>
      <c r="L6803" s="56"/>
      <c r="M6803" s="56"/>
      <c r="N6803" s="56"/>
      <c r="O6803" s="56"/>
    </row>
    <row r="6804" spans="1:15">
      <c r="A6804" s="547" t="s">
        <v>7</v>
      </c>
      <c r="B6804" s="548"/>
      <c r="C6804" s="108" t="s">
        <v>4232</v>
      </c>
      <c r="D6804" s="107" t="s">
        <v>4233</v>
      </c>
      <c r="E6804" s="206" t="s">
        <v>4234</v>
      </c>
      <c r="F6804" s="549" t="s">
        <v>4218</v>
      </c>
      <c r="G6804" s="549"/>
      <c r="H6804" s="119"/>
      <c r="K6804" s="56"/>
      <c r="L6804" s="56"/>
      <c r="M6804" s="56"/>
      <c r="N6804" s="56"/>
      <c r="O6804" s="56"/>
    </row>
    <row r="6805" spans="1:15">
      <c r="A6805" s="550" t="s">
        <v>3928</v>
      </c>
      <c r="B6805" s="551"/>
      <c r="C6805" s="232">
        <v>1</v>
      </c>
      <c r="D6805" s="102">
        <v>3.0000000000000001E-3</v>
      </c>
      <c r="E6805" s="103">
        <f>VLOOKUP(A6805,'Equip, Herr y Transp'!$B$2:$D$218,3,0)</f>
        <v>160000</v>
      </c>
      <c r="F6805" s="552">
        <f>E6805*D6805*C6805</f>
        <v>480</v>
      </c>
      <c r="G6805" s="553"/>
      <c r="H6805" s="117"/>
      <c r="M6805" s="56"/>
    </row>
    <row r="6806" spans="1:15" ht="16.5">
      <c r="A6806" s="554" t="s">
        <v>4216</v>
      </c>
      <c r="B6806" s="555"/>
      <c r="C6806" s="555"/>
      <c r="D6806" s="555"/>
      <c r="E6806" s="555"/>
      <c r="F6806" s="555"/>
      <c r="G6806" s="555"/>
      <c r="H6806" s="105">
        <f>F6805</f>
        <v>480</v>
      </c>
    </row>
    <row r="6807" spans="1:15" ht="16.5">
      <c r="A6807" s="543" t="s">
        <v>4235</v>
      </c>
      <c r="B6807" s="544"/>
      <c r="C6807" s="544"/>
      <c r="D6807" s="544"/>
      <c r="E6807" s="544"/>
      <c r="F6807" s="544"/>
      <c r="G6807" s="544"/>
      <c r="H6807" s="546"/>
    </row>
    <row r="6808" spans="1:15">
      <c r="A6808" s="547" t="s">
        <v>7</v>
      </c>
      <c r="B6808" s="548"/>
      <c r="C6808" s="106" t="s">
        <v>1</v>
      </c>
      <c r="D6808" s="107" t="s">
        <v>4236</v>
      </c>
      <c r="E6808" s="108" t="s">
        <v>4215</v>
      </c>
      <c r="F6808" s="547" t="s">
        <v>5</v>
      </c>
      <c r="G6808" s="556"/>
      <c r="H6808" s="119"/>
    </row>
    <row r="6809" spans="1:15">
      <c r="A6809" s="550" t="s">
        <v>4196</v>
      </c>
      <c r="B6809" s="551"/>
      <c r="C6809" s="101">
        <v>1</v>
      </c>
      <c r="D6809" s="104">
        <f>VLOOKUP(A6809,'Mano Obra'!$B$2:$T$117,19,0)</f>
        <v>166624</v>
      </c>
      <c r="E6809" s="246">
        <f>H6771</f>
        <v>6.3E-3</v>
      </c>
      <c r="F6809" s="538">
        <f>E6809*D6809*C6809</f>
        <v>1049.7311999999999</v>
      </c>
      <c r="G6809" s="557"/>
      <c r="H6809" s="121"/>
      <c r="I6809" s="69"/>
      <c r="J6809" s="136">
        <f>((('Mano Obra'!$M$4/30)*F6809)/D6809)*G6778</f>
        <v>0</v>
      </c>
    </row>
    <row r="6810" spans="1:15">
      <c r="A6810" s="558" t="s">
        <v>4197</v>
      </c>
      <c r="B6810" s="559">
        <f>VLOOKUP(A6810,'Mano Obra'!$B$3:$D$290,2,0)</f>
        <v>2090000.0000000002</v>
      </c>
      <c r="C6810" s="101">
        <v>1</v>
      </c>
      <c r="D6810" s="104">
        <f>VLOOKUP(A6810,'Mano Obra'!$B$2:$T$117,19,0)</f>
        <v>120456</v>
      </c>
      <c r="E6810" s="246">
        <f>H6771</f>
        <v>6.3E-3</v>
      </c>
      <c r="F6810" s="538">
        <f t="shared" ref="F6810:F6811" si="399">E6810*D6810*C6810</f>
        <v>758.87279999999998</v>
      </c>
      <c r="G6810" s="557"/>
      <c r="H6810" s="121"/>
      <c r="J6810" s="136">
        <f>((('Mano Obra'!$M$5/30)*F6810)/D6810)*G6778</f>
        <v>0</v>
      </c>
    </row>
    <row r="6811" spans="1:15">
      <c r="A6811" s="558" t="s">
        <v>4186</v>
      </c>
      <c r="B6811" s="559">
        <f>VLOOKUP(A6811,'Mano Obra'!$B$3:$D$290,2,0)</f>
        <v>1100000</v>
      </c>
      <c r="C6811" s="101">
        <v>1</v>
      </c>
      <c r="D6811" s="104">
        <f>VLOOKUP(A6811,'Mano Obra'!$B$2:$T$117,19,0)</f>
        <v>72664</v>
      </c>
      <c r="E6811" s="246">
        <f>H6771</f>
        <v>6.3E-3</v>
      </c>
      <c r="F6811" s="538">
        <f t="shared" si="399"/>
        <v>457.78320000000002</v>
      </c>
      <c r="G6811" s="557"/>
      <c r="H6811" s="120"/>
      <c r="J6811" s="136">
        <f>((('Mano Obra'!$M$6/30)*F6811)/D6811)*G6778</f>
        <v>0</v>
      </c>
    </row>
    <row r="6812" spans="1:15" ht="16.5">
      <c r="A6812" s="560" t="s">
        <v>4101</v>
      </c>
      <c r="B6812" s="560"/>
      <c r="C6812" s="560"/>
      <c r="D6812" s="560"/>
      <c r="E6812" s="560"/>
      <c r="F6812" s="560"/>
      <c r="G6812" s="560"/>
      <c r="H6812" s="105">
        <f>SUM(F6809:F6811)</f>
        <v>2266.3871999999997</v>
      </c>
      <c r="J6812" s="136"/>
    </row>
    <row r="6813" spans="1:15">
      <c r="A6813" s="227" t="s">
        <v>4237</v>
      </c>
      <c r="B6813" s="205"/>
      <c r="C6813" s="205"/>
      <c r="D6813" s="202"/>
      <c r="E6813" s="203"/>
      <c r="F6813" s="204"/>
      <c r="G6813" s="203"/>
      <c r="H6813" s="212"/>
    </row>
    <row r="6814" spans="1:15">
      <c r="A6814" s="561" t="s">
        <v>4224</v>
      </c>
      <c r="B6814" s="562"/>
      <c r="C6814" s="562"/>
      <c r="D6814" s="562"/>
      <c r="E6814" s="200"/>
      <c r="F6814" s="201" t="s">
        <v>4238</v>
      </c>
      <c r="G6814" s="200" t="s">
        <v>4239</v>
      </c>
      <c r="H6814" s="213"/>
    </row>
    <row r="6815" spans="1:15">
      <c r="A6815" s="223" t="s">
        <v>4097</v>
      </c>
      <c r="B6815" s="72"/>
      <c r="C6815" s="72"/>
      <c r="D6815" s="73"/>
      <c r="E6815" s="78"/>
      <c r="F6815" s="79">
        <v>0</v>
      </c>
      <c r="G6815" s="80">
        <f>F6815*H6779</f>
        <v>0</v>
      </c>
      <c r="H6815" s="212"/>
    </row>
    <row r="6816" spans="1:15">
      <c r="A6816" s="224" t="s">
        <v>4240</v>
      </c>
      <c r="B6816" s="81"/>
      <c r="C6816" s="81"/>
      <c r="D6816" s="82"/>
      <c r="E6816" s="78"/>
      <c r="F6816" s="79">
        <v>0</v>
      </c>
      <c r="G6816" s="80">
        <f>F6816*H6779</f>
        <v>0</v>
      </c>
      <c r="H6816" s="212"/>
    </row>
    <row r="6817" spans="1:14">
      <c r="A6817" s="224" t="s">
        <v>4</v>
      </c>
      <c r="B6817" s="81"/>
      <c r="C6817" s="81"/>
      <c r="D6817" s="82"/>
      <c r="E6817" s="78"/>
      <c r="F6817" s="79">
        <v>0</v>
      </c>
      <c r="G6817" s="80">
        <f>F6817*H6779</f>
        <v>0</v>
      </c>
      <c r="H6817" s="212"/>
    </row>
    <row r="6818" spans="1:14">
      <c r="A6818" s="225"/>
      <c r="B6818" s="83"/>
      <c r="C6818" s="75"/>
      <c r="D6818" s="84"/>
      <c r="E6818" s="85"/>
      <c r="F6818" s="86"/>
      <c r="G6818" s="87"/>
      <c r="H6818" s="214"/>
    </row>
    <row r="6819" spans="1:14">
      <c r="A6819" s="226"/>
      <c r="B6819" s="83"/>
      <c r="C6819" s="83"/>
      <c r="D6819" s="84"/>
      <c r="E6819" s="88"/>
      <c r="F6819" s="563" t="s">
        <v>4241</v>
      </c>
      <c r="G6819" s="564"/>
      <c r="H6819" s="233">
        <f>H6779+G6815+G6816+G6817</f>
        <v>5691.4061999999994</v>
      </c>
    </row>
    <row r="6820" spans="1:14">
      <c r="A6820" s="83"/>
      <c r="B6820" s="83"/>
      <c r="C6820" s="83"/>
      <c r="D6820" s="84"/>
      <c r="E6820" s="388"/>
      <c r="F6820" s="389"/>
      <c r="G6820" s="389"/>
      <c r="H6820" s="402"/>
    </row>
    <row r="6821" spans="1:14" ht="16.5">
      <c r="A6821" s="90"/>
      <c r="B6821" s="90"/>
      <c r="C6821" s="90"/>
      <c r="D6821" s="90"/>
      <c r="E6821" s="90"/>
      <c r="F6821" s="90"/>
      <c r="G6821" s="90"/>
      <c r="H6821" s="381"/>
    </row>
    <row r="6822" spans="1:14">
      <c r="A6822" s="579" t="s">
        <v>4225</v>
      </c>
      <c r="B6822" s="580"/>
      <c r="C6822" s="580"/>
      <c r="D6822" s="580"/>
      <c r="E6822" s="580"/>
      <c r="F6822" s="580"/>
      <c r="G6822" s="580"/>
      <c r="H6822" s="581"/>
    </row>
    <row r="6823" spans="1:14" ht="16.5">
      <c r="A6823" s="91"/>
      <c r="B6823" s="92"/>
      <c r="C6823" s="92"/>
      <c r="D6823" s="92"/>
      <c r="E6823" s="92"/>
      <c r="F6823" s="93"/>
      <c r="G6823" s="94"/>
      <c r="H6823" s="380">
        <f>ROUND((5/60)/8,4)</f>
        <v>1.04E-2</v>
      </c>
      <c r="I6823" s="115"/>
    </row>
    <row r="6824" spans="1:14">
      <c r="A6824" s="582" t="s">
        <v>4220</v>
      </c>
      <c r="B6824" s="584" t="str">
        <f>COSTOS!$C$14</f>
        <v>MODERNIZACION A TECNOLOGIA LED</v>
      </c>
      <c r="C6824" s="584"/>
      <c r="D6824" s="584"/>
      <c r="E6824" s="584"/>
      <c r="F6824" s="584"/>
      <c r="G6824" s="584"/>
      <c r="H6824" s="585" t="s">
        <v>4221</v>
      </c>
    </row>
    <row r="6825" spans="1:14">
      <c r="A6825" s="583"/>
      <c r="B6825" s="584"/>
      <c r="C6825" s="584"/>
      <c r="D6825" s="584"/>
      <c r="E6825" s="584"/>
      <c r="F6825" s="584"/>
      <c r="G6825" s="584"/>
      <c r="H6825" s="585"/>
    </row>
    <row r="6826" spans="1:14">
      <c r="A6826" s="583"/>
      <c r="B6826" s="584"/>
      <c r="C6826" s="584"/>
      <c r="D6826" s="584"/>
      <c r="E6826" s="584"/>
      <c r="F6826" s="584"/>
      <c r="G6826" s="584"/>
      <c r="H6826" s="585"/>
    </row>
    <row r="6827" spans="1:14" ht="15" customHeight="1">
      <c r="A6827" s="583"/>
      <c r="B6827" s="584"/>
      <c r="C6827" s="584"/>
      <c r="D6827" s="584"/>
      <c r="E6827" s="584"/>
      <c r="F6827" s="584"/>
      <c r="G6827" s="584"/>
      <c r="H6827" s="216">
        <f ca="1">TODAY()</f>
        <v>44889</v>
      </c>
      <c r="K6827" t="s">
        <v>4391</v>
      </c>
      <c r="L6827" t="s">
        <v>4392</v>
      </c>
      <c r="M6827" t="s">
        <v>4393</v>
      </c>
      <c r="N6827" t="s">
        <v>4394</v>
      </c>
    </row>
    <row r="6828" spans="1:14" ht="60.75" customHeight="1">
      <c r="A6828" s="228" t="s">
        <v>4222</v>
      </c>
      <c r="B6828" s="565" t="str">
        <f>COSTOS!$D$16</f>
        <v>Luminarias</v>
      </c>
      <c r="C6828" s="565"/>
      <c r="D6828" s="565"/>
      <c r="E6828" s="565"/>
      <c r="F6828" s="565"/>
      <c r="G6828" s="70" t="s">
        <v>4223</v>
      </c>
      <c r="H6828" s="391">
        <v>3.19</v>
      </c>
      <c r="K6828" s="62">
        <f>H6854</f>
        <v>13137.6</v>
      </c>
      <c r="L6828" s="62">
        <f>H6864</f>
        <v>3741.3375999999998</v>
      </c>
      <c r="M6828" s="62">
        <f>H6837</f>
        <v>146.952</v>
      </c>
      <c r="N6828" s="62">
        <f>H6858</f>
        <v>800</v>
      </c>
    </row>
    <row r="6829" spans="1:14" ht="43.15" customHeight="1">
      <c r="A6829" s="229" t="s">
        <v>4224</v>
      </c>
      <c r="B6829" s="566" t="str">
        <f>VLOOKUP(H6828,COSTOS!C:M,2,0)</f>
        <v>Red canalizada en cable aluminio 4 No 4 x500m</v>
      </c>
      <c r="C6829" s="567"/>
      <c r="D6829" s="567"/>
      <c r="E6829" s="568"/>
      <c r="F6829" s="71" t="s">
        <v>0</v>
      </c>
      <c r="G6829" s="356" t="str">
        <f>VLOOKUP(H6828,COSTOS!C:M,8,0)</f>
        <v>Und</v>
      </c>
      <c r="H6829" s="276"/>
      <c r="I6829" s="306"/>
      <c r="J6829" s="308"/>
      <c r="K6829" s="308"/>
      <c r="L6829" s="308"/>
    </row>
    <row r="6830" spans="1:14">
      <c r="A6830" s="230"/>
      <c r="B6830" s="112"/>
      <c r="C6830" s="112"/>
      <c r="D6830" s="112"/>
      <c r="E6830" s="113"/>
      <c r="F6830" s="114" t="s">
        <v>1</v>
      </c>
      <c r="G6830" s="356">
        <f>VLOOKUP(H6828,COSTOS!C:M,9,0)</f>
        <v>1</v>
      </c>
      <c r="H6830" s="357"/>
      <c r="I6830" s="307"/>
    </row>
    <row r="6831" spans="1:14" ht="16.5">
      <c r="A6831" s="231" t="s">
        <v>4226</v>
      </c>
      <c r="B6831" s="75"/>
      <c r="C6831" s="75"/>
      <c r="D6831" s="76"/>
      <c r="E6831" s="209"/>
      <c r="F6831" s="210"/>
      <c r="G6831" s="211" t="s">
        <v>4227</v>
      </c>
      <c r="H6831" s="217">
        <f>H6837+H6854+H6858+H6864</f>
        <v>17825.889599999999</v>
      </c>
    </row>
    <row r="6832" spans="1:14" ht="39">
      <c r="A6832" s="569" t="s">
        <v>4224</v>
      </c>
      <c r="B6832" s="569"/>
      <c r="C6832" s="569"/>
      <c r="D6832" s="77" t="s">
        <v>0</v>
      </c>
      <c r="E6832" s="207" t="s">
        <v>4228</v>
      </c>
      <c r="F6832" s="208" t="s">
        <v>4215</v>
      </c>
      <c r="G6832" s="74" t="s">
        <v>2</v>
      </c>
      <c r="H6832" s="218" t="s">
        <v>4229</v>
      </c>
      <c r="K6832" s="309"/>
    </row>
    <row r="6833" spans="1:15">
      <c r="A6833" s="536" t="s">
        <v>3946</v>
      </c>
      <c r="B6833" s="570" t="str">
        <f>VLOOKUP(A6833,'Equip, Herr y Transp'!$B$2:$D$739,2,0)</f>
        <v>EQU</v>
      </c>
      <c r="C6833" s="570"/>
      <c r="D6833" s="95" t="str">
        <f>VLOOKUP(A6833,'Equip, Herr y Transp'!$B$2:$D$218,2,0)</f>
        <v>EQU</v>
      </c>
      <c r="E6833" s="95">
        <f>VLOOKUP(A6833,'Equip, Herr y Transp'!$B$2:$D$218,3,0)</f>
        <v>14130</v>
      </c>
      <c r="F6833" s="96">
        <f>H6823</f>
        <v>1.04E-2</v>
      </c>
      <c r="G6833" s="122">
        <f>F6833*E6833</f>
        <v>146.952</v>
      </c>
      <c r="H6833" s="118"/>
    </row>
    <row r="6834" spans="1:15">
      <c r="A6834" s="536" t="s">
        <v>8</v>
      </c>
      <c r="B6834" s="570">
        <f>VLOOKUP(A6834,'Equip, Herr y Transp'!$B$2:$D$739,2,0)</f>
        <v>0</v>
      </c>
      <c r="C6834" s="570"/>
      <c r="D6834" s="95">
        <f>VLOOKUP(A6834,'Equip, Herr y Transp'!$B$2:$D$218,2,0)</f>
        <v>0</v>
      </c>
      <c r="E6834" s="95">
        <f>VLOOKUP(A6834,'Equip, Herr y Transp'!$B$2:$D$218,3,0)</f>
        <v>0</v>
      </c>
      <c r="F6834" s="96">
        <f>H6823</f>
        <v>1.04E-2</v>
      </c>
      <c r="G6834" s="122">
        <f>F6834*E6834</f>
        <v>0</v>
      </c>
      <c r="H6834" s="117"/>
    </row>
    <row r="6835" spans="1:15">
      <c r="A6835" s="536" t="s">
        <v>8</v>
      </c>
      <c r="B6835" s="570">
        <f>VLOOKUP(A6835,'Equip, Herr y Transp'!$B$2:$D$739,2,0)</f>
        <v>0</v>
      </c>
      <c r="C6835" s="570"/>
      <c r="D6835" s="95">
        <f>VLOOKUP(A6835,'Equip, Herr y Transp'!$B$2:$D$218,2,0)</f>
        <v>0</v>
      </c>
      <c r="E6835" s="95">
        <f>VLOOKUP(A6835,'Equip, Herr y Transp'!$B$2:$D$218,3,0)</f>
        <v>0</v>
      </c>
      <c r="F6835" s="96">
        <f>H6823</f>
        <v>1.04E-2</v>
      </c>
      <c r="G6835" s="122">
        <f>F6835*E6835</f>
        <v>0</v>
      </c>
      <c r="H6835" s="117"/>
    </row>
    <row r="6836" spans="1:15">
      <c r="A6836" s="536" t="s">
        <v>8</v>
      </c>
      <c r="B6836" s="570">
        <f>VLOOKUP(A6836,'Equip, Herr y Transp'!$B$2:$D$739,2,0)</f>
        <v>0</v>
      </c>
      <c r="C6836" s="570"/>
      <c r="D6836" s="95">
        <f>VLOOKUP(A6836,'Equip, Herr y Transp'!$B$2:$D$218,2,0)</f>
        <v>0</v>
      </c>
      <c r="E6836" s="95">
        <f>VLOOKUP(A6836,'Equip, Herr y Transp'!$B$2:$D$218,3,0)</f>
        <v>0</v>
      </c>
      <c r="F6836" s="96">
        <f>H6823</f>
        <v>1.04E-2</v>
      </c>
      <c r="G6836" s="122">
        <f>F6836*E6836</f>
        <v>0</v>
      </c>
      <c r="H6836" s="117"/>
    </row>
    <row r="6837" spans="1:15" ht="16.5">
      <c r="A6837" s="540" t="s">
        <v>4100</v>
      </c>
      <c r="B6837" s="541"/>
      <c r="C6837" s="541"/>
      <c r="D6837" s="541"/>
      <c r="E6837" s="541"/>
      <c r="F6837" s="541"/>
      <c r="G6837" s="541"/>
      <c r="H6837" s="97">
        <f>SUM(G6833:G6836)</f>
        <v>146.952</v>
      </c>
    </row>
    <row r="6838" spans="1:15" ht="16.5">
      <c r="A6838" s="571" t="s">
        <v>4230</v>
      </c>
      <c r="B6838" s="572"/>
      <c r="C6838" s="572"/>
      <c r="D6838" s="572"/>
      <c r="E6838" s="572"/>
      <c r="F6838" s="572"/>
      <c r="G6838" s="572"/>
      <c r="H6838" s="573"/>
      <c r="K6838" s="56"/>
      <c r="L6838" s="56"/>
      <c r="M6838" s="56"/>
      <c r="N6838" s="56"/>
      <c r="O6838" s="56"/>
    </row>
    <row r="6839" spans="1:15" ht="30" customHeight="1">
      <c r="A6839" s="574" t="s">
        <v>7</v>
      </c>
      <c r="B6839" s="575"/>
      <c r="C6839" s="109" t="s">
        <v>0</v>
      </c>
      <c r="D6839" s="110" t="s">
        <v>4098</v>
      </c>
      <c r="E6839" s="111" t="s">
        <v>1</v>
      </c>
      <c r="F6839" s="576" t="s">
        <v>4218</v>
      </c>
      <c r="G6839" s="576"/>
      <c r="H6839" s="215"/>
      <c r="K6839" s="56"/>
      <c r="L6839" s="56"/>
      <c r="M6839" s="56"/>
      <c r="N6839" s="56"/>
      <c r="O6839" s="56"/>
    </row>
    <row r="6840" spans="1:15">
      <c r="A6840" s="577" t="s">
        <v>4444</v>
      </c>
      <c r="B6840" s="578"/>
      <c r="C6840" s="98" t="str">
        <f>VLOOKUP(A6840,'Materiales '!$C$2:$F$1302,3,0)</f>
        <v>Ml</v>
      </c>
      <c r="D6840" s="99">
        <f>VLOOKUP(A6840,'Materiales '!$C$2:$F$1302,4,0)</f>
        <v>3284.4</v>
      </c>
      <c r="E6840" s="100">
        <v>4</v>
      </c>
      <c r="F6840" s="538">
        <f>E6840*D6840</f>
        <v>13137.6</v>
      </c>
      <c r="G6840" s="539"/>
      <c r="H6840" s="121"/>
      <c r="I6840">
        <f>E6840*G6830</f>
        <v>4</v>
      </c>
      <c r="J6840" s="67"/>
      <c r="K6840" s="56"/>
      <c r="L6840" s="56"/>
      <c r="M6840" s="56"/>
      <c r="N6840" s="56"/>
      <c r="O6840" s="56"/>
    </row>
    <row r="6841" spans="1:15">
      <c r="A6841" s="577" t="s">
        <v>8</v>
      </c>
      <c r="B6841" s="578"/>
      <c r="C6841" s="98" t="str">
        <f>VLOOKUP(A6841,'Materiales '!$C$2:$F$1302,3,0)</f>
        <v>-</v>
      </c>
      <c r="D6841" s="99">
        <f>VLOOKUP(A6841,'Materiales '!$C$2:$F$1302,4,0)</f>
        <v>0</v>
      </c>
      <c r="E6841" s="100"/>
      <c r="F6841" s="538">
        <f t="shared" ref="F6841:F6847" si="400">E6841*D6841</f>
        <v>0</v>
      </c>
      <c r="G6841" s="539"/>
      <c r="H6841" s="121"/>
      <c r="I6841">
        <f>E6841*G6830</f>
        <v>0</v>
      </c>
      <c r="J6841" s="67"/>
      <c r="K6841" s="56"/>
      <c r="L6841" s="56"/>
      <c r="M6841" s="56"/>
      <c r="N6841" s="56"/>
      <c r="O6841" s="56"/>
    </row>
    <row r="6842" spans="1:15">
      <c r="A6842" s="536" t="s">
        <v>8</v>
      </c>
      <c r="B6842" s="537" t="str">
        <f>VLOOKUP(A6842,'Materiales '!$C$2:$F$1302,3,0)</f>
        <v>-</v>
      </c>
      <c r="C6842" s="98" t="str">
        <f>VLOOKUP(A6842,'Materiales '!$C$2:$F$1302,3,0)</f>
        <v>-</v>
      </c>
      <c r="D6842" s="99">
        <f>VLOOKUP(A6842,'Materiales '!$C$2:$F$1302,4,0)</f>
        <v>0</v>
      </c>
      <c r="E6842" s="100"/>
      <c r="F6842" s="538">
        <f t="shared" si="400"/>
        <v>0</v>
      </c>
      <c r="G6842" s="539"/>
      <c r="H6842" s="121"/>
      <c r="I6842">
        <f>E6842*G6830</f>
        <v>0</v>
      </c>
      <c r="J6842" s="68"/>
      <c r="K6842" s="56"/>
      <c r="L6842" s="56"/>
      <c r="M6842" s="56"/>
      <c r="N6842" s="56"/>
      <c r="O6842" s="56"/>
    </row>
    <row r="6843" spans="1:15">
      <c r="A6843" s="536" t="s">
        <v>8</v>
      </c>
      <c r="B6843" s="537" t="str">
        <f>VLOOKUP(A6843,'Materiales '!$C$2:$F$1302,3,0)</f>
        <v>-</v>
      </c>
      <c r="C6843" s="98" t="str">
        <f>VLOOKUP(A6843,'Materiales '!$C$2:$F$1302,3,0)</f>
        <v>-</v>
      </c>
      <c r="D6843" s="99">
        <f>VLOOKUP(A6843,'Materiales '!$C$2:$F$1302,4,0)</f>
        <v>0</v>
      </c>
      <c r="E6843" s="100"/>
      <c r="F6843" s="538">
        <f t="shared" si="400"/>
        <v>0</v>
      </c>
      <c r="G6843" s="539"/>
      <c r="H6843" s="121"/>
      <c r="I6843">
        <f>E6843*G6830</f>
        <v>0</v>
      </c>
      <c r="J6843" s="68"/>
      <c r="K6843" s="56"/>
      <c r="L6843" s="56"/>
      <c r="M6843" s="56"/>
      <c r="N6843" s="56"/>
      <c r="O6843" s="56"/>
    </row>
    <row r="6844" spans="1:15">
      <c r="A6844" s="536" t="s">
        <v>8</v>
      </c>
      <c r="B6844" s="537" t="str">
        <f>VLOOKUP(A6844,'Materiales '!$C$2:$F$1302,3,0)</f>
        <v>-</v>
      </c>
      <c r="C6844" s="98" t="str">
        <f>VLOOKUP(A6844,'Materiales '!$C$2:$F$1302,3,0)</f>
        <v>-</v>
      </c>
      <c r="D6844" s="99">
        <f>VLOOKUP(A6844,'Materiales '!$C$2:$F$1302,4,0)</f>
        <v>0</v>
      </c>
      <c r="E6844" s="100"/>
      <c r="F6844" s="538">
        <f t="shared" si="400"/>
        <v>0</v>
      </c>
      <c r="G6844" s="539"/>
      <c r="H6844" s="121"/>
      <c r="I6844">
        <f>E6844*G6830</f>
        <v>0</v>
      </c>
      <c r="J6844" s="68"/>
      <c r="K6844" s="56"/>
      <c r="L6844" s="56"/>
      <c r="M6844" s="56"/>
      <c r="N6844" s="56"/>
      <c r="O6844" s="56"/>
    </row>
    <row r="6845" spans="1:15">
      <c r="A6845" s="536" t="s">
        <v>8</v>
      </c>
      <c r="B6845" s="537" t="str">
        <f>VLOOKUP(A6845,'Materiales '!$C$2:$F$1302,3,0)</f>
        <v>-</v>
      </c>
      <c r="C6845" s="98" t="str">
        <f>VLOOKUP(A6845,'Materiales '!$C$2:$F$1302,3,0)</f>
        <v>-</v>
      </c>
      <c r="D6845" s="99">
        <f>VLOOKUP(A6845,'Materiales '!$C$2:$F$1302,4,0)</f>
        <v>0</v>
      </c>
      <c r="E6845" s="100"/>
      <c r="F6845" s="538">
        <f t="shared" si="400"/>
        <v>0</v>
      </c>
      <c r="G6845" s="539"/>
      <c r="H6845" s="121"/>
      <c r="I6845">
        <f>E6845*G6830</f>
        <v>0</v>
      </c>
      <c r="J6845" s="68"/>
      <c r="K6845" s="56"/>
      <c r="L6845" s="56"/>
      <c r="M6845" s="56"/>
      <c r="N6845" s="56"/>
      <c r="O6845" s="56"/>
    </row>
    <row r="6846" spans="1:15">
      <c r="A6846" s="536" t="s">
        <v>8</v>
      </c>
      <c r="B6846" s="537" t="str">
        <f>VLOOKUP(A6846,'Materiales '!$C$2:$F$1302,3,0)</f>
        <v>-</v>
      </c>
      <c r="C6846" s="98" t="str">
        <f>VLOOKUP(A6846,'Materiales '!$C$2:$F$1302,3,0)</f>
        <v>-</v>
      </c>
      <c r="D6846" s="99">
        <f>VLOOKUP(A6846,'Materiales '!$C$2:$F$1302,4,0)</f>
        <v>0</v>
      </c>
      <c r="E6846" s="100"/>
      <c r="F6846" s="538">
        <f t="shared" si="400"/>
        <v>0</v>
      </c>
      <c r="G6846" s="539"/>
      <c r="H6846" s="121"/>
      <c r="I6846">
        <f>E6846*G6830</f>
        <v>0</v>
      </c>
      <c r="J6846" s="68"/>
      <c r="K6846" s="56"/>
      <c r="L6846" s="56"/>
      <c r="M6846" s="56"/>
      <c r="N6846" s="56"/>
      <c r="O6846" s="56"/>
    </row>
    <row r="6847" spans="1:15" ht="21.75" customHeight="1">
      <c r="A6847" s="536" t="s">
        <v>8</v>
      </c>
      <c r="B6847" s="537" t="str">
        <f>VLOOKUP(A6847,'Materiales '!$C$2:$F$1302,3,0)</f>
        <v>-</v>
      </c>
      <c r="C6847" s="98" t="str">
        <f>VLOOKUP(A6847,'Materiales '!$C$2:$F$1302,3,0)</f>
        <v>-</v>
      </c>
      <c r="D6847" s="99">
        <f>VLOOKUP(A6847,'Materiales '!$C$2:$F$1302,4,0)</f>
        <v>0</v>
      </c>
      <c r="E6847" s="100"/>
      <c r="F6847" s="538">
        <f t="shared" si="400"/>
        <v>0</v>
      </c>
      <c r="G6847" s="539"/>
      <c r="H6847" s="121"/>
      <c r="I6847">
        <f>E6847*G6830</f>
        <v>0</v>
      </c>
      <c r="J6847" s="68"/>
      <c r="K6847" s="56"/>
      <c r="L6847" s="56"/>
      <c r="M6847" s="56"/>
      <c r="N6847" s="56"/>
      <c r="O6847" s="56"/>
    </row>
    <row r="6848" spans="1:15">
      <c r="A6848" s="536" t="s">
        <v>8</v>
      </c>
      <c r="B6848" s="537" t="str">
        <f>VLOOKUP(A6848,'Materiales '!$C$2:$F$1302,3,0)</f>
        <v>-</v>
      </c>
      <c r="C6848" s="98" t="str">
        <f>VLOOKUP(A6848,'Materiales '!$C$2:$F$1302,3,0)</f>
        <v>-</v>
      </c>
      <c r="D6848" s="99">
        <f>VLOOKUP(A6848,'Materiales '!$C$2:$F$1302,4,0)</f>
        <v>0</v>
      </c>
      <c r="E6848" s="100"/>
      <c r="F6848" s="538">
        <f>E6848*D6848</f>
        <v>0</v>
      </c>
      <c r="G6848" s="539"/>
      <c r="H6848" s="120"/>
      <c r="I6848">
        <f>E6848*G6830</f>
        <v>0</v>
      </c>
      <c r="J6848" s="68"/>
      <c r="K6848" s="56"/>
      <c r="L6848" s="56"/>
      <c r="M6848" s="56"/>
      <c r="N6848" s="56"/>
      <c r="O6848" s="56"/>
    </row>
    <row r="6849" spans="1:15">
      <c r="A6849" s="536" t="s">
        <v>8</v>
      </c>
      <c r="B6849" s="537" t="str">
        <f>VLOOKUP(A6849,'Materiales '!$C$2:$F$1302,3,0)</f>
        <v>-</v>
      </c>
      <c r="C6849" s="98" t="str">
        <f>VLOOKUP(A6849,'Materiales '!$C$2:$F$1302,3,0)</f>
        <v>-</v>
      </c>
      <c r="D6849" s="99">
        <f>VLOOKUP(A6849,'Materiales '!$C$2:$F$1302,4,0)</f>
        <v>0</v>
      </c>
      <c r="E6849" s="100"/>
      <c r="F6849" s="538">
        <f t="shared" ref="F6849:F6852" si="401">E6849*D6849</f>
        <v>0</v>
      </c>
      <c r="G6849" s="539"/>
      <c r="H6849" s="121"/>
      <c r="I6849">
        <f>E6849*G6830</f>
        <v>0</v>
      </c>
      <c r="J6849" s="68"/>
      <c r="K6849" s="56"/>
      <c r="L6849" s="56"/>
      <c r="M6849" s="56"/>
      <c r="N6849" s="56"/>
      <c r="O6849" s="56"/>
    </row>
    <row r="6850" spans="1:15">
      <c r="A6850" s="536" t="s">
        <v>8</v>
      </c>
      <c r="B6850" s="537" t="str">
        <f>VLOOKUP(A6850,'Materiales '!$C$2:$F$1302,3,0)</f>
        <v>-</v>
      </c>
      <c r="C6850" s="98" t="str">
        <f>VLOOKUP(A6850,'Materiales '!$C$2:$F$1302,3,0)</f>
        <v>-</v>
      </c>
      <c r="D6850" s="99">
        <f>VLOOKUP(A6850,'Materiales '!$C$2:$F$1302,4,0)</f>
        <v>0</v>
      </c>
      <c r="E6850" s="100"/>
      <c r="F6850" s="538">
        <f t="shared" si="401"/>
        <v>0</v>
      </c>
      <c r="G6850" s="539"/>
      <c r="H6850" s="121"/>
      <c r="I6850">
        <f>E6850*G6830</f>
        <v>0</v>
      </c>
      <c r="J6850" s="68"/>
      <c r="K6850" s="56"/>
      <c r="L6850" s="56"/>
      <c r="M6850" s="56"/>
      <c r="N6850" s="56"/>
      <c r="O6850" s="56"/>
    </row>
    <row r="6851" spans="1:15">
      <c r="A6851" s="536" t="s">
        <v>8</v>
      </c>
      <c r="B6851" s="537" t="str">
        <f>VLOOKUP(A6851,'Materiales '!$C$2:$F$1302,3,0)</f>
        <v>-</v>
      </c>
      <c r="C6851" s="98" t="str">
        <f>VLOOKUP(A6851,'Materiales '!$C$2:$F$1302,3,0)</f>
        <v>-</v>
      </c>
      <c r="D6851" s="99">
        <f>VLOOKUP(A6851,'Materiales '!$C$2:$F$1302,4,0)</f>
        <v>0</v>
      </c>
      <c r="E6851" s="100"/>
      <c r="F6851" s="538">
        <f t="shared" si="401"/>
        <v>0</v>
      </c>
      <c r="G6851" s="539"/>
      <c r="H6851" s="121"/>
      <c r="I6851">
        <f>E6851*G6830</f>
        <v>0</v>
      </c>
      <c r="J6851" s="68"/>
      <c r="K6851" s="56"/>
      <c r="L6851" s="56"/>
      <c r="M6851" s="56"/>
      <c r="N6851" s="56"/>
      <c r="O6851" s="56"/>
    </row>
    <row r="6852" spans="1:15">
      <c r="A6852" s="536" t="s">
        <v>8</v>
      </c>
      <c r="B6852" s="537" t="str">
        <f>VLOOKUP(A6852,'Materiales '!$C$2:$F$1302,3,0)</f>
        <v>-</v>
      </c>
      <c r="C6852" s="98" t="str">
        <f>VLOOKUP(A6852,'Materiales '!$C$2:$F$1302,3,0)</f>
        <v>-</v>
      </c>
      <c r="D6852" s="99">
        <f>VLOOKUP(A6852,'Materiales '!$C$2:$F$1302,4,0)</f>
        <v>0</v>
      </c>
      <c r="E6852" s="100"/>
      <c r="F6852" s="538">
        <f t="shared" si="401"/>
        <v>0</v>
      </c>
      <c r="G6852" s="539"/>
      <c r="H6852" s="121"/>
      <c r="I6852">
        <f>E6852*G6830</f>
        <v>0</v>
      </c>
      <c r="J6852" s="68"/>
      <c r="K6852" s="56"/>
      <c r="L6852" s="56"/>
      <c r="M6852" s="56"/>
      <c r="N6852" s="56"/>
      <c r="O6852" s="56"/>
    </row>
    <row r="6853" spans="1:15">
      <c r="A6853" s="536" t="s">
        <v>8</v>
      </c>
      <c r="B6853" s="537" t="str">
        <f>VLOOKUP(A6853,'Materiales '!$C$2:$F$1302,3,0)</f>
        <v>-</v>
      </c>
      <c r="C6853" s="98" t="str">
        <f>VLOOKUP(A6853,'Materiales '!$C$2:$F$1302,3,0)</f>
        <v>-</v>
      </c>
      <c r="D6853" s="99">
        <f>VLOOKUP(A6853,'Materiales '!$C$2:$F$1302,4,0)</f>
        <v>0</v>
      </c>
      <c r="E6853" s="100"/>
      <c r="F6853" s="538">
        <f>E6853*D6853</f>
        <v>0</v>
      </c>
      <c r="G6853" s="539"/>
      <c r="H6853" s="120"/>
      <c r="I6853">
        <f>E6853*G6830</f>
        <v>0</v>
      </c>
      <c r="J6853" s="68"/>
      <c r="K6853" s="56"/>
      <c r="L6853" s="56"/>
      <c r="M6853" s="56"/>
      <c r="N6853" s="56"/>
      <c r="O6853" s="56"/>
    </row>
    <row r="6854" spans="1:15" ht="16.5">
      <c r="A6854" s="540" t="s">
        <v>4099</v>
      </c>
      <c r="B6854" s="541"/>
      <c r="C6854" s="541"/>
      <c r="D6854" s="541"/>
      <c r="E6854" s="541"/>
      <c r="F6854" s="541"/>
      <c r="G6854" s="542"/>
      <c r="H6854" s="116">
        <f>SUM(F6840:F6853)</f>
        <v>13137.6</v>
      </c>
      <c r="J6854" s="68"/>
      <c r="K6854" s="56"/>
      <c r="L6854" s="56"/>
      <c r="M6854" s="56"/>
      <c r="N6854" s="56"/>
      <c r="O6854" s="56"/>
    </row>
    <row r="6855" spans="1:15" ht="16.5">
      <c r="A6855" s="543" t="s">
        <v>4231</v>
      </c>
      <c r="B6855" s="544"/>
      <c r="C6855" s="544"/>
      <c r="D6855" s="544"/>
      <c r="E6855" s="545"/>
      <c r="F6855" s="544"/>
      <c r="G6855" s="544"/>
      <c r="H6855" s="546"/>
      <c r="J6855" s="68"/>
      <c r="K6855" s="56"/>
      <c r="L6855" s="56"/>
      <c r="M6855" s="56"/>
      <c r="N6855" s="56"/>
      <c r="O6855" s="56"/>
    </row>
    <row r="6856" spans="1:15">
      <c r="A6856" s="547" t="s">
        <v>7</v>
      </c>
      <c r="B6856" s="548"/>
      <c r="C6856" s="108" t="s">
        <v>4232</v>
      </c>
      <c r="D6856" s="107" t="s">
        <v>4233</v>
      </c>
      <c r="E6856" s="206" t="s">
        <v>4234</v>
      </c>
      <c r="F6856" s="549" t="s">
        <v>4218</v>
      </c>
      <c r="G6856" s="549"/>
      <c r="H6856" s="119"/>
      <c r="K6856" s="56"/>
      <c r="L6856" s="56"/>
      <c r="M6856" s="56"/>
      <c r="N6856" s="56"/>
      <c r="O6856" s="56"/>
    </row>
    <row r="6857" spans="1:15">
      <c r="A6857" s="550" t="s">
        <v>3928</v>
      </c>
      <c r="B6857" s="551"/>
      <c r="C6857" s="232">
        <v>1</v>
      </c>
      <c r="D6857" s="102">
        <v>5.0000000000000001E-3</v>
      </c>
      <c r="E6857" s="103">
        <f>VLOOKUP(A6857,'Equip, Herr y Transp'!$B$2:$D$218,3,0)</f>
        <v>160000</v>
      </c>
      <c r="F6857" s="552">
        <f>E6857*D6857*C6857</f>
        <v>800</v>
      </c>
      <c r="G6857" s="553"/>
      <c r="H6857" s="117"/>
      <c r="M6857" s="56"/>
    </row>
    <row r="6858" spans="1:15" ht="16.5">
      <c r="A6858" s="554" t="s">
        <v>4216</v>
      </c>
      <c r="B6858" s="555"/>
      <c r="C6858" s="555"/>
      <c r="D6858" s="555"/>
      <c r="E6858" s="555"/>
      <c r="F6858" s="555"/>
      <c r="G6858" s="555"/>
      <c r="H6858" s="105">
        <f>F6857</f>
        <v>800</v>
      </c>
    </row>
    <row r="6859" spans="1:15" ht="16.5">
      <c r="A6859" s="543" t="s">
        <v>4235</v>
      </c>
      <c r="B6859" s="544"/>
      <c r="C6859" s="544"/>
      <c r="D6859" s="544"/>
      <c r="E6859" s="544"/>
      <c r="F6859" s="544"/>
      <c r="G6859" s="544"/>
      <c r="H6859" s="546"/>
    </row>
    <row r="6860" spans="1:15">
      <c r="A6860" s="547" t="s">
        <v>7</v>
      </c>
      <c r="B6860" s="548"/>
      <c r="C6860" s="106" t="s">
        <v>1</v>
      </c>
      <c r="D6860" s="107" t="s">
        <v>4236</v>
      </c>
      <c r="E6860" s="108" t="s">
        <v>4215</v>
      </c>
      <c r="F6860" s="547" t="s">
        <v>5</v>
      </c>
      <c r="G6860" s="556"/>
      <c r="H6860" s="119"/>
    </row>
    <row r="6861" spans="1:15">
      <c r="A6861" s="550" t="s">
        <v>4196</v>
      </c>
      <c r="B6861" s="551"/>
      <c r="C6861" s="101">
        <v>1</v>
      </c>
      <c r="D6861" s="104">
        <f>VLOOKUP(A6861,'Mano Obra'!$B$2:$T$117,19,0)</f>
        <v>166624</v>
      </c>
      <c r="E6861" s="246">
        <f>H6823</f>
        <v>1.04E-2</v>
      </c>
      <c r="F6861" s="538">
        <f>E6861*D6861*C6861</f>
        <v>1732.8896</v>
      </c>
      <c r="G6861" s="557"/>
      <c r="H6861" s="121"/>
      <c r="I6861" s="69"/>
      <c r="J6861" s="136">
        <f>((('Mano Obra'!$M$4/30)*F6861)/D6861)*G6830</f>
        <v>112.53627435555556</v>
      </c>
    </row>
    <row r="6862" spans="1:15">
      <c r="A6862" s="558" t="s">
        <v>4197</v>
      </c>
      <c r="B6862" s="559">
        <f>VLOOKUP(A6862,'Mano Obra'!$B$3:$D$290,2,0)</f>
        <v>2090000.0000000002</v>
      </c>
      <c r="C6862" s="101">
        <v>1</v>
      </c>
      <c r="D6862" s="104">
        <f>VLOOKUP(A6862,'Mano Obra'!$B$2:$T$117,19,0)</f>
        <v>120456</v>
      </c>
      <c r="E6862" s="246">
        <f>H6823</f>
        <v>1.04E-2</v>
      </c>
      <c r="F6862" s="538">
        <f t="shared" ref="F6862:F6863" si="402">E6862*D6862*C6862</f>
        <v>1252.7423999999999</v>
      </c>
      <c r="G6862" s="557"/>
      <c r="H6862" s="121"/>
      <c r="J6862" s="136">
        <f>((('Mano Obra'!$M$5/30)*F6862)/D6862)*G6830</f>
        <v>112.53627435555553</v>
      </c>
    </row>
    <row r="6863" spans="1:15">
      <c r="A6863" s="558" t="s">
        <v>4186</v>
      </c>
      <c r="B6863" s="559">
        <f>VLOOKUP(A6863,'Mano Obra'!$B$3:$D$290,2,0)</f>
        <v>1100000</v>
      </c>
      <c r="C6863" s="101">
        <v>1</v>
      </c>
      <c r="D6863" s="104">
        <f>VLOOKUP(A6863,'Mano Obra'!$B$2:$T$117,19,0)</f>
        <v>72664</v>
      </c>
      <c r="E6863" s="246">
        <f>H6823</f>
        <v>1.04E-2</v>
      </c>
      <c r="F6863" s="538">
        <f t="shared" si="402"/>
        <v>755.7056</v>
      </c>
      <c r="G6863" s="557"/>
      <c r="H6863" s="120"/>
      <c r="J6863" s="136">
        <f>((('Mano Obra'!$M$6/30)*F6863)/D6863)*G6830</f>
        <v>112.53627435555555</v>
      </c>
    </row>
    <row r="6864" spans="1:15" ht="16.5">
      <c r="A6864" s="560" t="s">
        <v>4101</v>
      </c>
      <c r="B6864" s="560"/>
      <c r="C6864" s="560"/>
      <c r="D6864" s="560"/>
      <c r="E6864" s="560"/>
      <c r="F6864" s="560"/>
      <c r="G6864" s="560"/>
      <c r="H6864" s="105">
        <f>SUM(F6861:F6863)</f>
        <v>3741.3375999999998</v>
      </c>
      <c r="J6864" s="136"/>
    </row>
    <row r="6865" spans="1:14">
      <c r="A6865" s="227" t="s">
        <v>4237</v>
      </c>
      <c r="B6865" s="205"/>
      <c r="C6865" s="205"/>
      <c r="D6865" s="202"/>
      <c r="E6865" s="203"/>
      <c r="F6865" s="204"/>
      <c r="G6865" s="203"/>
      <c r="H6865" s="212"/>
    </row>
    <row r="6866" spans="1:14">
      <c r="A6866" s="561" t="s">
        <v>4224</v>
      </c>
      <c r="B6866" s="562"/>
      <c r="C6866" s="562"/>
      <c r="D6866" s="562"/>
      <c r="E6866" s="200"/>
      <c r="F6866" s="201" t="s">
        <v>4238</v>
      </c>
      <c r="G6866" s="200" t="s">
        <v>4239</v>
      </c>
      <c r="H6866" s="213"/>
    </row>
    <row r="6867" spans="1:14">
      <c r="A6867" s="223" t="s">
        <v>4097</v>
      </c>
      <c r="B6867" s="72"/>
      <c r="C6867" s="72"/>
      <c r="D6867" s="73"/>
      <c r="E6867" s="78"/>
      <c r="F6867" s="79">
        <v>0</v>
      </c>
      <c r="G6867" s="80">
        <f>F6867*H6831</f>
        <v>0</v>
      </c>
      <c r="H6867" s="212"/>
    </row>
    <row r="6868" spans="1:14">
      <c r="A6868" s="224" t="s">
        <v>4240</v>
      </c>
      <c r="B6868" s="81"/>
      <c r="C6868" s="81"/>
      <c r="D6868" s="82"/>
      <c r="E6868" s="78"/>
      <c r="F6868" s="79">
        <v>0</v>
      </c>
      <c r="G6868" s="80">
        <f>F6868*H6831</f>
        <v>0</v>
      </c>
      <c r="H6868" s="212"/>
    </row>
    <row r="6869" spans="1:14">
      <c r="A6869" s="224" t="s">
        <v>4</v>
      </c>
      <c r="B6869" s="81"/>
      <c r="C6869" s="81"/>
      <c r="D6869" s="82"/>
      <c r="E6869" s="78"/>
      <c r="F6869" s="79">
        <v>0</v>
      </c>
      <c r="G6869" s="80">
        <f>F6869*H6831</f>
        <v>0</v>
      </c>
      <c r="H6869" s="212"/>
    </row>
    <row r="6870" spans="1:14">
      <c r="A6870" s="225"/>
      <c r="B6870" s="83"/>
      <c r="C6870" s="75"/>
      <c r="D6870" s="84"/>
      <c r="E6870" s="85"/>
      <c r="F6870" s="86"/>
      <c r="G6870" s="87"/>
      <c r="H6870" s="214"/>
    </row>
    <row r="6871" spans="1:14">
      <c r="A6871" s="226"/>
      <c r="B6871" s="83"/>
      <c r="C6871" s="83"/>
      <c r="D6871" s="84"/>
      <c r="E6871" s="88"/>
      <c r="F6871" s="563" t="s">
        <v>4241</v>
      </c>
      <c r="G6871" s="564"/>
      <c r="H6871" s="233">
        <f>H6831+G6867+G6868+G6869</f>
        <v>17825.889599999999</v>
      </c>
    </row>
    <row r="6873" spans="1:14" ht="16.5">
      <c r="A6873" s="90"/>
      <c r="B6873" s="90"/>
      <c r="C6873" s="90"/>
      <c r="D6873" s="90"/>
      <c r="E6873" s="90"/>
      <c r="F6873" s="90"/>
      <c r="G6873" s="90"/>
      <c r="H6873" s="381"/>
    </row>
    <row r="6874" spans="1:14">
      <c r="A6874" s="579" t="s">
        <v>4225</v>
      </c>
      <c r="B6874" s="580"/>
      <c r="C6874" s="580"/>
      <c r="D6874" s="580"/>
      <c r="E6874" s="580"/>
      <c r="F6874" s="580"/>
      <c r="G6874" s="580"/>
      <c r="H6874" s="581"/>
    </row>
    <row r="6875" spans="1:14" ht="16.5">
      <c r="A6875" s="91"/>
      <c r="B6875" s="92"/>
      <c r="C6875" s="92"/>
      <c r="D6875" s="92"/>
      <c r="E6875" s="92"/>
      <c r="F6875" s="93"/>
      <c r="G6875" s="94"/>
      <c r="H6875" s="380">
        <f>ROUND((8/60)/8,4)</f>
        <v>1.67E-2</v>
      </c>
      <c r="I6875" s="115"/>
    </row>
    <row r="6876" spans="1:14">
      <c r="A6876" s="582" t="s">
        <v>4220</v>
      </c>
      <c r="B6876" s="584" t="str">
        <f>COSTOS!$C$14</f>
        <v>MODERNIZACION A TECNOLOGIA LED</v>
      </c>
      <c r="C6876" s="584"/>
      <c r="D6876" s="584"/>
      <c r="E6876" s="584"/>
      <c r="F6876" s="584"/>
      <c r="G6876" s="584"/>
      <c r="H6876" s="585" t="s">
        <v>4221</v>
      </c>
    </row>
    <row r="6877" spans="1:14">
      <c r="A6877" s="583"/>
      <c r="B6877" s="584"/>
      <c r="C6877" s="584"/>
      <c r="D6877" s="584"/>
      <c r="E6877" s="584"/>
      <c r="F6877" s="584"/>
      <c r="G6877" s="584"/>
      <c r="H6877" s="585"/>
    </row>
    <row r="6878" spans="1:14">
      <c r="A6878" s="583"/>
      <c r="B6878" s="584"/>
      <c r="C6878" s="584"/>
      <c r="D6878" s="584"/>
      <c r="E6878" s="584"/>
      <c r="F6878" s="584"/>
      <c r="G6878" s="584"/>
      <c r="H6878" s="585"/>
    </row>
    <row r="6879" spans="1:14" ht="15" customHeight="1">
      <c r="A6879" s="583"/>
      <c r="B6879" s="584"/>
      <c r="C6879" s="584"/>
      <c r="D6879" s="584"/>
      <c r="E6879" s="584"/>
      <c r="F6879" s="584"/>
      <c r="G6879" s="584"/>
      <c r="H6879" s="216">
        <f ca="1">TODAY()</f>
        <v>44889</v>
      </c>
      <c r="K6879" t="s">
        <v>4391</v>
      </c>
      <c r="L6879" t="s">
        <v>4392</v>
      </c>
      <c r="M6879" t="s">
        <v>4393</v>
      </c>
      <c r="N6879" t="s">
        <v>4394</v>
      </c>
    </row>
    <row r="6880" spans="1:14" ht="60.75" customHeight="1">
      <c r="A6880" s="228" t="s">
        <v>4222</v>
      </c>
      <c r="B6880" s="565" t="str">
        <f>COSTOS!$D$16</f>
        <v>Luminarias</v>
      </c>
      <c r="C6880" s="565"/>
      <c r="D6880" s="565"/>
      <c r="E6880" s="565"/>
      <c r="F6880" s="565"/>
      <c r="G6880" s="70" t="s">
        <v>4223</v>
      </c>
      <c r="H6880" s="387" t="s">
        <v>4784</v>
      </c>
      <c r="K6880" s="62">
        <f>H6906</f>
        <v>9386.5438799999974</v>
      </c>
      <c r="L6880" s="62">
        <f>H6916</f>
        <v>6007.7248</v>
      </c>
      <c r="M6880" s="62">
        <f>H6889</f>
        <v>681.40174999999999</v>
      </c>
      <c r="N6880" s="62">
        <f>H6910</f>
        <v>800</v>
      </c>
    </row>
    <row r="6881" spans="1:15" ht="43.15" customHeight="1">
      <c r="A6881" s="229" t="s">
        <v>4224</v>
      </c>
      <c r="B6881" s="566" t="str">
        <f>VLOOKUP(H6880,COSTOS!C:M,2,0)</f>
        <v>Red Abierta 3#2 ACSR desnudo x 500m</v>
      </c>
      <c r="C6881" s="567"/>
      <c r="D6881" s="567"/>
      <c r="E6881" s="568"/>
      <c r="F6881" s="71" t="s">
        <v>0</v>
      </c>
      <c r="G6881" s="356" t="str">
        <f>VLOOKUP(H6880,COSTOS!C:M,8,0)</f>
        <v>Und</v>
      </c>
      <c r="H6881" s="276"/>
      <c r="I6881" s="306"/>
      <c r="J6881" s="308"/>
      <c r="K6881" s="308"/>
      <c r="L6881" s="308"/>
    </row>
    <row r="6882" spans="1:15">
      <c r="A6882" s="230"/>
      <c r="B6882" s="112"/>
      <c r="C6882" s="112"/>
      <c r="D6882" s="112"/>
      <c r="E6882" s="113"/>
      <c r="F6882" s="114" t="s">
        <v>1</v>
      </c>
      <c r="G6882" s="356">
        <f>VLOOKUP(H6880,COSTOS!C:M,9,0)</f>
        <v>1</v>
      </c>
      <c r="H6882" s="357"/>
      <c r="I6882" s="307"/>
    </row>
    <row r="6883" spans="1:15" ht="16.5">
      <c r="A6883" s="231" t="s">
        <v>4226</v>
      </c>
      <c r="B6883" s="75"/>
      <c r="C6883" s="75"/>
      <c r="D6883" s="76"/>
      <c r="E6883" s="209"/>
      <c r="F6883" s="210"/>
      <c r="G6883" s="211" t="s">
        <v>4227</v>
      </c>
      <c r="H6883" s="217">
        <f>H6889+H6906+H6910+H6916</f>
        <v>16875.670429999998</v>
      </c>
    </row>
    <row r="6884" spans="1:15" ht="39">
      <c r="A6884" s="569" t="s">
        <v>4224</v>
      </c>
      <c r="B6884" s="569"/>
      <c r="C6884" s="569"/>
      <c r="D6884" s="77" t="s">
        <v>0</v>
      </c>
      <c r="E6884" s="207" t="s">
        <v>4228</v>
      </c>
      <c r="F6884" s="208" t="s">
        <v>4215</v>
      </c>
      <c r="G6884" s="74" t="s">
        <v>2</v>
      </c>
      <c r="H6884" s="218" t="s">
        <v>4229</v>
      </c>
      <c r="K6884" s="309"/>
    </row>
    <row r="6885" spans="1:15">
      <c r="A6885" s="536" t="s">
        <v>3946</v>
      </c>
      <c r="B6885" s="570" t="str">
        <f>VLOOKUP(A6885,'Equip, Herr y Transp'!$B$2:$D$739,2,0)</f>
        <v>EQU</v>
      </c>
      <c r="C6885" s="570"/>
      <c r="D6885" s="95" t="str">
        <f>VLOOKUP(A6885,'Equip, Herr y Transp'!$B$2:$D$218,2,0)</f>
        <v>EQU</v>
      </c>
      <c r="E6885" s="95">
        <f>VLOOKUP(A6885,'Equip, Herr y Transp'!$B$2:$D$218,3,0)</f>
        <v>14130</v>
      </c>
      <c r="F6885" s="96">
        <f>H6875</f>
        <v>1.67E-2</v>
      </c>
      <c r="G6885" s="122">
        <f>F6885*E6885</f>
        <v>235.971</v>
      </c>
      <c r="H6885" s="118"/>
    </row>
    <row r="6886" spans="1:15">
      <c r="A6886" s="536" t="s">
        <v>3904</v>
      </c>
      <c r="B6886" s="570" t="str">
        <f>VLOOKUP(A6886,'Equip, Herr y Transp'!$B$2:$D$739,2,0)</f>
        <v>EQU</v>
      </c>
      <c r="C6886" s="570"/>
      <c r="D6886" s="95" t="str">
        <f>VLOOKUP(A6886,'Equip, Herr y Transp'!$B$2:$D$218,2,0)</f>
        <v>EQU</v>
      </c>
      <c r="E6886" s="95">
        <f>VLOOKUP(A6886,'Equip, Herr y Transp'!$B$2:$D$218,3,0)</f>
        <v>26672.5</v>
      </c>
      <c r="F6886" s="96">
        <f>H6875</f>
        <v>1.67E-2</v>
      </c>
      <c r="G6886" s="122">
        <f>F6886*E6886</f>
        <v>445.43074999999999</v>
      </c>
      <c r="H6886" s="117"/>
    </row>
    <row r="6887" spans="1:15">
      <c r="A6887" s="536" t="s">
        <v>8</v>
      </c>
      <c r="B6887" s="570">
        <f>VLOOKUP(A6887,'Equip, Herr y Transp'!$B$2:$D$739,2,0)</f>
        <v>0</v>
      </c>
      <c r="C6887" s="570"/>
      <c r="D6887" s="95">
        <f>VLOOKUP(A6887,'Equip, Herr y Transp'!$B$2:$D$218,2,0)</f>
        <v>0</v>
      </c>
      <c r="E6887" s="95">
        <f>VLOOKUP(A6887,'Equip, Herr y Transp'!$B$2:$D$218,3,0)</f>
        <v>0</v>
      </c>
      <c r="F6887" s="96">
        <f>H6875</f>
        <v>1.67E-2</v>
      </c>
      <c r="G6887" s="122">
        <f>F6887*E6887</f>
        <v>0</v>
      </c>
      <c r="H6887" s="117"/>
    </row>
    <row r="6888" spans="1:15">
      <c r="A6888" s="536" t="s">
        <v>8</v>
      </c>
      <c r="B6888" s="570">
        <f>VLOOKUP(A6888,'Equip, Herr y Transp'!$B$2:$D$739,2,0)</f>
        <v>0</v>
      </c>
      <c r="C6888" s="570"/>
      <c r="D6888" s="95">
        <f>VLOOKUP(A6888,'Equip, Herr y Transp'!$B$2:$D$218,2,0)</f>
        <v>0</v>
      </c>
      <c r="E6888" s="95">
        <f>VLOOKUP(A6888,'Equip, Herr y Transp'!$B$2:$D$218,3,0)</f>
        <v>0</v>
      </c>
      <c r="F6888" s="96">
        <f>H6875</f>
        <v>1.67E-2</v>
      </c>
      <c r="G6888" s="122">
        <f>F6888*E6888</f>
        <v>0</v>
      </c>
      <c r="H6888" s="117"/>
    </row>
    <row r="6889" spans="1:15" ht="16.5">
      <c r="A6889" s="540" t="s">
        <v>4100</v>
      </c>
      <c r="B6889" s="541"/>
      <c r="C6889" s="541"/>
      <c r="D6889" s="541"/>
      <c r="E6889" s="541"/>
      <c r="F6889" s="541"/>
      <c r="G6889" s="541"/>
      <c r="H6889" s="97">
        <f>SUM(G6885:G6888)</f>
        <v>681.40174999999999</v>
      </c>
    </row>
    <row r="6890" spans="1:15" ht="16.5">
      <c r="A6890" s="571" t="s">
        <v>4230</v>
      </c>
      <c r="B6890" s="572"/>
      <c r="C6890" s="572"/>
      <c r="D6890" s="572"/>
      <c r="E6890" s="572"/>
      <c r="F6890" s="572"/>
      <c r="G6890" s="572"/>
      <c r="H6890" s="573"/>
      <c r="K6890" s="56"/>
      <c r="L6890" s="56"/>
      <c r="M6890" s="56"/>
      <c r="N6890" s="56"/>
      <c r="O6890" s="56"/>
    </row>
    <row r="6891" spans="1:15" ht="30" customHeight="1">
      <c r="A6891" s="574" t="s">
        <v>7</v>
      </c>
      <c r="B6891" s="575"/>
      <c r="C6891" s="109" t="s">
        <v>0</v>
      </c>
      <c r="D6891" s="110" t="s">
        <v>4098</v>
      </c>
      <c r="E6891" s="111" t="s">
        <v>1</v>
      </c>
      <c r="F6891" s="576" t="s">
        <v>4218</v>
      </c>
      <c r="G6891" s="576"/>
      <c r="H6891" s="215"/>
      <c r="K6891" s="56"/>
      <c r="L6891" s="56"/>
      <c r="M6891" s="56"/>
      <c r="N6891" s="56"/>
      <c r="O6891" s="56"/>
    </row>
    <row r="6892" spans="1:15">
      <c r="A6892" s="577" t="s">
        <v>4441</v>
      </c>
      <c r="B6892" s="578"/>
      <c r="C6892" s="98" t="str">
        <f>VLOOKUP(A6892,'Materiales '!$C$2:$F$1302,3,0)</f>
        <v>Ml</v>
      </c>
      <c r="D6892" s="99">
        <f>VLOOKUP(A6892,'Materiales '!$C$2:$F$1302,4,0)</f>
        <v>2743.1879999999996</v>
      </c>
      <c r="E6892" s="100">
        <v>3</v>
      </c>
      <c r="F6892" s="538">
        <f>E6892*D6892</f>
        <v>8229.5639999999985</v>
      </c>
      <c r="G6892" s="539"/>
      <c r="H6892" s="121"/>
      <c r="I6892">
        <f>E6892*G6882</f>
        <v>3</v>
      </c>
      <c r="J6892" s="67"/>
      <c r="K6892" s="56"/>
      <c r="L6892" s="56"/>
      <c r="M6892" s="56"/>
      <c r="N6892" s="56"/>
      <c r="O6892" s="56"/>
    </row>
    <row r="6893" spans="1:15">
      <c r="A6893" s="577" t="s">
        <v>4417</v>
      </c>
      <c r="B6893" s="578"/>
      <c r="C6893" s="98" t="str">
        <f>VLOOKUP(A6893,'Materiales '!$C$2:$F$1302,3,0)</f>
        <v>Und</v>
      </c>
      <c r="D6893" s="99">
        <f>VLOOKUP(A6893,'Materiales '!$C$2:$F$1302,4,0)</f>
        <v>3213</v>
      </c>
      <c r="E6893" s="100">
        <f>3/25</f>
        <v>0.12</v>
      </c>
      <c r="F6893" s="538">
        <f t="shared" ref="F6893:F6899" si="403">E6893*D6893</f>
        <v>385.56</v>
      </c>
      <c r="G6893" s="539"/>
      <c r="H6893" s="121"/>
      <c r="I6893">
        <f>E6893*G6882</f>
        <v>0.12</v>
      </c>
      <c r="J6893" s="67"/>
      <c r="K6893" s="56"/>
      <c r="L6893" s="56"/>
      <c r="M6893" s="56"/>
      <c r="N6893" s="56"/>
      <c r="O6893" s="56"/>
    </row>
    <row r="6894" spans="1:15">
      <c r="A6894" s="536" t="s">
        <v>4553</v>
      </c>
      <c r="B6894" s="537" t="str">
        <f>VLOOKUP(A6894,'Materiales '!$C$2:$F$1302,3,0)</f>
        <v>Und</v>
      </c>
      <c r="C6894" s="98" t="str">
        <f>VLOOKUP(A6894,'Materiales '!$C$2:$F$1302,3,0)</f>
        <v>Und</v>
      </c>
      <c r="D6894" s="99">
        <f>VLOOKUP(A6894,'Materiales '!$C$2:$F$1302,4,0)</f>
        <v>6428.4990000000007</v>
      </c>
      <c r="E6894" s="100">
        <f>3/25</f>
        <v>0.12</v>
      </c>
      <c r="F6894" s="538">
        <f t="shared" si="403"/>
        <v>771.41988000000003</v>
      </c>
      <c r="G6894" s="539"/>
      <c r="H6894" s="121"/>
      <c r="I6894">
        <f>E6894*G6882</f>
        <v>0.12</v>
      </c>
      <c r="J6894" s="68"/>
      <c r="K6894" s="56"/>
      <c r="L6894" s="56"/>
      <c r="M6894" s="56"/>
      <c r="N6894" s="56"/>
      <c r="O6894" s="56"/>
    </row>
    <row r="6895" spans="1:15">
      <c r="A6895" s="536" t="s">
        <v>8</v>
      </c>
      <c r="B6895" s="537" t="str">
        <f>VLOOKUP(A6895,'Materiales '!$C$2:$F$1302,3,0)</f>
        <v>-</v>
      </c>
      <c r="C6895" s="98" t="str">
        <f>VLOOKUP(A6895,'Materiales '!$C$2:$F$1302,3,0)</f>
        <v>-</v>
      </c>
      <c r="D6895" s="99">
        <f>VLOOKUP(A6895,'Materiales '!$C$2:$F$1302,4,0)</f>
        <v>0</v>
      </c>
      <c r="E6895" s="100"/>
      <c r="F6895" s="538">
        <f t="shared" si="403"/>
        <v>0</v>
      </c>
      <c r="G6895" s="539"/>
      <c r="H6895" s="121"/>
      <c r="I6895">
        <f>E6895*G6882</f>
        <v>0</v>
      </c>
      <c r="J6895" s="68"/>
      <c r="K6895" s="56"/>
      <c r="L6895" s="56"/>
      <c r="M6895" s="56"/>
      <c r="N6895" s="56"/>
      <c r="O6895" s="56"/>
    </row>
    <row r="6896" spans="1:15">
      <c r="A6896" s="536" t="s">
        <v>8</v>
      </c>
      <c r="B6896" s="537" t="str">
        <f>VLOOKUP(A6896,'Materiales '!$C$2:$F$1302,3,0)</f>
        <v>-</v>
      </c>
      <c r="C6896" s="98" t="str">
        <f>VLOOKUP(A6896,'Materiales '!$C$2:$F$1302,3,0)</f>
        <v>-</v>
      </c>
      <c r="D6896" s="99">
        <f>VLOOKUP(A6896,'Materiales '!$C$2:$F$1302,4,0)</f>
        <v>0</v>
      </c>
      <c r="E6896" s="100"/>
      <c r="F6896" s="538">
        <f t="shared" si="403"/>
        <v>0</v>
      </c>
      <c r="G6896" s="539"/>
      <c r="H6896" s="121"/>
      <c r="I6896">
        <f>E6896*G6882</f>
        <v>0</v>
      </c>
      <c r="J6896" s="68"/>
      <c r="K6896" s="56"/>
      <c r="L6896" s="56"/>
      <c r="M6896" s="56"/>
      <c r="N6896" s="56"/>
      <c r="O6896" s="56"/>
    </row>
    <row r="6897" spans="1:15">
      <c r="A6897" s="536" t="s">
        <v>8</v>
      </c>
      <c r="B6897" s="537" t="str">
        <f>VLOOKUP(A6897,'Materiales '!$C$2:$F$1302,3,0)</f>
        <v>-</v>
      </c>
      <c r="C6897" s="98" t="str">
        <f>VLOOKUP(A6897,'Materiales '!$C$2:$F$1302,3,0)</f>
        <v>-</v>
      </c>
      <c r="D6897" s="99">
        <f>VLOOKUP(A6897,'Materiales '!$C$2:$F$1302,4,0)</f>
        <v>0</v>
      </c>
      <c r="E6897" s="100"/>
      <c r="F6897" s="538">
        <f t="shared" si="403"/>
        <v>0</v>
      </c>
      <c r="G6897" s="539"/>
      <c r="H6897" s="121"/>
      <c r="I6897">
        <f>E6897*G6882</f>
        <v>0</v>
      </c>
      <c r="J6897" s="68"/>
      <c r="K6897" s="56"/>
      <c r="L6897" s="56"/>
      <c r="M6897" s="56"/>
      <c r="N6897" s="56"/>
      <c r="O6897" s="56"/>
    </row>
    <row r="6898" spans="1:15">
      <c r="A6898" s="536" t="s">
        <v>8</v>
      </c>
      <c r="B6898" s="537" t="str">
        <f>VLOOKUP(A6898,'Materiales '!$C$2:$F$1302,3,0)</f>
        <v>-</v>
      </c>
      <c r="C6898" s="98" t="str">
        <f>VLOOKUP(A6898,'Materiales '!$C$2:$F$1302,3,0)</f>
        <v>-</v>
      </c>
      <c r="D6898" s="99">
        <f>VLOOKUP(A6898,'Materiales '!$C$2:$F$1302,4,0)</f>
        <v>0</v>
      </c>
      <c r="E6898" s="100"/>
      <c r="F6898" s="538">
        <f t="shared" si="403"/>
        <v>0</v>
      </c>
      <c r="G6898" s="539"/>
      <c r="H6898" s="121"/>
      <c r="I6898">
        <f>E6898*G6882</f>
        <v>0</v>
      </c>
      <c r="J6898" s="68"/>
      <c r="K6898" s="56"/>
      <c r="L6898" s="56"/>
      <c r="M6898" s="56"/>
      <c r="N6898" s="56"/>
      <c r="O6898" s="56"/>
    </row>
    <row r="6899" spans="1:15" ht="21.75" customHeight="1">
      <c r="A6899" s="536" t="s">
        <v>8</v>
      </c>
      <c r="B6899" s="537" t="str">
        <f>VLOOKUP(A6899,'Materiales '!$C$2:$F$1302,3,0)</f>
        <v>-</v>
      </c>
      <c r="C6899" s="98" t="str">
        <f>VLOOKUP(A6899,'Materiales '!$C$2:$F$1302,3,0)</f>
        <v>-</v>
      </c>
      <c r="D6899" s="99">
        <f>VLOOKUP(A6899,'Materiales '!$C$2:$F$1302,4,0)</f>
        <v>0</v>
      </c>
      <c r="E6899" s="100"/>
      <c r="F6899" s="538">
        <f t="shared" si="403"/>
        <v>0</v>
      </c>
      <c r="G6899" s="539"/>
      <c r="H6899" s="121"/>
      <c r="I6899">
        <f>E6899*G6882</f>
        <v>0</v>
      </c>
      <c r="J6899" s="68"/>
      <c r="K6899" s="56"/>
      <c r="L6899" s="56"/>
      <c r="M6899" s="56"/>
      <c r="N6899" s="56"/>
      <c r="O6899" s="56"/>
    </row>
    <row r="6900" spans="1:15">
      <c r="A6900" s="536" t="s">
        <v>8</v>
      </c>
      <c r="B6900" s="537" t="str">
        <f>VLOOKUP(A6900,'Materiales '!$C$2:$F$1302,3,0)</f>
        <v>-</v>
      </c>
      <c r="C6900" s="98" t="str">
        <f>VLOOKUP(A6900,'Materiales '!$C$2:$F$1302,3,0)</f>
        <v>-</v>
      </c>
      <c r="D6900" s="99">
        <f>VLOOKUP(A6900,'Materiales '!$C$2:$F$1302,4,0)</f>
        <v>0</v>
      </c>
      <c r="E6900" s="100"/>
      <c r="F6900" s="538">
        <f>E6900*D6900</f>
        <v>0</v>
      </c>
      <c r="G6900" s="539"/>
      <c r="H6900" s="120"/>
      <c r="I6900">
        <f>E6900*G6882</f>
        <v>0</v>
      </c>
      <c r="J6900" s="68"/>
      <c r="K6900" s="56"/>
      <c r="L6900" s="56"/>
      <c r="M6900" s="56"/>
      <c r="N6900" s="56"/>
      <c r="O6900" s="56"/>
    </row>
    <row r="6901" spans="1:15">
      <c r="A6901" s="536" t="s">
        <v>8</v>
      </c>
      <c r="B6901" s="537" t="str">
        <f>VLOOKUP(A6901,'Materiales '!$C$2:$F$1302,3,0)</f>
        <v>-</v>
      </c>
      <c r="C6901" s="98" t="str">
        <f>VLOOKUP(A6901,'Materiales '!$C$2:$F$1302,3,0)</f>
        <v>-</v>
      </c>
      <c r="D6901" s="99">
        <f>VLOOKUP(A6901,'Materiales '!$C$2:$F$1302,4,0)</f>
        <v>0</v>
      </c>
      <c r="E6901" s="100"/>
      <c r="F6901" s="538">
        <f t="shared" ref="F6901:F6904" si="404">E6901*D6901</f>
        <v>0</v>
      </c>
      <c r="G6901" s="539"/>
      <c r="H6901" s="121"/>
      <c r="I6901">
        <f>E6901*G6882</f>
        <v>0</v>
      </c>
      <c r="J6901" s="68"/>
      <c r="K6901" s="56"/>
      <c r="L6901" s="56"/>
      <c r="M6901" s="56"/>
      <c r="N6901" s="56"/>
      <c r="O6901" s="56"/>
    </row>
    <row r="6902" spans="1:15">
      <c r="A6902" s="536" t="s">
        <v>8</v>
      </c>
      <c r="B6902" s="537" t="str">
        <f>VLOOKUP(A6902,'Materiales '!$C$2:$F$1302,3,0)</f>
        <v>-</v>
      </c>
      <c r="C6902" s="98" t="str">
        <f>VLOOKUP(A6902,'Materiales '!$C$2:$F$1302,3,0)</f>
        <v>-</v>
      </c>
      <c r="D6902" s="99">
        <f>VLOOKUP(A6902,'Materiales '!$C$2:$F$1302,4,0)</f>
        <v>0</v>
      </c>
      <c r="E6902" s="100"/>
      <c r="F6902" s="538">
        <f t="shared" si="404"/>
        <v>0</v>
      </c>
      <c r="G6902" s="539"/>
      <c r="H6902" s="121"/>
      <c r="I6902">
        <f>E6902*G6882</f>
        <v>0</v>
      </c>
      <c r="J6902" s="68"/>
      <c r="K6902" s="56"/>
      <c r="L6902" s="56"/>
      <c r="M6902" s="56"/>
      <c r="N6902" s="56"/>
      <c r="O6902" s="56"/>
    </row>
    <row r="6903" spans="1:15">
      <c r="A6903" s="536" t="s">
        <v>8</v>
      </c>
      <c r="B6903" s="537" t="str">
        <f>VLOOKUP(A6903,'Materiales '!$C$2:$F$1302,3,0)</f>
        <v>-</v>
      </c>
      <c r="C6903" s="98" t="str">
        <f>VLOOKUP(A6903,'Materiales '!$C$2:$F$1302,3,0)</f>
        <v>-</v>
      </c>
      <c r="D6903" s="99">
        <f>VLOOKUP(A6903,'Materiales '!$C$2:$F$1302,4,0)</f>
        <v>0</v>
      </c>
      <c r="E6903" s="100"/>
      <c r="F6903" s="538">
        <f t="shared" si="404"/>
        <v>0</v>
      </c>
      <c r="G6903" s="539"/>
      <c r="H6903" s="121"/>
      <c r="I6903">
        <f>E6903*G6882</f>
        <v>0</v>
      </c>
      <c r="J6903" s="68"/>
      <c r="K6903" s="56"/>
      <c r="L6903" s="56"/>
      <c r="M6903" s="56"/>
      <c r="N6903" s="56"/>
      <c r="O6903" s="56"/>
    </row>
    <row r="6904" spans="1:15">
      <c r="A6904" s="536" t="s">
        <v>8</v>
      </c>
      <c r="B6904" s="537" t="str">
        <f>VLOOKUP(A6904,'Materiales '!$C$2:$F$1302,3,0)</f>
        <v>-</v>
      </c>
      <c r="C6904" s="98" t="str">
        <f>VLOOKUP(A6904,'Materiales '!$C$2:$F$1302,3,0)</f>
        <v>-</v>
      </c>
      <c r="D6904" s="99">
        <f>VLOOKUP(A6904,'Materiales '!$C$2:$F$1302,4,0)</f>
        <v>0</v>
      </c>
      <c r="E6904" s="100"/>
      <c r="F6904" s="538">
        <f t="shared" si="404"/>
        <v>0</v>
      </c>
      <c r="G6904" s="539"/>
      <c r="H6904" s="121"/>
      <c r="I6904">
        <f>E6904*G6882</f>
        <v>0</v>
      </c>
      <c r="J6904" s="68"/>
      <c r="K6904" s="56"/>
      <c r="L6904" s="56"/>
      <c r="M6904" s="56"/>
      <c r="N6904" s="56"/>
      <c r="O6904" s="56"/>
    </row>
    <row r="6905" spans="1:15">
      <c r="A6905" s="536" t="s">
        <v>8</v>
      </c>
      <c r="B6905" s="537" t="str">
        <f>VLOOKUP(A6905,'Materiales '!$C$2:$F$1302,3,0)</f>
        <v>-</v>
      </c>
      <c r="C6905" s="98" t="str">
        <f>VLOOKUP(A6905,'Materiales '!$C$2:$F$1302,3,0)</f>
        <v>-</v>
      </c>
      <c r="D6905" s="99">
        <f>VLOOKUP(A6905,'Materiales '!$C$2:$F$1302,4,0)</f>
        <v>0</v>
      </c>
      <c r="E6905" s="100"/>
      <c r="F6905" s="538">
        <f>E6905*D6905</f>
        <v>0</v>
      </c>
      <c r="G6905" s="539"/>
      <c r="H6905" s="120"/>
      <c r="I6905">
        <f>E6905*G6882</f>
        <v>0</v>
      </c>
      <c r="J6905" s="68"/>
      <c r="K6905" s="56"/>
      <c r="L6905" s="56"/>
      <c r="M6905" s="56"/>
      <c r="N6905" s="56"/>
      <c r="O6905" s="56"/>
    </row>
    <row r="6906" spans="1:15" ht="16.5">
      <c r="A6906" s="540" t="s">
        <v>4099</v>
      </c>
      <c r="B6906" s="541"/>
      <c r="C6906" s="541"/>
      <c r="D6906" s="541"/>
      <c r="E6906" s="541"/>
      <c r="F6906" s="541"/>
      <c r="G6906" s="542"/>
      <c r="H6906" s="116">
        <f>SUM(F6892:F6905)</f>
        <v>9386.5438799999974</v>
      </c>
      <c r="J6906" s="68"/>
      <c r="K6906" s="56"/>
      <c r="L6906" s="56"/>
      <c r="M6906" s="56"/>
      <c r="N6906" s="56"/>
      <c r="O6906" s="56"/>
    </row>
    <row r="6907" spans="1:15" ht="16.5">
      <c r="A6907" s="543" t="s">
        <v>4231</v>
      </c>
      <c r="B6907" s="544"/>
      <c r="C6907" s="544"/>
      <c r="D6907" s="544"/>
      <c r="E6907" s="545"/>
      <c r="F6907" s="544"/>
      <c r="G6907" s="544"/>
      <c r="H6907" s="546"/>
      <c r="J6907" s="68"/>
      <c r="K6907" s="56"/>
      <c r="L6907" s="56"/>
      <c r="M6907" s="56"/>
      <c r="N6907" s="56"/>
      <c r="O6907" s="56"/>
    </row>
    <row r="6908" spans="1:15">
      <c r="A6908" s="547" t="s">
        <v>7</v>
      </c>
      <c r="B6908" s="548"/>
      <c r="C6908" s="108" t="s">
        <v>4232</v>
      </c>
      <c r="D6908" s="107" t="s">
        <v>4233</v>
      </c>
      <c r="E6908" s="206" t="s">
        <v>4234</v>
      </c>
      <c r="F6908" s="549" t="s">
        <v>4218</v>
      </c>
      <c r="G6908" s="549"/>
      <c r="H6908" s="119"/>
      <c r="K6908" s="56"/>
      <c r="L6908" s="56"/>
      <c r="M6908" s="56"/>
      <c r="N6908" s="56"/>
      <c r="O6908" s="56"/>
    </row>
    <row r="6909" spans="1:15">
      <c r="A6909" s="550" t="s">
        <v>3928</v>
      </c>
      <c r="B6909" s="551"/>
      <c r="C6909" s="232">
        <v>1</v>
      </c>
      <c r="D6909" s="102">
        <v>5.0000000000000001E-3</v>
      </c>
      <c r="E6909" s="103">
        <f>VLOOKUP(A6909,'Equip, Herr y Transp'!$B$2:$D$218,3,0)</f>
        <v>160000</v>
      </c>
      <c r="F6909" s="552">
        <f>E6909*D6909*C6909</f>
        <v>800</v>
      </c>
      <c r="G6909" s="553"/>
      <c r="H6909" s="117"/>
      <c r="M6909" s="56"/>
    </row>
    <row r="6910" spans="1:15" ht="16.5">
      <c r="A6910" s="554" t="s">
        <v>4216</v>
      </c>
      <c r="B6910" s="555"/>
      <c r="C6910" s="555"/>
      <c r="D6910" s="555"/>
      <c r="E6910" s="555"/>
      <c r="F6910" s="555"/>
      <c r="G6910" s="555"/>
      <c r="H6910" s="105">
        <f>F6909</f>
        <v>800</v>
      </c>
    </row>
    <row r="6911" spans="1:15" ht="16.5">
      <c r="A6911" s="543" t="s">
        <v>4235</v>
      </c>
      <c r="B6911" s="544"/>
      <c r="C6911" s="544"/>
      <c r="D6911" s="544"/>
      <c r="E6911" s="544"/>
      <c r="F6911" s="544"/>
      <c r="G6911" s="544"/>
      <c r="H6911" s="546"/>
    </row>
    <row r="6912" spans="1:15">
      <c r="A6912" s="547" t="s">
        <v>7</v>
      </c>
      <c r="B6912" s="548"/>
      <c r="C6912" s="106" t="s">
        <v>1</v>
      </c>
      <c r="D6912" s="107" t="s">
        <v>4236</v>
      </c>
      <c r="E6912" s="108" t="s">
        <v>4215</v>
      </c>
      <c r="F6912" s="547" t="s">
        <v>5</v>
      </c>
      <c r="G6912" s="556"/>
      <c r="H6912" s="119"/>
    </row>
    <row r="6913" spans="1:10">
      <c r="A6913" s="550" t="s">
        <v>4196</v>
      </c>
      <c r="B6913" s="551"/>
      <c r="C6913" s="101">
        <v>1</v>
      </c>
      <c r="D6913" s="104">
        <f>VLOOKUP(A6913,'Mano Obra'!$B$2:$T$117,19,0)</f>
        <v>166624</v>
      </c>
      <c r="E6913" s="246">
        <f>H6875</f>
        <v>1.67E-2</v>
      </c>
      <c r="F6913" s="538">
        <f>E6913*D6913*C6913</f>
        <v>2782.6208000000001</v>
      </c>
      <c r="G6913" s="557"/>
      <c r="H6913" s="121"/>
      <c r="I6913" s="69"/>
      <c r="J6913" s="136">
        <f>((('Mano Obra'!$M$4/30)*F6913)/D6913)*G6882</f>
        <v>180.70728670555556</v>
      </c>
    </row>
    <row r="6914" spans="1:10">
      <c r="A6914" s="558" t="s">
        <v>4197</v>
      </c>
      <c r="B6914" s="559">
        <f>VLOOKUP(A6914,'Mano Obra'!$B$3:$D$290,2,0)</f>
        <v>2090000.0000000002</v>
      </c>
      <c r="C6914" s="101">
        <v>1</v>
      </c>
      <c r="D6914" s="104">
        <f>VLOOKUP(A6914,'Mano Obra'!$B$2:$T$117,19,0)</f>
        <v>120456</v>
      </c>
      <c r="E6914" s="246">
        <f>H6875</f>
        <v>1.67E-2</v>
      </c>
      <c r="F6914" s="538">
        <f t="shared" ref="F6914:F6915" si="405">E6914*D6914*C6914</f>
        <v>2011.6152</v>
      </c>
      <c r="G6914" s="557"/>
      <c r="H6914" s="121"/>
      <c r="J6914" s="136">
        <f>((('Mano Obra'!$M$5/30)*F6914)/D6914)*G6882</f>
        <v>180.70728670555556</v>
      </c>
    </row>
    <row r="6915" spans="1:10">
      <c r="A6915" s="558" t="s">
        <v>4186</v>
      </c>
      <c r="B6915" s="559">
        <f>VLOOKUP(A6915,'Mano Obra'!$B$3:$D$290,2,0)</f>
        <v>1100000</v>
      </c>
      <c r="C6915" s="101">
        <v>1</v>
      </c>
      <c r="D6915" s="104">
        <f>VLOOKUP(A6915,'Mano Obra'!$B$2:$T$117,19,0)</f>
        <v>72664</v>
      </c>
      <c r="E6915" s="246">
        <f>H6875</f>
        <v>1.67E-2</v>
      </c>
      <c r="F6915" s="538">
        <f t="shared" si="405"/>
        <v>1213.4887999999999</v>
      </c>
      <c r="G6915" s="557"/>
      <c r="H6915" s="120"/>
      <c r="J6915" s="136">
        <f>((('Mano Obra'!$M$6/30)*F6915)/D6915)*G6882</f>
        <v>180.7072867055555</v>
      </c>
    </row>
    <row r="6916" spans="1:10" ht="16.5">
      <c r="A6916" s="560" t="s">
        <v>4101</v>
      </c>
      <c r="B6916" s="560"/>
      <c r="C6916" s="560"/>
      <c r="D6916" s="560"/>
      <c r="E6916" s="560"/>
      <c r="F6916" s="560"/>
      <c r="G6916" s="560"/>
      <c r="H6916" s="105">
        <f>SUM(F6913:F6915)</f>
        <v>6007.7248</v>
      </c>
      <c r="J6916" s="136"/>
    </row>
    <row r="6917" spans="1:10">
      <c r="A6917" s="227" t="s">
        <v>4237</v>
      </c>
      <c r="B6917" s="205"/>
      <c r="C6917" s="205"/>
      <c r="D6917" s="202"/>
      <c r="E6917" s="203"/>
      <c r="F6917" s="204"/>
      <c r="G6917" s="203"/>
      <c r="H6917" s="212"/>
    </row>
    <row r="6918" spans="1:10">
      <c r="A6918" s="561" t="s">
        <v>4224</v>
      </c>
      <c r="B6918" s="562"/>
      <c r="C6918" s="562"/>
      <c r="D6918" s="562"/>
      <c r="E6918" s="200"/>
      <c r="F6918" s="201" t="s">
        <v>4238</v>
      </c>
      <c r="G6918" s="200" t="s">
        <v>4239</v>
      </c>
      <c r="H6918" s="213"/>
    </row>
    <row r="6919" spans="1:10">
      <c r="A6919" s="223" t="s">
        <v>4097</v>
      </c>
      <c r="B6919" s="72"/>
      <c r="C6919" s="72"/>
      <c r="D6919" s="73"/>
      <c r="E6919" s="78"/>
      <c r="F6919" s="79">
        <v>0</v>
      </c>
      <c r="G6919" s="80">
        <f>F6919*H6883</f>
        <v>0</v>
      </c>
      <c r="H6919" s="212"/>
    </row>
    <row r="6920" spans="1:10">
      <c r="A6920" s="224" t="s">
        <v>4240</v>
      </c>
      <c r="B6920" s="81"/>
      <c r="C6920" s="81"/>
      <c r="D6920" s="82"/>
      <c r="E6920" s="78"/>
      <c r="F6920" s="79">
        <v>0</v>
      </c>
      <c r="G6920" s="80">
        <f>F6920*H6883</f>
        <v>0</v>
      </c>
      <c r="H6920" s="212"/>
    </row>
    <row r="6921" spans="1:10">
      <c r="A6921" s="224" t="s">
        <v>4</v>
      </c>
      <c r="B6921" s="81"/>
      <c r="C6921" s="81"/>
      <c r="D6921" s="82"/>
      <c r="E6921" s="78"/>
      <c r="F6921" s="79">
        <v>0</v>
      </c>
      <c r="G6921" s="80">
        <f>F6921*H6883</f>
        <v>0</v>
      </c>
      <c r="H6921" s="212"/>
    </row>
    <row r="6922" spans="1:10">
      <c r="A6922" s="225"/>
      <c r="B6922" s="83"/>
      <c r="C6922" s="75"/>
      <c r="D6922" s="84"/>
      <c r="E6922" s="85"/>
      <c r="F6922" s="86"/>
      <c r="G6922" s="87"/>
      <c r="H6922" s="214"/>
    </row>
    <row r="6923" spans="1:10">
      <c r="A6923" s="226"/>
      <c r="B6923" s="83"/>
      <c r="C6923" s="83"/>
      <c r="D6923" s="84"/>
      <c r="E6923" s="88"/>
      <c r="F6923" s="563" t="s">
        <v>4241</v>
      </c>
      <c r="G6923" s="564"/>
      <c r="H6923" s="233">
        <f>H6883+G6919+G6920+G6921</f>
        <v>16875.670429999998</v>
      </c>
    </row>
    <row r="6925" spans="1:10" ht="16.5">
      <c r="A6925" s="90"/>
      <c r="B6925" s="90"/>
      <c r="C6925" s="90"/>
      <c r="D6925" s="90"/>
      <c r="E6925" s="90"/>
      <c r="F6925" s="90"/>
      <c r="G6925" s="90"/>
      <c r="H6925" s="381"/>
    </row>
    <row r="6926" spans="1:10">
      <c r="A6926" s="579" t="s">
        <v>4225</v>
      </c>
      <c r="B6926" s="580"/>
      <c r="C6926" s="580"/>
      <c r="D6926" s="580"/>
      <c r="E6926" s="580"/>
      <c r="F6926" s="580"/>
      <c r="G6926" s="580"/>
      <c r="H6926" s="581"/>
    </row>
    <row r="6927" spans="1:10" ht="16.5">
      <c r="A6927" s="91"/>
      <c r="B6927" s="92"/>
      <c r="C6927" s="92"/>
      <c r="D6927" s="92"/>
      <c r="E6927" s="92"/>
      <c r="F6927" s="93"/>
      <c r="G6927" s="94"/>
      <c r="H6927" s="380">
        <f>ROUND((4/60)/8,4)</f>
        <v>8.3000000000000001E-3</v>
      </c>
      <c r="I6927" s="115"/>
    </row>
    <row r="6928" spans="1:10">
      <c r="A6928" s="582" t="s">
        <v>4220</v>
      </c>
      <c r="B6928" s="584" t="str">
        <f>COSTOS!$C$14</f>
        <v>MODERNIZACION A TECNOLOGIA LED</v>
      </c>
      <c r="C6928" s="584"/>
      <c r="D6928" s="584"/>
      <c r="E6928" s="584"/>
      <c r="F6928" s="584"/>
      <c r="G6928" s="584"/>
      <c r="H6928" s="585" t="s">
        <v>4221</v>
      </c>
    </row>
    <row r="6929" spans="1:15">
      <c r="A6929" s="583"/>
      <c r="B6929" s="584"/>
      <c r="C6929" s="584"/>
      <c r="D6929" s="584"/>
      <c r="E6929" s="584"/>
      <c r="F6929" s="584"/>
      <c r="G6929" s="584"/>
      <c r="H6929" s="585"/>
    </row>
    <row r="6930" spans="1:15">
      <c r="A6930" s="583"/>
      <c r="B6930" s="584"/>
      <c r="C6930" s="584"/>
      <c r="D6930" s="584"/>
      <c r="E6930" s="584"/>
      <c r="F6930" s="584"/>
      <c r="G6930" s="584"/>
      <c r="H6930" s="585"/>
    </row>
    <row r="6931" spans="1:15" ht="15" customHeight="1">
      <c r="A6931" s="583"/>
      <c r="B6931" s="584"/>
      <c r="C6931" s="584"/>
      <c r="D6931" s="584"/>
      <c r="E6931" s="584"/>
      <c r="F6931" s="584"/>
      <c r="G6931" s="584"/>
      <c r="H6931" s="216">
        <f ca="1">TODAY()</f>
        <v>44889</v>
      </c>
      <c r="K6931" t="s">
        <v>4391</v>
      </c>
      <c r="L6931" t="s">
        <v>4392</v>
      </c>
      <c r="M6931" t="s">
        <v>4393</v>
      </c>
      <c r="N6931" t="s">
        <v>4394</v>
      </c>
    </row>
    <row r="6932" spans="1:15" ht="60.75" customHeight="1">
      <c r="A6932" s="228" t="s">
        <v>4222</v>
      </c>
      <c r="B6932" s="565" t="str">
        <f>COSTOS!$D$16</f>
        <v>Luminarias</v>
      </c>
      <c r="C6932" s="565"/>
      <c r="D6932" s="565"/>
      <c r="E6932" s="565"/>
      <c r="F6932" s="565"/>
      <c r="G6932" s="70" t="s">
        <v>4223</v>
      </c>
      <c r="H6932" s="391">
        <v>3.23</v>
      </c>
      <c r="K6932" s="62">
        <f>H6958</f>
        <v>9996</v>
      </c>
      <c r="L6932" s="62">
        <f>H6968</f>
        <v>2985.8752000000004</v>
      </c>
      <c r="M6932" s="62">
        <f>H6941</f>
        <v>338.66075000000001</v>
      </c>
      <c r="N6932" s="62">
        <f>H6962</f>
        <v>800</v>
      </c>
    </row>
    <row r="6933" spans="1:15" ht="43.15" customHeight="1">
      <c r="A6933" s="229" t="s">
        <v>4224</v>
      </c>
      <c r="B6933" s="566" t="str">
        <f>VLOOKUP(H6932,COSTOS!C:M,2,0)</f>
        <v>Red canalizada en cable aluminio 1/0 x500m</v>
      </c>
      <c r="C6933" s="567"/>
      <c r="D6933" s="567"/>
      <c r="E6933" s="568"/>
      <c r="F6933" s="71" t="s">
        <v>0</v>
      </c>
      <c r="G6933" s="356" t="str">
        <f>VLOOKUP(H6932,COSTOS!C:M,8,0)</f>
        <v>Und</v>
      </c>
      <c r="H6933" s="276"/>
      <c r="I6933" s="306"/>
      <c r="J6933" s="308"/>
      <c r="K6933" s="308"/>
      <c r="L6933" s="308"/>
    </row>
    <row r="6934" spans="1:15">
      <c r="A6934" s="230"/>
      <c r="B6934" s="112"/>
      <c r="C6934" s="112"/>
      <c r="D6934" s="112"/>
      <c r="E6934" s="113"/>
      <c r="F6934" s="114" t="s">
        <v>1</v>
      </c>
      <c r="G6934" s="356">
        <f>VLOOKUP(H6932,COSTOS!C:M,9,0)</f>
        <v>0</v>
      </c>
      <c r="H6934" s="357"/>
      <c r="I6934" s="307"/>
    </row>
    <row r="6935" spans="1:15" ht="16.5">
      <c r="A6935" s="231" t="s">
        <v>4226</v>
      </c>
      <c r="B6935" s="75"/>
      <c r="C6935" s="75"/>
      <c r="D6935" s="76"/>
      <c r="E6935" s="209"/>
      <c r="F6935" s="210"/>
      <c r="G6935" s="211" t="s">
        <v>4227</v>
      </c>
      <c r="H6935" s="217">
        <f>H6941+H6958+H6962+H6968</f>
        <v>14120.53595</v>
      </c>
    </row>
    <row r="6936" spans="1:15" ht="39">
      <c r="A6936" s="569" t="s">
        <v>4224</v>
      </c>
      <c r="B6936" s="569"/>
      <c r="C6936" s="569"/>
      <c r="D6936" s="77" t="s">
        <v>0</v>
      </c>
      <c r="E6936" s="207" t="s">
        <v>4228</v>
      </c>
      <c r="F6936" s="208" t="s">
        <v>4215</v>
      </c>
      <c r="G6936" s="74" t="s">
        <v>2</v>
      </c>
      <c r="H6936" s="218" t="s">
        <v>4229</v>
      </c>
      <c r="K6936" s="309"/>
    </row>
    <row r="6937" spans="1:15">
      <c r="A6937" s="536" t="s">
        <v>3946</v>
      </c>
      <c r="B6937" s="570" t="str">
        <f>VLOOKUP(A6937,'Equip, Herr y Transp'!$B$2:$D$739,2,0)</f>
        <v>EQU</v>
      </c>
      <c r="C6937" s="570"/>
      <c r="D6937" s="95" t="str">
        <f>VLOOKUP(A6937,'Equip, Herr y Transp'!$B$2:$D$218,2,0)</f>
        <v>EQU</v>
      </c>
      <c r="E6937" s="95">
        <f>VLOOKUP(A6937,'Equip, Herr y Transp'!$B$2:$D$218,3,0)</f>
        <v>14130</v>
      </c>
      <c r="F6937" s="96">
        <f>H6927</f>
        <v>8.3000000000000001E-3</v>
      </c>
      <c r="G6937" s="122">
        <f>F6937*E6937</f>
        <v>117.279</v>
      </c>
      <c r="H6937" s="118"/>
    </row>
    <row r="6938" spans="1:15">
      <c r="A6938" s="536" t="s">
        <v>3904</v>
      </c>
      <c r="B6938" s="570" t="str">
        <f>VLOOKUP(A6938,'Equip, Herr y Transp'!$B$2:$D$739,2,0)</f>
        <v>EQU</v>
      </c>
      <c r="C6938" s="570"/>
      <c r="D6938" s="95" t="str">
        <f>VLOOKUP(A6938,'Equip, Herr y Transp'!$B$2:$D$218,2,0)</f>
        <v>EQU</v>
      </c>
      <c r="E6938" s="95">
        <f>VLOOKUP(A6938,'Equip, Herr y Transp'!$B$2:$D$218,3,0)</f>
        <v>26672.5</v>
      </c>
      <c r="F6938" s="96">
        <f>H6927</f>
        <v>8.3000000000000001E-3</v>
      </c>
      <c r="G6938" s="122">
        <f>F6938*E6938</f>
        <v>221.38175000000001</v>
      </c>
      <c r="H6938" s="117"/>
    </row>
    <row r="6939" spans="1:15">
      <c r="A6939" s="536" t="s">
        <v>8</v>
      </c>
      <c r="B6939" s="570">
        <f>VLOOKUP(A6939,'Equip, Herr y Transp'!$B$2:$D$739,2,0)</f>
        <v>0</v>
      </c>
      <c r="C6939" s="570"/>
      <c r="D6939" s="95">
        <f>VLOOKUP(A6939,'Equip, Herr y Transp'!$B$2:$D$218,2,0)</f>
        <v>0</v>
      </c>
      <c r="E6939" s="95">
        <f>VLOOKUP(A6939,'Equip, Herr y Transp'!$B$2:$D$218,3,0)</f>
        <v>0</v>
      </c>
      <c r="F6939" s="96">
        <f>H6927</f>
        <v>8.3000000000000001E-3</v>
      </c>
      <c r="G6939" s="122">
        <f>F6939*E6939</f>
        <v>0</v>
      </c>
      <c r="H6939" s="117"/>
    </row>
    <row r="6940" spans="1:15">
      <c r="A6940" s="536" t="s">
        <v>8</v>
      </c>
      <c r="B6940" s="570">
        <f>VLOOKUP(A6940,'Equip, Herr y Transp'!$B$2:$D$739,2,0)</f>
        <v>0</v>
      </c>
      <c r="C6940" s="570"/>
      <c r="D6940" s="95">
        <f>VLOOKUP(A6940,'Equip, Herr y Transp'!$B$2:$D$218,2,0)</f>
        <v>0</v>
      </c>
      <c r="E6940" s="95">
        <f>VLOOKUP(A6940,'Equip, Herr y Transp'!$B$2:$D$218,3,0)</f>
        <v>0</v>
      </c>
      <c r="F6940" s="96">
        <f>H6927</f>
        <v>8.3000000000000001E-3</v>
      </c>
      <c r="G6940" s="122">
        <f>F6940*E6940</f>
        <v>0</v>
      </c>
      <c r="H6940" s="117"/>
    </row>
    <row r="6941" spans="1:15" ht="16.5">
      <c r="A6941" s="540" t="s">
        <v>4100</v>
      </c>
      <c r="B6941" s="541"/>
      <c r="C6941" s="541"/>
      <c r="D6941" s="541"/>
      <c r="E6941" s="541"/>
      <c r="F6941" s="541"/>
      <c r="G6941" s="541"/>
      <c r="H6941" s="97">
        <f>SUM(G6937:G6940)</f>
        <v>338.66075000000001</v>
      </c>
    </row>
    <row r="6942" spans="1:15" ht="16.5">
      <c r="A6942" s="571" t="s">
        <v>4230</v>
      </c>
      <c r="B6942" s="572"/>
      <c r="C6942" s="572"/>
      <c r="D6942" s="572"/>
      <c r="E6942" s="572"/>
      <c r="F6942" s="572"/>
      <c r="G6942" s="572"/>
      <c r="H6942" s="573"/>
      <c r="K6942" s="56"/>
      <c r="L6942" s="56"/>
      <c r="M6942" s="56"/>
      <c r="N6942" s="56"/>
      <c r="O6942" s="56"/>
    </row>
    <row r="6943" spans="1:15" ht="30" customHeight="1">
      <c r="A6943" s="574" t="s">
        <v>7</v>
      </c>
      <c r="B6943" s="575"/>
      <c r="C6943" s="109" t="s">
        <v>0</v>
      </c>
      <c r="D6943" s="110" t="s">
        <v>4098</v>
      </c>
      <c r="E6943" s="111" t="s">
        <v>1</v>
      </c>
      <c r="F6943" s="576" t="s">
        <v>4218</v>
      </c>
      <c r="G6943" s="576"/>
      <c r="H6943" s="215"/>
      <c r="K6943" s="56"/>
      <c r="L6943" s="56"/>
      <c r="M6943" s="56"/>
      <c r="N6943" s="56"/>
      <c r="O6943" s="56"/>
    </row>
    <row r="6944" spans="1:15">
      <c r="A6944" s="577" t="s">
        <v>4805</v>
      </c>
      <c r="B6944" s="578"/>
      <c r="C6944" s="98" t="str">
        <f>VLOOKUP(A6944,'Materiales '!$C$2:$F$1302,3,0)</f>
        <v>Ml</v>
      </c>
      <c r="D6944" s="99">
        <f>VLOOKUP(A6944,'Materiales '!$C$2:$F$1302,4,0)</f>
        <v>9996</v>
      </c>
      <c r="E6944" s="100">
        <v>1</v>
      </c>
      <c r="F6944" s="538">
        <f>E6944*D6944</f>
        <v>9996</v>
      </c>
      <c r="G6944" s="539"/>
      <c r="H6944" s="121"/>
      <c r="I6944">
        <f>E6944*G6934</f>
        <v>0</v>
      </c>
      <c r="J6944" s="67"/>
      <c r="K6944" s="56"/>
      <c r="L6944" s="56"/>
      <c r="M6944" s="56"/>
      <c r="N6944" s="56"/>
      <c r="O6944" s="56"/>
    </row>
    <row r="6945" spans="1:15">
      <c r="A6945" s="577" t="s">
        <v>8</v>
      </c>
      <c r="B6945" s="578"/>
      <c r="C6945" s="98" t="str">
        <f>VLOOKUP(A6945,'Materiales '!$C$2:$F$1302,3,0)</f>
        <v>-</v>
      </c>
      <c r="D6945" s="99">
        <f>VLOOKUP(A6945,'Materiales '!$C$2:$F$1302,4,0)</f>
        <v>0</v>
      </c>
      <c r="E6945" s="100">
        <f>3/25</f>
        <v>0.12</v>
      </c>
      <c r="F6945" s="538">
        <f t="shared" ref="F6945:F6951" si="406">E6945*D6945</f>
        <v>0</v>
      </c>
      <c r="G6945" s="539"/>
      <c r="H6945" s="121"/>
      <c r="I6945">
        <f>E6945*G6934</f>
        <v>0</v>
      </c>
      <c r="J6945" s="67"/>
      <c r="K6945" s="56"/>
      <c r="L6945" s="56"/>
      <c r="M6945" s="56"/>
      <c r="N6945" s="56"/>
      <c r="O6945" s="56"/>
    </row>
    <row r="6946" spans="1:15">
      <c r="A6946" s="536" t="s">
        <v>8</v>
      </c>
      <c r="B6946" s="537" t="str">
        <f>VLOOKUP(A6946,'Materiales '!$C$2:$F$1302,3,0)</f>
        <v>-</v>
      </c>
      <c r="C6946" s="98" t="str">
        <f>VLOOKUP(A6946,'Materiales '!$C$2:$F$1302,3,0)</f>
        <v>-</v>
      </c>
      <c r="D6946" s="99">
        <f>VLOOKUP(A6946,'Materiales '!$C$2:$F$1302,4,0)</f>
        <v>0</v>
      </c>
      <c r="E6946" s="100">
        <f>3/25</f>
        <v>0.12</v>
      </c>
      <c r="F6946" s="538">
        <f t="shared" si="406"/>
        <v>0</v>
      </c>
      <c r="G6946" s="539"/>
      <c r="H6946" s="121"/>
      <c r="I6946">
        <f>E6946*G6934</f>
        <v>0</v>
      </c>
      <c r="J6946" s="68"/>
      <c r="K6946" s="56"/>
      <c r="L6946" s="56"/>
      <c r="M6946" s="56"/>
      <c r="N6946" s="56"/>
      <c r="O6946" s="56"/>
    </row>
    <row r="6947" spans="1:15">
      <c r="A6947" s="536" t="s">
        <v>8</v>
      </c>
      <c r="B6947" s="537" t="str">
        <f>VLOOKUP(A6947,'Materiales '!$C$2:$F$1302,3,0)</f>
        <v>-</v>
      </c>
      <c r="C6947" s="98" t="str">
        <f>VLOOKUP(A6947,'Materiales '!$C$2:$F$1302,3,0)</f>
        <v>-</v>
      </c>
      <c r="D6947" s="99">
        <f>VLOOKUP(A6947,'Materiales '!$C$2:$F$1302,4,0)</f>
        <v>0</v>
      </c>
      <c r="E6947" s="100"/>
      <c r="F6947" s="538">
        <f t="shared" si="406"/>
        <v>0</v>
      </c>
      <c r="G6947" s="539"/>
      <c r="H6947" s="121"/>
      <c r="I6947">
        <f>E6947*G6934</f>
        <v>0</v>
      </c>
      <c r="J6947" s="68"/>
      <c r="K6947" s="56"/>
      <c r="L6947" s="56"/>
      <c r="M6947" s="56"/>
      <c r="N6947" s="56"/>
      <c r="O6947" s="56"/>
    </row>
    <row r="6948" spans="1:15">
      <c r="A6948" s="536" t="s">
        <v>8</v>
      </c>
      <c r="B6948" s="537" t="str">
        <f>VLOOKUP(A6948,'Materiales '!$C$2:$F$1302,3,0)</f>
        <v>-</v>
      </c>
      <c r="C6948" s="98" t="str">
        <f>VLOOKUP(A6948,'Materiales '!$C$2:$F$1302,3,0)</f>
        <v>-</v>
      </c>
      <c r="D6948" s="99">
        <f>VLOOKUP(A6948,'Materiales '!$C$2:$F$1302,4,0)</f>
        <v>0</v>
      </c>
      <c r="E6948" s="100"/>
      <c r="F6948" s="538">
        <f t="shared" si="406"/>
        <v>0</v>
      </c>
      <c r="G6948" s="539"/>
      <c r="H6948" s="121"/>
      <c r="I6948">
        <f>E6948*G6934</f>
        <v>0</v>
      </c>
      <c r="J6948" s="68"/>
      <c r="K6948" s="56"/>
      <c r="L6948" s="56"/>
      <c r="M6948" s="56"/>
      <c r="N6948" s="56"/>
      <c r="O6948" s="56"/>
    </row>
    <row r="6949" spans="1:15">
      <c r="A6949" s="536" t="s">
        <v>8</v>
      </c>
      <c r="B6949" s="537" t="str">
        <f>VLOOKUP(A6949,'Materiales '!$C$2:$F$1302,3,0)</f>
        <v>-</v>
      </c>
      <c r="C6949" s="98" t="str">
        <f>VLOOKUP(A6949,'Materiales '!$C$2:$F$1302,3,0)</f>
        <v>-</v>
      </c>
      <c r="D6949" s="99">
        <f>VLOOKUP(A6949,'Materiales '!$C$2:$F$1302,4,0)</f>
        <v>0</v>
      </c>
      <c r="E6949" s="100"/>
      <c r="F6949" s="538">
        <f t="shared" si="406"/>
        <v>0</v>
      </c>
      <c r="G6949" s="539"/>
      <c r="H6949" s="121"/>
      <c r="I6949">
        <f>E6949*G6934</f>
        <v>0</v>
      </c>
      <c r="J6949" s="68"/>
      <c r="K6949" s="56"/>
      <c r="L6949" s="56"/>
      <c r="M6949" s="56"/>
      <c r="N6949" s="56"/>
      <c r="O6949" s="56"/>
    </row>
    <row r="6950" spans="1:15">
      <c r="A6950" s="536" t="s">
        <v>8</v>
      </c>
      <c r="B6950" s="537" t="str">
        <f>VLOOKUP(A6950,'Materiales '!$C$2:$F$1302,3,0)</f>
        <v>-</v>
      </c>
      <c r="C6950" s="98" t="str">
        <f>VLOOKUP(A6950,'Materiales '!$C$2:$F$1302,3,0)</f>
        <v>-</v>
      </c>
      <c r="D6950" s="99">
        <f>VLOOKUP(A6950,'Materiales '!$C$2:$F$1302,4,0)</f>
        <v>0</v>
      </c>
      <c r="E6950" s="100"/>
      <c r="F6950" s="538">
        <f t="shared" si="406"/>
        <v>0</v>
      </c>
      <c r="G6950" s="539"/>
      <c r="H6950" s="121"/>
      <c r="I6950">
        <f>E6950*G6934</f>
        <v>0</v>
      </c>
      <c r="J6950" s="68"/>
      <c r="K6950" s="56"/>
      <c r="L6950" s="56"/>
      <c r="M6950" s="56"/>
      <c r="N6950" s="56"/>
      <c r="O6950" s="56"/>
    </row>
    <row r="6951" spans="1:15" ht="21.75" customHeight="1">
      <c r="A6951" s="536" t="s">
        <v>8</v>
      </c>
      <c r="B6951" s="537" t="str">
        <f>VLOOKUP(A6951,'Materiales '!$C$2:$F$1302,3,0)</f>
        <v>-</v>
      </c>
      <c r="C6951" s="98" t="str">
        <f>VLOOKUP(A6951,'Materiales '!$C$2:$F$1302,3,0)</f>
        <v>-</v>
      </c>
      <c r="D6951" s="99">
        <f>VLOOKUP(A6951,'Materiales '!$C$2:$F$1302,4,0)</f>
        <v>0</v>
      </c>
      <c r="E6951" s="100"/>
      <c r="F6951" s="538">
        <f t="shared" si="406"/>
        <v>0</v>
      </c>
      <c r="G6951" s="539"/>
      <c r="H6951" s="121"/>
      <c r="I6951">
        <f>E6951*G6934</f>
        <v>0</v>
      </c>
      <c r="J6951" s="68"/>
      <c r="K6951" s="56"/>
      <c r="L6951" s="56"/>
      <c r="M6951" s="56"/>
      <c r="N6951" s="56"/>
      <c r="O6951" s="56"/>
    </row>
    <row r="6952" spans="1:15">
      <c r="A6952" s="536" t="s">
        <v>8</v>
      </c>
      <c r="B6952" s="537" t="str">
        <f>VLOOKUP(A6952,'Materiales '!$C$2:$F$1302,3,0)</f>
        <v>-</v>
      </c>
      <c r="C6952" s="98" t="str">
        <f>VLOOKUP(A6952,'Materiales '!$C$2:$F$1302,3,0)</f>
        <v>-</v>
      </c>
      <c r="D6952" s="99">
        <f>VLOOKUP(A6952,'Materiales '!$C$2:$F$1302,4,0)</f>
        <v>0</v>
      </c>
      <c r="E6952" s="100"/>
      <c r="F6952" s="538">
        <f>E6952*D6952</f>
        <v>0</v>
      </c>
      <c r="G6952" s="539"/>
      <c r="H6952" s="120"/>
      <c r="I6952">
        <f>E6952*G6934</f>
        <v>0</v>
      </c>
      <c r="J6952" s="68"/>
      <c r="K6952" s="56"/>
      <c r="L6952" s="56"/>
      <c r="M6952" s="56"/>
      <c r="N6952" s="56"/>
      <c r="O6952" s="56"/>
    </row>
    <row r="6953" spans="1:15">
      <c r="A6953" s="536" t="s">
        <v>8</v>
      </c>
      <c r="B6953" s="537" t="str">
        <f>VLOOKUP(A6953,'Materiales '!$C$2:$F$1302,3,0)</f>
        <v>-</v>
      </c>
      <c r="C6953" s="98" t="str">
        <f>VLOOKUP(A6953,'Materiales '!$C$2:$F$1302,3,0)</f>
        <v>-</v>
      </c>
      <c r="D6953" s="99">
        <f>VLOOKUP(A6953,'Materiales '!$C$2:$F$1302,4,0)</f>
        <v>0</v>
      </c>
      <c r="E6953" s="100"/>
      <c r="F6953" s="538">
        <f t="shared" ref="F6953:F6956" si="407">E6953*D6953</f>
        <v>0</v>
      </c>
      <c r="G6953" s="539"/>
      <c r="H6953" s="121"/>
      <c r="I6953">
        <f>E6953*G6934</f>
        <v>0</v>
      </c>
      <c r="J6953" s="68"/>
      <c r="K6953" s="56"/>
      <c r="L6953" s="56"/>
      <c r="M6953" s="56"/>
      <c r="N6953" s="56"/>
      <c r="O6953" s="56"/>
    </row>
    <row r="6954" spans="1:15">
      <c r="A6954" s="536" t="s">
        <v>8</v>
      </c>
      <c r="B6954" s="537" t="str">
        <f>VLOOKUP(A6954,'Materiales '!$C$2:$F$1302,3,0)</f>
        <v>-</v>
      </c>
      <c r="C6954" s="98" t="str">
        <f>VLOOKUP(A6954,'Materiales '!$C$2:$F$1302,3,0)</f>
        <v>-</v>
      </c>
      <c r="D6954" s="99">
        <f>VLOOKUP(A6954,'Materiales '!$C$2:$F$1302,4,0)</f>
        <v>0</v>
      </c>
      <c r="E6954" s="100"/>
      <c r="F6954" s="538">
        <f t="shared" si="407"/>
        <v>0</v>
      </c>
      <c r="G6954" s="539"/>
      <c r="H6954" s="121"/>
      <c r="I6954">
        <f>E6954*G6934</f>
        <v>0</v>
      </c>
      <c r="J6954" s="68"/>
      <c r="K6954" s="56"/>
      <c r="L6954" s="56"/>
      <c r="M6954" s="56"/>
      <c r="N6954" s="56"/>
      <c r="O6954" s="56"/>
    </row>
    <row r="6955" spans="1:15">
      <c r="A6955" s="536" t="s">
        <v>8</v>
      </c>
      <c r="B6955" s="537" t="str">
        <f>VLOOKUP(A6955,'Materiales '!$C$2:$F$1302,3,0)</f>
        <v>-</v>
      </c>
      <c r="C6955" s="98" t="str">
        <f>VLOOKUP(A6955,'Materiales '!$C$2:$F$1302,3,0)</f>
        <v>-</v>
      </c>
      <c r="D6955" s="99">
        <f>VLOOKUP(A6955,'Materiales '!$C$2:$F$1302,4,0)</f>
        <v>0</v>
      </c>
      <c r="E6955" s="100"/>
      <c r="F6955" s="538">
        <f t="shared" si="407"/>
        <v>0</v>
      </c>
      <c r="G6955" s="539"/>
      <c r="H6955" s="121"/>
      <c r="I6955">
        <f>E6955*G6934</f>
        <v>0</v>
      </c>
      <c r="J6955" s="68"/>
      <c r="K6955" s="56"/>
      <c r="L6955" s="56"/>
      <c r="M6955" s="56"/>
      <c r="N6955" s="56"/>
      <c r="O6955" s="56"/>
    </row>
    <row r="6956" spans="1:15">
      <c r="A6956" s="536" t="s">
        <v>8</v>
      </c>
      <c r="B6956" s="537" t="str">
        <f>VLOOKUP(A6956,'Materiales '!$C$2:$F$1302,3,0)</f>
        <v>-</v>
      </c>
      <c r="C6956" s="98" t="str">
        <f>VLOOKUP(A6956,'Materiales '!$C$2:$F$1302,3,0)</f>
        <v>-</v>
      </c>
      <c r="D6956" s="99">
        <f>VLOOKUP(A6956,'Materiales '!$C$2:$F$1302,4,0)</f>
        <v>0</v>
      </c>
      <c r="E6956" s="100"/>
      <c r="F6956" s="538">
        <f t="shared" si="407"/>
        <v>0</v>
      </c>
      <c r="G6956" s="539"/>
      <c r="H6956" s="121"/>
      <c r="I6956">
        <f>E6956*G6934</f>
        <v>0</v>
      </c>
      <c r="J6956" s="68"/>
      <c r="K6956" s="56"/>
      <c r="L6956" s="56"/>
      <c r="M6956" s="56"/>
      <c r="N6956" s="56"/>
      <c r="O6956" s="56"/>
    </row>
    <row r="6957" spans="1:15">
      <c r="A6957" s="536" t="s">
        <v>8</v>
      </c>
      <c r="B6957" s="537" t="str">
        <f>VLOOKUP(A6957,'Materiales '!$C$2:$F$1302,3,0)</f>
        <v>-</v>
      </c>
      <c r="C6957" s="98" t="str">
        <f>VLOOKUP(A6957,'Materiales '!$C$2:$F$1302,3,0)</f>
        <v>-</v>
      </c>
      <c r="D6957" s="99">
        <f>VLOOKUP(A6957,'Materiales '!$C$2:$F$1302,4,0)</f>
        <v>0</v>
      </c>
      <c r="E6957" s="100"/>
      <c r="F6957" s="538">
        <f>E6957*D6957</f>
        <v>0</v>
      </c>
      <c r="G6957" s="539"/>
      <c r="H6957" s="120"/>
      <c r="I6957">
        <f>E6957*G6934</f>
        <v>0</v>
      </c>
      <c r="J6957" s="68"/>
      <c r="K6957" s="56"/>
      <c r="L6957" s="56"/>
      <c r="M6957" s="56"/>
      <c r="N6957" s="56"/>
      <c r="O6957" s="56"/>
    </row>
    <row r="6958" spans="1:15" ht="16.5">
      <c r="A6958" s="540" t="s">
        <v>4099</v>
      </c>
      <c r="B6958" s="541"/>
      <c r="C6958" s="541"/>
      <c r="D6958" s="541"/>
      <c r="E6958" s="541"/>
      <c r="F6958" s="541"/>
      <c r="G6958" s="542"/>
      <c r="H6958" s="116">
        <f>SUM(F6944:F6957)</f>
        <v>9996</v>
      </c>
      <c r="J6958" s="68"/>
      <c r="K6958" s="56"/>
      <c r="L6958" s="56"/>
      <c r="M6958" s="56"/>
      <c r="N6958" s="56"/>
      <c r="O6958" s="56"/>
    </row>
    <row r="6959" spans="1:15" ht="16.5">
      <c r="A6959" s="543" t="s">
        <v>4231</v>
      </c>
      <c r="B6959" s="544"/>
      <c r="C6959" s="544"/>
      <c r="D6959" s="544"/>
      <c r="E6959" s="545"/>
      <c r="F6959" s="544"/>
      <c r="G6959" s="544"/>
      <c r="H6959" s="546"/>
      <c r="J6959" s="68"/>
      <c r="K6959" s="56"/>
      <c r="L6959" s="56"/>
      <c r="M6959" s="56"/>
      <c r="N6959" s="56"/>
      <c r="O6959" s="56"/>
    </row>
    <row r="6960" spans="1:15">
      <c r="A6960" s="547" t="s">
        <v>7</v>
      </c>
      <c r="B6960" s="548"/>
      <c r="C6960" s="108" t="s">
        <v>4232</v>
      </c>
      <c r="D6960" s="107" t="s">
        <v>4233</v>
      </c>
      <c r="E6960" s="206" t="s">
        <v>4234</v>
      </c>
      <c r="F6960" s="549" t="s">
        <v>4218</v>
      </c>
      <c r="G6960" s="549"/>
      <c r="H6960" s="119"/>
      <c r="K6960" s="56"/>
      <c r="L6960" s="56"/>
      <c r="M6960" s="56"/>
      <c r="N6960" s="56"/>
      <c r="O6960" s="56"/>
    </row>
    <row r="6961" spans="1:13">
      <c r="A6961" s="550" t="s">
        <v>3928</v>
      </c>
      <c r="B6961" s="551"/>
      <c r="C6961" s="232">
        <v>1</v>
      </c>
      <c r="D6961" s="102">
        <v>5.0000000000000001E-3</v>
      </c>
      <c r="E6961" s="103">
        <f>VLOOKUP(A6961,'Equip, Herr y Transp'!$B$2:$D$218,3,0)</f>
        <v>160000</v>
      </c>
      <c r="F6961" s="552">
        <f>E6961*D6961*C6961</f>
        <v>800</v>
      </c>
      <c r="G6961" s="553"/>
      <c r="H6961" s="117"/>
      <c r="M6961" s="56"/>
    </row>
    <row r="6962" spans="1:13" ht="16.5">
      <c r="A6962" s="554" t="s">
        <v>4216</v>
      </c>
      <c r="B6962" s="555"/>
      <c r="C6962" s="555"/>
      <c r="D6962" s="555"/>
      <c r="E6962" s="555"/>
      <c r="F6962" s="555"/>
      <c r="G6962" s="555"/>
      <c r="H6962" s="105">
        <f>F6961</f>
        <v>800</v>
      </c>
    </row>
    <row r="6963" spans="1:13" ht="16.5">
      <c r="A6963" s="543" t="s">
        <v>4235</v>
      </c>
      <c r="B6963" s="544"/>
      <c r="C6963" s="544"/>
      <c r="D6963" s="544"/>
      <c r="E6963" s="544"/>
      <c r="F6963" s="544"/>
      <c r="G6963" s="544"/>
      <c r="H6963" s="546"/>
    </row>
    <row r="6964" spans="1:13">
      <c r="A6964" s="547" t="s">
        <v>7</v>
      </c>
      <c r="B6964" s="548"/>
      <c r="C6964" s="106" t="s">
        <v>1</v>
      </c>
      <c r="D6964" s="107" t="s">
        <v>4236</v>
      </c>
      <c r="E6964" s="108" t="s">
        <v>4215</v>
      </c>
      <c r="F6964" s="547" t="s">
        <v>5</v>
      </c>
      <c r="G6964" s="556"/>
      <c r="H6964" s="119"/>
    </row>
    <row r="6965" spans="1:13">
      <c r="A6965" s="550" t="s">
        <v>4196</v>
      </c>
      <c r="B6965" s="551"/>
      <c r="C6965" s="101">
        <v>1</v>
      </c>
      <c r="D6965" s="104">
        <f>VLOOKUP(A6965,'Mano Obra'!$B$2:$T$117,19,0)</f>
        <v>166624</v>
      </c>
      <c r="E6965" s="246">
        <f>H6927</f>
        <v>8.3000000000000001E-3</v>
      </c>
      <c r="F6965" s="538">
        <f>E6965*D6965*C6965</f>
        <v>1382.9792</v>
      </c>
      <c r="G6965" s="557"/>
      <c r="H6965" s="121"/>
      <c r="I6965" s="69"/>
      <c r="J6965" s="136">
        <f>((('Mano Obra'!$M$4/30)*F6965)/D6965)*G6934</f>
        <v>0</v>
      </c>
    </row>
    <row r="6966" spans="1:13">
      <c r="A6966" s="558" t="s">
        <v>4197</v>
      </c>
      <c r="B6966" s="559">
        <f>VLOOKUP(A6966,'Mano Obra'!$B$3:$D$290,2,0)</f>
        <v>2090000.0000000002</v>
      </c>
      <c r="C6966" s="101">
        <v>1</v>
      </c>
      <c r="D6966" s="104">
        <f>VLOOKUP(A6966,'Mano Obra'!$B$2:$T$117,19,0)</f>
        <v>120456</v>
      </c>
      <c r="E6966" s="246">
        <f>H6927</f>
        <v>8.3000000000000001E-3</v>
      </c>
      <c r="F6966" s="538">
        <f t="shared" ref="F6966:F6967" si="408">E6966*D6966*C6966</f>
        <v>999.78480000000002</v>
      </c>
      <c r="G6966" s="557"/>
      <c r="H6966" s="121"/>
      <c r="J6966" s="136">
        <f>((('Mano Obra'!$M$5/30)*F6966)/D6966)*G6934</f>
        <v>0</v>
      </c>
    </row>
    <row r="6967" spans="1:13">
      <c r="A6967" s="558" t="s">
        <v>4186</v>
      </c>
      <c r="B6967" s="559">
        <f>VLOOKUP(A6967,'Mano Obra'!$B$3:$D$290,2,0)</f>
        <v>1100000</v>
      </c>
      <c r="C6967" s="101">
        <v>1</v>
      </c>
      <c r="D6967" s="104">
        <f>VLOOKUP(A6967,'Mano Obra'!$B$2:$T$117,19,0)</f>
        <v>72664</v>
      </c>
      <c r="E6967" s="246">
        <f>H6927</f>
        <v>8.3000000000000001E-3</v>
      </c>
      <c r="F6967" s="538">
        <f t="shared" si="408"/>
        <v>603.11120000000005</v>
      </c>
      <c r="G6967" s="557"/>
      <c r="H6967" s="120"/>
      <c r="J6967" s="136">
        <f>((('Mano Obra'!$M$6/30)*F6967)/D6967)*G6934</f>
        <v>0</v>
      </c>
    </row>
    <row r="6968" spans="1:13" ht="16.5">
      <c r="A6968" s="560" t="s">
        <v>4101</v>
      </c>
      <c r="B6968" s="560"/>
      <c r="C6968" s="560"/>
      <c r="D6968" s="560"/>
      <c r="E6968" s="560"/>
      <c r="F6968" s="560"/>
      <c r="G6968" s="560"/>
      <c r="H6968" s="105">
        <f>SUM(F6965:F6967)</f>
        <v>2985.8752000000004</v>
      </c>
      <c r="J6968" s="136"/>
    </row>
    <row r="6969" spans="1:13">
      <c r="A6969" s="227" t="s">
        <v>4237</v>
      </c>
      <c r="B6969" s="205"/>
      <c r="C6969" s="205"/>
      <c r="D6969" s="202"/>
      <c r="E6969" s="203"/>
      <c r="F6969" s="204"/>
      <c r="G6969" s="203"/>
      <c r="H6969" s="212"/>
    </row>
    <row r="6970" spans="1:13">
      <c r="A6970" s="561" t="s">
        <v>4224</v>
      </c>
      <c r="B6970" s="562"/>
      <c r="C6970" s="562"/>
      <c r="D6970" s="562"/>
      <c r="E6970" s="200"/>
      <c r="F6970" s="201" t="s">
        <v>4238</v>
      </c>
      <c r="G6970" s="200" t="s">
        <v>4239</v>
      </c>
      <c r="H6970" s="213"/>
    </row>
    <row r="6971" spans="1:13">
      <c r="A6971" s="223" t="s">
        <v>4097</v>
      </c>
      <c r="B6971" s="72"/>
      <c r="C6971" s="72"/>
      <c r="D6971" s="73"/>
      <c r="E6971" s="78"/>
      <c r="F6971" s="79">
        <v>0</v>
      </c>
      <c r="G6971" s="80">
        <f>F6971*H6935</f>
        <v>0</v>
      </c>
      <c r="H6971" s="212"/>
    </row>
    <row r="6972" spans="1:13">
      <c r="A6972" s="224" t="s">
        <v>4240</v>
      </c>
      <c r="B6972" s="81"/>
      <c r="C6972" s="81"/>
      <c r="D6972" s="82"/>
      <c r="E6972" s="78"/>
      <c r="F6972" s="79">
        <v>0</v>
      </c>
      <c r="G6972" s="80">
        <f>F6972*H6935</f>
        <v>0</v>
      </c>
      <c r="H6972" s="212"/>
    </row>
    <row r="6973" spans="1:13">
      <c r="A6973" s="224" t="s">
        <v>4</v>
      </c>
      <c r="B6973" s="81"/>
      <c r="C6973" s="81"/>
      <c r="D6973" s="82"/>
      <c r="E6973" s="78"/>
      <c r="F6973" s="79">
        <v>0</v>
      </c>
      <c r="G6973" s="80">
        <f>F6973*H6935</f>
        <v>0</v>
      </c>
      <c r="H6973" s="212"/>
    </row>
    <row r="6974" spans="1:13">
      <c r="A6974" s="225"/>
      <c r="B6974" s="83"/>
      <c r="C6974" s="75"/>
      <c r="D6974" s="84"/>
      <c r="E6974" s="85"/>
      <c r="F6974" s="86"/>
      <c r="G6974" s="87"/>
      <c r="H6974" s="214"/>
    </row>
    <row r="6975" spans="1:13">
      <c r="A6975" s="226"/>
      <c r="B6975" s="83"/>
      <c r="C6975" s="83"/>
      <c r="D6975" s="84"/>
      <c r="E6975" s="88"/>
      <c r="F6975" s="563" t="s">
        <v>4241</v>
      </c>
      <c r="G6975" s="564"/>
      <c r="H6975" s="233">
        <f>H6935+G6971+G6972+G6973</f>
        <v>14120.53595</v>
      </c>
    </row>
    <row r="6977" spans="1:14" ht="16.5">
      <c r="A6977" s="90"/>
      <c r="B6977" s="90"/>
      <c r="C6977" s="90"/>
      <c r="D6977" s="90"/>
      <c r="E6977" s="90"/>
      <c r="F6977" s="90"/>
      <c r="G6977" s="90"/>
      <c r="H6977" s="381"/>
    </row>
    <row r="6978" spans="1:14">
      <c r="A6978" s="579" t="s">
        <v>4225</v>
      </c>
      <c r="B6978" s="580"/>
      <c r="C6978" s="580"/>
      <c r="D6978" s="580"/>
      <c r="E6978" s="580"/>
      <c r="F6978" s="580"/>
      <c r="G6978" s="580"/>
      <c r="H6978" s="581"/>
    </row>
    <row r="6979" spans="1:14" ht="16.5">
      <c r="A6979" s="91"/>
      <c r="B6979" s="92"/>
      <c r="C6979" s="92"/>
      <c r="D6979" s="92"/>
      <c r="E6979" s="92"/>
      <c r="F6979" s="93"/>
      <c r="G6979" s="94"/>
      <c r="H6979" s="380">
        <f>ROUND((4/60)/8,4)</f>
        <v>8.3000000000000001E-3</v>
      </c>
      <c r="I6979" s="115"/>
    </row>
    <row r="6980" spans="1:14">
      <c r="A6980" s="582" t="s">
        <v>4220</v>
      </c>
      <c r="B6980" s="584" t="str">
        <f>COSTOS!$C$14</f>
        <v>MODERNIZACION A TECNOLOGIA LED</v>
      </c>
      <c r="C6980" s="584"/>
      <c r="D6980" s="584"/>
      <c r="E6980" s="584"/>
      <c r="F6980" s="584"/>
      <c r="G6980" s="584"/>
      <c r="H6980" s="585" t="s">
        <v>4221</v>
      </c>
    </row>
    <row r="6981" spans="1:14">
      <c r="A6981" s="583"/>
      <c r="B6981" s="584"/>
      <c r="C6981" s="584"/>
      <c r="D6981" s="584"/>
      <c r="E6981" s="584"/>
      <c r="F6981" s="584"/>
      <c r="G6981" s="584"/>
      <c r="H6981" s="585"/>
    </row>
    <row r="6982" spans="1:14">
      <c r="A6982" s="583"/>
      <c r="B6982" s="584"/>
      <c r="C6982" s="584"/>
      <c r="D6982" s="584"/>
      <c r="E6982" s="584"/>
      <c r="F6982" s="584"/>
      <c r="G6982" s="584"/>
      <c r="H6982" s="585"/>
    </row>
    <row r="6983" spans="1:14" ht="15" customHeight="1">
      <c r="A6983" s="583"/>
      <c r="B6983" s="584"/>
      <c r="C6983" s="584"/>
      <c r="D6983" s="584"/>
      <c r="E6983" s="584"/>
      <c r="F6983" s="584"/>
      <c r="G6983" s="584"/>
      <c r="H6983" s="216">
        <f ca="1">TODAY()</f>
        <v>44889</v>
      </c>
      <c r="K6983" t="s">
        <v>4391</v>
      </c>
      <c r="L6983" t="s">
        <v>4392</v>
      </c>
      <c r="M6983" t="s">
        <v>4393</v>
      </c>
      <c r="N6983" t="s">
        <v>4394</v>
      </c>
    </row>
    <row r="6984" spans="1:14" ht="60.75" customHeight="1">
      <c r="A6984" s="228" t="s">
        <v>4222</v>
      </c>
      <c r="B6984" s="565" t="str">
        <f>COSTOS!$D$16</f>
        <v>Luminarias</v>
      </c>
      <c r="C6984" s="565"/>
      <c r="D6984" s="565"/>
      <c r="E6984" s="565"/>
      <c r="F6984" s="565"/>
      <c r="G6984" s="70" t="s">
        <v>4223</v>
      </c>
      <c r="H6984" s="391">
        <v>3.24</v>
      </c>
      <c r="K6984" s="62">
        <f>H7010</f>
        <v>3073.056</v>
      </c>
      <c r="L6984" s="62">
        <f>H7020</f>
        <v>2985.8752000000004</v>
      </c>
      <c r="M6984" s="62">
        <f>H6993</f>
        <v>338.66075000000001</v>
      </c>
      <c r="N6984" s="62">
        <f>H7014</f>
        <v>800</v>
      </c>
    </row>
    <row r="6985" spans="1:14" ht="43.15" customHeight="1">
      <c r="A6985" s="229" t="s">
        <v>4224</v>
      </c>
      <c r="B6985" s="566" t="str">
        <f>VLOOKUP(H6984,COSTOS!C:M,2,0)</f>
        <v>Red canalizada en cable cobre # 12 x 500m</v>
      </c>
      <c r="C6985" s="567"/>
      <c r="D6985" s="567"/>
      <c r="E6985" s="568"/>
      <c r="F6985" s="71" t="s">
        <v>0</v>
      </c>
      <c r="G6985" s="356" t="str">
        <f>VLOOKUP(H6984,COSTOS!C:M,8,0)</f>
        <v>Und</v>
      </c>
      <c r="H6985" s="276"/>
      <c r="I6985" s="306"/>
      <c r="J6985" s="308"/>
      <c r="K6985" s="308"/>
      <c r="L6985" s="308"/>
    </row>
    <row r="6986" spans="1:14">
      <c r="A6986" s="230"/>
      <c r="B6986" s="112"/>
      <c r="C6986" s="112"/>
      <c r="D6986" s="112"/>
      <c r="E6986" s="113"/>
      <c r="F6986" s="114" t="s">
        <v>1</v>
      </c>
      <c r="G6986" s="356">
        <f>VLOOKUP(H6984,COSTOS!C:M,9,0)</f>
        <v>0</v>
      </c>
      <c r="H6986" s="357"/>
      <c r="I6986" s="307"/>
    </row>
    <row r="6987" spans="1:14" ht="16.5">
      <c r="A6987" s="231" t="s">
        <v>4226</v>
      </c>
      <c r="B6987" s="75"/>
      <c r="C6987" s="75"/>
      <c r="D6987" s="76"/>
      <c r="E6987" s="209"/>
      <c r="F6987" s="210"/>
      <c r="G6987" s="211" t="s">
        <v>4227</v>
      </c>
      <c r="H6987" s="217">
        <f>H6993+H7010+H7014+H7020</f>
        <v>7197.59195</v>
      </c>
    </row>
    <row r="6988" spans="1:14" ht="39">
      <c r="A6988" s="569" t="s">
        <v>4224</v>
      </c>
      <c r="B6988" s="569"/>
      <c r="C6988" s="569"/>
      <c r="D6988" s="77" t="s">
        <v>0</v>
      </c>
      <c r="E6988" s="207" t="s">
        <v>4228</v>
      </c>
      <c r="F6988" s="208" t="s">
        <v>4215</v>
      </c>
      <c r="G6988" s="74" t="s">
        <v>2</v>
      </c>
      <c r="H6988" s="218" t="s">
        <v>4229</v>
      </c>
      <c r="K6988" s="309"/>
    </row>
    <row r="6989" spans="1:14">
      <c r="A6989" s="536" t="s">
        <v>3946</v>
      </c>
      <c r="B6989" s="570" t="str">
        <f>VLOOKUP(A6989,'Equip, Herr y Transp'!$B$2:$D$739,2,0)</f>
        <v>EQU</v>
      </c>
      <c r="C6989" s="570"/>
      <c r="D6989" s="95" t="str">
        <f>VLOOKUP(A6989,'Equip, Herr y Transp'!$B$2:$D$218,2,0)</f>
        <v>EQU</v>
      </c>
      <c r="E6989" s="95">
        <f>VLOOKUP(A6989,'Equip, Herr y Transp'!$B$2:$D$218,3,0)</f>
        <v>14130</v>
      </c>
      <c r="F6989" s="96">
        <f>H6979</f>
        <v>8.3000000000000001E-3</v>
      </c>
      <c r="G6989" s="122">
        <f>F6989*E6989</f>
        <v>117.279</v>
      </c>
      <c r="H6989" s="118"/>
    </row>
    <row r="6990" spans="1:14">
      <c r="A6990" s="536" t="s">
        <v>3904</v>
      </c>
      <c r="B6990" s="570" t="str">
        <f>VLOOKUP(A6990,'Equip, Herr y Transp'!$B$2:$D$739,2,0)</f>
        <v>EQU</v>
      </c>
      <c r="C6990" s="570"/>
      <c r="D6990" s="95" t="str">
        <f>VLOOKUP(A6990,'Equip, Herr y Transp'!$B$2:$D$218,2,0)</f>
        <v>EQU</v>
      </c>
      <c r="E6990" s="95">
        <f>VLOOKUP(A6990,'Equip, Herr y Transp'!$B$2:$D$218,3,0)</f>
        <v>26672.5</v>
      </c>
      <c r="F6990" s="96">
        <f>H6979</f>
        <v>8.3000000000000001E-3</v>
      </c>
      <c r="G6990" s="122">
        <f>F6990*E6990</f>
        <v>221.38175000000001</v>
      </c>
      <c r="H6990" s="117"/>
    </row>
    <row r="6991" spans="1:14">
      <c r="A6991" s="536" t="s">
        <v>8</v>
      </c>
      <c r="B6991" s="570">
        <f>VLOOKUP(A6991,'Equip, Herr y Transp'!$B$2:$D$739,2,0)</f>
        <v>0</v>
      </c>
      <c r="C6991" s="570"/>
      <c r="D6991" s="95">
        <f>VLOOKUP(A6991,'Equip, Herr y Transp'!$B$2:$D$218,2,0)</f>
        <v>0</v>
      </c>
      <c r="E6991" s="95">
        <f>VLOOKUP(A6991,'Equip, Herr y Transp'!$B$2:$D$218,3,0)</f>
        <v>0</v>
      </c>
      <c r="F6991" s="96">
        <f>H6979</f>
        <v>8.3000000000000001E-3</v>
      </c>
      <c r="G6991" s="122">
        <f>F6991*E6991</f>
        <v>0</v>
      </c>
      <c r="H6991" s="117"/>
    </row>
    <row r="6992" spans="1:14">
      <c r="A6992" s="536" t="s">
        <v>8</v>
      </c>
      <c r="B6992" s="570">
        <f>VLOOKUP(A6992,'Equip, Herr y Transp'!$B$2:$D$739,2,0)</f>
        <v>0</v>
      </c>
      <c r="C6992" s="570"/>
      <c r="D6992" s="95">
        <f>VLOOKUP(A6992,'Equip, Herr y Transp'!$B$2:$D$218,2,0)</f>
        <v>0</v>
      </c>
      <c r="E6992" s="95">
        <f>VLOOKUP(A6992,'Equip, Herr y Transp'!$B$2:$D$218,3,0)</f>
        <v>0</v>
      </c>
      <c r="F6992" s="96">
        <f>H6979</f>
        <v>8.3000000000000001E-3</v>
      </c>
      <c r="G6992" s="122">
        <f>F6992*E6992</f>
        <v>0</v>
      </c>
      <c r="H6992" s="117"/>
    </row>
    <row r="6993" spans="1:15" ht="16.5">
      <c r="A6993" s="540" t="s">
        <v>4100</v>
      </c>
      <c r="B6993" s="541"/>
      <c r="C6993" s="541"/>
      <c r="D6993" s="541"/>
      <c r="E6993" s="541"/>
      <c r="F6993" s="541"/>
      <c r="G6993" s="541"/>
      <c r="H6993" s="97">
        <f>SUM(G6989:G6992)</f>
        <v>338.66075000000001</v>
      </c>
    </row>
    <row r="6994" spans="1:15" ht="16.5">
      <c r="A6994" s="571" t="s">
        <v>4230</v>
      </c>
      <c r="B6994" s="572"/>
      <c r="C6994" s="572"/>
      <c r="D6994" s="572"/>
      <c r="E6994" s="572"/>
      <c r="F6994" s="572"/>
      <c r="G6994" s="572"/>
      <c r="H6994" s="573"/>
      <c r="K6994" s="56"/>
      <c r="L6994" s="56"/>
      <c r="M6994" s="56"/>
      <c r="N6994" s="56"/>
      <c r="O6994" s="56"/>
    </row>
    <row r="6995" spans="1:15" ht="30" customHeight="1">
      <c r="A6995" s="574" t="s">
        <v>7</v>
      </c>
      <c r="B6995" s="575"/>
      <c r="C6995" s="109" t="s">
        <v>0</v>
      </c>
      <c r="D6995" s="110" t="s">
        <v>4098</v>
      </c>
      <c r="E6995" s="111" t="s">
        <v>1</v>
      </c>
      <c r="F6995" s="576" t="s">
        <v>4218</v>
      </c>
      <c r="G6995" s="576"/>
      <c r="H6995" s="215"/>
      <c r="K6995" s="56"/>
      <c r="L6995" s="56"/>
      <c r="M6995" s="56"/>
      <c r="N6995" s="56"/>
      <c r="O6995" s="56"/>
    </row>
    <row r="6996" spans="1:15">
      <c r="A6996" s="577" t="s">
        <v>4649</v>
      </c>
      <c r="B6996" s="578"/>
      <c r="C6996" s="98" t="str">
        <f>VLOOKUP(A6996,'Materiales '!$C$2:$F$1302,3,0)</f>
        <v>Ml</v>
      </c>
      <c r="D6996" s="99">
        <f>VLOOKUP(A6996,'Materiales '!$C$2:$F$1302,4,0)</f>
        <v>3073.056</v>
      </c>
      <c r="E6996" s="100">
        <v>1</v>
      </c>
      <c r="F6996" s="538">
        <f>E6996*D6996</f>
        <v>3073.056</v>
      </c>
      <c r="G6996" s="539"/>
      <c r="H6996" s="121"/>
      <c r="I6996">
        <f>E6996*G6986</f>
        <v>0</v>
      </c>
      <c r="J6996" s="67"/>
      <c r="K6996" s="56"/>
      <c r="L6996" s="56"/>
      <c r="M6996" s="56"/>
      <c r="N6996" s="56"/>
      <c r="O6996" s="56"/>
    </row>
    <row r="6997" spans="1:15">
      <c r="A6997" s="577" t="s">
        <v>8</v>
      </c>
      <c r="B6997" s="578"/>
      <c r="C6997" s="98" t="str">
        <f>VLOOKUP(A6997,'Materiales '!$C$2:$F$1302,3,0)</f>
        <v>-</v>
      </c>
      <c r="D6997" s="99">
        <f>VLOOKUP(A6997,'Materiales '!$C$2:$F$1302,4,0)</f>
        <v>0</v>
      </c>
      <c r="E6997" s="100">
        <f>3/25</f>
        <v>0.12</v>
      </c>
      <c r="F6997" s="538">
        <f t="shared" ref="F6997:F7003" si="409">E6997*D6997</f>
        <v>0</v>
      </c>
      <c r="G6997" s="539"/>
      <c r="H6997" s="121"/>
      <c r="I6997">
        <f>E6997*G6986</f>
        <v>0</v>
      </c>
      <c r="J6997" s="67"/>
      <c r="K6997" s="56"/>
      <c r="L6997" s="56"/>
      <c r="M6997" s="56"/>
      <c r="N6997" s="56"/>
      <c r="O6997" s="56"/>
    </row>
    <row r="6998" spans="1:15">
      <c r="A6998" s="536" t="s">
        <v>8</v>
      </c>
      <c r="B6998" s="537" t="str">
        <f>VLOOKUP(A6998,'Materiales '!$C$2:$F$1302,3,0)</f>
        <v>-</v>
      </c>
      <c r="C6998" s="98" t="str">
        <f>VLOOKUP(A6998,'Materiales '!$C$2:$F$1302,3,0)</f>
        <v>-</v>
      </c>
      <c r="D6998" s="99">
        <f>VLOOKUP(A6998,'Materiales '!$C$2:$F$1302,4,0)</f>
        <v>0</v>
      </c>
      <c r="E6998" s="100">
        <f>3/25</f>
        <v>0.12</v>
      </c>
      <c r="F6998" s="538">
        <f t="shared" si="409"/>
        <v>0</v>
      </c>
      <c r="G6998" s="539"/>
      <c r="H6998" s="121"/>
      <c r="I6998">
        <f>E6998*G6986</f>
        <v>0</v>
      </c>
      <c r="J6998" s="68"/>
      <c r="K6998" s="56"/>
      <c r="L6998" s="56"/>
      <c r="M6998" s="56"/>
      <c r="N6998" s="56"/>
      <c r="O6998" s="56"/>
    </row>
    <row r="6999" spans="1:15">
      <c r="A6999" s="536" t="s">
        <v>8</v>
      </c>
      <c r="B6999" s="537" t="str">
        <f>VLOOKUP(A6999,'Materiales '!$C$2:$F$1302,3,0)</f>
        <v>-</v>
      </c>
      <c r="C6999" s="98" t="str">
        <f>VLOOKUP(A6999,'Materiales '!$C$2:$F$1302,3,0)</f>
        <v>-</v>
      </c>
      <c r="D6999" s="99">
        <f>VLOOKUP(A6999,'Materiales '!$C$2:$F$1302,4,0)</f>
        <v>0</v>
      </c>
      <c r="E6999" s="100"/>
      <c r="F6999" s="538">
        <f t="shared" si="409"/>
        <v>0</v>
      </c>
      <c r="G6999" s="539"/>
      <c r="H6999" s="121"/>
      <c r="I6999">
        <f>E6999*G6986</f>
        <v>0</v>
      </c>
      <c r="J6999" s="68"/>
      <c r="K6999" s="56"/>
      <c r="L6999" s="56"/>
      <c r="M6999" s="56"/>
      <c r="N6999" s="56"/>
      <c r="O6999" s="56"/>
    </row>
    <row r="7000" spans="1:15">
      <c r="A7000" s="536" t="s">
        <v>8</v>
      </c>
      <c r="B7000" s="537" t="str">
        <f>VLOOKUP(A7000,'Materiales '!$C$2:$F$1302,3,0)</f>
        <v>-</v>
      </c>
      <c r="C7000" s="98" t="str">
        <f>VLOOKUP(A7000,'Materiales '!$C$2:$F$1302,3,0)</f>
        <v>-</v>
      </c>
      <c r="D7000" s="99">
        <f>VLOOKUP(A7000,'Materiales '!$C$2:$F$1302,4,0)</f>
        <v>0</v>
      </c>
      <c r="E7000" s="100"/>
      <c r="F7000" s="538">
        <f t="shared" si="409"/>
        <v>0</v>
      </c>
      <c r="G7000" s="539"/>
      <c r="H7000" s="121"/>
      <c r="I7000">
        <f>E7000*G6986</f>
        <v>0</v>
      </c>
      <c r="J7000" s="68"/>
      <c r="K7000" s="56"/>
      <c r="L7000" s="56"/>
      <c r="M7000" s="56"/>
      <c r="N7000" s="56"/>
      <c r="O7000" s="56"/>
    </row>
    <row r="7001" spans="1:15">
      <c r="A7001" s="536" t="s">
        <v>8</v>
      </c>
      <c r="B7001" s="537" t="str">
        <f>VLOOKUP(A7001,'Materiales '!$C$2:$F$1302,3,0)</f>
        <v>-</v>
      </c>
      <c r="C7001" s="98" t="str">
        <f>VLOOKUP(A7001,'Materiales '!$C$2:$F$1302,3,0)</f>
        <v>-</v>
      </c>
      <c r="D7001" s="99">
        <f>VLOOKUP(A7001,'Materiales '!$C$2:$F$1302,4,0)</f>
        <v>0</v>
      </c>
      <c r="E7001" s="100"/>
      <c r="F7001" s="538">
        <f t="shared" si="409"/>
        <v>0</v>
      </c>
      <c r="G7001" s="539"/>
      <c r="H7001" s="121"/>
      <c r="I7001">
        <f>E7001*G6986</f>
        <v>0</v>
      </c>
      <c r="J7001" s="68"/>
      <c r="K7001" s="56"/>
      <c r="L7001" s="56"/>
      <c r="M7001" s="56"/>
      <c r="N7001" s="56"/>
      <c r="O7001" s="56"/>
    </row>
    <row r="7002" spans="1:15">
      <c r="A7002" s="536" t="s">
        <v>8</v>
      </c>
      <c r="B7002" s="537" t="str">
        <f>VLOOKUP(A7002,'Materiales '!$C$2:$F$1302,3,0)</f>
        <v>-</v>
      </c>
      <c r="C7002" s="98" t="str">
        <f>VLOOKUP(A7002,'Materiales '!$C$2:$F$1302,3,0)</f>
        <v>-</v>
      </c>
      <c r="D7002" s="99">
        <f>VLOOKUP(A7002,'Materiales '!$C$2:$F$1302,4,0)</f>
        <v>0</v>
      </c>
      <c r="E7002" s="100"/>
      <c r="F7002" s="538">
        <f t="shared" si="409"/>
        <v>0</v>
      </c>
      <c r="G7002" s="539"/>
      <c r="H7002" s="121"/>
      <c r="I7002">
        <f>E7002*G6986</f>
        <v>0</v>
      </c>
      <c r="J7002" s="68"/>
      <c r="K7002" s="56"/>
      <c r="L7002" s="56"/>
      <c r="M7002" s="56"/>
      <c r="N7002" s="56"/>
      <c r="O7002" s="56"/>
    </row>
    <row r="7003" spans="1:15" ht="21.75" customHeight="1">
      <c r="A7003" s="536" t="s">
        <v>8</v>
      </c>
      <c r="B7003" s="537" t="str">
        <f>VLOOKUP(A7003,'Materiales '!$C$2:$F$1302,3,0)</f>
        <v>-</v>
      </c>
      <c r="C7003" s="98" t="str">
        <f>VLOOKUP(A7003,'Materiales '!$C$2:$F$1302,3,0)</f>
        <v>-</v>
      </c>
      <c r="D7003" s="99">
        <f>VLOOKUP(A7003,'Materiales '!$C$2:$F$1302,4,0)</f>
        <v>0</v>
      </c>
      <c r="E7003" s="100"/>
      <c r="F7003" s="538">
        <f t="shared" si="409"/>
        <v>0</v>
      </c>
      <c r="G7003" s="539"/>
      <c r="H7003" s="121"/>
      <c r="I7003">
        <f>E7003*G6986</f>
        <v>0</v>
      </c>
      <c r="J7003" s="68"/>
      <c r="K7003" s="56"/>
      <c r="L7003" s="56"/>
      <c r="M7003" s="56"/>
      <c r="N7003" s="56"/>
      <c r="O7003" s="56"/>
    </row>
    <row r="7004" spans="1:15">
      <c r="A7004" s="536" t="s">
        <v>8</v>
      </c>
      <c r="B7004" s="537" t="str">
        <f>VLOOKUP(A7004,'Materiales '!$C$2:$F$1302,3,0)</f>
        <v>-</v>
      </c>
      <c r="C7004" s="98" t="str">
        <f>VLOOKUP(A7004,'Materiales '!$C$2:$F$1302,3,0)</f>
        <v>-</v>
      </c>
      <c r="D7004" s="99">
        <f>VLOOKUP(A7004,'Materiales '!$C$2:$F$1302,4,0)</f>
        <v>0</v>
      </c>
      <c r="E7004" s="100"/>
      <c r="F7004" s="538">
        <f>E7004*D7004</f>
        <v>0</v>
      </c>
      <c r="G7004" s="539"/>
      <c r="H7004" s="120"/>
      <c r="I7004">
        <f>E7004*G6986</f>
        <v>0</v>
      </c>
      <c r="J7004" s="68"/>
      <c r="K7004" s="56"/>
      <c r="L7004" s="56"/>
      <c r="M7004" s="56"/>
      <c r="N7004" s="56"/>
      <c r="O7004" s="56"/>
    </row>
    <row r="7005" spans="1:15">
      <c r="A7005" s="536" t="s">
        <v>8</v>
      </c>
      <c r="B7005" s="537" t="str">
        <f>VLOOKUP(A7005,'Materiales '!$C$2:$F$1302,3,0)</f>
        <v>-</v>
      </c>
      <c r="C7005" s="98" t="str">
        <f>VLOOKUP(A7005,'Materiales '!$C$2:$F$1302,3,0)</f>
        <v>-</v>
      </c>
      <c r="D7005" s="99">
        <f>VLOOKUP(A7005,'Materiales '!$C$2:$F$1302,4,0)</f>
        <v>0</v>
      </c>
      <c r="E7005" s="100"/>
      <c r="F7005" s="538">
        <f t="shared" ref="F7005:F7008" si="410">E7005*D7005</f>
        <v>0</v>
      </c>
      <c r="G7005" s="539"/>
      <c r="H7005" s="121"/>
      <c r="I7005">
        <f>E7005*G6986</f>
        <v>0</v>
      </c>
      <c r="J7005" s="68"/>
      <c r="K7005" s="56"/>
      <c r="L7005" s="56"/>
      <c r="M7005" s="56"/>
      <c r="N7005" s="56"/>
      <c r="O7005" s="56"/>
    </row>
    <row r="7006" spans="1:15">
      <c r="A7006" s="536" t="s">
        <v>8</v>
      </c>
      <c r="B7006" s="537" t="str">
        <f>VLOOKUP(A7006,'Materiales '!$C$2:$F$1302,3,0)</f>
        <v>-</v>
      </c>
      <c r="C7006" s="98" t="str">
        <f>VLOOKUP(A7006,'Materiales '!$C$2:$F$1302,3,0)</f>
        <v>-</v>
      </c>
      <c r="D7006" s="99">
        <f>VLOOKUP(A7006,'Materiales '!$C$2:$F$1302,4,0)</f>
        <v>0</v>
      </c>
      <c r="E7006" s="100"/>
      <c r="F7006" s="538">
        <f t="shared" si="410"/>
        <v>0</v>
      </c>
      <c r="G7006" s="539"/>
      <c r="H7006" s="121"/>
      <c r="I7006">
        <f>E7006*G6986</f>
        <v>0</v>
      </c>
      <c r="J7006" s="68"/>
      <c r="K7006" s="56"/>
      <c r="L7006" s="56"/>
      <c r="M7006" s="56"/>
      <c r="N7006" s="56"/>
      <c r="O7006" s="56"/>
    </row>
    <row r="7007" spans="1:15">
      <c r="A7007" s="536" t="s">
        <v>8</v>
      </c>
      <c r="B7007" s="537" t="str">
        <f>VLOOKUP(A7007,'Materiales '!$C$2:$F$1302,3,0)</f>
        <v>-</v>
      </c>
      <c r="C7007" s="98" t="str">
        <f>VLOOKUP(A7007,'Materiales '!$C$2:$F$1302,3,0)</f>
        <v>-</v>
      </c>
      <c r="D7007" s="99">
        <f>VLOOKUP(A7007,'Materiales '!$C$2:$F$1302,4,0)</f>
        <v>0</v>
      </c>
      <c r="E7007" s="100"/>
      <c r="F7007" s="538">
        <f t="shared" si="410"/>
        <v>0</v>
      </c>
      <c r="G7007" s="539"/>
      <c r="H7007" s="121"/>
      <c r="I7007">
        <f>E7007*G6986</f>
        <v>0</v>
      </c>
      <c r="J7007" s="68"/>
      <c r="K7007" s="56"/>
      <c r="L7007" s="56"/>
      <c r="M7007" s="56"/>
      <c r="N7007" s="56"/>
      <c r="O7007" s="56"/>
    </row>
    <row r="7008" spans="1:15">
      <c r="A7008" s="536" t="s">
        <v>8</v>
      </c>
      <c r="B7008" s="537" t="str">
        <f>VLOOKUP(A7008,'Materiales '!$C$2:$F$1302,3,0)</f>
        <v>-</v>
      </c>
      <c r="C7008" s="98" t="str">
        <f>VLOOKUP(A7008,'Materiales '!$C$2:$F$1302,3,0)</f>
        <v>-</v>
      </c>
      <c r="D7008" s="99">
        <f>VLOOKUP(A7008,'Materiales '!$C$2:$F$1302,4,0)</f>
        <v>0</v>
      </c>
      <c r="E7008" s="100"/>
      <c r="F7008" s="538">
        <f t="shared" si="410"/>
        <v>0</v>
      </c>
      <c r="G7008" s="539"/>
      <c r="H7008" s="121"/>
      <c r="I7008">
        <f>E7008*G6986</f>
        <v>0</v>
      </c>
      <c r="J7008" s="68"/>
      <c r="K7008" s="56"/>
      <c r="L7008" s="56"/>
      <c r="M7008" s="56"/>
      <c r="N7008" s="56"/>
      <c r="O7008" s="56"/>
    </row>
    <row r="7009" spans="1:15">
      <c r="A7009" s="536" t="s">
        <v>8</v>
      </c>
      <c r="B7009" s="537" t="str">
        <f>VLOOKUP(A7009,'Materiales '!$C$2:$F$1302,3,0)</f>
        <v>-</v>
      </c>
      <c r="C7009" s="98" t="str">
        <f>VLOOKUP(A7009,'Materiales '!$C$2:$F$1302,3,0)</f>
        <v>-</v>
      </c>
      <c r="D7009" s="99">
        <f>VLOOKUP(A7009,'Materiales '!$C$2:$F$1302,4,0)</f>
        <v>0</v>
      </c>
      <c r="E7009" s="100"/>
      <c r="F7009" s="538">
        <f>E7009*D7009</f>
        <v>0</v>
      </c>
      <c r="G7009" s="539"/>
      <c r="H7009" s="120"/>
      <c r="I7009">
        <f>E7009*G6986</f>
        <v>0</v>
      </c>
      <c r="J7009" s="68"/>
      <c r="K7009" s="56"/>
      <c r="L7009" s="56"/>
      <c r="M7009" s="56"/>
      <c r="N7009" s="56"/>
      <c r="O7009" s="56"/>
    </row>
    <row r="7010" spans="1:15" ht="16.5">
      <c r="A7010" s="540" t="s">
        <v>4099</v>
      </c>
      <c r="B7010" s="541"/>
      <c r="C7010" s="541"/>
      <c r="D7010" s="541"/>
      <c r="E7010" s="541"/>
      <c r="F7010" s="541"/>
      <c r="G7010" s="542"/>
      <c r="H7010" s="116">
        <f>SUM(F6996:F7009)</f>
        <v>3073.056</v>
      </c>
      <c r="J7010" s="68"/>
      <c r="K7010" s="56"/>
      <c r="L7010" s="56"/>
      <c r="M7010" s="56"/>
      <c r="N7010" s="56"/>
      <c r="O7010" s="56"/>
    </row>
    <row r="7011" spans="1:15" ht="16.5">
      <c r="A7011" s="543" t="s">
        <v>4231</v>
      </c>
      <c r="B7011" s="544"/>
      <c r="C7011" s="544"/>
      <c r="D7011" s="544"/>
      <c r="E7011" s="545"/>
      <c r="F7011" s="544"/>
      <c r="G7011" s="544"/>
      <c r="H7011" s="546"/>
      <c r="J7011" s="68"/>
      <c r="K7011" s="56"/>
      <c r="L7011" s="56"/>
      <c r="M7011" s="56"/>
      <c r="N7011" s="56"/>
      <c r="O7011" s="56"/>
    </row>
    <row r="7012" spans="1:15">
      <c r="A7012" s="547" t="s">
        <v>7</v>
      </c>
      <c r="B7012" s="548"/>
      <c r="C7012" s="108" t="s">
        <v>4232</v>
      </c>
      <c r="D7012" s="107" t="s">
        <v>4233</v>
      </c>
      <c r="E7012" s="206" t="s">
        <v>4234</v>
      </c>
      <c r="F7012" s="549" t="s">
        <v>4218</v>
      </c>
      <c r="G7012" s="549"/>
      <c r="H7012" s="119"/>
      <c r="K7012" s="56"/>
      <c r="L7012" s="56"/>
      <c r="M7012" s="56"/>
      <c r="N7012" s="56"/>
      <c r="O7012" s="56"/>
    </row>
    <row r="7013" spans="1:15">
      <c r="A7013" s="550" t="s">
        <v>3928</v>
      </c>
      <c r="B7013" s="551"/>
      <c r="C7013" s="232">
        <v>1</v>
      </c>
      <c r="D7013" s="102">
        <v>5.0000000000000001E-3</v>
      </c>
      <c r="E7013" s="103">
        <f>VLOOKUP(A7013,'Equip, Herr y Transp'!$B$2:$D$218,3,0)</f>
        <v>160000</v>
      </c>
      <c r="F7013" s="552">
        <f>E7013*D7013*C7013</f>
        <v>800</v>
      </c>
      <c r="G7013" s="553"/>
      <c r="H7013" s="117"/>
      <c r="M7013" s="56"/>
    </row>
    <row r="7014" spans="1:15" ht="16.5">
      <c r="A7014" s="554" t="s">
        <v>4216</v>
      </c>
      <c r="B7014" s="555"/>
      <c r="C7014" s="555"/>
      <c r="D7014" s="555"/>
      <c r="E7014" s="555"/>
      <c r="F7014" s="555"/>
      <c r="G7014" s="555"/>
      <c r="H7014" s="105">
        <f>F7013</f>
        <v>800</v>
      </c>
    </row>
    <row r="7015" spans="1:15" ht="16.5">
      <c r="A7015" s="543" t="s">
        <v>4235</v>
      </c>
      <c r="B7015" s="544"/>
      <c r="C7015" s="544"/>
      <c r="D7015" s="544"/>
      <c r="E7015" s="544"/>
      <c r="F7015" s="544"/>
      <c r="G7015" s="544"/>
      <c r="H7015" s="546"/>
    </row>
    <row r="7016" spans="1:15">
      <c r="A7016" s="547" t="s">
        <v>7</v>
      </c>
      <c r="B7016" s="548"/>
      <c r="C7016" s="106" t="s">
        <v>1</v>
      </c>
      <c r="D7016" s="107" t="s">
        <v>4236</v>
      </c>
      <c r="E7016" s="108" t="s">
        <v>4215</v>
      </c>
      <c r="F7016" s="547" t="s">
        <v>5</v>
      </c>
      <c r="G7016" s="556"/>
      <c r="H7016" s="119"/>
    </row>
    <row r="7017" spans="1:15">
      <c r="A7017" s="550" t="s">
        <v>4196</v>
      </c>
      <c r="B7017" s="551"/>
      <c r="C7017" s="101">
        <v>1</v>
      </c>
      <c r="D7017" s="104">
        <f>VLOOKUP(A7017,'Mano Obra'!$B$2:$T$117,19,0)</f>
        <v>166624</v>
      </c>
      <c r="E7017" s="246">
        <f>H6979</f>
        <v>8.3000000000000001E-3</v>
      </c>
      <c r="F7017" s="538">
        <f>E7017*D7017*C7017</f>
        <v>1382.9792</v>
      </c>
      <c r="G7017" s="557"/>
      <c r="H7017" s="121"/>
      <c r="I7017" s="69"/>
      <c r="J7017" s="136">
        <f>((('Mano Obra'!$M$4/30)*F7017)/D7017)*G6986</f>
        <v>0</v>
      </c>
    </row>
    <row r="7018" spans="1:15">
      <c r="A7018" s="558" t="s">
        <v>4197</v>
      </c>
      <c r="B7018" s="559">
        <f>VLOOKUP(A7018,'Mano Obra'!$B$3:$D$290,2,0)</f>
        <v>2090000.0000000002</v>
      </c>
      <c r="C7018" s="101">
        <v>1</v>
      </c>
      <c r="D7018" s="104">
        <f>VLOOKUP(A7018,'Mano Obra'!$B$2:$T$117,19,0)</f>
        <v>120456</v>
      </c>
      <c r="E7018" s="246">
        <f>H6979</f>
        <v>8.3000000000000001E-3</v>
      </c>
      <c r="F7018" s="538">
        <f t="shared" ref="F7018:F7019" si="411">E7018*D7018*C7018</f>
        <v>999.78480000000002</v>
      </c>
      <c r="G7018" s="557"/>
      <c r="H7018" s="121"/>
      <c r="J7018" s="136">
        <f>((('Mano Obra'!$M$5/30)*F7018)/D7018)*G6986</f>
        <v>0</v>
      </c>
    </row>
    <row r="7019" spans="1:15">
      <c r="A7019" s="558" t="s">
        <v>4186</v>
      </c>
      <c r="B7019" s="559">
        <f>VLOOKUP(A7019,'Mano Obra'!$B$3:$D$290,2,0)</f>
        <v>1100000</v>
      </c>
      <c r="C7019" s="101">
        <v>1</v>
      </c>
      <c r="D7019" s="104">
        <f>VLOOKUP(A7019,'Mano Obra'!$B$2:$T$117,19,0)</f>
        <v>72664</v>
      </c>
      <c r="E7019" s="246">
        <f>H6979</f>
        <v>8.3000000000000001E-3</v>
      </c>
      <c r="F7019" s="538">
        <f t="shared" si="411"/>
        <v>603.11120000000005</v>
      </c>
      <c r="G7019" s="557"/>
      <c r="H7019" s="120"/>
      <c r="J7019" s="136">
        <f>((('Mano Obra'!$M$6/30)*F7019)/D7019)*G6986</f>
        <v>0</v>
      </c>
    </row>
    <row r="7020" spans="1:15" ht="16.5">
      <c r="A7020" s="560" t="s">
        <v>4101</v>
      </c>
      <c r="B7020" s="560"/>
      <c r="C7020" s="560"/>
      <c r="D7020" s="560"/>
      <c r="E7020" s="560"/>
      <c r="F7020" s="560"/>
      <c r="G7020" s="560"/>
      <c r="H7020" s="105">
        <f>SUM(F7017:F7019)</f>
        <v>2985.8752000000004</v>
      </c>
      <c r="J7020" s="136"/>
    </row>
    <row r="7021" spans="1:15">
      <c r="A7021" s="227" t="s">
        <v>4237</v>
      </c>
      <c r="B7021" s="205"/>
      <c r="C7021" s="205"/>
      <c r="D7021" s="202"/>
      <c r="E7021" s="203"/>
      <c r="F7021" s="204"/>
      <c r="G7021" s="203"/>
      <c r="H7021" s="212"/>
    </row>
    <row r="7022" spans="1:15">
      <c r="A7022" s="561" t="s">
        <v>4224</v>
      </c>
      <c r="B7022" s="562"/>
      <c r="C7022" s="562"/>
      <c r="D7022" s="562"/>
      <c r="E7022" s="200"/>
      <c r="F7022" s="201" t="s">
        <v>4238</v>
      </c>
      <c r="G7022" s="200" t="s">
        <v>4239</v>
      </c>
      <c r="H7022" s="213"/>
    </row>
    <row r="7023" spans="1:15">
      <c r="A7023" s="223" t="s">
        <v>4097</v>
      </c>
      <c r="B7023" s="72"/>
      <c r="C7023" s="72"/>
      <c r="D7023" s="73"/>
      <c r="E7023" s="78"/>
      <c r="F7023" s="79">
        <v>0</v>
      </c>
      <c r="G7023" s="80">
        <f>F7023*H6987</f>
        <v>0</v>
      </c>
      <c r="H7023" s="212"/>
    </row>
    <row r="7024" spans="1:15">
      <c r="A7024" s="224" t="s">
        <v>4240</v>
      </c>
      <c r="B7024" s="81"/>
      <c r="C7024" s="81"/>
      <c r="D7024" s="82"/>
      <c r="E7024" s="78"/>
      <c r="F7024" s="79">
        <v>0</v>
      </c>
      <c r="G7024" s="80">
        <f>F7024*H6987</f>
        <v>0</v>
      </c>
      <c r="H7024" s="212"/>
    </row>
    <row r="7025" spans="1:14">
      <c r="A7025" s="224" t="s">
        <v>4</v>
      </c>
      <c r="B7025" s="81"/>
      <c r="C7025" s="81"/>
      <c r="D7025" s="82"/>
      <c r="E7025" s="78"/>
      <c r="F7025" s="79">
        <v>0</v>
      </c>
      <c r="G7025" s="80">
        <f>F7025*H6987</f>
        <v>0</v>
      </c>
      <c r="H7025" s="212"/>
    </row>
    <row r="7026" spans="1:14">
      <c r="A7026" s="225"/>
      <c r="B7026" s="83"/>
      <c r="C7026" s="75"/>
      <c r="D7026" s="84"/>
      <c r="E7026" s="85"/>
      <c r="F7026" s="86"/>
      <c r="G7026" s="87"/>
      <c r="H7026" s="214"/>
    </row>
    <row r="7027" spans="1:14">
      <c r="A7027" s="226"/>
      <c r="B7027" s="83"/>
      <c r="C7027" s="83"/>
      <c r="D7027" s="84"/>
      <c r="E7027" s="88"/>
      <c r="F7027" s="563" t="s">
        <v>4241</v>
      </c>
      <c r="G7027" s="564"/>
      <c r="H7027" s="233">
        <f>H6987+G7023+G7024+G7025</f>
        <v>7197.59195</v>
      </c>
    </row>
    <row r="7029" spans="1:14" ht="16.5">
      <c r="A7029" s="90"/>
      <c r="B7029" s="90"/>
      <c r="C7029" s="90"/>
      <c r="D7029" s="90"/>
      <c r="E7029" s="90"/>
      <c r="F7029" s="90"/>
      <c r="G7029" s="90"/>
      <c r="H7029" s="381"/>
    </row>
    <row r="7030" spans="1:14">
      <c r="A7030" s="579" t="s">
        <v>4225</v>
      </c>
      <c r="B7030" s="580"/>
      <c r="C7030" s="580"/>
      <c r="D7030" s="580"/>
      <c r="E7030" s="580"/>
      <c r="F7030" s="580"/>
      <c r="G7030" s="580"/>
      <c r="H7030" s="581"/>
    </row>
    <row r="7031" spans="1:14" ht="16.5">
      <c r="A7031" s="91"/>
      <c r="B7031" s="92"/>
      <c r="C7031" s="92"/>
      <c r="D7031" s="92"/>
      <c r="E7031" s="92"/>
      <c r="F7031" s="93"/>
      <c r="G7031" s="94"/>
      <c r="H7031" s="380">
        <f>ROUND((4/60)/8,4)</f>
        <v>8.3000000000000001E-3</v>
      </c>
      <c r="I7031" s="115"/>
    </row>
    <row r="7032" spans="1:14">
      <c r="A7032" s="582" t="s">
        <v>4220</v>
      </c>
      <c r="B7032" s="584" t="str">
        <f>COSTOS!$C$14</f>
        <v>MODERNIZACION A TECNOLOGIA LED</v>
      </c>
      <c r="C7032" s="584"/>
      <c r="D7032" s="584"/>
      <c r="E7032" s="584"/>
      <c r="F7032" s="584"/>
      <c r="G7032" s="584"/>
      <c r="H7032" s="585" t="s">
        <v>4221</v>
      </c>
    </row>
    <row r="7033" spans="1:14">
      <c r="A7033" s="583"/>
      <c r="B7033" s="584"/>
      <c r="C7033" s="584"/>
      <c r="D7033" s="584"/>
      <c r="E7033" s="584"/>
      <c r="F7033" s="584"/>
      <c r="G7033" s="584"/>
      <c r="H7033" s="585"/>
    </row>
    <row r="7034" spans="1:14">
      <c r="A7034" s="583"/>
      <c r="B7034" s="584"/>
      <c r="C7034" s="584"/>
      <c r="D7034" s="584"/>
      <c r="E7034" s="584"/>
      <c r="F7034" s="584"/>
      <c r="G7034" s="584"/>
      <c r="H7034" s="585"/>
    </row>
    <row r="7035" spans="1:14" ht="15" customHeight="1">
      <c r="A7035" s="583"/>
      <c r="B7035" s="584"/>
      <c r="C7035" s="584"/>
      <c r="D7035" s="584"/>
      <c r="E7035" s="584"/>
      <c r="F7035" s="584"/>
      <c r="G7035" s="584"/>
      <c r="H7035" s="216">
        <f ca="1">TODAY()</f>
        <v>44889</v>
      </c>
      <c r="K7035" t="s">
        <v>4391</v>
      </c>
      <c r="L7035" t="s">
        <v>4392</v>
      </c>
      <c r="M7035" t="s">
        <v>4393</v>
      </c>
      <c r="N7035" t="s">
        <v>4394</v>
      </c>
    </row>
    <row r="7036" spans="1:14" ht="60.75" customHeight="1">
      <c r="A7036" s="228" t="s">
        <v>4222</v>
      </c>
      <c r="B7036" s="565" t="str">
        <f>COSTOS!$D$16</f>
        <v>Luminarias</v>
      </c>
      <c r="C7036" s="565"/>
      <c r="D7036" s="565"/>
      <c r="E7036" s="565"/>
      <c r="F7036" s="565"/>
      <c r="G7036" s="70" t="s">
        <v>4223</v>
      </c>
      <c r="H7036" s="391">
        <v>3.25</v>
      </c>
      <c r="K7036" s="62">
        <f>H7062</f>
        <v>4141.2</v>
      </c>
      <c r="L7036" s="62">
        <f>H7072</f>
        <v>2985.8752000000004</v>
      </c>
      <c r="M7036" s="62">
        <f>H7045</f>
        <v>338.66075000000001</v>
      </c>
      <c r="N7036" s="62">
        <f>H7066</f>
        <v>800</v>
      </c>
    </row>
    <row r="7037" spans="1:14" ht="43.15" customHeight="1">
      <c r="A7037" s="229" t="s">
        <v>4224</v>
      </c>
      <c r="B7037" s="566" t="str">
        <f>VLOOKUP(H7036,COSTOS!C:M,2,0)</f>
        <v>Red canalizada en cable cobre # 10 x 500m</v>
      </c>
      <c r="C7037" s="567"/>
      <c r="D7037" s="567"/>
      <c r="E7037" s="568"/>
      <c r="F7037" s="71" t="s">
        <v>0</v>
      </c>
      <c r="G7037" s="356" t="str">
        <f>VLOOKUP(H7036,COSTOS!C:M,8,0)</f>
        <v>Und</v>
      </c>
      <c r="H7037" s="276"/>
      <c r="I7037" s="306"/>
      <c r="J7037" s="308"/>
      <c r="K7037" s="308"/>
      <c r="L7037" s="308"/>
    </row>
    <row r="7038" spans="1:14">
      <c r="A7038" s="230"/>
      <c r="B7038" s="112"/>
      <c r="C7038" s="112"/>
      <c r="D7038" s="112"/>
      <c r="E7038" s="113"/>
      <c r="F7038" s="114" t="s">
        <v>1</v>
      </c>
      <c r="G7038" s="356">
        <f>VLOOKUP(H7036,COSTOS!C:M,9,0)</f>
        <v>0</v>
      </c>
      <c r="H7038" s="357"/>
      <c r="I7038" s="307"/>
    </row>
    <row r="7039" spans="1:14" ht="16.5">
      <c r="A7039" s="231" t="s">
        <v>4226</v>
      </c>
      <c r="B7039" s="75"/>
      <c r="C7039" s="75"/>
      <c r="D7039" s="76"/>
      <c r="E7039" s="209"/>
      <c r="F7039" s="210"/>
      <c r="G7039" s="211" t="s">
        <v>4227</v>
      </c>
      <c r="H7039" s="217">
        <f>H7045+H7062+H7066+H7072</f>
        <v>8265.7359500000002</v>
      </c>
    </row>
    <row r="7040" spans="1:14" ht="39">
      <c r="A7040" s="569" t="s">
        <v>4224</v>
      </c>
      <c r="B7040" s="569"/>
      <c r="C7040" s="569"/>
      <c r="D7040" s="77" t="s">
        <v>0</v>
      </c>
      <c r="E7040" s="207" t="s">
        <v>4228</v>
      </c>
      <c r="F7040" s="208" t="s">
        <v>4215</v>
      </c>
      <c r="G7040" s="74" t="s">
        <v>2</v>
      </c>
      <c r="H7040" s="218" t="s">
        <v>4229</v>
      </c>
      <c r="K7040" s="309"/>
    </row>
    <row r="7041" spans="1:15">
      <c r="A7041" s="536" t="s">
        <v>3946</v>
      </c>
      <c r="B7041" s="570" t="str">
        <f>VLOOKUP(A7041,'Equip, Herr y Transp'!$B$2:$D$739,2,0)</f>
        <v>EQU</v>
      </c>
      <c r="C7041" s="570"/>
      <c r="D7041" s="95" t="str">
        <f>VLOOKUP(A7041,'Equip, Herr y Transp'!$B$2:$D$218,2,0)</f>
        <v>EQU</v>
      </c>
      <c r="E7041" s="95">
        <f>VLOOKUP(A7041,'Equip, Herr y Transp'!$B$2:$D$218,3,0)</f>
        <v>14130</v>
      </c>
      <c r="F7041" s="96">
        <f>H7031</f>
        <v>8.3000000000000001E-3</v>
      </c>
      <c r="G7041" s="122">
        <f>F7041*E7041</f>
        <v>117.279</v>
      </c>
      <c r="H7041" s="118"/>
    </row>
    <row r="7042" spans="1:15">
      <c r="A7042" s="536" t="s">
        <v>3904</v>
      </c>
      <c r="B7042" s="570" t="str">
        <f>VLOOKUP(A7042,'Equip, Herr y Transp'!$B$2:$D$739,2,0)</f>
        <v>EQU</v>
      </c>
      <c r="C7042" s="570"/>
      <c r="D7042" s="95" t="str">
        <f>VLOOKUP(A7042,'Equip, Herr y Transp'!$B$2:$D$218,2,0)</f>
        <v>EQU</v>
      </c>
      <c r="E7042" s="95">
        <f>VLOOKUP(A7042,'Equip, Herr y Transp'!$B$2:$D$218,3,0)</f>
        <v>26672.5</v>
      </c>
      <c r="F7042" s="96">
        <f>H7031</f>
        <v>8.3000000000000001E-3</v>
      </c>
      <c r="G7042" s="122">
        <f>F7042*E7042</f>
        <v>221.38175000000001</v>
      </c>
      <c r="H7042" s="117"/>
    </row>
    <row r="7043" spans="1:15">
      <c r="A7043" s="536" t="s">
        <v>8</v>
      </c>
      <c r="B7043" s="570">
        <f>VLOOKUP(A7043,'Equip, Herr y Transp'!$B$2:$D$739,2,0)</f>
        <v>0</v>
      </c>
      <c r="C7043" s="570"/>
      <c r="D7043" s="95">
        <f>VLOOKUP(A7043,'Equip, Herr y Transp'!$B$2:$D$218,2,0)</f>
        <v>0</v>
      </c>
      <c r="E7043" s="95">
        <f>VLOOKUP(A7043,'Equip, Herr y Transp'!$B$2:$D$218,3,0)</f>
        <v>0</v>
      </c>
      <c r="F7043" s="96">
        <f>H7031</f>
        <v>8.3000000000000001E-3</v>
      </c>
      <c r="G7043" s="122">
        <f>F7043*E7043</f>
        <v>0</v>
      </c>
      <c r="H7043" s="117"/>
    </row>
    <row r="7044" spans="1:15">
      <c r="A7044" s="536" t="s">
        <v>8</v>
      </c>
      <c r="B7044" s="570">
        <f>VLOOKUP(A7044,'Equip, Herr y Transp'!$B$2:$D$739,2,0)</f>
        <v>0</v>
      </c>
      <c r="C7044" s="570"/>
      <c r="D7044" s="95">
        <f>VLOOKUP(A7044,'Equip, Herr y Transp'!$B$2:$D$218,2,0)</f>
        <v>0</v>
      </c>
      <c r="E7044" s="95">
        <f>VLOOKUP(A7044,'Equip, Herr y Transp'!$B$2:$D$218,3,0)</f>
        <v>0</v>
      </c>
      <c r="F7044" s="96">
        <f>H7031</f>
        <v>8.3000000000000001E-3</v>
      </c>
      <c r="G7044" s="122">
        <f>F7044*E7044</f>
        <v>0</v>
      </c>
      <c r="H7044" s="117"/>
    </row>
    <row r="7045" spans="1:15" ht="16.5">
      <c r="A7045" s="540" t="s">
        <v>4100</v>
      </c>
      <c r="B7045" s="541"/>
      <c r="C7045" s="541"/>
      <c r="D7045" s="541"/>
      <c r="E7045" s="541"/>
      <c r="F7045" s="541"/>
      <c r="G7045" s="541"/>
      <c r="H7045" s="97">
        <f>SUM(G7041:G7044)</f>
        <v>338.66075000000001</v>
      </c>
    </row>
    <row r="7046" spans="1:15" ht="16.5">
      <c r="A7046" s="571" t="s">
        <v>4230</v>
      </c>
      <c r="B7046" s="572"/>
      <c r="C7046" s="572"/>
      <c r="D7046" s="572"/>
      <c r="E7046" s="572"/>
      <c r="F7046" s="572"/>
      <c r="G7046" s="572"/>
      <c r="H7046" s="573"/>
      <c r="K7046" s="56"/>
      <c r="L7046" s="56"/>
      <c r="M7046" s="56"/>
      <c r="N7046" s="56"/>
      <c r="O7046" s="56"/>
    </row>
    <row r="7047" spans="1:15" ht="30" customHeight="1">
      <c r="A7047" s="574" t="s">
        <v>7</v>
      </c>
      <c r="B7047" s="575"/>
      <c r="C7047" s="109" t="s">
        <v>0</v>
      </c>
      <c r="D7047" s="110" t="s">
        <v>4098</v>
      </c>
      <c r="E7047" s="111" t="s">
        <v>1</v>
      </c>
      <c r="F7047" s="576" t="s">
        <v>4218</v>
      </c>
      <c r="G7047" s="576"/>
      <c r="H7047" s="215"/>
      <c r="K7047" s="56"/>
      <c r="L7047" s="56"/>
      <c r="M7047" s="56"/>
      <c r="N7047" s="56"/>
      <c r="O7047" s="56"/>
    </row>
    <row r="7048" spans="1:15">
      <c r="A7048" s="577" t="s">
        <v>4806</v>
      </c>
      <c r="B7048" s="578"/>
      <c r="C7048" s="98" t="str">
        <f>VLOOKUP(A7048,'Materiales '!$C$2:$F$1302,3,0)</f>
        <v>Ml</v>
      </c>
      <c r="D7048" s="99">
        <f>VLOOKUP(A7048,'Materiales '!$C$2:$F$1302,4,0)</f>
        <v>4141.2</v>
      </c>
      <c r="E7048" s="100">
        <v>1</v>
      </c>
      <c r="F7048" s="538">
        <f>E7048*D7048</f>
        <v>4141.2</v>
      </c>
      <c r="G7048" s="539"/>
      <c r="H7048" s="121"/>
      <c r="I7048">
        <f>E7048*G7038</f>
        <v>0</v>
      </c>
      <c r="J7048" s="67"/>
      <c r="K7048" s="56"/>
      <c r="L7048" s="56"/>
      <c r="M7048" s="56"/>
      <c r="N7048" s="56"/>
      <c r="O7048" s="56"/>
    </row>
    <row r="7049" spans="1:15">
      <c r="A7049" s="577" t="s">
        <v>8</v>
      </c>
      <c r="B7049" s="578"/>
      <c r="C7049" s="98" t="str">
        <f>VLOOKUP(A7049,'Materiales '!$C$2:$F$1302,3,0)</f>
        <v>-</v>
      </c>
      <c r="D7049" s="99">
        <f>VLOOKUP(A7049,'Materiales '!$C$2:$F$1302,4,0)</f>
        <v>0</v>
      </c>
      <c r="E7049" s="100">
        <f>3/25</f>
        <v>0.12</v>
      </c>
      <c r="F7049" s="538">
        <f t="shared" ref="F7049:F7055" si="412">E7049*D7049</f>
        <v>0</v>
      </c>
      <c r="G7049" s="539"/>
      <c r="H7049" s="121"/>
      <c r="I7049">
        <f>E7049*G7038</f>
        <v>0</v>
      </c>
      <c r="J7049" s="67"/>
      <c r="K7049" s="56"/>
      <c r="L7049" s="56"/>
      <c r="M7049" s="56"/>
      <c r="N7049" s="56"/>
      <c r="O7049" s="56"/>
    </row>
    <row r="7050" spans="1:15">
      <c r="A7050" s="536" t="s">
        <v>8</v>
      </c>
      <c r="B7050" s="537" t="str">
        <f>VLOOKUP(A7050,'Materiales '!$C$2:$F$1302,3,0)</f>
        <v>-</v>
      </c>
      <c r="C7050" s="98" t="str">
        <f>VLOOKUP(A7050,'Materiales '!$C$2:$F$1302,3,0)</f>
        <v>-</v>
      </c>
      <c r="D7050" s="99">
        <f>VLOOKUP(A7050,'Materiales '!$C$2:$F$1302,4,0)</f>
        <v>0</v>
      </c>
      <c r="E7050" s="100">
        <f>3/25</f>
        <v>0.12</v>
      </c>
      <c r="F7050" s="538">
        <f t="shared" si="412"/>
        <v>0</v>
      </c>
      <c r="G7050" s="539"/>
      <c r="H7050" s="121"/>
      <c r="I7050">
        <f>E7050*G7038</f>
        <v>0</v>
      </c>
      <c r="J7050" s="68"/>
      <c r="K7050" s="56"/>
      <c r="L7050" s="56"/>
      <c r="M7050" s="56"/>
      <c r="N7050" s="56"/>
      <c r="O7050" s="56"/>
    </row>
    <row r="7051" spans="1:15">
      <c r="A7051" s="536" t="s">
        <v>8</v>
      </c>
      <c r="B7051" s="537" t="str">
        <f>VLOOKUP(A7051,'Materiales '!$C$2:$F$1302,3,0)</f>
        <v>-</v>
      </c>
      <c r="C7051" s="98" t="str">
        <f>VLOOKUP(A7051,'Materiales '!$C$2:$F$1302,3,0)</f>
        <v>-</v>
      </c>
      <c r="D7051" s="99">
        <f>VLOOKUP(A7051,'Materiales '!$C$2:$F$1302,4,0)</f>
        <v>0</v>
      </c>
      <c r="E7051" s="100"/>
      <c r="F7051" s="538">
        <f t="shared" si="412"/>
        <v>0</v>
      </c>
      <c r="G7051" s="539"/>
      <c r="H7051" s="121"/>
      <c r="I7051">
        <f>E7051*G7038</f>
        <v>0</v>
      </c>
      <c r="J7051" s="68"/>
      <c r="K7051" s="56"/>
      <c r="L7051" s="56"/>
      <c r="M7051" s="56"/>
      <c r="N7051" s="56"/>
      <c r="O7051" s="56"/>
    </row>
    <row r="7052" spans="1:15">
      <c r="A7052" s="536" t="s">
        <v>8</v>
      </c>
      <c r="B7052" s="537" t="str">
        <f>VLOOKUP(A7052,'Materiales '!$C$2:$F$1302,3,0)</f>
        <v>-</v>
      </c>
      <c r="C7052" s="98" t="str">
        <f>VLOOKUP(A7052,'Materiales '!$C$2:$F$1302,3,0)</f>
        <v>-</v>
      </c>
      <c r="D7052" s="99">
        <f>VLOOKUP(A7052,'Materiales '!$C$2:$F$1302,4,0)</f>
        <v>0</v>
      </c>
      <c r="E7052" s="100"/>
      <c r="F7052" s="538">
        <f t="shared" si="412"/>
        <v>0</v>
      </c>
      <c r="G7052" s="539"/>
      <c r="H7052" s="121"/>
      <c r="I7052">
        <f>E7052*G7038</f>
        <v>0</v>
      </c>
      <c r="J7052" s="68"/>
      <c r="K7052" s="56"/>
      <c r="L7052" s="56"/>
      <c r="M7052" s="56"/>
      <c r="N7052" s="56"/>
      <c r="O7052" s="56"/>
    </row>
    <row r="7053" spans="1:15">
      <c r="A7053" s="536" t="s">
        <v>8</v>
      </c>
      <c r="B7053" s="537" t="str">
        <f>VLOOKUP(A7053,'Materiales '!$C$2:$F$1302,3,0)</f>
        <v>-</v>
      </c>
      <c r="C7053" s="98" t="str">
        <f>VLOOKUP(A7053,'Materiales '!$C$2:$F$1302,3,0)</f>
        <v>-</v>
      </c>
      <c r="D7053" s="99">
        <f>VLOOKUP(A7053,'Materiales '!$C$2:$F$1302,4,0)</f>
        <v>0</v>
      </c>
      <c r="E7053" s="100"/>
      <c r="F7053" s="538">
        <f t="shared" si="412"/>
        <v>0</v>
      </c>
      <c r="G7053" s="539"/>
      <c r="H7053" s="121"/>
      <c r="I7053">
        <f>E7053*G7038</f>
        <v>0</v>
      </c>
      <c r="J7053" s="68"/>
      <c r="K7053" s="56"/>
      <c r="L7053" s="56"/>
      <c r="M7053" s="56"/>
      <c r="N7053" s="56"/>
      <c r="O7053" s="56"/>
    </row>
    <row r="7054" spans="1:15">
      <c r="A7054" s="536" t="s">
        <v>8</v>
      </c>
      <c r="B7054" s="537" t="str">
        <f>VLOOKUP(A7054,'Materiales '!$C$2:$F$1302,3,0)</f>
        <v>-</v>
      </c>
      <c r="C7054" s="98" t="str">
        <f>VLOOKUP(A7054,'Materiales '!$C$2:$F$1302,3,0)</f>
        <v>-</v>
      </c>
      <c r="D7054" s="99">
        <f>VLOOKUP(A7054,'Materiales '!$C$2:$F$1302,4,0)</f>
        <v>0</v>
      </c>
      <c r="E7054" s="100"/>
      <c r="F7054" s="538">
        <f t="shared" si="412"/>
        <v>0</v>
      </c>
      <c r="G7054" s="539"/>
      <c r="H7054" s="121"/>
      <c r="I7054">
        <f>E7054*G7038</f>
        <v>0</v>
      </c>
      <c r="J7054" s="68"/>
      <c r="K7054" s="56"/>
      <c r="L7054" s="56"/>
      <c r="M7054" s="56"/>
      <c r="N7054" s="56"/>
      <c r="O7054" s="56"/>
    </row>
    <row r="7055" spans="1:15" ht="21.75" customHeight="1">
      <c r="A7055" s="536" t="s">
        <v>8</v>
      </c>
      <c r="B7055" s="537" t="str">
        <f>VLOOKUP(A7055,'Materiales '!$C$2:$F$1302,3,0)</f>
        <v>-</v>
      </c>
      <c r="C7055" s="98" t="str">
        <f>VLOOKUP(A7055,'Materiales '!$C$2:$F$1302,3,0)</f>
        <v>-</v>
      </c>
      <c r="D7055" s="99">
        <f>VLOOKUP(A7055,'Materiales '!$C$2:$F$1302,4,0)</f>
        <v>0</v>
      </c>
      <c r="E7055" s="100"/>
      <c r="F7055" s="538">
        <f t="shared" si="412"/>
        <v>0</v>
      </c>
      <c r="G7055" s="539"/>
      <c r="H7055" s="121"/>
      <c r="I7055">
        <f>E7055*G7038</f>
        <v>0</v>
      </c>
      <c r="J7055" s="68"/>
      <c r="K7055" s="56"/>
      <c r="L7055" s="56"/>
      <c r="M7055" s="56"/>
      <c r="N7055" s="56"/>
      <c r="O7055" s="56"/>
    </row>
    <row r="7056" spans="1:15">
      <c r="A7056" s="536" t="s">
        <v>8</v>
      </c>
      <c r="B7056" s="537" t="str">
        <f>VLOOKUP(A7056,'Materiales '!$C$2:$F$1302,3,0)</f>
        <v>-</v>
      </c>
      <c r="C7056" s="98" t="str">
        <f>VLOOKUP(A7056,'Materiales '!$C$2:$F$1302,3,0)</f>
        <v>-</v>
      </c>
      <c r="D7056" s="99">
        <f>VLOOKUP(A7056,'Materiales '!$C$2:$F$1302,4,0)</f>
        <v>0</v>
      </c>
      <c r="E7056" s="100"/>
      <c r="F7056" s="538">
        <f>E7056*D7056</f>
        <v>0</v>
      </c>
      <c r="G7056" s="539"/>
      <c r="H7056" s="120"/>
      <c r="I7056">
        <f>E7056*G7038</f>
        <v>0</v>
      </c>
      <c r="J7056" s="68"/>
      <c r="K7056" s="56"/>
      <c r="L7056" s="56"/>
      <c r="M7056" s="56"/>
      <c r="N7056" s="56"/>
      <c r="O7056" s="56"/>
    </row>
    <row r="7057" spans="1:15">
      <c r="A7057" s="536" t="s">
        <v>8</v>
      </c>
      <c r="B7057" s="537" t="str">
        <f>VLOOKUP(A7057,'Materiales '!$C$2:$F$1302,3,0)</f>
        <v>-</v>
      </c>
      <c r="C7057" s="98" t="str">
        <f>VLOOKUP(A7057,'Materiales '!$C$2:$F$1302,3,0)</f>
        <v>-</v>
      </c>
      <c r="D7057" s="99">
        <f>VLOOKUP(A7057,'Materiales '!$C$2:$F$1302,4,0)</f>
        <v>0</v>
      </c>
      <c r="E7057" s="100"/>
      <c r="F7057" s="538">
        <f t="shared" ref="F7057:F7060" si="413">E7057*D7057</f>
        <v>0</v>
      </c>
      <c r="G7057" s="539"/>
      <c r="H7057" s="121"/>
      <c r="I7057">
        <f>E7057*G7038</f>
        <v>0</v>
      </c>
      <c r="J7057" s="68"/>
      <c r="K7057" s="56"/>
      <c r="L7057" s="56"/>
      <c r="M7057" s="56"/>
      <c r="N7057" s="56"/>
      <c r="O7057" s="56"/>
    </row>
    <row r="7058" spans="1:15">
      <c r="A7058" s="536" t="s">
        <v>8</v>
      </c>
      <c r="B7058" s="537" t="str">
        <f>VLOOKUP(A7058,'Materiales '!$C$2:$F$1302,3,0)</f>
        <v>-</v>
      </c>
      <c r="C7058" s="98" t="str">
        <f>VLOOKUP(A7058,'Materiales '!$C$2:$F$1302,3,0)</f>
        <v>-</v>
      </c>
      <c r="D7058" s="99">
        <f>VLOOKUP(A7058,'Materiales '!$C$2:$F$1302,4,0)</f>
        <v>0</v>
      </c>
      <c r="E7058" s="100"/>
      <c r="F7058" s="538">
        <f t="shared" si="413"/>
        <v>0</v>
      </c>
      <c r="G7058" s="539"/>
      <c r="H7058" s="121"/>
      <c r="I7058">
        <f>E7058*G7038</f>
        <v>0</v>
      </c>
      <c r="J7058" s="68"/>
      <c r="K7058" s="56"/>
      <c r="L7058" s="56"/>
      <c r="M7058" s="56"/>
      <c r="N7058" s="56"/>
      <c r="O7058" s="56"/>
    </row>
    <row r="7059" spans="1:15">
      <c r="A7059" s="536" t="s">
        <v>8</v>
      </c>
      <c r="B7059" s="537" t="str">
        <f>VLOOKUP(A7059,'Materiales '!$C$2:$F$1302,3,0)</f>
        <v>-</v>
      </c>
      <c r="C7059" s="98" t="str">
        <f>VLOOKUP(A7059,'Materiales '!$C$2:$F$1302,3,0)</f>
        <v>-</v>
      </c>
      <c r="D7059" s="99">
        <f>VLOOKUP(A7059,'Materiales '!$C$2:$F$1302,4,0)</f>
        <v>0</v>
      </c>
      <c r="E7059" s="100"/>
      <c r="F7059" s="538">
        <f t="shared" si="413"/>
        <v>0</v>
      </c>
      <c r="G7059" s="539"/>
      <c r="H7059" s="121"/>
      <c r="I7059">
        <f>E7059*G7038</f>
        <v>0</v>
      </c>
      <c r="J7059" s="68"/>
      <c r="K7059" s="56"/>
      <c r="L7059" s="56"/>
      <c r="M7059" s="56"/>
      <c r="N7059" s="56"/>
      <c r="O7059" s="56"/>
    </row>
    <row r="7060" spans="1:15">
      <c r="A7060" s="536" t="s">
        <v>8</v>
      </c>
      <c r="B7060" s="537" t="str">
        <f>VLOOKUP(A7060,'Materiales '!$C$2:$F$1302,3,0)</f>
        <v>-</v>
      </c>
      <c r="C7060" s="98" t="str">
        <f>VLOOKUP(A7060,'Materiales '!$C$2:$F$1302,3,0)</f>
        <v>-</v>
      </c>
      <c r="D7060" s="99">
        <f>VLOOKUP(A7060,'Materiales '!$C$2:$F$1302,4,0)</f>
        <v>0</v>
      </c>
      <c r="E7060" s="100"/>
      <c r="F7060" s="538">
        <f t="shared" si="413"/>
        <v>0</v>
      </c>
      <c r="G7060" s="539"/>
      <c r="H7060" s="121"/>
      <c r="I7060">
        <f>E7060*G7038</f>
        <v>0</v>
      </c>
      <c r="J7060" s="68"/>
      <c r="K7060" s="56"/>
      <c r="L7060" s="56"/>
      <c r="M7060" s="56"/>
      <c r="N7060" s="56"/>
      <c r="O7060" s="56"/>
    </row>
    <row r="7061" spans="1:15">
      <c r="A7061" s="536" t="s">
        <v>8</v>
      </c>
      <c r="B7061" s="537" t="str">
        <f>VLOOKUP(A7061,'Materiales '!$C$2:$F$1302,3,0)</f>
        <v>-</v>
      </c>
      <c r="C7061" s="98" t="str">
        <f>VLOOKUP(A7061,'Materiales '!$C$2:$F$1302,3,0)</f>
        <v>-</v>
      </c>
      <c r="D7061" s="99">
        <f>VLOOKUP(A7061,'Materiales '!$C$2:$F$1302,4,0)</f>
        <v>0</v>
      </c>
      <c r="E7061" s="100"/>
      <c r="F7061" s="538">
        <f>E7061*D7061</f>
        <v>0</v>
      </c>
      <c r="G7061" s="539"/>
      <c r="H7061" s="120"/>
      <c r="I7061">
        <f>E7061*G7038</f>
        <v>0</v>
      </c>
      <c r="J7061" s="68"/>
      <c r="K7061" s="56"/>
      <c r="L7061" s="56"/>
      <c r="M7061" s="56"/>
      <c r="N7061" s="56"/>
      <c r="O7061" s="56"/>
    </row>
    <row r="7062" spans="1:15" ht="16.5">
      <c r="A7062" s="540" t="s">
        <v>4099</v>
      </c>
      <c r="B7062" s="541"/>
      <c r="C7062" s="541"/>
      <c r="D7062" s="541"/>
      <c r="E7062" s="541"/>
      <c r="F7062" s="541"/>
      <c r="G7062" s="542"/>
      <c r="H7062" s="116">
        <f>SUM(F7048:F7061)</f>
        <v>4141.2</v>
      </c>
      <c r="J7062" s="68"/>
      <c r="K7062" s="56"/>
      <c r="L7062" s="56"/>
      <c r="M7062" s="56"/>
      <c r="N7062" s="56"/>
      <c r="O7062" s="56"/>
    </row>
    <row r="7063" spans="1:15" ht="16.5">
      <c r="A7063" s="543" t="s">
        <v>4231</v>
      </c>
      <c r="B7063" s="544"/>
      <c r="C7063" s="544"/>
      <c r="D7063" s="544"/>
      <c r="E7063" s="545"/>
      <c r="F7063" s="544"/>
      <c r="G7063" s="544"/>
      <c r="H7063" s="546"/>
      <c r="J7063" s="68"/>
      <c r="K7063" s="56"/>
      <c r="L7063" s="56"/>
      <c r="M7063" s="56"/>
      <c r="N7063" s="56"/>
      <c r="O7063" s="56"/>
    </row>
    <row r="7064" spans="1:15">
      <c r="A7064" s="547" t="s">
        <v>7</v>
      </c>
      <c r="B7064" s="548"/>
      <c r="C7064" s="108" t="s">
        <v>4232</v>
      </c>
      <c r="D7064" s="107" t="s">
        <v>4233</v>
      </c>
      <c r="E7064" s="206" t="s">
        <v>4234</v>
      </c>
      <c r="F7064" s="549" t="s">
        <v>4218</v>
      </c>
      <c r="G7064" s="549"/>
      <c r="H7064" s="119"/>
      <c r="K7064" s="56"/>
      <c r="L7064" s="56"/>
      <c r="M7064" s="56"/>
      <c r="N7064" s="56"/>
      <c r="O7064" s="56"/>
    </row>
    <row r="7065" spans="1:15">
      <c r="A7065" s="550" t="s">
        <v>3928</v>
      </c>
      <c r="B7065" s="551"/>
      <c r="C7065" s="232">
        <v>1</v>
      </c>
      <c r="D7065" s="102">
        <v>5.0000000000000001E-3</v>
      </c>
      <c r="E7065" s="103">
        <f>VLOOKUP(A7065,'Equip, Herr y Transp'!$B$2:$D$218,3,0)</f>
        <v>160000</v>
      </c>
      <c r="F7065" s="552">
        <f>E7065*D7065*C7065</f>
        <v>800</v>
      </c>
      <c r="G7065" s="553"/>
      <c r="H7065" s="117"/>
      <c r="M7065" s="56"/>
    </row>
    <row r="7066" spans="1:15" ht="16.5">
      <c r="A7066" s="554" t="s">
        <v>4216</v>
      </c>
      <c r="B7066" s="555"/>
      <c r="C7066" s="555"/>
      <c r="D7066" s="555"/>
      <c r="E7066" s="555"/>
      <c r="F7066" s="555"/>
      <c r="G7066" s="555"/>
      <c r="H7066" s="105">
        <f>F7065</f>
        <v>800</v>
      </c>
    </row>
    <row r="7067" spans="1:15" ht="16.5">
      <c r="A7067" s="543" t="s">
        <v>4235</v>
      </c>
      <c r="B7067" s="544"/>
      <c r="C7067" s="544"/>
      <c r="D7067" s="544"/>
      <c r="E7067" s="544"/>
      <c r="F7067" s="544"/>
      <c r="G7067" s="544"/>
      <c r="H7067" s="546"/>
    </row>
    <row r="7068" spans="1:15">
      <c r="A7068" s="547" t="s">
        <v>7</v>
      </c>
      <c r="B7068" s="548"/>
      <c r="C7068" s="106" t="s">
        <v>1</v>
      </c>
      <c r="D7068" s="107" t="s">
        <v>4236</v>
      </c>
      <c r="E7068" s="108" t="s">
        <v>4215</v>
      </c>
      <c r="F7068" s="547" t="s">
        <v>5</v>
      </c>
      <c r="G7068" s="556"/>
      <c r="H7068" s="119"/>
    </row>
    <row r="7069" spans="1:15">
      <c r="A7069" s="550" t="s">
        <v>4196</v>
      </c>
      <c r="B7069" s="551"/>
      <c r="C7069" s="101">
        <v>1</v>
      </c>
      <c r="D7069" s="104">
        <f>VLOOKUP(A7069,'Mano Obra'!$B$2:$T$117,19,0)</f>
        <v>166624</v>
      </c>
      <c r="E7069" s="246">
        <f>H7031</f>
        <v>8.3000000000000001E-3</v>
      </c>
      <c r="F7069" s="538">
        <f>E7069*D7069*C7069</f>
        <v>1382.9792</v>
      </c>
      <c r="G7069" s="557"/>
      <c r="H7069" s="121"/>
      <c r="I7069" s="69"/>
      <c r="J7069" s="136">
        <f>((('Mano Obra'!$M$4/30)*F7069)/D7069)*G7038</f>
        <v>0</v>
      </c>
    </row>
    <row r="7070" spans="1:15">
      <c r="A7070" s="558" t="s">
        <v>4197</v>
      </c>
      <c r="B7070" s="559">
        <f>VLOOKUP(A7070,'Mano Obra'!$B$3:$D$290,2,0)</f>
        <v>2090000.0000000002</v>
      </c>
      <c r="C7070" s="101">
        <v>1</v>
      </c>
      <c r="D7070" s="104">
        <f>VLOOKUP(A7070,'Mano Obra'!$B$2:$T$117,19,0)</f>
        <v>120456</v>
      </c>
      <c r="E7070" s="246">
        <f>H7031</f>
        <v>8.3000000000000001E-3</v>
      </c>
      <c r="F7070" s="538">
        <f t="shared" ref="F7070:F7071" si="414">E7070*D7070*C7070</f>
        <v>999.78480000000002</v>
      </c>
      <c r="G7070" s="557"/>
      <c r="H7070" s="121"/>
      <c r="J7070" s="136">
        <f>((('Mano Obra'!$M$5/30)*F7070)/D7070)*G7038</f>
        <v>0</v>
      </c>
    </row>
    <row r="7071" spans="1:15">
      <c r="A7071" s="558" t="s">
        <v>4186</v>
      </c>
      <c r="B7071" s="559">
        <f>VLOOKUP(A7071,'Mano Obra'!$B$3:$D$290,2,0)</f>
        <v>1100000</v>
      </c>
      <c r="C7071" s="101">
        <v>1</v>
      </c>
      <c r="D7071" s="104">
        <f>VLOOKUP(A7071,'Mano Obra'!$B$2:$T$117,19,0)</f>
        <v>72664</v>
      </c>
      <c r="E7071" s="246">
        <f>H7031</f>
        <v>8.3000000000000001E-3</v>
      </c>
      <c r="F7071" s="538">
        <f t="shared" si="414"/>
        <v>603.11120000000005</v>
      </c>
      <c r="G7071" s="557"/>
      <c r="H7071" s="120"/>
      <c r="J7071" s="136">
        <f>((('Mano Obra'!$M$6/30)*F7071)/D7071)*G7038</f>
        <v>0</v>
      </c>
    </row>
    <row r="7072" spans="1:15" ht="16.5">
      <c r="A7072" s="560" t="s">
        <v>4101</v>
      </c>
      <c r="B7072" s="560"/>
      <c r="C7072" s="560"/>
      <c r="D7072" s="560"/>
      <c r="E7072" s="560"/>
      <c r="F7072" s="560"/>
      <c r="G7072" s="560"/>
      <c r="H7072" s="105">
        <f>SUM(F7069:F7071)</f>
        <v>2985.8752000000004</v>
      </c>
      <c r="J7072" s="136"/>
    </row>
    <row r="7073" spans="1:14">
      <c r="A7073" s="227" t="s">
        <v>4237</v>
      </c>
      <c r="B7073" s="205"/>
      <c r="C7073" s="205"/>
      <c r="D7073" s="202"/>
      <c r="E7073" s="203"/>
      <c r="F7073" s="204"/>
      <c r="G7073" s="203"/>
      <c r="H7073" s="212"/>
    </row>
    <row r="7074" spans="1:14">
      <c r="A7074" s="561" t="s">
        <v>4224</v>
      </c>
      <c r="B7074" s="562"/>
      <c r="C7074" s="562"/>
      <c r="D7074" s="562"/>
      <c r="E7074" s="200"/>
      <c r="F7074" s="201" t="s">
        <v>4238</v>
      </c>
      <c r="G7074" s="200" t="s">
        <v>4239</v>
      </c>
      <c r="H7074" s="213"/>
    </row>
    <row r="7075" spans="1:14">
      <c r="A7075" s="223" t="s">
        <v>4097</v>
      </c>
      <c r="B7075" s="72"/>
      <c r="C7075" s="72"/>
      <c r="D7075" s="73"/>
      <c r="E7075" s="78"/>
      <c r="F7075" s="79">
        <v>0</v>
      </c>
      <c r="G7075" s="80">
        <f>F7075*H7039</f>
        <v>0</v>
      </c>
      <c r="H7075" s="212"/>
    </row>
    <row r="7076" spans="1:14">
      <c r="A7076" s="224" t="s">
        <v>4240</v>
      </c>
      <c r="B7076" s="81"/>
      <c r="C7076" s="81"/>
      <c r="D7076" s="82"/>
      <c r="E7076" s="78"/>
      <c r="F7076" s="79">
        <v>0</v>
      </c>
      <c r="G7076" s="80">
        <f>F7076*H7039</f>
        <v>0</v>
      </c>
      <c r="H7076" s="212"/>
    </row>
    <row r="7077" spans="1:14">
      <c r="A7077" s="224" t="s">
        <v>4</v>
      </c>
      <c r="B7077" s="81"/>
      <c r="C7077" s="81"/>
      <c r="D7077" s="82"/>
      <c r="E7077" s="78"/>
      <c r="F7077" s="79">
        <v>0</v>
      </c>
      <c r="G7077" s="80">
        <f>F7077*H7039</f>
        <v>0</v>
      </c>
      <c r="H7077" s="212"/>
    </row>
    <row r="7078" spans="1:14">
      <c r="A7078" s="225"/>
      <c r="B7078" s="83"/>
      <c r="C7078" s="75"/>
      <c r="D7078" s="84"/>
      <c r="E7078" s="85"/>
      <c r="F7078" s="86"/>
      <c r="G7078" s="87"/>
      <c r="H7078" s="214"/>
    </row>
    <row r="7079" spans="1:14">
      <c r="A7079" s="226"/>
      <c r="B7079" s="83"/>
      <c r="C7079" s="83"/>
      <c r="D7079" s="84"/>
      <c r="E7079" s="88"/>
      <c r="F7079" s="563" t="s">
        <v>4241</v>
      </c>
      <c r="G7079" s="564"/>
      <c r="H7079" s="233">
        <f>H7039+G7075+G7076+G7077</f>
        <v>8265.7359500000002</v>
      </c>
    </row>
    <row r="7081" spans="1:14" ht="16.5">
      <c r="A7081" s="90"/>
      <c r="B7081" s="90"/>
      <c r="C7081" s="90"/>
      <c r="D7081" s="90"/>
      <c r="E7081" s="90"/>
      <c r="F7081" s="90"/>
      <c r="G7081" s="90"/>
      <c r="H7081" s="381"/>
    </row>
    <row r="7082" spans="1:14">
      <c r="A7082" s="579" t="s">
        <v>4225</v>
      </c>
      <c r="B7082" s="580"/>
      <c r="C7082" s="580"/>
      <c r="D7082" s="580"/>
      <c r="E7082" s="580"/>
      <c r="F7082" s="580"/>
      <c r="G7082" s="580"/>
      <c r="H7082" s="581"/>
    </row>
    <row r="7083" spans="1:14" ht="16.5">
      <c r="A7083" s="91"/>
      <c r="B7083" s="92"/>
      <c r="C7083" s="92"/>
      <c r="D7083" s="92"/>
      <c r="E7083" s="92"/>
      <c r="F7083" s="93"/>
      <c r="G7083" s="94"/>
      <c r="H7083" s="380">
        <f>ROUND((4/60)/8,4)</f>
        <v>8.3000000000000001E-3</v>
      </c>
      <c r="I7083" s="115"/>
    </row>
    <row r="7084" spans="1:14">
      <c r="A7084" s="582" t="s">
        <v>4220</v>
      </c>
      <c r="B7084" s="584" t="str">
        <f>COSTOS!$C$14</f>
        <v>MODERNIZACION A TECNOLOGIA LED</v>
      </c>
      <c r="C7084" s="584"/>
      <c r="D7084" s="584"/>
      <c r="E7084" s="584"/>
      <c r="F7084" s="584"/>
      <c r="G7084" s="584"/>
      <c r="H7084" s="585" t="s">
        <v>4221</v>
      </c>
    </row>
    <row r="7085" spans="1:14">
      <c r="A7085" s="583"/>
      <c r="B7085" s="584"/>
      <c r="C7085" s="584"/>
      <c r="D7085" s="584"/>
      <c r="E7085" s="584"/>
      <c r="F7085" s="584"/>
      <c r="G7085" s="584"/>
      <c r="H7085" s="585"/>
    </row>
    <row r="7086" spans="1:14">
      <c r="A7086" s="583"/>
      <c r="B7086" s="584"/>
      <c r="C7086" s="584"/>
      <c r="D7086" s="584"/>
      <c r="E7086" s="584"/>
      <c r="F7086" s="584"/>
      <c r="G7086" s="584"/>
      <c r="H7086" s="585"/>
    </row>
    <row r="7087" spans="1:14" ht="15" customHeight="1">
      <c r="A7087" s="583"/>
      <c r="B7087" s="584"/>
      <c r="C7087" s="584"/>
      <c r="D7087" s="584"/>
      <c r="E7087" s="584"/>
      <c r="F7087" s="584"/>
      <c r="G7087" s="584"/>
      <c r="H7087" s="216">
        <f ca="1">TODAY()</f>
        <v>44889</v>
      </c>
      <c r="K7087" t="s">
        <v>4391</v>
      </c>
      <c r="L7087" t="s">
        <v>4392</v>
      </c>
      <c r="M7087" t="s">
        <v>4393</v>
      </c>
      <c r="N7087" t="s">
        <v>4394</v>
      </c>
    </row>
    <row r="7088" spans="1:14" ht="60.75" customHeight="1">
      <c r="A7088" s="228" t="s">
        <v>4222</v>
      </c>
      <c r="B7088" s="565" t="str">
        <f>COSTOS!$D$16</f>
        <v>Luminarias</v>
      </c>
      <c r="C7088" s="565"/>
      <c r="D7088" s="565"/>
      <c r="E7088" s="565"/>
      <c r="F7088" s="565"/>
      <c r="G7088" s="70" t="s">
        <v>4223</v>
      </c>
      <c r="H7088" s="391">
        <v>3.26</v>
      </c>
      <c r="K7088" s="62">
        <f>H7114</f>
        <v>6248.927999999999</v>
      </c>
      <c r="L7088" s="62">
        <f>H7124</f>
        <v>2985.8752000000004</v>
      </c>
      <c r="M7088" s="62">
        <f>H7097</f>
        <v>338.66075000000001</v>
      </c>
      <c r="N7088" s="62">
        <f>H7118</f>
        <v>800</v>
      </c>
    </row>
    <row r="7089" spans="1:15" ht="43.15" customHeight="1">
      <c r="A7089" s="229" t="s">
        <v>4224</v>
      </c>
      <c r="B7089" s="566" t="str">
        <f>VLOOKUP(H7088,COSTOS!C:M,2,0)</f>
        <v>Red canalizada en cable cobre # 8 x 500m</v>
      </c>
      <c r="C7089" s="567"/>
      <c r="D7089" s="567"/>
      <c r="E7089" s="568"/>
      <c r="F7089" s="71" t="s">
        <v>0</v>
      </c>
      <c r="G7089" s="356" t="str">
        <f>VLOOKUP(H7088,COSTOS!C:M,8,0)</f>
        <v>Und</v>
      </c>
      <c r="H7089" s="276"/>
      <c r="I7089" s="306"/>
      <c r="J7089" s="308"/>
      <c r="K7089" s="308"/>
      <c r="L7089" s="308"/>
    </row>
    <row r="7090" spans="1:15">
      <c r="A7090" s="230"/>
      <c r="B7090" s="112"/>
      <c r="C7090" s="112"/>
      <c r="D7090" s="112"/>
      <c r="E7090" s="113"/>
      <c r="F7090" s="114" t="s">
        <v>1</v>
      </c>
      <c r="G7090" s="356">
        <f>VLOOKUP(H7088,COSTOS!C:M,9,0)</f>
        <v>0</v>
      </c>
      <c r="H7090" s="357"/>
      <c r="I7090" s="307"/>
    </row>
    <row r="7091" spans="1:15" ht="16.5">
      <c r="A7091" s="231" t="s">
        <v>4226</v>
      </c>
      <c r="B7091" s="75"/>
      <c r="C7091" s="75"/>
      <c r="D7091" s="76"/>
      <c r="E7091" s="209"/>
      <c r="F7091" s="210"/>
      <c r="G7091" s="211" t="s">
        <v>4227</v>
      </c>
      <c r="H7091" s="217">
        <f>H7097+H7114+H7118+H7124</f>
        <v>10373.463949999999</v>
      </c>
    </row>
    <row r="7092" spans="1:15" ht="39">
      <c r="A7092" s="569" t="s">
        <v>4224</v>
      </c>
      <c r="B7092" s="569"/>
      <c r="C7092" s="569"/>
      <c r="D7092" s="77" t="s">
        <v>0</v>
      </c>
      <c r="E7092" s="207" t="s">
        <v>4228</v>
      </c>
      <c r="F7092" s="208" t="s">
        <v>4215</v>
      </c>
      <c r="G7092" s="74" t="s">
        <v>2</v>
      </c>
      <c r="H7092" s="218" t="s">
        <v>4229</v>
      </c>
      <c r="K7092" s="309"/>
    </row>
    <row r="7093" spans="1:15">
      <c r="A7093" s="536" t="s">
        <v>3946</v>
      </c>
      <c r="B7093" s="570" t="str">
        <f>VLOOKUP(A7093,'Equip, Herr y Transp'!$B$2:$D$739,2,0)</f>
        <v>EQU</v>
      </c>
      <c r="C7093" s="570"/>
      <c r="D7093" s="95" t="str">
        <f>VLOOKUP(A7093,'Equip, Herr y Transp'!$B$2:$D$218,2,0)</f>
        <v>EQU</v>
      </c>
      <c r="E7093" s="95">
        <f>VLOOKUP(A7093,'Equip, Herr y Transp'!$B$2:$D$218,3,0)</f>
        <v>14130</v>
      </c>
      <c r="F7093" s="96">
        <f>H7083</f>
        <v>8.3000000000000001E-3</v>
      </c>
      <c r="G7093" s="122">
        <f>F7093*E7093</f>
        <v>117.279</v>
      </c>
      <c r="H7093" s="118"/>
    </row>
    <row r="7094" spans="1:15">
      <c r="A7094" s="536" t="s">
        <v>3904</v>
      </c>
      <c r="B7094" s="570" t="str">
        <f>VLOOKUP(A7094,'Equip, Herr y Transp'!$B$2:$D$739,2,0)</f>
        <v>EQU</v>
      </c>
      <c r="C7094" s="570"/>
      <c r="D7094" s="95" t="str">
        <f>VLOOKUP(A7094,'Equip, Herr y Transp'!$B$2:$D$218,2,0)</f>
        <v>EQU</v>
      </c>
      <c r="E7094" s="95">
        <f>VLOOKUP(A7094,'Equip, Herr y Transp'!$B$2:$D$218,3,0)</f>
        <v>26672.5</v>
      </c>
      <c r="F7094" s="96">
        <f>H7083</f>
        <v>8.3000000000000001E-3</v>
      </c>
      <c r="G7094" s="122">
        <f>F7094*E7094</f>
        <v>221.38175000000001</v>
      </c>
      <c r="H7094" s="117"/>
    </row>
    <row r="7095" spans="1:15">
      <c r="A7095" s="536" t="s">
        <v>8</v>
      </c>
      <c r="B7095" s="570">
        <f>VLOOKUP(A7095,'Equip, Herr y Transp'!$B$2:$D$739,2,0)</f>
        <v>0</v>
      </c>
      <c r="C7095" s="570"/>
      <c r="D7095" s="95">
        <f>VLOOKUP(A7095,'Equip, Herr y Transp'!$B$2:$D$218,2,0)</f>
        <v>0</v>
      </c>
      <c r="E7095" s="95">
        <f>VLOOKUP(A7095,'Equip, Herr y Transp'!$B$2:$D$218,3,0)</f>
        <v>0</v>
      </c>
      <c r="F7095" s="96">
        <f>H7083</f>
        <v>8.3000000000000001E-3</v>
      </c>
      <c r="G7095" s="122">
        <f>F7095*E7095</f>
        <v>0</v>
      </c>
      <c r="H7095" s="117"/>
    </row>
    <row r="7096" spans="1:15">
      <c r="A7096" s="536" t="s">
        <v>8</v>
      </c>
      <c r="B7096" s="570">
        <f>VLOOKUP(A7096,'Equip, Herr y Transp'!$B$2:$D$739,2,0)</f>
        <v>0</v>
      </c>
      <c r="C7096" s="570"/>
      <c r="D7096" s="95">
        <f>VLOOKUP(A7096,'Equip, Herr y Transp'!$B$2:$D$218,2,0)</f>
        <v>0</v>
      </c>
      <c r="E7096" s="95">
        <f>VLOOKUP(A7096,'Equip, Herr y Transp'!$B$2:$D$218,3,0)</f>
        <v>0</v>
      </c>
      <c r="F7096" s="96">
        <f>H7083</f>
        <v>8.3000000000000001E-3</v>
      </c>
      <c r="G7096" s="122">
        <f>F7096*E7096</f>
        <v>0</v>
      </c>
      <c r="H7096" s="117"/>
    </row>
    <row r="7097" spans="1:15" ht="16.5">
      <c r="A7097" s="540" t="s">
        <v>4100</v>
      </c>
      <c r="B7097" s="541"/>
      <c r="C7097" s="541"/>
      <c r="D7097" s="541"/>
      <c r="E7097" s="541"/>
      <c r="F7097" s="541"/>
      <c r="G7097" s="541"/>
      <c r="H7097" s="97">
        <f>SUM(G7093:G7096)</f>
        <v>338.66075000000001</v>
      </c>
    </row>
    <row r="7098" spans="1:15" ht="16.5">
      <c r="A7098" s="571" t="s">
        <v>4230</v>
      </c>
      <c r="B7098" s="572"/>
      <c r="C7098" s="572"/>
      <c r="D7098" s="572"/>
      <c r="E7098" s="572"/>
      <c r="F7098" s="572"/>
      <c r="G7098" s="572"/>
      <c r="H7098" s="573"/>
      <c r="K7098" s="56"/>
      <c r="L7098" s="56"/>
      <c r="M7098" s="56"/>
      <c r="N7098" s="56"/>
      <c r="O7098" s="56"/>
    </row>
    <row r="7099" spans="1:15" ht="30" customHeight="1">
      <c r="A7099" s="574" t="s">
        <v>7</v>
      </c>
      <c r="B7099" s="575"/>
      <c r="C7099" s="109" t="s">
        <v>0</v>
      </c>
      <c r="D7099" s="110" t="s">
        <v>4098</v>
      </c>
      <c r="E7099" s="111" t="s">
        <v>1</v>
      </c>
      <c r="F7099" s="576" t="s">
        <v>4218</v>
      </c>
      <c r="G7099" s="576"/>
      <c r="H7099" s="215"/>
      <c r="K7099" s="56"/>
      <c r="L7099" s="56"/>
      <c r="M7099" s="56"/>
      <c r="N7099" s="56"/>
      <c r="O7099" s="56"/>
    </row>
    <row r="7100" spans="1:15">
      <c r="A7100" s="577" t="s">
        <v>4457</v>
      </c>
      <c r="B7100" s="578"/>
      <c r="C7100" s="98" t="str">
        <f>VLOOKUP(A7100,'Materiales '!$C$2:$F$1302,3,0)</f>
        <v>Ml</v>
      </c>
      <c r="D7100" s="99">
        <f>VLOOKUP(A7100,'Materiales '!$C$2:$F$1302,4,0)</f>
        <v>6248.927999999999</v>
      </c>
      <c r="E7100" s="100">
        <v>1</v>
      </c>
      <c r="F7100" s="538">
        <f>E7100*D7100</f>
        <v>6248.927999999999</v>
      </c>
      <c r="G7100" s="539"/>
      <c r="H7100" s="121"/>
      <c r="I7100">
        <f>E7100*G7090</f>
        <v>0</v>
      </c>
      <c r="J7100" s="67"/>
      <c r="K7100" s="56"/>
      <c r="L7100" s="56"/>
      <c r="M7100" s="56"/>
      <c r="N7100" s="56"/>
      <c r="O7100" s="56"/>
    </row>
    <row r="7101" spans="1:15">
      <c r="A7101" s="577" t="s">
        <v>8</v>
      </c>
      <c r="B7101" s="578"/>
      <c r="C7101" s="98" t="str">
        <f>VLOOKUP(A7101,'Materiales '!$C$2:$F$1302,3,0)</f>
        <v>-</v>
      </c>
      <c r="D7101" s="99">
        <f>VLOOKUP(A7101,'Materiales '!$C$2:$F$1302,4,0)</f>
        <v>0</v>
      </c>
      <c r="E7101" s="100">
        <f>3/25</f>
        <v>0.12</v>
      </c>
      <c r="F7101" s="538">
        <f t="shared" ref="F7101:F7107" si="415">E7101*D7101</f>
        <v>0</v>
      </c>
      <c r="G7101" s="539"/>
      <c r="H7101" s="121"/>
      <c r="I7101">
        <f>E7101*G7090</f>
        <v>0</v>
      </c>
      <c r="J7101" s="67"/>
      <c r="K7101" s="56"/>
      <c r="L7101" s="56"/>
      <c r="M7101" s="56"/>
      <c r="N7101" s="56"/>
      <c r="O7101" s="56"/>
    </row>
    <row r="7102" spans="1:15">
      <c r="A7102" s="536" t="s">
        <v>8</v>
      </c>
      <c r="B7102" s="537" t="str">
        <f>VLOOKUP(A7102,'Materiales '!$C$2:$F$1302,3,0)</f>
        <v>-</v>
      </c>
      <c r="C7102" s="98" t="str">
        <f>VLOOKUP(A7102,'Materiales '!$C$2:$F$1302,3,0)</f>
        <v>-</v>
      </c>
      <c r="D7102" s="99">
        <f>VLOOKUP(A7102,'Materiales '!$C$2:$F$1302,4,0)</f>
        <v>0</v>
      </c>
      <c r="E7102" s="100">
        <f>3/25</f>
        <v>0.12</v>
      </c>
      <c r="F7102" s="538">
        <f t="shared" si="415"/>
        <v>0</v>
      </c>
      <c r="G7102" s="539"/>
      <c r="H7102" s="121"/>
      <c r="I7102">
        <f>E7102*G7090</f>
        <v>0</v>
      </c>
      <c r="J7102" s="68"/>
      <c r="K7102" s="56"/>
      <c r="L7102" s="56"/>
      <c r="M7102" s="56"/>
      <c r="N7102" s="56"/>
      <c r="O7102" s="56"/>
    </row>
    <row r="7103" spans="1:15">
      <c r="A7103" s="536" t="s">
        <v>8</v>
      </c>
      <c r="B7103" s="537" t="str">
        <f>VLOOKUP(A7103,'Materiales '!$C$2:$F$1302,3,0)</f>
        <v>-</v>
      </c>
      <c r="C7103" s="98" t="str">
        <f>VLOOKUP(A7103,'Materiales '!$C$2:$F$1302,3,0)</f>
        <v>-</v>
      </c>
      <c r="D7103" s="99">
        <f>VLOOKUP(A7103,'Materiales '!$C$2:$F$1302,4,0)</f>
        <v>0</v>
      </c>
      <c r="E7103" s="100"/>
      <c r="F7103" s="538">
        <f t="shared" si="415"/>
        <v>0</v>
      </c>
      <c r="G7103" s="539"/>
      <c r="H7103" s="121"/>
      <c r="I7103">
        <f>E7103*G7090</f>
        <v>0</v>
      </c>
      <c r="J7103" s="68"/>
      <c r="K7103" s="56"/>
      <c r="L7103" s="56"/>
      <c r="M7103" s="56"/>
      <c r="N7103" s="56"/>
      <c r="O7103" s="56"/>
    </row>
    <row r="7104" spans="1:15">
      <c r="A7104" s="536" t="s">
        <v>8</v>
      </c>
      <c r="B7104" s="537" t="str">
        <f>VLOOKUP(A7104,'Materiales '!$C$2:$F$1302,3,0)</f>
        <v>-</v>
      </c>
      <c r="C7104" s="98" t="str">
        <f>VLOOKUP(A7104,'Materiales '!$C$2:$F$1302,3,0)</f>
        <v>-</v>
      </c>
      <c r="D7104" s="99">
        <f>VLOOKUP(A7104,'Materiales '!$C$2:$F$1302,4,0)</f>
        <v>0</v>
      </c>
      <c r="E7104" s="100"/>
      <c r="F7104" s="538">
        <f t="shared" si="415"/>
        <v>0</v>
      </c>
      <c r="G7104" s="539"/>
      <c r="H7104" s="121"/>
      <c r="I7104">
        <f>E7104*G7090</f>
        <v>0</v>
      </c>
      <c r="J7104" s="68"/>
      <c r="K7104" s="56"/>
      <c r="L7104" s="56"/>
      <c r="M7104" s="56"/>
      <c r="N7104" s="56"/>
      <c r="O7104" s="56"/>
    </row>
    <row r="7105" spans="1:15">
      <c r="A7105" s="536" t="s">
        <v>8</v>
      </c>
      <c r="B7105" s="537" t="str">
        <f>VLOOKUP(A7105,'Materiales '!$C$2:$F$1302,3,0)</f>
        <v>-</v>
      </c>
      <c r="C7105" s="98" t="str">
        <f>VLOOKUP(A7105,'Materiales '!$C$2:$F$1302,3,0)</f>
        <v>-</v>
      </c>
      <c r="D7105" s="99">
        <f>VLOOKUP(A7105,'Materiales '!$C$2:$F$1302,4,0)</f>
        <v>0</v>
      </c>
      <c r="E7105" s="100"/>
      <c r="F7105" s="538">
        <f t="shared" si="415"/>
        <v>0</v>
      </c>
      <c r="G7105" s="539"/>
      <c r="H7105" s="121"/>
      <c r="I7105">
        <f>E7105*G7090</f>
        <v>0</v>
      </c>
      <c r="J7105" s="68"/>
      <c r="K7105" s="56"/>
      <c r="L7105" s="56"/>
      <c r="M7105" s="56"/>
      <c r="N7105" s="56"/>
      <c r="O7105" s="56"/>
    </row>
    <row r="7106" spans="1:15">
      <c r="A7106" s="536" t="s">
        <v>8</v>
      </c>
      <c r="B7106" s="537" t="str">
        <f>VLOOKUP(A7106,'Materiales '!$C$2:$F$1302,3,0)</f>
        <v>-</v>
      </c>
      <c r="C7106" s="98" t="str">
        <f>VLOOKUP(A7106,'Materiales '!$C$2:$F$1302,3,0)</f>
        <v>-</v>
      </c>
      <c r="D7106" s="99">
        <f>VLOOKUP(A7106,'Materiales '!$C$2:$F$1302,4,0)</f>
        <v>0</v>
      </c>
      <c r="E7106" s="100"/>
      <c r="F7106" s="538">
        <f t="shared" si="415"/>
        <v>0</v>
      </c>
      <c r="G7106" s="539"/>
      <c r="H7106" s="121"/>
      <c r="I7106">
        <f>E7106*G7090</f>
        <v>0</v>
      </c>
      <c r="J7106" s="68"/>
      <c r="K7106" s="56"/>
      <c r="L7106" s="56"/>
      <c r="M7106" s="56"/>
      <c r="N7106" s="56"/>
      <c r="O7106" s="56"/>
    </row>
    <row r="7107" spans="1:15" ht="21.75" customHeight="1">
      <c r="A7107" s="536" t="s">
        <v>8</v>
      </c>
      <c r="B7107" s="537" t="str">
        <f>VLOOKUP(A7107,'Materiales '!$C$2:$F$1302,3,0)</f>
        <v>-</v>
      </c>
      <c r="C7107" s="98" t="str">
        <f>VLOOKUP(A7107,'Materiales '!$C$2:$F$1302,3,0)</f>
        <v>-</v>
      </c>
      <c r="D7107" s="99">
        <f>VLOOKUP(A7107,'Materiales '!$C$2:$F$1302,4,0)</f>
        <v>0</v>
      </c>
      <c r="E7107" s="100"/>
      <c r="F7107" s="538">
        <f t="shared" si="415"/>
        <v>0</v>
      </c>
      <c r="G7107" s="539"/>
      <c r="H7107" s="121"/>
      <c r="I7107">
        <f>E7107*G7090</f>
        <v>0</v>
      </c>
      <c r="J7107" s="68"/>
      <c r="K7107" s="56"/>
      <c r="L7107" s="56"/>
      <c r="M7107" s="56"/>
      <c r="N7107" s="56"/>
      <c r="O7107" s="56"/>
    </row>
    <row r="7108" spans="1:15">
      <c r="A7108" s="536" t="s">
        <v>8</v>
      </c>
      <c r="B7108" s="537" t="str">
        <f>VLOOKUP(A7108,'Materiales '!$C$2:$F$1302,3,0)</f>
        <v>-</v>
      </c>
      <c r="C7108" s="98" t="str">
        <f>VLOOKUP(A7108,'Materiales '!$C$2:$F$1302,3,0)</f>
        <v>-</v>
      </c>
      <c r="D7108" s="99">
        <f>VLOOKUP(A7108,'Materiales '!$C$2:$F$1302,4,0)</f>
        <v>0</v>
      </c>
      <c r="E7108" s="100"/>
      <c r="F7108" s="538">
        <f>E7108*D7108</f>
        <v>0</v>
      </c>
      <c r="G7108" s="539"/>
      <c r="H7108" s="120"/>
      <c r="I7108">
        <f>E7108*G7090</f>
        <v>0</v>
      </c>
      <c r="J7108" s="68"/>
      <c r="K7108" s="56"/>
      <c r="L7108" s="56"/>
      <c r="M7108" s="56"/>
      <c r="N7108" s="56"/>
      <c r="O7108" s="56"/>
    </row>
    <row r="7109" spans="1:15">
      <c r="A7109" s="536" t="s">
        <v>8</v>
      </c>
      <c r="B7109" s="537" t="str">
        <f>VLOOKUP(A7109,'Materiales '!$C$2:$F$1302,3,0)</f>
        <v>-</v>
      </c>
      <c r="C7109" s="98" t="str">
        <f>VLOOKUP(A7109,'Materiales '!$C$2:$F$1302,3,0)</f>
        <v>-</v>
      </c>
      <c r="D7109" s="99">
        <f>VLOOKUP(A7109,'Materiales '!$C$2:$F$1302,4,0)</f>
        <v>0</v>
      </c>
      <c r="E7109" s="100"/>
      <c r="F7109" s="538">
        <f t="shared" ref="F7109:F7112" si="416">E7109*D7109</f>
        <v>0</v>
      </c>
      <c r="G7109" s="539"/>
      <c r="H7109" s="121"/>
      <c r="I7109">
        <f>E7109*G7090</f>
        <v>0</v>
      </c>
      <c r="J7109" s="68"/>
      <c r="K7109" s="56"/>
      <c r="L7109" s="56"/>
      <c r="M7109" s="56"/>
      <c r="N7109" s="56"/>
      <c r="O7109" s="56"/>
    </row>
    <row r="7110" spans="1:15">
      <c r="A7110" s="536" t="s">
        <v>8</v>
      </c>
      <c r="B7110" s="537" t="str">
        <f>VLOOKUP(A7110,'Materiales '!$C$2:$F$1302,3,0)</f>
        <v>-</v>
      </c>
      <c r="C7110" s="98" t="str">
        <f>VLOOKUP(A7110,'Materiales '!$C$2:$F$1302,3,0)</f>
        <v>-</v>
      </c>
      <c r="D7110" s="99">
        <f>VLOOKUP(A7110,'Materiales '!$C$2:$F$1302,4,0)</f>
        <v>0</v>
      </c>
      <c r="E7110" s="100"/>
      <c r="F7110" s="538">
        <f t="shared" si="416"/>
        <v>0</v>
      </c>
      <c r="G7110" s="539"/>
      <c r="H7110" s="121"/>
      <c r="I7110">
        <f>E7110*G7090</f>
        <v>0</v>
      </c>
      <c r="J7110" s="68"/>
      <c r="K7110" s="56"/>
      <c r="L7110" s="56"/>
      <c r="M7110" s="56"/>
      <c r="N7110" s="56"/>
      <c r="O7110" s="56"/>
    </row>
    <row r="7111" spans="1:15">
      <c r="A7111" s="536" t="s">
        <v>8</v>
      </c>
      <c r="B7111" s="537" t="str">
        <f>VLOOKUP(A7111,'Materiales '!$C$2:$F$1302,3,0)</f>
        <v>-</v>
      </c>
      <c r="C7111" s="98" t="str">
        <f>VLOOKUP(A7111,'Materiales '!$C$2:$F$1302,3,0)</f>
        <v>-</v>
      </c>
      <c r="D7111" s="99">
        <f>VLOOKUP(A7111,'Materiales '!$C$2:$F$1302,4,0)</f>
        <v>0</v>
      </c>
      <c r="E7111" s="100"/>
      <c r="F7111" s="538">
        <f t="shared" si="416"/>
        <v>0</v>
      </c>
      <c r="G7111" s="539"/>
      <c r="H7111" s="121"/>
      <c r="I7111">
        <f>E7111*G7090</f>
        <v>0</v>
      </c>
      <c r="J7111" s="68"/>
      <c r="K7111" s="56"/>
      <c r="L7111" s="56"/>
      <c r="M7111" s="56"/>
      <c r="N7111" s="56"/>
      <c r="O7111" s="56"/>
    </row>
    <row r="7112" spans="1:15">
      <c r="A7112" s="536" t="s">
        <v>8</v>
      </c>
      <c r="B7112" s="537" t="str">
        <f>VLOOKUP(A7112,'Materiales '!$C$2:$F$1302,3,0)</f>
        <v>-</v>
      </c>
      <c r="C7112" s="98" t="str">
        <f>VLOOKUP(A7112,'Materiales '!$C$2:$F$1302,3,0)</f>
        <v>-</v>
      </c>
      <c r="D7112" s="99">
        <f>VLOOKUP(A7112,'Materiales '!$C$2:$F$1302,4,0)</f>
        <v>0</v>
      </c>
      <c r="E7112" s="100"/>
      <c r="F7112" s="538">
        <f t="shared" si="416"/>
        <v>0</v>
      </c>
      <c r="G7112" s="539"/>
      <c r="H7112" s="121"/>
      <c r="I7112">
        <f>E7112*G7090</f>
        <v>0</v>
      </c>
      <c r="J7112" s="68"/>
      <c r="K7112" s="56"/>
      <c r="L7112" s="56"/>
      <c r="M7112" s="56"/>
      <c r="N7112" s="56"/>
      <c r="O7112" s="56"/>
    </row>
    <row r="7113" spans="1:15">
      <c r="A7113" s="536" t="s">
        <v>8</v>
      </c>
      <c r="B7113" s="537" t="str">
        <f>VLOOKUP(A7113,'Materiales '!$C$2:$F$1302,3,0)</f>
        <v>-</v>
      </c>
      <c r="C7113" s="98" t="str">
        <f>VLOOKUP(A7113,'Materiales '!$C$2:$F$1302,3,0)</f>
        <v>-</v>
      </c>
      <c r="D7113" s="99">
        <f>VLOOKUP(A7113,'Materiales '!$C$2:$F$1302,4,0)</f>
        <v>0</v>
      </c>
      <c r="E7113" s="100"/>
      <c r="F7113" s="538">
        <f>E7113*D7113</f>
        <v>0</v>
      </c>
      <c r="G7113" s="539"/>
      <c r="H7113" s="120"/>
      <c r="I7113">
        <f>E7113*G7090</f>
        <v>0</v>
      </c>
      <c r="J7113" s="68"/>
      <c r="K7113" s="56"/>
      <c r="L7113" s="56"/>
      <c r="M7113" s="56"/>
      <c r="N7113" s="56"/>
      <c r="O7113" s="56"/>
    </row>
    <row r="7114" spans="1:15" ht="16.5">
      <c r="A7114" s="540" t="s">
        <v>4099</v>
      </c>
      <c r="B7114" s="541"/>
      <c r="C7114" s="541"/>
      <c r="D7114" s="541"/>
      <c r="E7114" s="541"/>
      <c r="F7114" s="541"/>
      <c r="G7114" s="542"/>
      <c r="H7114" s="116">
        <f>SUM(F7100:F7113)</f>
        <v>6248.927999999999</v>
      </c>
      <c r="J7114" s="68"/>
      <c r="K7114" s="56"/>
      <c r="L7114" s="56"/>
      <c r="M7114" s="56"/>
      <c r="N7114" s="56"/>
      <c r="O7114" s="56"/>
    </row>
    <row r="7115" spans="1:15" ht="16.5">
      <c r="A7115" s="543" t="s">
        <v>4231</v>
      </c>
      <c r="B7115" s="544"/>
      <c r="C7115" s="544"/>
      <c r="D7115" s="544"/>
      <c r="E7115" s="545"/>
      <c r="F7115" s="544"/>
      <c r="G7115" s="544"/>
      <c r="H7115" s="546"/>
      <c r="J7115" s="68"/>
      <c r="K7115" s="56"/>
      <c r="L7115" s="56"/>
      <c r="M7115" s="56"/>
      <c r="N7115" s="56"/>
      <c r="O7115" s="56"/>
    </row>
    <row r="7116" spans="1:15">
      <c r="A7116" s="547" t="s">
        <v>7</v>
      </c>
      <c r="B7116" s="548"/>
      <c r="C7116" s="108" t="s">
        <v>4232</v>
      </c>
      <c r="D7116" s="107" t="s">
        <v>4233</v>
      </c>
      <c r="E7116" s="206" t="s">
        <v>4234</v>
      </c>
      <c r="F7116" s="549" t="s">
        <v>4218</v>
      </c>
      <c r="G7116" s="549"/>
      <c r="H7116" s="119"/>
      <c r="K7116" s="56"/>
      <c r="L7116" s="56"/>
      <c r="M7116" s="56"/>
      <c r="N7116" s="56"/>
      <c r="O7116" s="56"/>
    </row>
    <row r="7117" spans="1:15">
      <c r="A7117" s="550" t="s">
        <v>3928</v>
      </c>
      <c r="B7117" s="551"/>
      <c r="C7117" s="232">
        <v>1</v>
      </c>
      <c r="D7117" s="102">
        <v>5.0000000000000001E-3</v>
      </c>
      <c r="E7117" s="103">
        <f>VLOOKUP(A7117,'Equip, Herr y Transp'!$B$2:$D$218,3,0)</f>
        <v>160000</v>
      </c>
      <c r="F7117" s="552">
        <f>E7117*D7117*C7117</f>
        <v>800</v>
      </c>
      <c r="G7117" s="553"/>
      <c r="H7117" s="117"/>
      <c r="M7117" s="56"/>
    </row>
    <row r="7118" spans="1:15" ht="16.5">
      <c r="A7118" s="554" t="s">
        <v>4216</v>
      </c>
      <c r="B7118" s="555"/>
      <c r="C7118" s="555"/>
      <c r="D7118" s="555"/>
      <c r="E7118" s="555"/>
      <c r="F7118" s="555"/>
      <c r="G7118" s="555"/>
      <c r="H7118" s="105">
        <f>F7117</f>
        <v>800</v>
      </c>
    </row>
    <row r="7119" spans="1:15" ht="16.5">
      <c r="A7119" s="543" t="s">
        <v>4235</v>
      </c>
      <c r="B7119" s="544"/>
      <c r="C7119" s="544"/>
      <c r="D7119" s="544"/>
      <c r="E7119" s="544"/>
      <c r="F7119" s="544"/>
      <c r="G7119" s="544"/>
      <c r="H7119" s="546"/>
    </row>
    <row r="7120" spans="1:15">
      <c r="A7120" s="547" t="s">
        <v>7</v>
      </c>
      <c r="B7120" s="548"/>
      <c r="C7120" s="106" t="s">
        <v>1</v>
      </c>
      <c r="D7120" s="107" t="s">
        <v>4236</v>
      </c>
      <c r="E7120" s="108" t="s">
        <v>4215</v>
      </c>
      <c r="F7120" s="547" t="s">
        <v>5</v>
      </c>
      <c r="G7120" s="556"/>
      <c r="H7120" s="119"/>
    </row>
    <row r="7121" spans="1:10">
      <c r="A7121" s="550" t="s">
        <v>4196</v>
      </c>
      <c r="B7121" s="551"/>
      <c r="C7121" s="101">
        <v>1</v>
      </c>
      <c r="D7121" s="104">
        <f>VLOOKUP(A7121,'Mano Obra'!$B$2:$T$117,19,0)</f>
        <v>166624</v>
      </c>
      <c r="E7121" s="246">
        <f>H7083</f>
        <v>8.3000000000000001E-3</v>
      </c>
      <c r="F7121" s="538">
        <f>E7121*D7121*C7121</f>
        <v>1382.9792</v>
      </c>
      <c r="G7121" s="557"/>
      <c r="H7121" s="121"/>
      <c r="I7121" s="69"/>
      <c r="J7121" s="136">
        <f>((('Mano Obra'!$M$4/30)*F7121)/D7121)*G7090</f>
        <v>0</v>
      </c>
    </row>
    <row r="7122" spans="1:10">
      <c r="A7122" s="558" t="s">
        <v>4197</v>
      </c>
      <c r="B7122" s="559">
        <f>VLOOKUP(A7122,'Mano Obra'!$B$3:$D$290,2,0)</f>
        <v>2090000.0000000002</v>
      </c>
      <c r="C7122" s="101">
        <v>1</v>
      </c>
      <c r="D7122" s="104">
        <f>VLOOKUP(A7122,'Mano Obra'!$B$2:$T$117,19,0)</f>
        <v>120456</v>
      </c>
      <c r="E7122" s="246">
        <f>H7083</f>
        <v>8.3000000000000001E-3</v>
      </c>
      <c r="F7122" s="538">
        <f t="shared" ref="F7122:F7123" si="417">E7122*D7122*C7122</f>
        <v>999.78480000000002</v>
      </c>
      <c r="G7122" s="557"/>
      <c r="H7122" s="121"/>
      <c r="J7122" s="136">
        <f>((('Mano Obra'!$M$5/30)*F7122)/D7122)*G7090</f>
        <v>0</v>
      </c>
    </row>
    <row r="7123" spans="1:10">
      <c r="A7123" s="558" t="s">
        <v>4186</v>
      </c>
      <c r="B7123" s="559">
        <f>VLOOKUP(A7123,'Mano Obra'!$B$3:$D$290,2,0)</f>
        <v>1100000</v>
      </c>
      <c r="C7123" s="101">
        <v>1</v>
      </c>
      <c r="D7123" s="104">
        <f>VLOOKUP(A7123,'Mano Obra'!$B$2:$T$117,19,0)</f>
        <v>72664</v>
      </c>
      <c r="E7123" s="246">
        <f>H7083</f>
        <v>8.3000000000000001E-3</v>
      </c>
      <c r="F7123" s="538">
        <f t="shared" si="417"/>
        <v>603.11120000000005</v>
      </c>
      <c r="G7123" s="557"/>
      <c r="H7123" s="120"/>
      <c r="J7123" s="136">
        <f>((('Mano Obra'!$M$6/30)*F7123)/D7123)*G7090</f>
        <v>0</v>
      </c>
    </row>
    <row r="7124" spans="1:10" ht="16.5">
      <c r="A7124" s="560" t="s">
        <v>4101</v>
      </c>
      <c r="B7124" s="560"/>
      <c r="C7124" s="560"/>
      <c r="D7124" s="560"/>
      <c r="E7124" s="560"/>
      <c r="F7124" s="560"/>
      <c r="G7124" s="560"/>
      <c r="H7124" s="105">
        <f>SUM(F7121:F7123)</f>
        <v>2985.8752000000004</v>
      </c>
      <c r="J7124" s="136"/>
    </row>
    <row r="7125" spans="1:10">
      <c r="A7125" s="227" t="s">
        <v>4237</v>
      </c>
      <c r="B7125" s="205"/>
      <c r="C7125" s="205"/>
      <c r="D7125" s="202"/>
      <c r="E7125" s="203"/>
      <c r="F7125" s="204"/>
      <c r="G7125" s="203"/>
      <c r="H7125" s="212"/>
    </row>
    <row r="7126" spans="1:10">
      <c r="A7126" s="561" t="s">
        <v>4224</v>
      </c>
      <c r="B7126" s="562"/>
      <c r="C7126" s="562"/>
      <c r="D7126" s="562"/>
      <c r="E7126" s="200"/>
      <c r="F7126" s="201" t="s">
        <v>4238</v>
      </c>
      <c r="G7126" s="200" t="s">
        <v>4239</v>
      </c>
      <c r="H7126" s="213"/>
    </row>
    <row r="7127" spans="1:10">
      <c r="A7127" s="223" t="s">
        <v>4097</v>
      </c>
      <c r="B7127" s="72"/>
      <c r="C7127" s="72"/>
      <c r="D7127" s="73"/>
      <c r="E7127" s="78"/>
      <c r="F7127" s="79">
        <v>0</v>
      </c>
      <c r="G7127" s="80">
        <f>F7127*H7091</f>
        <v>0</v>
      </c>
      <c r="H7127" s="212"/>
    </row>
    <row r="7128" spans="1:10">
      <c r="A7128" s="224" t="s">
        <v>4240</v>
      </c>
      <c r="B7128" s="81"/>
      <c r="C7128" s="81"/>
      <c r="D7128" s="82"/>
      <c r="E7128" s="78"/>
      <c r="F7128" s="79">
        <v>0</v>
      </c>
      <c r="G7128" s="80">
        <f>F7128*H7091</f>
        <v>0</v>
      </c>
      <c r="H7128" s="212"/>
    </row>
    <row r="7129" spans="1:10">
      <c r="A7129" s="224" t="s">
        <v>4</v>
      </c>
      <c r="B7129" s="81"/>
      <c r="C7129" s="81"/>
      <c r="D7129" s="82"/>
      <c r="E7129" s="78"/>
      <c r="F7129" s="79">
        <v>0</v>
      </c>
      <c r="G7129" s="80">
        <f>F7129*H7091</f>
        <v>0</v>
      </c>
      <c r="H7129" s="212"/>
    </row>
    <row r="7130" spans="1:10">
      <c r="A7130" s="225"/>
      <c r="B7130" s="83"/>
      <c r="C7130" s="75"/>
      <c r="D7130" s="84"/>
      <c r="E7130" s="85"/>
      <c r="F7130" s="86"/>
      <c r="G7130" s="87"/>
      <c r="H7130" s="214"/>
    </row>
    <row r="7131" spans="1:10">
      <c r="A7131" s="226"/>
      <c r="B7131" s="83"/>
      <c r="C7131" s="83"/>
      <c r="D7131" s="84"/>
      <c r="E7131" s="88"/>
      <c r="F7131" s="563" t="s">
        <v>4241</v>
      </c>
      <c r="G7131" s="564"/>
      <c r="H7131" s="233">
        <f>H7091+G7127+G7128+G7129</f>
        <v>10373.463949999999</v>
      </c>
    </row>
    <row r="7133" spans="1:10" ht="16.5">
      <c r="A7133" s="90"/>
      <c r="B7133" s="90"/>
      <c r="C7133" s="90"/>
      <c r="D7133" s="90"/>
      <c r="E7133" s="90"/>
      <c r="F7133" s="90"/>
      <c r="G7133" s="90"/>
      <c r="H7133" s="381"/>
    </row>
    <row r="7134" spans="1:10">
      <c r="A7134" s="579" t="s">
        <v>4225</v>
      </c>
      <c r="B7134" s="580"/>
      <c r="C7134" s="580"/>
      <c r="D7134" s="580"/>
      <c r="E7134" s="580"/>
      <c r="F7134" s="580"/>
      <c r="G7134" s="580"/>
      <c r="H7134" s="581"/>
    </row>
    <row r="7135" spans="1:10" ht="16.5">
      <c r="A7135" s="91"/>
      <c r="B7135" s="92"/>
      <c r="C7135" s="92"/>
      <c r="D7135" s="92"/>
      <c r="E7135" s="92"/>
      <c r="F7135" s="93"/>
      <c r="G7135" s="94"/>
      <c r="H7135" s="380">
        <f>ROUND((4/60)/8,4)</f>
        <v>8.3000000000000001E-3</v>
      </c>
      <c r="I7135" s="115"/>
    </row>
    <row r="7136" spans="1:10">
      <c r="A7136" s="582" t="s">
        <v>4220</v>
      </c>
      <c r="B7136" s="584" t="str">
        <f>COSTOS!$C$14</f>
        <v>MODERNIZACION A TECNOLOGIA LED</v>
      </c>
      <c r="C7136" s="584"/>
      <c r="D7136" s="584"/>
      <c r="E7136" s="584"/>
      <c r="F7136" s="584"/>
      <c r="G7136" s="584"/>
      <c r="H7136" s="585" t="s">
        <v>4221</v>
      </c>
    </row>
    <row r="7137" spans="1:15">
      <c r="A7137" s="583"/>
      <c r="B7137" s="584"/>
      <c r="C7137" s="584"/>
      <c r="D7137" s="584"/>
      <c r="E7137" s="584"/>
      <c r="F7137" s="584"/>
      <c r="G7137" s="584"/>
      <c r="H7137" s="585"/>
    </row>
    <row r="7138" spans="1:15">
      <c r="A7138" s="583"/>
      <c r="B7138" s="584"/>
      <c r="C7138" s="584"/>
      <c r="D7138" s="584"/>
      <c r="E7138" s="584"/>
      <c r="F7138" s="584"/>
      <c r="G7138" s="584"/>
      <c r="H7138" s="585"/>
    </row>
    <row r="7139" spans="1:15" ht="15" customHeight="1">
      <c r="A7139" s="583"/>
      <c r="B7139" s="584"/>
      <c r="C7139" s="584"/>
      <c r="D7139" s="584"/>
      <c r="E7139" s="584"/>
      <c r="F7139" s="584"/>
      <c r="G7139" s="584"/>
      <c r="H7139" s="216">
        <f ca="1">TODAY()</f>
        <v>44889</v>
      </c>
      <c r="K7139" t="s">
        <v>4391</v>
      </c>
      <c r="L7139" t="s">
        <v>4392</v>
      </c>
      <c r="M7139" t="s">
        <v>4393</v>
      </c>
      <c r="N7139" t="s">
        <v>4394</v>
      </c>
    </row>
    <row r="7140" spans="1:15" ht="60.75" customHeight="1">
      <c r="A7140" s="228" t="s">
        <v>4222</v>
      </c>
      <c r="B7140" s="565" t="str">
        <f>COSTOS!$D$16</f>
        <v>Luminarias</v>
      </c>
      <c r="C7140" s="565"/>
      <c r="D7140" s="565"/>
      <c r="E7140" s="565"/>
      <c r="F7140" s="565"/>
      <c r="G7140" s="70" t="s">
        <v>4223</v>
      </c>
      <c r="H7140" s="391">
        <v>3.27</v>
      </c>
      <c r="K7140" s="62">
        <f>H7166</f>
        <v>8925</v>
      </c>
      <c r="L7140" s="62">
        <f>H7176</f>
        <v>2985.8752000000004</v>
      </c>
      <c r="M7140" s="62">
        <f>H7149</f>
        <v>338.66075000000001</v>
      </c>
      <c r="N7140" s="62">
        <f>H7170</f>
        <v>800</v>
      </c>
    </row>
    <row r="7141" spans="1:15" ht="43.15" customHeight="1">
      <c r="A7141" s="229" t="s">
        <v>4224</v>
      </c>
      <c r="B7141" s="566" t="str">
        <f>VLOOKUP(H7140,COSTOS!C:M,2,0)</f>
        <v>Red canalizada en cable cobre # 6 x 500 m</v>
      </c>
      <c r="C7141" s="567"/>
      <c r="D7141" s="567"/>
      <c r="E7141" s="568"/>
      <c r="F7141" s="71" t="s">
        <v>0</v>
      </c>
      <c r="G7141" s="356" t="str">
        <f>VLOOKUP(H7140,COSTOS!C:M,8,0)</f>
        <v>Und</v>
      </c>
      <c r="H7141" s="276"/>
      <c r="I7141" s="306"/>
      <c r="J7141" s="308"/>
      <c r="K7141" s="308"/>
      <c r="L7141" s="308"/>
    </row>
    <row r="7142" spans="1:15">
      <c r="A7142" s="230"/>
      <c r="B7142" s="112"/>
      <c r="C7142" s="112"/>
      <c r="D7142" s="112"/>
      <c r="E7142" s="113"/>
      <c r="F7142" s="114" t="s">
        <v>1</v>
      </c>
      <c r="G7142" s="356">
        <f>VLOOKUP(H7140,COSTOS!C:M,9,0)</f>
        <v>0</v>
      </c>
      <c r="H7142" s="357"/>
      <c r="I7142" s="307"/>
    </row>
    <row r="7143" spans="1:15" ht="16.5">
      <c r="A7143" s="231" t="s">
        <v>4226</v>
      </c>
      <c r="B7143" s="75"/>
      <c r="C7143" s="75"/>
      <c r="D7143" s="76"/>
      <c r="E7143" s="209"/>
      <c r="F7143" s="210"/>
      <c r="G7143" s="211" t="s">
        <v>4227</v>
      </c>
      <c r="H7143" s="217">
        <f>H7149+H7166+H7170+H7176</f>
        <v>13049.53595</v>
      </c>
    </row>
    <row r="7144" spans="1:15" ht="39">
      <c r="A7144" s="569" t="s">
        <v>4224</v>
      </c>
      <c r="B7144" s="569"/>
      <c r="C7144" s="569"/>
      <c r="D7144" s="77" t="s">
        <v>0</v>
      </c>
      <c r="E7144" s="207" t="s">
        <v>4228</v>
      </c>
      <c r="F7144" s="208" t="s">
        <v>4215</v>
      </c>
      <c r="G7144" s="74" t="s">
        <v>2</v>
      </c>
      <c r="H7144" s="218" t="s">
        <v>4229</v>
      </c>
      <c r="K7144" s="309"/>
    </row>
    <row r="7145" spans="1:15">
      <c r="A7145" s="536" t="s">
        <v>3946</v>
      </c>
      <c r="B7145" s="570" t="str">
        <f>VLOOKUP(A7145,'Equip, Herr y Transp'!$B$2:$D$739,2,0)</f>
        <v>EQU</v>
      </c>
      <c r="C7145" s="570"/>
      <c r="D7145" s="95" t="str">
        <f>VLOOKUP(A7145,'Equip, Herr y Transp'!$B$2:$D$218,2,0)</f>
        <v>EQU</v>
      </c>
      <c r="E7145" s="95">
        <f>VLOOKUP(A7145,'Equip, Herr y Transp'!$B$2:$D$218,3,0)</f>
        <v>14130</v>
      </c>
      <c r="F7145" s="96">
        <f>H7135</f>
        <v>8.3000000000000001E-3</v>
      </c>
      <c r="G7145" s="122">
        <f>F7145*E7145</f>
        <v>117.279</v>
      </c>
      <c r="H7145" s="118"/>
    </row>
    <row r="7146" spans="1:15">
      <c r="A7146" s="536" t="s">
        <v>3904</v>
      </c>
      <c r="B7146" s="570" t="str">
        <f>VLOOKUP(A7146,'Equip, Herr y Transp'!$B$2:$D$739,2,0)</f>
        <v>EQU</v>
      </c>
      <c r="C7146" s="570"/>
      <c r="D7146" s="95" t="str">
        <f>VLOOKUP(A7146,'Equip, Herr y Transp'!$B$2:$D$218,2,0)</f>
        <v>EQU</v>
      </c>
      <c r="E7146" s="95">
        <f>VLOOKUP(A7146,'Equip, Herr y Transp'!$B$2:$D$218,3,0)</f>
        <v>26672.5</v>
      </c>
      <c r="F7146" s="96">
        <f>H7135</f>
        <v>8.3000000000000001E-3</v>
      </c>
      <c r="G7146" s="122">
        <f>F7146*E7146</f>
        <v>221.38175000000001</v>
      </c>
      <c r="H7146" s="117"/>
    </row>
    <row r="7147" spans="1:15">
      <c r="A7147" s="536" t="s">
        <v>8</v>
      </c>
      <c r="B7147" s="570">
        <f>VLOOKUP(A7147,'Equip, Herr y Transp'!$B$2:$D$739,2,0)</f>
        <v>0</v>
      </c>
      <c r="C7147" s="570"/>
      <c r="D7147" s="95">
        <f>VLOOKUP(A7147,'Equip, Herr y Transp'!$B$2:$D$218,2,0)</f>
        <v>0</v>
      </c>
      <c r="E7147" s="95">
        <f>VLOOKUP(A7147,'Equip, Herr y Transp'!$B$2:$D$218,3,0)</f>
        <v>0</v>
      </c>
      <c r="F7147" s="96">
        <f>H7135</f>
        <v>8.3000000000000001E-3</v>
      </c>
      <c r="G7147" s="122">
        <f>F7147*E7147</f>
        <v>0</v>
      </c>
      <c r="H7147" s="117"/>
    </row>
    <row r="7148" spans="1:15">
      <c r="A7148" s="536" t="s">
        <v>8</v>
      </c>
      <c r="B7148" s="570">
        <f>VLOOKUP(A7148,'Equip, Herr y Transp'!$B$2:$D$739,2,0)</f>
        <v>0</v>
      </c>
      <c r="C7148" s="570"/>
      <c r="D7148" s="95">
        <f>VLOOKUP(A7148,'Equip, Herr y Transp'!$B$2:$D$218,2,0)</f>
        <v>0</v>
      </c>
      <c r="E7148" s="95">
        <f>VLOOKUP(A7148,'Equip, Herr y Transp'!$B$2:$D$218,3,0)</f>
        <v>0</v>
      </c>
      <c r="F7148" s="96">
        <f>H7135</f>
        <v>8.3000000000000001E-3</v>
      </c>
      <c r="G7148" s="122">
        <f>F7148*E7148</f>
        <v>0</v>
      </c>
      <c r="H7148" s="117"/>
    </row>
    <row r="7149" spans="1:15" ht="16.5">
      <c r="A7149" s="540" t="s">
        <v>4100</v>
      </c>
      <c r="B7149" s="541"/>
      <c r="C7149" s="541"/>
      <c r="D7149" s="541"/>
      <c r="E7149" s="541"/>
      <c r="F7149" s="541"/>
      <c r="G7149" s="541"/>
      <c r="H7149" s="97">
        <f>SUM(G7145:G7148)</f>
        <v>338.66075000000001</v>
      </c>
    </row>
    <row r="7150" spans="1:15" ht="16.5">
      <c r="A7150" s="571" t="s">
        <v>4230</v>
      </c>
      <c r="B7150" s="572"/>
      <c r="C7150" s="572"/>
      <c r="D7150" s="572"/>
      <c r="E7150" s="572"/>
      <c r="F7150" s="572"/>
      <c r="G7150" s="572"/>
      <c r="H7150" s="573"/>
      <c r="K7150" s="56"/>
      <c r="L7150" s="56"/>
      <c r="M7150" s="56"/>
      <c r="N7150" s="56"/>
      <c r="O7150" s="56"/>
    </row>
    <row r="7151" spans="1:15" ht="30" customHeight="1">
      <c r="A7151" s="574" t="s">
        <v>7</v>
      </c>
      <c r="B7151" s="575"/>
      <c r="C7151" s="109" t="s">
        <v>0</v>
      </c>
      <c r="D7151" s="110" t="s">
        <v>4098</v>
      </c>
      <c r="E7151" s="111" t="s">
        <v>1</v>
      </c>
      <c r="F7151" s="576" t="s">
        <v>4218</v>
      </c>
      <c r="G7151" s="576"/>
      <c r="H7151" s="215"/>
      <c r="K7151" s="56"/>
      <c r="L7151" s="56"/>
      <c r="M7151" s="56"/>
      <c r="N7151" s="56"/>
      <c r="O7151" s="56"/>
    </row>
    <row r="7152" spans="1:15">
      <c r="A7152" s="577" t="s">
        <v>4456</v>
      </c>
      <c r="B7152" s="578"/>
      <c r="C7152" s="98" t="str">
        <f>VLOOKUP(A7152,'Materiales '!$C$2:$F$1302,3,0)</f>
        <v>Ml</v>
      </c>
      <c r="D7152" s="99">
        <f>VLOOKUP(A7152,'Materiales '!$C$2:$F$1302,4,0)</f>
        <v>8925</v>
      </c>
      <c r="E7152" s="100">
        <v>1</v>
      </c>
      <c r="F7152" s="538">
        <f>E7152*D7152</f>
        <v>8925</v>
      </c>
      <c r="G7152" s="539"/>
      <c r="H7152" s="121"/>
      <c r="I7152">
        <f>E7152*G7142</f>
        <v>0</v>
      </c>
      <c r="J7152" s="67"/>
      <c r="K7152" s="56"/>
      <c r="L7152" s="56"/>
      <c r="M7152" s="56"/>
      <c r="N7152" s="56"/>
      <c r="O7152" s="56"/>
    </row>
    <row r="7153" spans="1:15">
      <c r="A7153" s="577" t="s">
        <v>8</v>
      </c>
      <c r="B7153" s="578"/>
      <c r="C7153" s="98" t="str">
        <f>VLOOKUP(A7153,'Materiales '!$C$2:$F$1302,3,0)</f>
        <v>-</v>
      </c>
      <c r="D7153" s="99">
        <f>VLOOKUP(A7153,'Materiales '!$C$2:$F$1302,4,0)</f>
        <v>0</v>
      </c>
      <c r="E7153" s="100">
        <f>3/25</f>
        <v>0.12</v>
      </c>
      <c r="F7153" s="538">
        <f t="shared" ref="F7153:F7159" si="418">E7153*D7153</f>
        <v>0</v>
      </c>
      <c r="G7153" s="539"/>
      <c r="H7153" s="121"/>
      <c r="I7153">
        <f>E7153*G7142</f>
        <v>0</v>
      </c>
      <c r="J7153" s="67"/>
      <c r="K7153" s="56"/>
      <c r="L7153" s="56"/>
      <c r="M7153" s="56"/>
      <c r="N7153" s="56"/>
      <c r="O7153" s="56"/>
    </row>
    <row r="7154" spans="1:15">
      <c r="A7154" s="536" t="s">
        <v>8</v>
      </c>
      <c r="B7154" s="537" t="str">
        <f>VLOOKUP(A7154,'Materiales '!$C$2:$F$1302,3,0)</f>
        <v>-</v>
      </c>
      <c r="C7154" s="98" t="str">
        <f>VLOOKUP(A7154,'Materiales '!$C$2:$F$1302,3,0)</f>
        <v>-</v>
      </c>
      <c r="D7154" s="99">
        <f>VLOOKUP(A7154,'Materiales '!$C$2:$F$1302,4,0)</f>
        <v>0</v>
      </c>
      <c r="E7154" s="100">
        <f>3/25</f>
        <v>0.12</v>
      </c>
      <c r="F7154" s="538">
        <f t="shared" si="418"/>
        <v>0</v>
      </c>
      <c r="G7154" s="539"/>
      <c r="H7154" s="121"/>
      <c r="I7154">
        <f>E7154*G7142</f>
        <v>0</v>
      </c>
      <c r="J7154" s="68"/>
      <c r="K7154" s="56"/>
      <c r="L7154" s="56"/>
      <c r="M7154" s="56"/>
      <c r="N7154" s="56"/>
      <c r="O7154" s="56"/>
    </row>
    <row r="7155" spans="1:15">
      <c r="A7155" s="536" t="s">
        <v>8</v>
      </c>
      <c r="B7155" s="537" t="str">
        <f>VLOOKUP(A7155,'Materiales '!$C$2:$F$1302,3,0)</f>
        <v>-</v>
      </c>
      <c r="C7155" s="98" t="str">
        <f>VLOOKUP(A7155,'Materiales '!$C$2:$F$1302,3,0)</f>
        <v>-</v>
      </c>
      <c r="D7155" s="99">
        <f>VLOOKUP(A7155,'Materiales '!$C$2:$F$1302,4,0)</f>
        <v>0</v>
      </c>
      <c r="E7155" s="100"/>
      <c r="F7155" s="538">
        <f t="shared" si="418"/>
        <v>0</v>
      </c>
      <c r="G7155" s="539"/>
      <c r="H7155" s="121"/>
      <c r="I7155">
        <f>E7155*G7142</f>
        <v>0</v>
      </c>
      <c r="J7155" s="68"/>
      <c r="K7155" s="56"/>
      <c r="L7155" s="56"/>
      <c r="M7155" s="56"/>
      <c r="N7155" s="56"/>
      <c r="O7155" s="56"/>
    </row>
    <row r="7156" spans="1:15">
      <c r="A7156" s="536" t="s">
        <v>8</v>
      </c>
      <c r="B7156" s="537" t="str">
        <f>VLOOKUP(A7156,'Materiales '!$C$2:$F$1302,3,0)</f>
        <v>-</v>
      </c>
      <c r="C7156" s="98" t="str">
        <f>VLOOKUP(A7156,'Materiales '!$C$2:$F$1302,3,0)</f>
        <v>-</v>
      </c>
      <c r="D7156" s="99">
        <f>VLOOKUP(A7156,'Materiales '!$C$2:$F$1302,4,0)</f>
        <v>0</v>
      </c>
      <c r="E7156" s="100"/>
      <c r="F7156" s="538">
        <f t="shared" si="418"/>
        <v>0</v>
      </c>
      <c r="G7156" s="539"/>
      <c r="H7156" s="121"/>
      <c r="I7156">
        <f>E7156*G7142</f>
        <v>0</v>
      </c>
      <c r="J7156" s="68"/>
      <c r="K7156" s="56"/>
      <c r="L7156" s="56"/>
      <c r="M7156" s="56"/>
      <c r="N7156" s="56"/>
      <c r="O7156" s="56"/>
    </row>
    <row r="7157" spans="1:15">
      <c r="A7157" s="536" t="s">
        <v>8</v>
      </c>
      <c r="B7157" s="537" t="str">
        <f>VLOOKUP(A7157,'Materiales '!$C$2:$F$1302,3,0)</f>
        <v>-</v>
      </c>
      <c r="C7157" s="98" t="str">
        <f>VLOOKUP(A7157,'Materiales '!$C$2:$F$1302,3,0)</f>
        <v>-</v>
      </c>
      <c r="D7157" s="99">
        <f>VLOOKUP(A7157,'Materiales '!$C$2:$F$1302,4,0)</f>
        <v>0</v>
      </c>
      <c r="E7157" s="100"/>
      <c r="F7157" s="538">
        <f t="shared" si="418"/>
        <v>0</v>
      </c>
      <c r="G7157" s="539"/>
      <c r="H7157" s="121"/>
      <c r="I7157">
        <f>E7157*G7142</f>
        <v>0</v>
      </c>
      <c r="J7157" s="68"/>
      <c r="K7157" s="56"/>
      <c r="L7157" s="56"/>
      <c r="M7157" s="56"/>
      <c r="N7157" s="56"/>
      <c r="O7157" s="56"/>
    </row>
    <row r="7158" spans="1:15">
      <c r="A7158" s="536" t="s">
        <v>8</v>
      </c>
      <c r="B7158" s="537" t="str">
        <f>VLOOKUP(A7158,'Materiales '!$C$2:$F$1302,3,0)</f>
        <v>-</v>
      </c>
      <c r="C7158" s="98" t="str">
        <f>VLOOKUP(A7158,'Materiales '!$C$2:$F$1302,3,0)</f>
        <v>-</v>
      </c>
      <c r="D7158" s="99">
        <f>VLOOKUP(A7158,'Materiales '!$C$2:$F$1302,4,0)</f>
        <v>0</v>
      </c>
      <c r="E7158" s="100"/>
      <c r="F7158" s="538">
        <f t="shared" si="418"/>
        <v>0</v>
      </c>
      <c r="G7158" s="539"/>
      <c r="H7158" s="121"/>
      <c r="I7158">
        <f>E7158*G7142</f>
        <v>0</v>
      </c>
      <c r="J7158" s="68"/>
      <c r="K7158" s="56"/>
      <c r="L7158" s="56"/>
      <c r="M7158" s="56"/>
      <c r="N7158" s="56"/>
      <c r="O7158" s="56"/>
    </row>
    <row r="7159" spans="1:15" ht="21.75" customHeight="1">
      <c r="A7159" s="536" t="s">
        <v>8</v>
      </c>
      <c r="B7159" s="537" t="str">
        <f>VLOOKUP(A7159,'Materiales '!$C$2:$F$1302,3,0)</f>
        <v>-</v>
      </c>
      <c r="C7159" s="98" t="str">
        <f>VLOOKUP(A7159,'Materiales '!$C$2:$F$1302,3,0)</f>
        <v>-</v>
      </c>
      <c r="D7159" s="99">
        <f>VLOOKUP(A7159,'Materiales '!$C$2:$F$1302,4,0)</f>
        <v>0</v>
      </c>
      <c r="E7159" s="100"/>
      <c r="F7159" s="538">
        <f t="shared" si="418"/>
        <v>0</v>
      </c>
      <c r="G7159" s="539"/>
      <c r="H7159" s="121"/>
      <c r="I7159">
        <f>E7159*G7142</f>
        <v>0</v>
      </c>
      <c r="J7159" s="68"/>
      <c r="K7159" s="56"/>
      <c r="L7159" s="56"/>
      <c r="M7159" s="56"/>
      <c r="N7159" s="56"/>
      <c r="O7159" s="56"/>
    </row>
    <row r="7160" spans="1:15">
      <c r="A7160" s="536" t="s">
        <v>8</v>
      </c>
      <c r="B7160" s="537" t="str">
        <f>VLOOKUP(A7160,'Materiales '!$C$2:$F$1302,3,0)</f>
        <v>-</v>
      </c>
      <c r="C7160" s="98" t="str">
        <f>VLOOKUP(A7160,'Materiales '!$C$2:$F$1302,3,0)</f>
        <v>-</v>
      </c>
      <c r="D7160" s="99">
        <f>VLOOKUP(A7160,'Materiales '!$C$2:$F$1302,4,0)</f>
        <v>0</v>
      </c>
      <c r="E7160" s="100"/>
      <c r="F7160" s="538">
        <f>E7160*D7160</f>
        <v>0</v>
      </c>
      <c r="G7160" s="539"/>
      <c r="H7160" s="120"/>
      <c r="I7160">
        <f>E7160*G7142</f>
        <v>0</v>
      </c>
      <c r="J7160" s="68"/>
      <c r="K7160" s="56"/>
      <c r="L7160" s="56"/>
      <c r="M7160" s="56"/>
      <c r="N7160" s="56"/>
      <c r="O7160" s="56"/>
    </row>
    <row r="7161" spans="1:15">
      <c r="A7161" s="536" t="s">
        <v>8</v>
      </c>
      <c r="B7161" s="537" t="str">
        <f>VLOOKUP(A7161,'Materiales '!$C$2:$F$1302,3,0)</f>
        <v>-</v>
      </c>
      <c r="C7161" s="98" t="str">
        <f>VLOOKUP(A7161,'Materiales '!$C$2:$F$1302,3,0)</f>
        <v>-</v>
      </c>
      <c r="D7161" s="99">
        <f>VLOOKUP(A7161,'Materiales '!$C$2:$F$1302,4,0)</f>
        <v>0</v>
      </c>
      <c r="E7161" s="100"/>
      <c r="F7161" s="538">
        <f t="shared" ref="F7161:F7164" si="419">E7161*D7161</f>
        <v>0</v>
      </c>
      <c r="G7161" s="539"/>
      <c r="H7161" s="121"/>
      <c r="I7161">
        <f>E7161*G7142</f>
        <v>0</v>
      </c>
      <c r="J7161" s="68"/>
      <c r="K7161" s="56"/>
      <c r="L7161" s="56"/>
      <c r="M7161" s="56"/>
      <c r="N7161" s="56"/>
      <c r="O7161" s="56"/>
    </row>
    <row r="7162" spans="1:15">
      <c r="A7162" s="536" t="s">
        <v>8</v>
      </c>
      <c r="B7162" s="537" t="str">
        <f>VLOOKUP(A7162,'Materiales '!$C$2:$F$1302,3,0)</f>
        <v>-</v>
      </c>
      <c r="C7162" s="98" t="str">
        <f>VLOOKUP(A7162,'Materiales '!$C$2:$F$1302,3,0)</f>
        <v>-</v>
      </c>
      <c r="D7162" s="99">
        <f>VLOOKUP(A7162,'Materiales '!$C$2:$F$1302,4,0)</f>
        <v>0</v>
      </c>
      <c r="E7162" s="100"/>
      <c r="F7162" s="538">
        <f t="shared" si="419"/>
        <v>0</v>
      </c>
      <c r="G7162" s="539"/>
      <c r="H7162" s="121"/>
      <c r="I7162">
        <f>E7162*G7142</f>
        <v>0</v>
      </c>
      <c r="J7162" s="68"/>
      <c r="K7162" s="56"/>
      <c r="L7162" s="56"/>
      <c r="M7162" s="56"/>
      <c r="N7162" s="56"/>
      <c r="O7162" s="56"/>
    </row>
    <row r="7163" spans="1:15">
      <c r="A7163" s="536" t="s">
        <v>8</v>
      </c>
      <c r="B7163" s="537" t="str">
        <f>VLOOKUP(A7163,'Materiales '!$C$2:$F$1302,3,0)</f>
        <v>-</v>
      </c>
      <c r="C7163" s="98" t="str">
        <f>VLOOKUP(A7163,'Materiales '!$C$2:$F$1302,3,0)</f>
        <v>-</v>
      </c>
      <c r="D7163" s="99">
        <f>VLOOKUP(A7163,'Materiales '!$C$2:$F$1302,4,0)</f>
        <v>0</v>
      </c>
      <c r="E7163" s="100"/>
      <c r="F7163" s="538">
        <f t="shared" si="419"/>
        <v>0</v>
      </c>
      <c r="G7163" s="539"/>
      <c r="H7163" s="121"/>
      <c r="I7163">
        <f>E7163*G7142</f>
        <v>0</v>
      </c>
      <c r="J7163" s="68"/>
      <c r="K7163" s="56"/>
      <c r="L7163" s="56"/>
      <c r="M7163" s="56"/>
      <c r="N7163" s="56"/>
      <c r="O7163" s="56"/>
    </row>
    <row r="7164" spans="1:15">
      <c r="A7164" s="536" t="s">
        <v>8</v>
      </c>
      <c r="B7164" s="537" t="str">
        <f>VLOOKUP(A7164,'Materiales '!$C$2:$F$1302,3,0)</f>
        <v>-</v>
      </c>
      <c r="C7164" s="98" t="str">
        <f>VLOOKUP(A7164,'Materiales '!$C$2:$F$1302,3,0)</f>
        <v>-</v>
      </c>
      <c r="D7164" s="99">
        <f>VLOOKUP(A7164,'Materiales '!$C$2:$F$1302,4,0)</f>
        <v>0</v>
      </c>
      <c r="E7164" s="100"/>
      <c r="F7164" s="538">
        <f t="shared" si="419"/>
        <v>0</v>
      </c>
      <c r="G7164" s="539"/>
      <c r="H7164" s="121"/>
      <c r="I7164">
        <f>E7164*G7142</f>
        <v>0</v>
      </c>
      <c r="J7164" s="68"/>
      <c r="K7164" s="56"/>
      <c r="L7164" s="56"/>
      <c r="M7164" s="56"/>
      <c r="N7164" s="56"/>
      <c r="O7164" s="56"/>
    </row>
    <row r="7165" spans="1:15">
      <c r="A7165" s="536" t="s">
        <v>8</v>
      </c>
      <c r="B7165" s="537" t="str">
        <f>VLOOKUP(A7165,'Materiales '!$C$2:$F$1302,3,0)</f>
        <v>-</v>
      </c>
      <c r="C7165" s="98" t="str">
        <f>VLOOKUP(A7165,'Materiales '!$C$2:$F$1302,3,0)</f>
        <v>-</v>
      </c>
      <c r="D7165" s="99">
        <f>VLOOKUP(A7165,'Materiales '!$C$2:$F$1302,4,0)</f>
        <v>0</v>
      </c>
      <c r="E7165" s="100"/>
      <c r="F7165" s="538">
        <f>E7165*D7165</f>
        <v>0</v>
      </c>
      <c r="G7165" s="539"/>
      <c r="H7165" s="120"/>
      <c r="I7165">
        <f>E7165*G7142</f>
        <v>0</v>
      </c>
      <c r="J7165" s="68"/>
      <c r="K7165" s="56"/>
      <c r="L7165" s="56"/>
      <c r="M7165" s="56"/>
      <c r="N7165" s="56"/>
      <c r="O7165" s="56"/>
    </row>
    <row r="7166" spans="1:15" ht="16.5">
      <c r="A7166" s="540" t="s">
        <v>4099</v>
      </c>
      <c r="B7166" s="541"/>
      <c r="C7166" s="541"/>
      <c r="D7166" s="541"/>
      <c r="E7166" s="541"/>
      <c r="F7166" s="541"/>
      <c r="G7166" s="542"/>
      <c r="H7166" s="116">
        <f>SUM(F7152:F7165)</f>
        <v>8925</v>
      </c>
      <c r="J7166" s="68"/>
      <c r="K7166" s="56"/>
      <c r="L7166" s="56"/>
      <c r="M7166" s="56"/>
      <c r="N7166" s="56"/>
      <c r="O7166" s="56"/>
    </row>
    <row r="7167" spans="1:15" ht="16.5">
      <c r="A7167" s="543" t="s">
        <v>4231</v>
      </c>
      <c r="B7167" s="544"/>
      <c r="C7167" s="544"/>
      <c r="D7167" s="544"/>
      <c r="E7167" s="545"/>
      <c r="F7167" s="544"/>
      <c r="G7167" s="544"/>
      <c r="H7167" s="546"/>
      <c r="J7167" s="68"/>
      <c r="K7167" s="56"/>
      <c r="L7167" s="56"/>
      <c r="M7167" s="56"/>
      <c r="N7167" s="56"/>
      <c r="O7167" s="56"/>
    </row>
    <row r="7168" spans="1:15">
      <c r="A7168" s="547" t="s">
        <v>7</v>
      </c>
      <c r="B7168" s="548"/>
      <c r="C7168" s="108" t="s">
        <v>4232</v>
      </c>
      <c r="D7168" s="107" t="s">
        <v>4233</v>
      </c>
      <c r="E7168" s="206" t="s">
        <v>4234</v>
      </c>
      <c r="F7168" s="549" t="s">
        <v>4218</v>
      </c>
      <c r="G7168" s="549"/>
      <c r="H7168" s="119"/>
      <c r="K7168" s="56"/>
      <c r="L7168" s="56"/>
      <c r="M7168" s="56"/>
      <c r="N7168" s="56"/>
      <c r="O7168" s="56"/>
    </row>
    <row r="7169" spans="1:13">
      <c r="A7169" s="550" t="s">
        <v>3928</v>
      </c>
      <c r="B7169" s="551"/>
      <c r="C7169" s="232">
        <v>1</v>
      </c>
      <c r="D7169" s="102">
        <v>5.0000000000000001E-3</v>
      </c>
      <c r="E7169" s="103">
        <f>VLOOKUP(A7169,'Equip, Herr y Transp'!$B$2:$D$218,3,0)</f>
        <v>160000</v>
      </c>
      <c r="F7169" s="552">
        <f>E7169*D7169*C7169</f>
        <v>800</v>
      </c>
      <c r="G7169" s="553"/>
      <c r="H7169" s="117"/>
      <c r="M7169" s="56"/>
    </row>
    <row r="7170" spans="1:13" ht="16.5">
      <c r="A7170" s="554" t="s">
        <v>4216</v>
      </c>
      <c r="B7170" s="555"/>
      <c r="C7170" s="555"/>
      <c r="D7170" s="555"/>
      <c r="E7170" s="555"/>
      <c r="F7170" s="555"/>
      <c r="G7170" s="555"/>
      <c r="H7170" s="105">
        <f>F7169</f>
        <v>800</v>
      </c>
    </row>
    <row r="7171" spans="1:13" ht="16.5">
      <c r="A7171" s="543" t="s">
        <v>4235</v>
      </c>
      <c r="B7171" s="544"/>
      <c r="C7171" s="544"/>
      <c r="D7171" s="544"/>
      <c r="E7171" s="544"/>
      <c r="F7171" s="544"/>
      <c r="G7171" s="544"/>
      <c r="H7171" s="546"/>
    </row>
    <row r="7172" spans="1:13">
      <c r="A7172" s="547" t="s">
        <v>7</v>
      </c>
      <c r="B7172" s="548"/>
      <c r="C7172" s="106" t="s">
        <v>1</v>
      </c>
      <c r="D7172" s="107" t="s">
        <v>4236</v>
      </c>
      <c r="E7172" s="108" t="s">
        <v>4215</v>
      </c>
      <c r="F7172" s="547" t="s">
        <v>5</v>
      </c>
      <c r="G7172" s="556"/>
      <c r="H7172" s="119"/>
    </row>
    <row r="7173" spans="1:13">
      <c r="A7173" s="550" t="s">
        <v>4196</v>
      </c>
      <c r="B7173" s="551"/>
      <c r="C7173" s="101">
        <v>1</v>
      </c>
      <c r="D7173" s="104">
        <f>VLOOKUP(A7173,'Mano Obra'!$B$2:$T$117,19,0)</f>
        <v>166624</v>
      </c>
      <c r="E7173" s="246">
        <f>H7135</f>
        <v>8.3000000000000001E-3</v>
      </c>
      <c r="F7173" s="538">
        <f>E7173*D7173*C7173</f>
        <v>1382.9792</v>
      </c>
      <c r="G7173" s="557"/>
      <c r="H7173" s="121"/>
      <c r="I7173" s="69"/>
      <c r="J7173" s="136">
        <f>((('Mano Obra'!$M$4/30)*F7173)/D7173)*G7142</f>
        <v>0</v>
      </c>
    </row>
    <row r="7174" spans="1:13">
      <c r="A7174" s="558" t="s">
        <v>4197</v>
      </c>
      <c r="B7174" s="559">
        <f>VLOOKUP(A7174,'Mano Obra'!$B$3:$D$290,2,0)</f>
        <v>2090000.0000000002</v>
      </c>
      <c r="C7174" s="101">
        <v>1</v>
      </c>
      <c r="D7174" s="104">
        <f>VLOOKUP(A7174,'Mano Obra'!$B$2:$T$117,19,0)</f>
        <v>120456</v>
      </c>
      <c r="E7174" s="246">
        <f>H7135</f>
        <v>8.3000000000000001E-3</v>
      </c>
      <c r="F7174" s="538">
        <f t="shared" ref="F7174:F7175" si="420">E7174*D7174*C7174</f>
        <v>999.78480000000002</v>
      </c>
      <c r="G7174" s="557"/>
      <c r="H7174" s="121"/>
      <c r="J7174" s="136">
        <f>((('Mano Obra'!$M$5/30)*F7174)/D7174)*G7142</f>
        <v>0</v>
      </c>
    </row>
    <row r="7175" spans="1:13">
      <c r="A7175" s="558" t="s">
        <v>4186</v>
      </c>
      <c r="B7175" s="559">
        <f>VLOOKUP(A7175,'Mano Obra'!$B$3:$D$290,2,0)</f>
        <v>1100000</v>
      </c>
      <c r="C7175" s="101">
        <v>1</v>
      </c>
      <c r="D7175" s="104">
        <f>VLOOKUP(A7175,'Mano Obra'!$B$2:$T$117,19,0)</f>
        <v>72664</v>
      </c>
      <c r="E7175" s="246">
        <f>H7135</f>
        <v>8.3000000000000001E-3</v>
      </c>
      <c r="F7175" s="538">
        <f t="shared" si="420"/>
        <v>603.11120000000005</v>
      </c>
      <c r="G7175" s="557"/>
      <c r="H7175" s="120"/>
      <c r="J7175" s="136">
        <f>((('Mano Obra'!$M$6/30)*F7175)/D7175)*G7142</f>
        <v>0</v>
      </c>
    </row>
    <row r="7176" spans="1:13" ht="16.5">
      <c r="A7176" s="560" t="s">
        <v>4101</v>
      </c>
      <c r="B7176" s="560"/>
      <c r="C7176" s="560"/>
      <c r="D7176" s="560"/>
      <c r="E7176" s="560"/>
      <c r="F7176" s="560"/>
      <c r="G7176" s="560"/>
      <c r="H7176" s="105">
        <f>SUM(F7173:F7175)</f>
        <v>2985.8752000000004</v>
      </c>
      <c r="J7176" s="136"/>
    </row>
    <row r="7177" spans="1:13">
      <c r="A7177" s="227" t="s">
        <v>4237</v>
      </c>
      <c r="B7177" s="205"/>
      <c r="C7177" s="205"/>
      <c r="D7177" s="202"/>
      <c r="E7177" s="203"/>
      <c r="F7177" s="204"/>
      <c r="G7177" s="203"/>
      <c r="H7177" s="212"/>
    </row>
    <row r="7178" spans="1:13">
      <c r="A7178" s="561" t="s">
        <v>4224</v>
      </c>
      <c r="B7178" s="562"/>
      <c r="C7178" s="562"/>
      <c r="D7178" s="562"/>
      <c r="E7178" s="200"/>
      <c r="F7178" s="201" t="s">
        <v>4238</v>
      </c>
      <c r="G7178" s="200" t="s">
        <v>4239</v>
      </c>
      <c r="H7178" s="213"/>
    </row>
    <row r="7179" spans="1:13">
      <c r="A7179" s="223" t="s">
        <v>4097</v>
      </c>
      <c r="B7179" s="72"/>
      <c r="C7179" s="72"/>
      <c r="D7179" s="73"/>
      <c r="E7179" s="78"/>
      <c r="F7179" s="79">
        <v>0</v>
      </c>
      <c r="G7179" s="80">
        <f>F7179*H7143</f>
        <v>0</v>
      </c>
      <c r="H7179" s="212"/>
    </row>
    <row r="7180" spans="1:13">
      <c r="A7180" s="224" t="s">
        <v>4240</v>
      </c>
      <c r="B7180" s="81"/>
      <c r="C7180" s="81"/>
      <c r="D7180" s="82"/>
      <c r="E7180" s="78"/>
      <c r="F7180" s="79">
        <v>0</v>
      </c>
      <c r="G7180" s="80">
        <f>F7180*H7143</f>
        <v>0</v>
      </c>
      <c r="H7180" s="212"/>
    </row>
    <row r="7181" spans="1:13">
      <c r="A7181" s="224" t="s">
        <v>4</v>
      </c>
      <c r="B7181" s="81"/>
      <c r="C7181" s="81"/>
      <c r="D7181" s="82"/>
      <c r="E7181" s="78"/>
      <c r="F7181" s="79">
        <v>0</v>
      </c>
      <c r="G7181" s="80">
        <f>F7181*H7143</f>
        <v>0</v>
      </c>
      <c r="H7181" s="212"/>
    </row>
    <row r="7182" spans="1:13">
      <c r="A7182" s="225"/>
      <c r="B7182" s="83"/>
      <c r="C7182" s="75"/>
      <c r="D7182" s="84"/>
      <c r="E7182" s="85"/>
      <c r="F7182" s="86"/>
      <c r="G7182" s="87"/>
      <c r="H7182" s="214"/>
    </row>
    <row r="7183" spans="1:13">
      <c r="A7183" s="226"/>
      <c r="B7183" s="83"/>
      <c r="C7183" s="83"/>
      <c r="D7183" s="84"/>
      <c r="E7183" s="88"/>
      <c r="F7183" s="563" t="s">
        <v>4241</v>
      </c>
      <c r="G7183" s="564"/>
      <c r="H7183" s="233">
        <f>H7143+G7179+G7180+G7181</f>
        <v>13049.53595</v>
      </c>
    </row>
    <row r="7185" spans="1:14" ht="16.5">
      <c r="A7185" s="90"/>
      <c r="B7185" s="90"/>
      <c r="C7185" s="90"/>
      <c r="D7185" s="90"/>
      <c r="E7185" s="90"/>
      <c r="F7185" s="90"/>
      <c r="G7185" s="90"/>
      <c r="H7185" s="381"/>
    </row>
    <row r="7186" spans="1:14">
      <c r="A7186" s="579" t="s">
        <v>4225</v>
      </c>
      <c r="B7186" s="580"/>
      <c r="C7186" s="580"/>
      <c r="D7186" s="580"/>
      <c r="E7186" s="580"/>
      <c r="F7186" s="580"/>
      <c r="G7186" s="580"/>
      <c r="H7186" s="581"/>
    </row>
    <row r="7187" spans="1:14" ht="16.5">
      <c r="A7187" s="91"/>
      <c r="B7187" s="92"/>
      <c r="C7187" s="92"/>
      <c r="D7187" s="92"/>
      <c r="E7187" s="92"/>
      <c r="F7187" s="93"/>
      <c r="G7187" s="94"/>
      <c r="H7187" s="380">
        <f>ROUND((4/60)/8,4)</f>
        <v>8.3000000000000001E-3</v>
      </c>
      <c r="I7187" s="115"/>
    </row>
    <row r="7188" spans="1:14">
      <c r="A7188" s="582" t="s">
        <v>4220</v>
      </c>
      <c r="B7188" s="584" t="str">
        <f>COSTOS!$C$14</f>
        <v>MODERNIZACION A TECNOLOGIA LED</v>
      </c>
      <c r="C7188" s="584"/>
      <c r="D7188" s="584"/>
      <c r="E7188" s="584"/>
      <c r="F7188" s="584"/>
      <c r="G7188" s="584"/>
      <c r="H7188" s="585" t="s">
        <v>4221</v>
      </c>
    </row>
    <row r="7189" spans="1:14">
      <c r="A7189" s="583"/>
      <c r="B7189" s="584"/>
      <c r="C7189" s="584"/>
      <c r="D7189" s="584"/>
      <c r="E7189" s="584"/>
      <c r="F7189" s="584"/>
      <c r="G7189" s="584"/>
      <c r="H7189" s="585"/>
    </row>
    <row r="7190" spans="1:14">
      <c r="A7190" s="583"/>
      <c r="B7190" s="584"/>
      <c r="C7190" s="584"/>
      <c r="D7190" s="584"/>
      <c r="E7190" s="584"/>
      <c r="F7190" s="584"/>
      <c r="G7190" s="584"/>
      <c r="H7190" s="585"/>
    </row>
    <row r="7191" spans="1:14" ht="15" customHeight="1">
      <c r="A7191" s="583"/>
      <c r="B7191" s="584"/>
      <c r="C7191" s="584"/>
      <c r="D7191" s="584"/>
      <c r="E7191" s="584"/>
      <c r="F7191" s="584"/>
      <c r="G7191" s="584"/>
      <c r="H7191" s="216">
        <f ca="1">TODAY()</f>
        <v>44889</v>
      </c>
      <c r="K7191" t="s">
        <v>4391</v>
      </c>
      <c r="L7191" t="s">
        <v>4392</v>
      </c>
      <c r="M7191" t="s">
        <v>4393</v>
      </c>
      <c r="N7191" t="s">
        <v>4394</v>
      </c>
    </row>
    <row r="7192" spans="1:14" ht="60.75" customHeight="1">
      <c r="A7192" s="228" t="s">
        <v>4222</v>
      </c>
      <c r="B7192" s="565" t="str">
        <f>COSTOS!$D$16</f>
        <v>Luminarias</v>
      </c>
      <c r="C7192" s="565"/>
      <c r="D7192" s="565"/>
      <c r="E7192" s="565"/>
      <c r="F7192" s="565"/>
      <c r="G7192" s="70" t="s">
        <v>4223</v>
      </c>
      <c r="H7192" s="391">
        <v>3.28</v>
      </c>
      <c r="K7192" s="62">
        <f>H7218</f>
        <v>24276</v>
      </c>
      <c r="L7192" s="62">
        <f>H7228</f>
        <v>2985.8752000000004</v>
      </c>
      <c r="M7192" s="62">
        <f>H7201</f>
        <v>338.66075000000001</v>
      </c>
      <c r="N7192" s="62">
        <f>H7222</f>
        <v>800</v>
      </c>
    </row>
    <row r="7193" spans="1:14" ht="43.15" customHeight="1">
      <c r="A7193" s="229" t="s">
        <v>4224</v>
      </c>
      <c r="B7193" s="566" t="str">
        <f>VLOOKUP(H7192,COSTOS!C:M,2,0)</f>
        <v>Red canalizada en cable cobre # 2 x 500m</v>
      </c>
      <c r="C7193" s="567"/>
      <c r="D7193" s="567"/>
      <c r="E7193" s="568"/>
      <c r="F7193" s="71" t="s">
        <v>0</v>
      </c>
      <c r="G7193" s="356" t="str">
        <f>VLOOKUP(H7192,COSTOS!C:M,8,0)</f>
        <v>Und</v>
      </c>
      <c r="H7193" s="276"/>
      <c r="I7193" s="306"/>
      <c r="J7193" s="308"/>
      <c r="K7193" s="308"/>
      <c r="L7193" s="308"/>
    </row>
    <row r="7194" spans="1:14">
      <c r="A7194" s="230"/>
      <c r="B7194" s="112"/>
      <c r="C7194" s="112"/>
      <c r="D7194" s="112"/>
      <c r="E7194" s="113"/>
      <c r="F7194" s="114" t="s">
        <v>1</v>
      </c>
      <c r="G7194" s="356">
        <f>VLOOKUP(H7192,COSTOS!C:M,9,0)</f>
        <v>0</v>
      </c>
      <c r="H7194" s="357"/>
      <c r="I7194" s="307"/>
    </row>
    <row r="7195" spans="1:14" ht="16.5">
      <c r="A7195" s="231" t="s">
        <v>4226</v>
      </c>
      <c r="B7195" s="75"/>
      <c r="C7195" s="75"/>
      <c r="D7195" s="76"/>
      <c r="E7195" s="209"/>
      <c r="F7195" s="210"/>
      <c r="G7195" s="211" t="s">
        <v>4227</v>
      </c>
      <c r="H7195" s="217">
        <f>H7201+H7218+H7222+H7228</f>
        <v>28400.535949999998</v>
      </c>
    </row>
    <row r="7196" spans="1:14" ht="39">
      <c r="A7196" s="569" t="s">
        <v>4224</v>
      </c>
      <c r="B7196" s="569"/>
      <c r="C7196" s="569"/>
      <c r="D7196" s="77" t="s">
        <v>0</v>
      </c>
      <c r="E7196" s="207" t="s">
        <v>4228</v>
      </c>
      <c r="F7196" s="208" t="s">
        <v>4215</v>
      </c>
      <c r="G7196" s="74" t="s">
        <v>2</v>
      </c>
      <c r="H7196" s="218" t="s">
        <v>4229</v>
      </c>
      <c r="K7196" s="309"/>
    </row>
    <row r="7197" spans="1:14">
      <c r="A7197" s="536" t="s">
        <v>3946</v>
      </c>
      <c r="B7197" s="570" t="str">
        <f>VLOOKUP(A7197,'Equip, Herr y Transp'!$B$2:$D$739,2,0)</f>
        <v>EQU</v>
      </c>
      <c r="C7197" s="570"/>
      <c r="D7197" s="95" t="str">
        <f>VLOOKUP(A7197,'Equip, Herr y Transp'!$B$2:$D$218,2,0)</f>
        <v>EQU</v>
      </c>
      <c r="E7197" s="95">
        <f>VLOOKUP(A7197,'Equip, Herr y Transp'!$B$2:$D$218,3,0)</f>
        <v>14130</v>
      </c>
      <c r="F7197" s="96">
        <f>H7187</f>
        <v>8.3000000000000001E-3</v>
      </c>
      <c r="G7197" s="122">
        <f>F7197*E7197</f>
        <v>117.279</v>
      </c>
      <c r="H7197" s="118"/>
    </row>
    <row r="7198" spans="1:14">
      <c r="A7198" s="536" t="s">
        <v>3904</v>
      </c>
      <c r="B7198" s="570" t="str">
        <f>VLOOKUP(A7198,'Equip, Herr y Transp'!$B$2:$D$739,2,0)</f>
        <v>EQU</v>
      </c>
      <c r="C7198" s="570"/>
      <c r="D7198" s="95" t="str">
        <f>VLOOKUP(A7198,'Equip, Herr y Transp'!$B$2:$D$218,2,0)</f>
        <v>EQU</v>
      </c>
      <c r="E7198" s="95">
        <f>VLOOKUP(A7198,'Equip, Herr y Transp'!$B$2:$D$218,3,0)</f>
        <v>26672.5</v>
      </c>
      <c r="F7198" s="96">
        <f>H7187</f>
        <v>8.3000000000000001E-3</v>
      </c>
      <c r="G7198" s="122">
        <f>F7198*E7198</f>
        <v>221.38175000000001</v>
      </c>
      <c r="H7198" s="117"/>
    </row>
    <row r="7199" spans="1:14">
      <c r="A7199" s="536" t="s">
        <v>8</v>
      </c>
      <c r="B7199" s="570">
        <f>VLOOKUP(A7199,'Equip, Herr y Transp'!$B$2:$D$739,2,0)</f>
        <v>0</v>
      </c>
      <c r="C7199" s="570"/>
      <c r="D7199" s="95">
        <f>VLOOKUP(A7199,'Equip, Herr y Transp'!$B$2:$D$218,2,0)</f>
        <v>0</v>
      </c>
      <c r="E7199" s="95">
        <f>VLOOKUP(A7199,'Equip, Herr y Transp'!$B$2:$D$218,3,0)</f>
        <v>0</v>
      </c>
      <c r="F7199" s="96">
        <f>H7187</f>
        <v>8.3000000000000001E-3</v>
      </c>
      <c r="G7199" s="122">
        <f>F7199*E7199</f>
        <v>0</v>
      </c>
      <c r="H7199" s="117"/>
    </row>
    <row r="7200" spans="1:14">
      <c r="A7200" s="536" t="s">
        <v>8</v>
      </c>
      <c r="B7200" s="570">
        <f>VLOOKUP(A7200,'Equip, Herr y Transp'!$B$2:$D$739,2,0)</f>
        <v>0</v>
      </c>
      <c r="C7200" s="570"/>
      <c r="D7200" s="95">
        <f>VLOOKUP(A7200,'Equip, Herr y Transp'!$B$2:$D$218,2,0)</f>
        <v>0</v>
      </c>
      <c r="E7200" s="95">
        <f>VLOOKUP(A7200,'Equip, Herr y Transp'!$B$2:$D$218,3,0)</f>
        <v>0</v>
      </c>
      <c r="F7200" s="96">
        <f>H7187</f>
        <v>8.3000000000000001E-3</v>
      </c>
      <c r="G7200" s="122">
        <f>F7200*E7200</f>
        <v>0</v>
      </c>
      <c r="H7200" s="117"/>
    </row>
    <row r="7201" spans="1:15" ht="16.5">
      <c r="A7201" s="540" t="s">
        <v>4100</v>
      </c>
      <c r="B7201" s="541"/>
      <c r="C7201" s="541"/>
      <c r="D7201" s="541"/>
      <c r="E7201" s="541"/>
      <c r="F7201" s="541"/>
      <c r="G7201" s="541"/>
      <c r="H7201" s="97">
        <f>SUM(G7197:G7200)</f>
        <v>338.66075000000001</v>
      </c>
    </row>
    <row r="7202" spans="1:15" ht="16.5">
      <c r="A7202" s="571" t="s">
        <v>4230</v>
      </c>
      <c r="B7202" s="572"/>
      <c r="C7202" s="572"/>
      <c r="D7202" s="572"/>
      <c r="E7202" s="572"/>
      <c r="F7202" s="572"/>
      <c r="G7202" s="572"/>
      <c r="H7202" s="573"/>
      <c r="K7202" s="56"/>
      <c r="L7202" s="56"/>
      <c r="M7202" s="56"/>
      <c r="N7202" s="56"/>
      <c r="O7202" s="56"/>
    </row>
    <row r="7203" spans="1:15" ht="30" customHeight="1">
      <c r="A7203" s="574" t="s">
        <v>7</v>
      </c>
      <c r="B7203" s="575"/>
      <c r="C7203" s="109" t="s">
        <v>0</v>
      </c>
      <c r="D7203" s="110" t="s">
        <v>4098</v>
      </c>
      <c r="E7203" s="111" t="s">
        <v>1</v>
      </c>
      <c r="F7203" s="576" t="s">
        <v>4218</v>
      </c>
      <c r="G7203" s="576"/>
      <c r="H7203" s="215"/>
      <c r="K7203" s="56"/>
      <c r="L7203" s="56"/>
      <c r="M7203" s="56"/>
      <c r="N7203" s="56"/>
      <c r="O7203" s="56"/>
    </row>
    <row r="7204" spans="1:15">
      <c r="A7204" s="577" t="s">
        <v>4807</v>
      </c>
      <c r="B7204" s="578"/>
      <c r="C7204" s="98" t="str">
        <f>VLOOKUP(A7204,'Materiales '!$C$2:$F$1302,3,0)</f>
        <v>Ml</v>
      </c>
      <c r="D7204" s="99">
        <f>VLOOKUP(A7204,'Materiales '!$C$2:$F$1302,4,0)</f>
        <v>24276</v>
      </c>
      <c r="E7204" s="100">
        <v>1</v>
      </c>
      <c r="F7204" s="538">
        <f>E7204*D7204</f>
        <v>24276</v>
      </c>
      <c r="G7204" s="539"/>
      <c r="H7204" s="121"/>
      <c r="I7204">
        <f>E7204*G7194</f>
        <v>0</v>
      </c>
      <c r="J7204" s="67"/>
      <c r="K7204" s="56"/>
      <c r="L7204" s="56"/>
      <c r="M7204" s="56"/>
      <c r="N7204" s="56"/>
      <c r="O7204" s="56"/>
    </row>
    <row r="7205" spans="1:15">
      <c r="A7205" s="577" t="s">
        <v>8</v>
      </c>
      <c r="B7205" s="578"/>
      <c r="C7205" s="98" t="str">
        <f>VLOOKUP(A7205,'Materiales '!$C$2:$F$1302,3,0)</f>
        <v>-</v>
      </c>
      <c r="D7205" s="99">
        <f>VLOOKUP(A7205,'Materiales '!$C$2:$F$1302,4,0)</f>
        <v>0</v>
      </c>
      <c r="E7205" s="100">
        <f>3/25</f>
        <v>0.12</v>
      </c>
      <c r="F7205" s="538">
        <f t="shared" ref="F7205:F7211" si="421">E7205*D7205</f>
        <v>0</v>
      </c>
      <c r="G7205" s="539"/>
      <c r="H7205" s="121"/>
      <c r="I7205">
        <f>E7205*G7194</f>
        <v>0</v>
      </c>
      <c r="J7205" s="67"/>
      <c r="K7205" s="56"/>
      <c r="L7205" s="56"/>
      <c r="M7205" s="56"/>
      <c r="N7205" s="56"/>
      <c r="O7205" s="56"/>
    </row>
    <row r="7206" spans="1:15">
      <c r="A7206" s="536" t="s">
        <v>8</v>
      </c>
      <c r="B7206" s="537" t="str">
        <f>VLOOKUP(A7206,'Materiales '!$C$2:$F$1302,3,0)</f>
        <v>-</v>
      </c>
      <c r="C7206" s="98" t="str">
        <f>VLOOKUP(A7206,'Materiales '!$C$2:$F$1302,3,0)</f>
        <v>-</v>
      </c>
      <c r="D7206" s="99">
        <f>VLOOKUP(A7206,'Materiales '!$C$2:$F$1302,4,0)</f>
        <v>0</v>
      </c>
      <c r="E7206" s="100">
        <f>3/25</f>
        <v>0.12</v>
      </c>
      <c r="F7206" s="538">
        <f t="shared" si="421"/>
        <v>0</v>
      </c>
      <c r="G7206" s="539"/>
      <c r="H7206" s="121"/>
      <c r="I7206">
        <f>E7206*G7194</f>
        <v>0</v>
      </c>
      <c r="J7206" s="68"/>
      <c r="K7206" s="56"/>
      <c r="L7206" s="56"/>
      <c r="M7206" s="56"/>
      <c r="N7206" s="56"/>
      <c r="O7206" s="56"/>
    </row>
    <row r="7207" spans="1:15">
      <c r="A7207" s="536" t="s">
        <v>8</v>
      </c>
      <c r="B7207" s="537" t="str">
        <f>VLOOKUP(A7207,'Materiales '!$C$2:$F$1302,3,0)</f>
        <v>-</v>
      </c>
      <c r="C7207" s="98" t="str">
        <f>VLOOKUP(A7207,'Materiales '!$C$2:$F$1302,3,0)</f>
        <v>-</v>
      </c>
      <c r="D7207" s="99">
        <f>VLOOKUP(A7207,'Materiales '!$C$2:$F$1302,4,0)</f>
        <v>0</v>
      </c>
      <c r="E7207" s="100"/>
      <c r="F7207" s="538">
        <f t="shared" si="421"/>
        <v>0</v>
      </c>
      <c r="G7207" s="539"/>
      <c r="H7207" s="121"/>
      <c r="I7207">
        <f>E7207*G7194</f>
        <v>0</v>
      </c>
      <c r="J7207" s="68"/>
      <c r="K7207" s="56"/>
      <c r="L7207" s="56"/>
      <c r="M7207" s="56"/>
      <c r="N7207" s="56"/>
      <c r="O7207" s="56"/>
    </row>
    <row r="7208" spans="1:15">
      <c r="A7208" s="536" t="s">
        <v>8</v>
      </c>
      <c r="B7208" s="537" t="str">
        <f>VLOOKUP(A7208,'Materiales '!$C$2:$F$1302,3,0)</f>
        <v>-</v>
      </c>
      <c r="C7208" s="98" t="str">
        <f>VLOOKUP(A7208,'Materiales '!$C$2:$F$1302,3,0)</f>
        <v>-</v>
      </c>
      <c r="D7208" s="99">
        <f>VLOOKUP(A7208,'Materiales '!$C$2:$F$1302,4,0)</f>
        <v>0</v>
      </c>
      <c r="E7208" s="100"/>
      <c r="F7208" s="538">
        <f t="shared" si="421"/>
        <v>0</v>
      </c>
      <c r="G7208" s="539"/>
      <c r="H7208" s="121"/>
      <c r="I7208">
        <f>E7208*G7194</f>
        <v>0</v>
      </c>
      <c r="J7208" s="68"/>
      <c r="K7208" s="56"/>
      <c r="L7208" s="56"/>
      <c r="M7208" s="56"/>
      <c r="N7208" s="56"/>
      <c r="O7208" s="56"/>
    </row>
    <row r="7209" spans="1:15">
      <c r="A7209" s="536" t="s">
        <v>8</v>
      </c>
      <c r="B7209" s="537" t="str">
        <f>VLOOKUP(A7209,'Materiales '!$C$2:$F$1302,3,0)</f>
        <v>-</v>
      </c>
      <c r="C7209" s="98" t="str">
        <f>VLOOKUP(A7209,'Materiales '!$C$2:$F$1302,3,0)</f>
        <v>-</v>
      </c>
      <c r="D7209" s="99">
        <f>VLOOKUP(A7209,'Materiales '!$C$2:$F$1302,4,0)</f>
        <v>0</v>
      </c>
      <c r="E7209" s="100"/>
      <c r="F7209" s="538">
        <f t="shared" si="421"/>
        <v>0</v>
      </c>
      <c r="G7209" s="539"/>
      <c r="H7209" s="121"/>
      <c r="I7209">
        <f>E7209*G7194</f>
        <v>0</v>
      </c>
      <c r="J7209" s="68"/>
      <c r="K7209" s="56"/>
      <c r="L7209" s="56"/>
      <c r="M7209" s="56"/>
      <c r="N7209" s="56"/>
      <c r="O7209" s="56"/>
    </row>
    <row r="7210" spans="1:15">
      <c r="A7210" s="536" t="s">
        <v>8</v>
      </c>
      <c r="B7210" s="537" t="str">
        <f>VLOOKUP(A7210,'Materiales '!$C$2:$F$1302,3,0)</f>
        <v>-</v>
      </c>
      <c r="C7210" s="98" t="str">
        <f>VLOOKUP(A7210,'Materiales '!$C$2:$F$1302,3,0)</f>
        <v>-</v>
      </c>
      <c r="D7210" s="99">
        <f>VLOOKUP(A7210,'Materiales '!$C$2:$F$1302,4,0)</f>
        <v>0</v>
      </c>
      <c r="E7210" s="100"/>
      <c r="F7210" s="538">
        <f t="shared" si="421"/>
        <v>0</v>
      </c>
      <c r="G7210" s="539"/>
      <c r="H7210" s="121"/>
      <c r="I7210">
        <f>E7210*G7194</f>
        <v>0</v>
      </c>
      <c r="J7210" s="68"/>
      <c r="K7210" s="56"/>
      <c r="L7210" s="56"/>
      <c r="M7210" s="56"/>
      <c r="N7210" s="56"/>
      <c r="O7210" s="56"/>
    </row>
    <row r="7211" spans="1:15" ht="21.75" customHeight="1">
      <c r="A7211" s="536" t="s">
        <v>8</v>
      </c>
      <c r="B7211" s="537" t="str">
        <f>VLOOKUP(A7211,'Materiales '!$C$2:$F$1302,3,0)</f>
        <v>-</v>
      </c>
      <c r="C7211" s="98" t="str">
        <f>VLOOKUP(A7211,'Materiales '!$C$2:$F$1302,3,0)</f>
        <v>-</v>
      </c>
      <c r="D7211" s="99">
        <f>VLOOKUP(A7211,'Materiales '!$C$2:$F$1302,4,0)</f>
        <v>0</v>
      </c>
      <c r="E7211" s="100"/>
      <c r="F7211" s="538">
        <f t="shared" si="421"/>
        <v>0</v>
      </c>
      <c r="G7211" s="539"/>
      <c r="H7211" s="121"/>
      <c r="I7211">
        <f>E7211*G7194</f>
        <v>0</v>
      </c>
      <c r="J7211" s="68"/>
      <c r="K7211" s="56"/>
      <c r="L7211" s="56"/>
      <c r="M7211" s="56"/>
      <c r="N7211" s="56"/>
      <c r="O7211" s="56"/>
    </row>
    <row r="7212" spans="1:15">
      <c r="A7212" s="536" t="s">
        <v>8</v>
      </c>
      <c r="B7212" s="537" t="str">
        <f>VLOOKUP(A7212,'Materiales '!$C$2:$F$1302,3,0)</f>
        <v>-</v>
      </c>
      <c r="C7212" s="98" t="str">
        <f>VLOOKUP(A7212,'Materiales '!$C$2:$F$1302,3,0)</f>
        <v>-</v>
      </c>
      <c r="D7212" s="99">
        <f>VLOOKUP(A7212,'Materiales '!$C$2:$F$1302,4,0)</f>
        <v>0</v>
      </c>
      <c r="E7212" s="100"/>
      <c r="F7212" s="538">
        <f>E7212*D7212</f>
        <v>0</v>
      </c>
      <c r="G7212" s="539"/>
      <c r="H7212" s="120"/>
      <c r="I7212">
        <f>E7212*G7194</f>
        <v>0</v>
      </c>
      <c r="J7212" s="68"/>
      <c r="K7212" s="56"/>
      <c r="L7212" s="56"/>
      <c r="M7212" s="56"/>
      <c r="N7212" s="56"/>
      <c r="O7212" s="56"/>
    </row>
    <row r="7213" spans="1:15">
      <c r="A7213" s="536" t="s">
        <v>8</v>
      </c>
      <c r="B7213" s="537" t="str">
        <f>VLOOKUP(A7213,'Materiales '!$C$2:$F$1302,3,0)</f>
        <v>-</v>
      </c>
      <c r="C7213" s="98" t="str">
        <f>VLOOKUP(A7213,'Materiales '!$C$2:$F$1302,3,0)</f>
        <v>-</v>
      </c>
      <c r="D7213" s="99">
        <f>VLOOKUP(A7213,'Materiales '!$C$2:$F$1302,4,0)</f>
        <v>0</v>
      </c>
      <c r="E7213" s="100"/>
      <c r="F7213" s="538">
        <f t="shared" ref="F7213:F7216" si="422">E7213*D7213</f>
        <v>0</v>
      </c>
      <c r="G7213" s="539"/>
      <c r="H7213" s="121"/>
      <c r="I7213">
        <f>E7213*G7194</f>
        <v>0</v>
      </c>
      <c r="J7213" s="68"/>
      <c r="K7213" s="56"/>
      <c r="L7213" s="56"/>
      <c r="M7213" s="56"/>
      <c r="N7213" s="56"/>
      <c r="O7213" s="56"/>
    </row>
    <row r="7214" spans="1:15">
      <c r="A7214" s="536" t="s">
        <v>8</v>
      </c>
      <c r="B7214" s="537" t="str">
        <f>VLOOKUP(A7214,'Materiales '!$C$2:$F$1302,3,0)</f>
        <v>-</v>
      </c>
      <c r="C7214" s="98" t="str">
        <f>VLOOKUP(A7214,'Materiales '!$C$2:$F$1302,3,0)</f>
        <v>-</v>
      </c>
      <c r="D7214" s="99">
        <f>VLOOKUP(A7214,'Materiales '!$C$2:$F$1302,4,0)</f>
        <v>0</v>
      </c>
      <c r="E7214" s="100"/>
      <c r="F7214" s="538">
        <f t="shared" si="422"/>
        <v>0</v>
      </c>
      <c r="G7214" s="539"/>
      <c r="H7214" s="121"/>
      <c r="I7214">
        <f>E7214*G7194</f>
        <v>0</v>
      </c>
      <c r="J7214" s="68"/>
      <c r="K7214" s="56"/>
      <c r="L7214" s="56"/>
      <c r="M7214" s="56"/>
      <c r="N7214" s="56"/>
      <c r="O7214" s="56"/>
    </row>
    <row r="7215" spans="1:15">
      <c r="A7215" s="536" t="s">
        <v>8</v>
      </c>
      <c r="B7215" s="537" t="str">
        <f>VLOOKUP(A7215,'Materiales '!$C$2:$F$1302,3,0)</f>
        <v>-</v>
      </c>
      <c r="C7215" s="98" t="str">
        <f>VLOOKUP(A7215,'Materiales '!$C$2:$F$1302,3,0)</f>
        <v>-</v>
      </c>
      <c r="D7215" s="99">
        <f>VLOOKUP(A7215,'Materiales '!$C$2:$F$1302,4,0)</f>
        <v>0</v>
      </c>
      <c r="E7215" s="100"/>
      <c r="F7215" s="538">
        <f t="shared" si="422"/>
        <v>0</v>
      </c>
      <c r="G7215" s="539"/>
      <c r="H7215" s="121"/>
      <c r="I7215">
        <f>E7215*G7194</f>
        <v>0</v>
      </c>
      <c r="J7215" s="68"/>
      <c r="K7215" s="56"/>
      <c r="L7215" s="56"/>
      <c r="M7215" s="56"/>
      <c r="N7215" s="56"/>
      <c r="O7215" s="56"/>
    </row>
    <row r="7216" spans="1:15">
      <c r="A7216" s="536" t="s">
        <v>8</v>
      </c>
      <c r="B7216" s="537" t="str">
        <f>VLOOKUP(A7216,'Materiales '!$C$2:$F$1302,3,0)</f>
        <v>-</v>
      </c>
      <c r="C7216" s="98" t="str">
        <f>VLOOKUP(A7216,'Materiales '!$C$2:$F$1302,3,0)</f>
        <v>-</v>
      </c>
      <c r="D7216" s="99">
        <f>VLOOKUP(A7216,'Materiales '!$C$2:$F$1302,4,0)</f>
        <v>0</v>
      </c>
      <c r="E7216" s="100"/>
      <c r="F7216" s="538">
        <f t="shared" si="422"/>
        <v>0</v>
      </c>
      <c r="G7216" s="539"/>
      <c r="H7216" s="121"/>
      <c r="I7216">
        <f>E7216*G7194</f>
        <v>0</v>
      </c>
      <c r="J7216" s="68"/>
      <c r="K7216" s="56"/>
      <c r="L7216" s="56"/>
      <c r="M7216" s="56"/>
      <c r="N7216" s="56"/>
      <c r="O7216" s="56"/>
    </row>
    <row r="7217" spans="1:15">
      <c r="A7217" s="536" t="s">
        <v>8</v>
      </c>
      <c r="B7217" s="537" t="str">
        <f>VLOOKUP(A7217,'Materiales '!$C$2:$F$1302,3,0)</f>
        <v>-</v>
      </c>
      <c r="C7217" s="98" t="str">
        <f>VLOOKUP(A7217,'Materiales '!$C$2:$F$1302,3,0)</f>
        <v>-</v>
      </c>
      <c r="D7217" s="99">
        <f>VLOOKUP(A7217,'Materiales '!$C$2:$F$1302,4,0)</f>
        <v>0</v>
      </c>
      <c r="E7217" s="100"/>
      <c r="F7217" s="538">
        <f>E7217*D7217</f>
        <v>0</v>
      </c>
      <c r="G7217" s="539"/>
      <c r="H7217" s="120"/>
      <c r="I7217">
        <f>E7217*G7194</f>
        <v>0</v>
      </c>
      <c r="J7217" s="68"/>
      <c r="K7217" s="56"/>
      <c r="L7217" s="56"/>
      <c r="M7217" s="56"/>
      <c r="N7217" s="56"/>
      <c r="O7217" s="56"/>
    </row>
    <row r="7218" spans="1:15" ht="16.5">
      <c r="A7218" s="540" t="s">
        <v>4099</v>
      </c>
      <c r="B7218" s="541"/>
      <c r="C7218" s="541"/>
      <c r="D7218" s="541"/>
      <c r="E7218" s="541"/>
      <c r="F7218" s="541"/>
      <c r="G7218" s="542"/>
      <c r="H7218" s="116">
        <f>SUM(F7204:F7217)</f>
        <v>24276</v>
      </c>
      <c r="J7218" s="68"/>
      <c r="K7218" s="56"/>
      <c r="L7218" s="56"/>
      <c r="M7218" s="56"/>
      <c r="N7218" s="56"/>
      <c r="O7218" s="56"/>
    </row>
    <row r="7219" spans="1:15" ht="16.5">
      <c r="A7219" s="543" t="s">
        <v>4231</v>
      </c>
      <c r="B7219" s="544"/>
      <c r="C7219" s="544"/>
      <c r="D7219" s="544"/>
      <c r="E7219" s="545"/>
      <c r="F7219" s="544"/>
      <c r="G7219" s="544"/>
      <c r="H7219" s="546"/>
      <c r="J7219" s="68"/>
      <c r="K7219" s="56"/>
      <c r="L7219" s="56"/>
      <c r="M7219" s="56"/>
      <c r="N7219" s="56"/>
      <c r="O7219" s="56"/>
    </row>
    <row r="7220" spans="1:15">
      <c r="A7220" s="547" t="s">
        <v>7</v>
      </c>
      <c r="B7220" s="548"/>
      <c r="C7220" s="108" t="s">
        <v>4232</v>
      </c>
      <c r="D7220" s="107" t="s">
        <v>4233</v>
      </c>
      <c r="E7220" s="206" t="s">
        <v>4234</v>
      </c>
      <c r="F7220" s="549" t="s">
        <v>4218</v>
      </c>
      <c r="G7220" s="549"/>
      <c r="H7220" s="119"/>
      <c r="K7220" s="56"/>
      <c r="L7220" s="56"/>
      <c r="M7220" s="56"/>
      <c r="N7220" s="56"/>
      <c r="O7220" s="56"/>
    </row>
    <row r="7221" spans="1:15">
      <c r="A7221" s="550" t="s">
        <v>3928</v>
      </c>
      <c r="B7221" s="551"/>
      <c r="C7221" s="232">
        <v>1</v>
      </c>
      <c r="D7221" s="102">
        <v>5.0000000000000001E-3</v>
      </c>
      <c r="E7221" s="103">
        <f>VLOOKUP(A7221,'Equip, Herr y Transp'!$B$2:$D$218,3,0)</f>
        <v>160000</v>
      </c>
      <c r="F7221" s="552">
        <f>E7221*D7221*C7221</f>
        <v>800</v>
      </c>
      <c r="G7221" s="553"/>
      <c r="H7221" s="117"/>
      <c r="M7221" s="56"/>
    </row>
    <row r="7222" spans="1:15" ht="16.5">
      <c r="A7222" s="554" t="s">
        <v>4216</v>
      </c>
      <c r="B7222" s="555"/>
      <c r="C7222" s="555"/>
      <c r="D7222" s="555"/>
      <c r="E7222" s="555"/>
      <c r="F7222" s="555"/>
      <c r="G7222" s="555"/>
      <c r="H7222" s="105">
        <f>F7221</f>
        <v>800</v>
      </c>
    </row>
    <row r="7223" spans="1:15" ht="16.5">
      <c r="A7223" s="543" t="s">
        <v>4235</v>
      </c>
      <c r="B7223" s="544"/>
      <c r="C7223" s="544"/>
      <c r="D7223" s="544"/>
      <c r="E7223" s="544"/>
      <c r="F7223" s="544"/>
      <c r="G7223" s="544"/>
      <c r="H7223" s="546"/>
    </row>
    <row r="7224" spans="1:15">
      <c r="A7224" s="547" t="s">
        <v>7</v>
      </c>
      <c r="B7224" s="548"/>
      <c r="C7224" s="106" t="s">
        <v>1</v>
      </c>
      <c r="D7224" s="107" t="s">
        <v>4236</v>
      </c>
      <c r="E7224" s="108" t="s">
        <v>4215</v>
      </c>
      <c r="F7224" s="547" t="s">
        <v>5</v>
      </c>
      <c r="G7224" s="556"/>
      <c r="H7224" s="119"/>
    </row>
    <row r="7225" spans="1:15">
      <c r="A7225" s="550" t="s">
        <v>4196</v>
      </c>
      <c r="B7225" s="551"/>
      <c r="C7225" s="101">
        <v>1</v>
      </c>
      <c r="D7225" s="104">
        <f>VLOOKUP(A7225,'Mano Obra'!$B$2:$T$117,19,0)</f>
        <v>166624</v>
      </c>
      <c r="E7225" s="246">
        <f>H7187</f>
        <v>8.3000000000000001E-3</v>
      </c>
      <c r="F7225" s="538">
        <f>E7225*D7225*C7225</f>
        <v>1382.9792</v>
      </c>
      <c r="G7225" s="557"/>
      <c r="H7225" s="121"/>
      <c r="I7225" s="69"/>
      <c r="J7225" s="136">
        <f>((('Mano Obra'!$M$4/30)*F7225)/D7225)*G7194</f>
        <v>0</v>
      </c>
    </row>
    <row r="7226" spans="1:15">
      <c r="A7226" s="558" t="s">
        <v>4197</v>
      </c>
      <c r="B7226" s="559">
        <f>VLOOKUP(A7226,'Mano Obra'!$B$3:$D$290,2,0)</f>
        <v>2090000.0000000002</v>
      </c>
      <c r="C7226" s="101">
        <v>1</v>
      </c>
      <c r="D7226" s="104">
        <f>VLOOKUP(A7226,'Mano Obra'!$B$2:$T$117,19,0)</f>
        <v>120456</v>
      </c>
      <c r="E7226" s="246">
        <f>H7187</f>
        <v>8.3000000000000001E-3</v>
      </c>
      <c r="F7226" s="538">
        <f t="shared" ref="F7226:F7227" si="423">E7226*D7226*C7226</f>
        <v>999.78480000000002</v>
      </c>
      <c r="G7226" s="557"/>
      <c r="H7226" s="121"/>
      <c r="J7226" s="136">
        <f>((('Mano Obra'!$M$5/30)*F7226)/D7226)*G7194</f>
        <v>0</v>
      </c>
    </row>
    <row r="7227" spans="1:15">
      <c r="A7227" s="558" t="s">
        <v>4186</v>
      </c>
      <c r="B7227" s="559">
        <f>VLOOKUP(A7227,'Mano Obra'!$B$3:$D$290,2,0)</f>
        <v>1100000</v>
      </c>
      <c r="C7227" s="101">
        <v>1</v>
      </c>
      <c r="D7227" s="104">
        <f>VLOOKUP(A7227,'Mano Obra'!$B$2:$T$117,19,0)</f>
        <v>72664</v>
      </c>
      <c r="E7227" s="246">
        <f>H7187</f>
        <v>8.3000000000000001E-3</v>
      </c>
      <c r="F7227" s="538">
        <f t="shared" si="423"/>
        <v>603.11120000000005</v>
      </c>
      <c r="G7227" s="557"/>
      <c r="H7227" s="120"/>
      <c r="J7227" s="136">
        <f>((('Mano Obra'!$M$6/30)*F7227)/D7227)*G7194</f>
        <v>0</v>
      </c>
    </row>
    <row r="7228" spans="1:15" ht="16.5">
      <c r="A7228" s="560" t="s">
        <v>4101</v>
      </c>
      <c r="B7228" s="560"/>
      <c r="C7228" s="560"/>
      <c r="D7228" s="560"/>
      <c r="E7228" s="560"/>
      <c r="F7228" s="560"/>
      <c r="G7228" s="560"/>
      <c r="H7228" s="105">
        <f>SUM(F7225:F7227)</f>
        <v>2985.8752000000004</v>
      </c>
      <c r="J7228" s="136"/>
    </row>
    <row r="7229" spans="1:15">
      <c r="A7229" s="227" t="s">
        <v>4237</v>
      </c>
      <c r="B7229" s="205"/>
      <c r="C7229" s="205"/>
      <c r="D7229" s="202"/>
      <c r="E7229" s="203"/>
      <c r="F7229" s="204"/>
      <c r="G7229" s="203"/>
      <c r="H7229" s="212"/>
    </row>
    <row r="7230" spans="1:15">
      <c r="A7230" s="561" t="s">
        <v>4224</v>
      </c>
      <c r="B7230" s="562"/>
      <c r="C7230" s="562"/>
      <c r="D7230" s="562"/>
      <c r="E7230" s="200"/>
      <c r="F7230" s="201" t="s">
        <v>4238</v>
      </c>
      <c r="G7230" s="200" t="s">
        <v>4239</v>
      </c>
      <c r="H7230" s="213"/>
    </row>
    <row r="7231" spans="1:15">
      <c r="A7231" s="223" t="s">
        <v>4097</v>
      </c>
      <c r="B7231" s="72"/>
      <c r="C7231" s="72"/>
      <c r="D7231" s="73"/>
      <c r="E7231" s="78"/>
      <c r="F7231" s="79">
        <v>0</v>
      </c>
      <c r="G7231" s="80">
        <f>F7231*H7195</f>
        <v>0</v>
      </c>
      <c r="H7231" s="212"/>
    </row>
    <row r="7232" spans="1:15">
      <c r="A7232" s="224" t="s">
        <v>4240</v>
      </c>
      <c r="B7232" s="81"/>
      <c r="C7232" s="81"/>
      <c r="D7232" s="82"/>
      <c r="E7232" s="78"/>
      <c r="F7232" s="79">
        <v>0</v>
      </c>
      <c r="G7232" s="80">
        <f>F7232*H7195</f>
        <v>0</v>
      </c>
      <c r="H7232" s="212"/>
    </row>
    <row r="7233" spans="1:14">
      <c r="A7233" s="224" t="s">
        <v>4</v>
      </c>
      <c r="B7233" s="81"/>
      <c r="C7233" s="81"/>
      <c r="D7233" s="82"/>
      <c r="E7233" s="78"/>
      <c r="F7233" s="79">
        <v>0</v>
      </c>
      <c r="G7233" s="80">
        <f>F7233*H7195</f>
        <v>0</v>
      </c>
      <c r="H7233" s="212"/>
    </row>
    <row r="7234" spans="1:14">
      <c r="A7234" s="225"/>
      <c r="B7234" s="83"/>
      <c r="C7234" s="75"/>
      <c r="D7234" s="84"/>
      <c r="E7234" s="85"/>
      <c r="F7234" s="86"/>
      <c r="G7234" s="87"/>
      <c r="H7234" s="214"/>
    </row>
    <row r="7235" spans="1:14">
      <c r="A7235" s="226"/>
      <c r="B7235" s="83"/>
      <c r="C7235" s="83"/>
      <c r="D7235" s="84"/>
      <c r="E7235" s="88"/>
      <c r="F7235" s="563" t="s">
        <v>4241</v>
      </c>
      <c r="G7235" s="564"/>
      <c r="H7235" s="233">
        <f>H7195+G7231+G7232+G7233</f>
        <v>28400.535949999998</v>
      </c>
    </row>
    <row r="7237" spans="1:14" ht="16.5">
      <c r="A7237" s="90"/>
      <c r="B7237" s="90"/>
      <c r="C7237" s="90"/>
      <c r="D7237" s="90"/>
      <c r="E7237" s="90"/>
      <c r="F7237" s="90"/>
      <c r="G7237" s="90"/>
      <c r="H7237" s="381"/>
    </row>
    <row r="7238" spans="1:14">
      <c r="A7238" s="579" t="s">
        <v>4225</v>
      </c>
      <c r="B7238" s="580"/>
      <c r="C7238" s="580"/>
      <c r="D7238" s="580"/>
      <c r="E7238" s="580"/>
      <c r="F7238" s="580"/>
      <c r="G7238" s="580"/>
      <c r="H7238" s="581"/>
    </row>
    <row r="7239" spans="1:14" ht="16.5">
      <c r="A7239" s="91"/>
      <c r="B7239" s="92"/>
      <c r="C7239" s="92"/>
      <c r="D7239" s="92"/>
      <c r="E7239" s="92"/>
      <c r="F7239" s="93"/>
      <c r="G7239" s="94"/>
      <c r="H7239" s="380">
        <f>ROUND((4/60)/8,4)</f>
        <v>8.3000000000000001E-3</v>
      </c>
      <c r="I7239" s="115"/>
    </row>
    <row r="7240" spans="1:14">
      <c r="A7240" s="582" t="s">
        <v>4220</v>
      </c>
      <c r="B7240" s="584" t="str">
        <f>COSTOS!$C$14</f>
        <v>MODERNIZACION A TECNOLOGIA LED</v>
      </c>
      <c r="C7240" s="584"/>
      <c r="D7240" s="584"/>
      <c r="E7240" s="584"/>
      <c r="F7240" s="584"/>
      <c r="G7240" s="584"/>
      <c r="H7240" s="585" t="s">
        <v>4221</v>
      </c>
    </row>
    <row r="7241" spans="1:14">
      <c r="A7241" s="583"/>
      <c r="B7241" s="584"/>
      <c r="C7241" s="584"/>
      <c r="D7241" s="584"/>
      <c r="E7241" s="584"/>
      <c r="F7241" s="584"/>
      <c r="G7241" s="584"/>
      <c r="H7241" s="585"/>
    </row>
    <row r="7242" spans="1:14">
      <c r="A7242" s="583"/>
      <c r="B7242" s="584"/>
      <c r="C7242" s="584"/>
      <c r="D7242" s="584"/>
      <c r="E7242" s="584"/>
      <c r="F7242" s="584"/>
      <c r="G7242" s="584"/>
      <c r="H7242" s="585"/>
    </row>
    <row r="7243" spans="1:14" ht="15" customHeight="1">
      <c r="A7243" s="583"/>
      <c r="B7243" s="584"/>
      <c r="C7243" s="584"/>
      <c r="D7243" s="584"/>
      <c r="E7243" s="584"/>
      <c r="F7243" s="584"/>
      <c r="G7243" s="584"/>
      <c r="H7243" s="216">
        <f ca="1">TODAY()</f>
        <v>44889</v>
      </c>
      <c r="K7243" t="s">
        <v>4391</v>
      </c>
      <c r="L7243" t="s">
        <v>4392</v>
      </c>
      <c r="M7243" t="s">
        <v>4393</v>
      </c>
      <c r="N7243" t="s">
        <v>4394</v>
      </c>
    </row>
    <row r="7244" spans="1:14" ht="60.75" customHeight="1">
      <c r="A7244" s="228" t="s">
        <v>4222</v>
      </c>
      <c r="B7244" s="565" t="str">
        <f>COSTOS!$D$16</f>
        <v>Luminarias</v>
      </c>
      <c r="C7244" s="565"/>
      <c r="D7244" s="565"/>
      <c r="E7244" s="565"/>
      <c r="F7244" s="565"/>
      <c r="G7244" s="70" t="s">
        <v>4223</v>
      </c>
      <c r="H7244" s="391">
        <v>3.29</v>
      </c>
      <c r="K7244" s="62">
        <f>H7270</f>
        <v>4426.8</v>
      </c>
      <c r="L7244" s="62">
        <f>H7280</f>
        <v>2985.8752000000004</v>
      </c>
      <c r="M7244" s="62">
        <f>H7253</f>
        <v>338.66075000000001</v>
      </c>
      <c r="N7244" s="62">
        <f>H7274</f>
        <v>800</v>
      </c>
    </row>
    <row r="7245" spans="1:14" ht="43.15" customHeight="1">
      <c r="A7245" s="229" t="s">
        <v>4224</v>
      </c>
      <c r="B7245" s="566" t="str">
        <f>VLOOKUP(H7244,COSTOS!C:M,2,0)</f>
        <v>Red canalizada en cable aluminio 2 x 500m</v>
      </c>
      <c r="C7245" s="567"/>
      <c r="D7245" s="567"/>
      <c r="E7245" s="568"/>
      <c r="F7245" s="71" t="s">
        <v>0</v>
      </c>
      <c r="G7245" s="356" t="str">
        <f>VLOOKUP(H7244,COSTOS!C:M,8,0)</f>
        <v>Und</v>
      </c>
      <c r="H7245" s="276"/>
      <c r="I7245" s="306"/>
      <c r="J7245" s="308"/>
      <c r="K7245" s="308"/>
      <c r="L7245" s="308"/>
    </row>
    <row r="7246" spans="1:14">
      <c r="A7246" s="230"/>
      <c r="B7246" s="112"/>
      <c r="C7246" s="112"/>
      <c r="D7246" s="112"/>
      <c r="E7246" s="113"/>
      <c r="F7246" s="114" t="s">
        <v>1</v>
      </c>
      <c r="G7246" s="356">
        <f>VLOOKUP(H7244,COSTOS!C:M,9,0)</f>
        <v>0</v>
      </c>
      <c r="H7246" s="357"/>
      <c r="I7246" s="307"/>
    </row>
    <row r="7247" spans="1:14" ht="16.5">
      <c r="A7247" s="231" t="s">
        <v>4226</v>
      </c>
      <c r="B7247" s="75"/>
      <c r="C7247" s="75"/>
      <c r="D7247" s="76"/>
      <c r="E7247" s="209"/>
      <c r="F7247" s="210"/>
      <c r="G7247" s="211" t="s">
        <v>4227</v>
      </c>
      <c r="H7247" s="217">
        <f>H7253+H7270+H7274+H7280</f>
        <v>8551.3359500000006</v>
      </c>
    </row>
    <row r="7248" spans="1:14" ht="39">
      <c r="A7248" s="569" t="s">
        <v>4224</v>
      </c>
      <c r="B7248" s="569"/>
      <c r="C7248" s="569"/>
      <c r="D7248" s="77" t="s">
        <v>0</v>
      </c>
      <c r="E7248" s="207" t="s">
        <v>4228</v>
      </c>
      <c r="F7248" s="208" t="s">
        <v>4215</v>
      </c>
      <c r="G7248" s="74" t="s">
        <v>2</v>
      </c>
      <c r="H7248" s="218" t="s">
        <v>4229</v>
      </c>
      <c r="K7248" s="309"/>
    </row>
    <row r="7249" spans="1:15">
      <c r="A7249" s="536" t="s">
        <v>3946</v>
      </c>
      <c r="B7249" s="570" t="str">
        <f>VLOOKUP(A7249,'Equip, Herr y Transp'!$B$2:$D$739,2,0)</f>
        <v>EQU</v>
      </c>
      <c r="C7249" s="570"/>
      <c r="D7249" s="95" t="str">
        <f>VLOOKUP(A7249,'Equip, Herr y Transp'!$B$2:$D$218,2,0)</f>
        <v>EQU</v>
      </c>
      <c r="E7249" s="95">
        <f>VLOOKUP(A7249,'Equip, Herr y Transp'!$B$2:$D$218,3,0)</f>
        <v>14130</v>
      </c>
      <c r="F7249" s="96">
        <f>H7239</f>
        <v>8.3000000000000001E-3</v>
      </c>
      <c r="G7249" s="122">
        <f>F7249*E7249</f>
        <v>117.279</v>
      </c>
      <c r="H7249" s="118"/>
    </row>
    <row r="7250" spans="1:15">
      <c r="A7250" s="536" t="s">
        <v>3904</v>
      </c>
      <c r="B7250" s="570" t="str">
        <f>VLOOKUP(A7250,'Equip, Herr y Transp'!$B$2:$D$739,2,0)</f>
        <v>EQU</v>
      </c>
      <c r="C7250" s="570"/>
      <c r="D7250" s="95" t="str">
        <f>VLOOKUP(A7250,'Equip, Herr y Transp'!$B$2:$D$218,2,0)</f>
        <v>EQU</v>
      </c>
      <c r="E7250" s="95">
        <f>VLOOKUP(A7250,'Equip, Herr y Transp'!$B$2:$D$218,3,0)</f>
        <v>26672.5</v>
      </c>
      <c r="F7250" s="96">
        <f>H7239</f>
        <v>8.3000000000000001E-3</v>
      </c>
      <c r="G7250" s="122">
        <f>F7250*E7250</f>
        <v>221.38175000000001</v>
      </c>
      <c r="H7250" s="117"/>
    </row>
    <row r="7251" spans="1:15">
      <c r="A7251" s="536" t="s">
        <v>8</v>
      </c>
      <c r="B7251" s="570">
        <f>VLOOKUP(A7251,'Equip, Herr y Transp'!$B$2:$D$739,2,0)</f>
        <v>0</v>
      </c>
      <c r="C7251" s="570"/>
      <c r="D7251" s="95">
        <f>VLOOKUP(A7251,'Equip, Herr y Transp'!$B$2:$D$218,2,0)</f>
        <v>0</v>
      </c>
      <c r="E7251" s="95">
        <f>VLOOKUP(A7251,'Equip, Herr y Transp'!$B$2:$D$218,3,0)</f>
        <v>0</v>
      </c>
      <c r="F7251" s="96">
        <f>H7239</f>
        <v>8.3000000000000001E-3</v>
      </c>
      <c r="G7251" s="122">
        <f>F7251*E7251</f>
        <v>0</v>
      </c>
      <c r="H7251" s="117"/>
    </row>
    <row r="7252" spans="1:15">
      <c r="A7252" s="536" t="s">
        <v>8</v>
      </c>
      <c r="B7252" s="570">
        <f>VLOOKUP(A7252,'Equip, Herr y Transp'!$B$2:$D$739,2,0)</f>
        <v>0</v>
      </c>
      <c r="C7252" s="570"/>
      <c r="D7252" s="95">
        <f>VLOOKUP(A7252,'Equip, Herr y Transp'!$B$2:$D$218,2,0)</f>
        <v>0</v>
      </c>
      <c r="E7252" s="95">
        <f>VLOOKUP(A7252,'Equip, Herr y Transp'!$B$2:$D$218,3,0)</f>
        <v>0</v>
      </c>
      <c r="F7252" s="96">
        <f>H7239</f>
        <v>8.3000000000000001E-3</v>
      </c>
      <c r="G7252" s="122">
        <f>F7252*E7252</f>
        <v>0</v>
      </c>
      <c r="H7252" s="117"/>
    </row>
    <row r="7253" spans="1:15" ht="16.5">
      <c r="A7253" s="540" t="s">
        <v>4100</v>
      </c>
      <c r="B7253" s="541"/>
      <c r="C7253" s="541"/>
      <c r="D7253" s="541"/>
      <c r="E7253" s="541"/>
      <c r="F7253" s="541"/>
      <c r="G7253" s="541"/>
      <c r="H7253" s="97">
        <f>SUM(G7249:G7252)</f>
        <v>338.66075000000001</v>
      </c>
    </row>
    <row r="7254" spans="1:15" ht="16.5">
      <c r="A7254" s="571" t="s">
        <v>4230</v>
      </c>
      <c r="B7254" s="572"/>
      <c r="C7254" s="572"/>
      <c r="D7254" s="572"/>
      <c r="E7254" s="572"/>
      <c r="F7254" s="572"/>
      <c r="G7254" s="572"/>
      <c r="H7254" s="573"/>
      <c r="K7254" s="56"/>
      <c r="L7254" s="56"/>
      <c r="M7254" s="56"/>
      <c r="N7254" s="56"/>
      <c r="O7254" s="56"/>
    </row>
    <row r="7255" spans="1:15" ht="30" customHeight="1">
      <c r="A7255" s="574" t="s">
        <v>7</v>
      </c>
      <c r="B7255" s="575"/>
      <c r="C7255" s="109" t="s">
        <v>0</v>
      </c>
      <c r="D7255" s="110" t="s">
        <v>4098</v>
      </c>
      <c r="E7255" s="111" t="s">
        <v>1</v>
      </c>
      <c r="F7255" s="576" t="s">
        <v>4218</v>
      </c>
      <c r="G7255" s="576"/>
      <c r="H7255" s="215"/>
      <c r="K7255" s="56"/>
      <c r="L7255" s="56"/>
      <c r="M7255" s="56"/>
      <c r="N7255" s="56"/>
      <c r="O7255" s="56"/>
    </row>
    <row r="7256" spans="1:15">
      <c r="A7256" s="577" t="s">
        <v>4445</v>
      </c>
      <c r="B7256" s="578"/>
      <c r="C7256" s="98" t="str">
        <f>VLOOKUP(A7256,'Materiales '!$C$2:$F$1302,3,0)</f>
        <v>Ml</v>
      </c>
      <c r="D7256" s="99">
        <f>VLOOKUP(A7256,'Materiales '!$C$2:$F$1302,4,0)</f>
        <v>4426.8</v>
      </c>
      <c r="E7256" s="100">
        <v>1</v>
      </c>
      <c r="F7256" s="538">
        <f>E7256*D7256</f>
        <v>4426.8</v>
      </c>
      <c r="G7256" s="539"/>
      <c r="H7256" s="121"/>
      <c r="I7256">
        <f>E7256*G7246</f>
        <v>0</v>
      </c>
      <c r="J7256" s="67"/>
      <c r="K7256" s="56"/>
      <c r="L7256" s="56"/>
      <c r="M7256" s="56"/>
      <c r="N7256" s="56"/>
      <c r="O7256" s="56"/>
    </row>
    <row r="7257" spans="1:15">
      <c r="A7257" s="577" t="s">
        <v>8</v>
      </c>
      <c r="B7257" s="578"/>
      <c r="C7257" s="98" t="str">
        <f>VLOOKUP(A7257,'Materiales '!$C$2:$F$1302,3,0)</f>
        <v>-</v>
      </c>
      <c r="D7257" s="99">
        <f>VLOOKUP(A7257,'Materiales '!$C$2:$F$1302,4,0)</f>
        <v>0</v>
      </c>
      <c r="E7257" s="100">
        <f>3/25</f>
        <v>0.12</v>
      </c>
      <c r="F7257" s="538">
        <f t="shared" ref="F7257:F7263" si="424">E7257*D7257</f>
        <v>0</v>
      </c>
      <c r="G7257" s="539"/>
      <c r="H7257" s="121"/>
      <c r="I7257">
        <f>E7257*G7246</f>
        <v>0</v>
      </c>
      <c r="J7257" s="67"/>
      <c r="K7257" s="56"/>
      <c r="L7257" s="56"/>
      <c r="M7257" s="56"/>
      <c r="N7257" s="56"/>
      <c r="O7257" s="56"/>
    </row>
    <row r="7258" spans="1:15">
      <c r="A7258" s="536" t="s">
        <v>8</v>
      </c>
      <c r="B7258" s="537" t="str">
        <f>VLOOKUP(A7258,'Materiales '!$C$2:$F$1302,3,0)</f>
        <v>-</v>
      </c>
      <c r="C7258" s="98" t="str">
        <f>VLOOKUP(A7258,'Materiales '!$C$2:$F$1302,3,0)</f>
        <v>-</v>
      </c>
      <c r="D7258" s="99">
        <f>VLOOKUP(A7258,'Materiales '!$C$2:$F$1302,4,0)</f>
        <v>0</v>
      </c>
      <c r="E7258" s="100">
        <f>3/25</f>
        <v>0.12</v>
      </c>
      <c r="F7258" s="538">
        <f t="shared" si="424"/>
        <v>0</v>
      </c>
      <c r="G7258" s="539"/>
      <c r="H7258" s="121"/>
      <c r="I7258">
        <f>E7258*G7246</f>
        <v>0</v>
      </c>
      <c r="J7258" s="68"/>
      <c r="K7258" s="56"/>
      <c r="L7258" s="56"/>
      <c r="M7258" s="56"/>
      <c r="N7258" s="56"/>
      <c r="O7258" s="56"/>
    </row>
    <row r="7259" spans="1:15">
      <c r="A7259" s="536" t="s">
        <v>8</v>
      </c>
      <c r="B7259" s="537" t="str">
        <f>VLOOKUP(A7259,'Materiales '!$C$2:$F$1302,3,0)</f>
        <v>-</v>
      </c>
      <c r="C7259" s="98" t="str">
        <f>VLOOKUP(A7259,'Materiales '!$C$2:$F$1302,3,0)</f>
        <v>-</v>
      </c>
      <c r="D7259" s="99">
        <f>VLOOKUP(A7259,'Materiales '!$C$2:$F$1302,4,0)</f>
        <v>0</v>
      </c>
      <c r="E7259" s="100"/>
      <c r="F7259" s="538">
        <f t="shared" si="424"/>
        <v>0</v>
      </c>
      <c r="G7259" s="539"/>
      <c r="H7259" s="121"/>
      <c r="I7259">
        <f>E7259*G7246</f>
        <v>0</v>
      </c>
      <c r="J7259" s="68"/>
      <c r="K7259" s="56"/>
      <c r="L7259" s="56"/>
      <c r="M7259" s="56"/>
      <c r="N7259" s="56"/>
      <c r="O7259" s="56"/>
    </row>
    <row r="7260" spans="1:15">
      <c r="A7260" s="536" t="s">
        <v>8</v>
      </c>
      <c r="B7260" s="537" t="str">
        <f>VLOOKUP(A7260,'Materiales '!$C$2:$F$1302,3,0)</f>
        <v>-</v>
      </c>
      <c r="C7260" s="98" t="str">
        <f>VLOOKUP(A7260,'Materiales '!$C$2:$F$1302,3,0)</f>
        <v>-</v>
      </c>
      <c r="D7260" s="99">
        <f>VLOOKUP(A7260,'Materiales '!$C$2:$F$1302,4,0)</f>
        <v>0</v>
      </c>
      <c r="E7260" s="100"/>
      <c r="F7260" s="538">
        <f t="shared" si="424"/>
        <v>0</v>
      </c>
      <c r="G7260" s="539"/>
      <c r="H7260" s="121"/>
      <c r="I7260">
        <f>E7260*G7246</f>
        <v>0</v>
      </c>
      <c r="J7260" s="68"/>
      <c r="K7260" s="56"/>
      <c r="L7260" s="56"/>
      <c r="M7260" s="56"/>
      <c r="N7260" s="56"/>
      <c r="O7260" s="56"/>
    </row>
    <row r="7261" spans="1:15">
      <c r="A7261" s="536" t="s">
        <v>8</v>
      </c>
      <c r="B7261" s="537" t="str">
        <f>VLOOKUP(A7261,'Materiales '!$C$2:$F$1302,3,0)</f>
        <v>-</v>
      </c>
      <c r="C7261" s="98" t="str">
        <f>VLOOKUP(A7261,'Materiales '!$C$2:$F$1302,3,0)</f>
        <v>-</v>
      </c>
      <c r="D7261" s="99">
        <f>VLOOKUP(A7261,'Materiales '!$C$2:$F$1302,4,0)</f>
        <v>0</v>
      </c>
      <c r="E7261" s="100"/>
      <c r="F7261" s="538">
        <f t="shared" si="424"/>
        <v>0</v>
      </c>
      <c r="G7261" s="539"/>
      <c r="H7261" s="121"/>
      <c r="I7261">
        <f>E7261*G7246</f>
        <v>0</v>
      </c>
      <c r="J7261" s="68"/>
      <c r="K7261" s="56"/>
      <c r="L7261" s="56"/>
      <c r="M7261" s="56"/>
      <c r="N7261" s="56"/>
      <c r="O7261" s="56"/>
    </row>
    <row r="7262" spans="1:15">
      <c r="A7262" s="536" t="s">
        <v>8</v>
      </c>
      <c r="B7262" s="537" t="str">
        <f>VLOOKUP(A7262,'Materiales '!$C$2:$F$1302,3,0)</f>
        <v>-</v>
      </c>
      <c r="C7262" s="98" t="str">
        <f>VLOOKUP(A7262,'Materiales '!$C$2:$F$1302,3,0)</f>
        <v>-</v>
      </c>
      <c r="D7262" s="99">
        <f>VLOOKUP(A7262,'Materiales '!$C$2:$F$1302,4,0)</f>
        <v>0</v>
      </c>
      <c r="E7262" s="100"/>
      <c r="F7262" s="538">
        <f t="shared" si="424"/>
        <v>0</v>
      </c>
      <c r="G7262" s="539"/>
      <c r="H7262" s="121"/>
      <c r="I7262">
        <f>E7262*G7246</f>
        <v>0</v>
      </c>
      <c r="J7262" s="68"/>
      <c r="K7262" s="56"/>
      <c r="L7262" s="56"/>
      <c r="M7262" s="56"/>
      <c r="N7262" s="56"/>
      <c r="O7262" s="56"/>
    </row>
    <row r="7263" spans="1:15" ht="21.75" customHeight="1">
      <c r="A7263" s="536" t="s">
        <v>8</v>
      </c>
      <c r="B7263" s="537" t="str">
        <f>VLOOKUP(A7263,'Materiales '!$C$2:$F$1302,3,0)</f>
        <v>-</v>
      </c>
      <c r="C7263" s="98" t="str">
        <f>VLOOKUP(A7263,'Materiales '!$C$2:$F$1302,3,0)</f>
        <v>-</v>
      </c>
      <c r="D7263" s="99">
        <f>VLOOKUP(A7263,'Materiales '!$C$2:$F$1302,4,0)</f>
        <v>0</v>
      </c>
      <c r="E7263" s="100"/>
      <c r="F7263" s="538">
        <f t="shared" si="424"/>
        <v>0</v>
      </c>
      <c r="G7263" s="539"/>
      <c r="H7263" s="121"/>
      <c r="I7263">
        <f>E7263*G7246</f>
        <v>0</v>
      </c>
      <c r="J7263" s="68"/>
      <c r="K7263" s="56"/>
      <c r="L7263" s="56"/>
      <c r="M7263" s="56"/>
      <c r="N7263" s="56"/>
      <c r="O7263" s="56"/>
    </row>
    <row r="7264" spans="1:15">
      <c r="A7264" s="536" t="s">
        <v>8</v>
      </c>
      <c r="B7264" s="537" t="str">
        <f>VLOOKUP(A7264,'Materiales '!$C$2:$F$1302,3,0)</f>
        <v>-</v>
      </c>
      <c r="C7264" s="98" t="str">
        <f>VLOOKUP(A7264,'Materiales '!$C$2:$F$1302,3,0)</f>
        <v>-</v>
      </c>
      <c r="D7264" s="99">
        <f>VLOOKUP(A7264,'Materiales '!$C$2:$F$1302,4,0)</f>
        <v>0</v>
      </c>
      <c r="E7264" s="100"/>
      <c r="F7264" s="538">
        <f>E7264*D7264</f>
        <v>0</v>
      </c>
      <c r="G7264" s="539"/>
      <c r="H7264" s="120"/>
      <c r="I7264">
        <f>E7264*G7246</f>
        <v>0</v>
      </c>
      <c r="J7264" s="68"/>
      <c r="K7264" s="56"/>
      <c r="L7264" s="56"/>
      <c r="M7264" s="56"/>
      <c r="N7264" s="56"/>
      <c r="O7264" s="56"/>
    </row>
    <row r="7265" spans="1:15">
      <c r="A7265" s="536" t="s">
        <v>8</v>
      </c>
      <c r="B7265" s="537" t="str">
        <f>VLOOKUP(A7265,'Materiales '!$C$2:$F$1302,3,0)</f>
        <v>-</v>
      </c>
      <c r="C7265" s="98" t="str">
        <f>VLOOKUP(A7265,'Materiales '!$C$2:$F$1302,3,0)</f>
        <v>-</v>
      </c>
      <c r="D7265" s="99">
        <f>VLOOKUP(A7265,'Materiales '!$C$2:$F$1302,4,0)</f>
        <v>0</v>
      </c>
      <c r="E7265" s="100"/>
      <c r="F7265" s="538">
        <f t="shared" ref="F7265:F7268" si="425">E7265*D7265</f>
        <v>0</v>
      </c>
      <c r="G7265" s="539"/>
      <c r="H7265" s="121"/>
      <c r="I7265">
        <f>E7265*G7246</f>
        <v>0</v>
      </c>
      <c r="J7265" s="68"/>
      <c r="K7265" s="56"/>
      <c r="L7265" s="56"/>
      <c r="M7265" s="56"/>
      <c r="N7265" s="56"/>
      <c r="O7265" s="56"/>
    </row>
    <row r="7266" spans="1:15">
      <c r="A7266" s="536" t="s">
        <v>8</v>
      </c>
      <c r="B7266" s="537" t="str">
        <f>VLOOKUP(A7266,'Materiales '!$C$2:$F$1302,3,0)</f>
        <v>-</v>
      </c>
      <c r="C7266" s="98" t="str">
        <f>VLOOKUP(A7266,'Materiales '!$C$2:$F$1302,3,0)</f>
        <v>-</v>
      </c>
      <c r="D7266" s="99">
        <f>VLOOKUP(A7266,'Materiales '!$C$2:$F$1302,4,0)</f>
        <v>0</v>
      </c>
      <c r="E7266" s="100"/>
      <c r="F7266" s="538">
        <f t="shared" si="425"/>
        <v>0</v>
      </c>
      <c r="G7266" s="539"/>
      <c r="H7266" s="121"/>
      <c r="I7266">
        <f>E7266*G7246</f>
        <v>0</v>
      </c>
      <c r="J7266" s="68"/>
      <c r="K7266" s="56"/>
      <c r="L7266" s="56"/>
      <c r="M7266" s="56"/>
      <c r="N7266" s="56"/>
      <c r="O7266" s="56"/>
    </row>
    <row r="7267" spans="1:15">
      <c r="A7267" s="536" t="s">
        <v>8</v>
      </c>
      <c r="B7267" s="537" t="str">
        <f>VLOOKUP(A7267,'Materiales '!$C$2:$F$1302,3,0)</f>
        <v>-</v>
      </c>
      <c r="C7267" s="98" t="str">
        <f>VLOOKUP(A7267,'Materiales '!$C$2:$F$1302,3,0)</f>
        <v>-</v>
      </c>
      <c r="D7267" s="99">
        <f>VLOOKUP(A7267,'Materiales '!$C$2:$F$1302,4,0)</f>
        <v>0</v>
      </c>
      <c r="E7267" s="100"/>
      <c r="F7267" s="538">
        <f t="shared" si="425"/>
        <v>0</v>
      </c>
      <c r="G7267" s="539"/>
      <c r="H7267" s="121"/>
      <c r="I7267">
        <f>E7267*G7246</f>
        <v>0</v>
      </c>
      <c r="J7267" s="68"/>
      <c r="K7267" s="56"/>
      <c r="L7267" s="56"/>
      <c r="M7267" s="56"/>
      <c r="N7267" s="56"/>
      <c r="O7267" s="56"/>
    </row>
    <row r="7268" spans="1:15">
      <c r="A7268" s="536" t="s">
        <v>8</v>
      </c>
      <c r="B7268" s="537" t="str">
        <f>VLOOKUP(A7268,'Materiales '!$C$2:$F$1302,3,0)</f>
        <v>-</v>
      </c>
      <c r="C7268" s="98" t="str">
        <f>VLOOKUP(A7268,'Materiales '!$C$2:$F$1302,3,0)</f>
        <v>-</v>
      </c>
      <c r="D7268" s="99">
        <f>VLOOKUP(A7268,'Materiales '!$C$2:$F$1302,4,0)</f>
        <v>0</v>
      </c>
      <c r="E7268" s="100"/>
      <c r="F7268" s="538">
        <f t="shared" si="425"/>
        <v>0</v>
      </c>
      <c r="G7268" s="539"/>
      <c r="H7268" s="121"/>
      <c r="I7268">
        <f>E7268*G7246</f>
        <v>0</v>
      </c>
      <c r="J7268" s="68"/>
      <c r="K7268" s="56"/>
      <c r="L7268" s="56"/>
      <c r="M7268" s="56"/>
      <c r="N7268" s="56"/>
      <c r="O7268" s="56"/>
    </row>
    <row r="7269" spans="1:15">
      <c r="A7269" s="536" t="s">
        <v>8</v>
      </c>
      <c r="B7269" s="537" t="str">
        <f>VLOOKUP(A7269,'Materiales '!$C$2:$F$1302,3,0)</f>
        <v>-</v>
      </c>
      <c r="C7269" s="98" t="str">
        <f>VLOOKUP(A7269,'Materiales '!$C$2:$F$1302,3,0)</f>
        <v>-</v>
      </c>
      <c r="D7269" s="99">
        <f>VLOOKUP(A7269,'Materiales '!$C$2:$F$1302,4,0)</f>
        <v>0</v>
      </c>
      <c r="E7269" s="100"/>
      <c r="F7269" s="538">
        <f>E7269*D7269</f>
        <v>0</v>
      </c>
      <c r="G7269" s="539"/>
      <c r="H7269" s="120"/>
      <c r="I7269">
        <f>E7269*G7246</f>
        <v>0</v>
      </c>
      <c r="J7269" s="68"/>
      <c r="K7269" s="56"/>
      <c r="L7269" s="56"/>
      <c r="M7269" s="56"/>
      <c r="N7269" s="56"/>
      <c r="O7269" s="56"/>
    </row>
    <row r="7270" spans="1:15" ht="16.5">
      <c r="A7270" s="540" t="s">
        <v>4099</v>
      </c>
      <c r="B7270" s="541"/>
      <c r="C7270" s="541"/>
      <c r="D7270" s="541"/>
      <c r="E7270" s="541"/>
      <c r="F7270" s="541"/>
      <c r="G7270" s="542"/>
      <c r="H7270" s="116">
        <f>SUM(F7256:F7269)</f>
        <v>4426.8</v>
      </c>
      <c r="J7270" s="68"/>
      <c r="K7270" s="56"/>
      <c r="L7270" s="56"/>
      <c r="M7270" s="56"/>
      <c r="N7270" s="56"/>
      <c r="O7270" s="56"/>
    </row>
    <row r="7271" spans="1:15" ht="16.5">
      <c r="A7271" s="543" t="s">
        <v>4231</v>
      </c>
      <c r="B7271" s="544"/>
      <c r="C7271" s="544"/>
      <c r="D7271" s="544"/>
      <c r="E7271" s="545"/>
      <c r="F7271" s="544"/>
      <c r="G7271" s="544"/>
      <c r="H7271" s="546"/>
      <c r="J7271" s="68"/>
      <c r="K7271" s="56"/>
      <c r="L7271" s="56"/>
      <c r="M7271" s="56"/>
      <c r="N7271" s="56"/>
      <c r="O7271" s="56"/>
    </row>
    <row r="7272" spans="1:15">
      <c r="A7272" s="547" t="s">
        <v>7</v>
      </c>
      <c r="B7272" s="548"/>
      <c r="C7272" s="108" t="s">
        <v>4232</v>
      </c>
      <c r="D7272" s="107" t="s">
        <v>4233</v>
      </c>
      <c r="E7272" s="206" t="s">
        <v>4234</v>
      </c>
      <c r="F7272" s="549" t="s">
        <v>4218</v>
      </c>
      <c r="G7272" s="549"/>
      <c r="H7272" s="119"/>
      <c r="K7272" s="56"/>
      <c r="L7272" s="56"/>
      <c r="M7272" s="56"/>
      <c r="N7272" s="56"/>
      <c r="O7272" s="56"/>
    </row>
    <row r="7273" spans="1:15">
      <c r="A7273" s="550" t="s">
        <v>3928</v>
      </c>
      <c r="B7273" s="551"/>
      <c r="C7273" s="232">
        <v>1</v>
      </c>
      <c r="D7273" s="102">
        <v>5.0000000000000001E-3</v>
      </c>
      <c r="E7273" s="103">
        <f>VLOOKUP(A7273,'Equip, Herr y Transp'!$B$2:$D$218,3,0)</f>
        <v>160000</v>
      </c>
      <c r="F7273" s="552">
        <f>E7273*D7273*C7273</f>
        <v>800</v>
      </c>
      <c r="G7273" s="553"/>
      <c r="H7273" s="117"/>
      <c r="M7273" s="56"/>
    </row>
    <row r="7274" spans="1:15" ht="16.5">
      <c r="A7274" s="554" t="s">
        <v>4216</v>
      </c>
      <c r="B7274" s="555"/>
      <c r="C7274" s="555"/>
      <c r="D7274" s="555"/>
      <c r="E7274" s="555"/>
      <c r="F7274" s="555"/>
      <c r="G7274" s="555"/>
      <c r="H7274" s="105">
        <f>F7273</f>
        <v>800</v>
      </c>
    </row>
    <row r="7275" spans="1:15" ht="16.5">
      <c r="A7275" s="543" t="s">
        <v>4235</v>
      </c>
      <c r="B7275" s="544"/>
      <c r="C7275" s="544"/>
      <c r="D7275" s="544"/>
      <c r="E7275" s="544"/>
      <c r="F7275" s="544"/>
      <c r="G7275" s="544"/>
      <c r="H7275" s="546"/>
    </row>
    <row r="7276" spans="1:15">
      <c r="A7276" s="547" t="s">
        <v>7</v>
      </c>
      <c r="B7276" s="548"/>
      <c r="C7276" s="106" t="s">
        <v>1</v>
      </c>
      <c r="D7276" s="107" t="s">
        <v>4236</v>
      </c>
      <c r="E7276" s="108" t="s">
        <v>4215</v>
      </c>
      <c r="F7276" s="547" t="s">
        <v>5</v>
      </c>
      <c r="G7276" s="556"/>
      <c r="H7276" s="119"/>
    </row>
    <row r="7277" spans="1:15">
      <c r="A7277" s="550" t="s">
        <v>4196</v>
      </c>
      <c r="B7277" s="551"/>
      <c r="C7277" s="101">
        <v>1</v>
      </c>
      <c r="D7277" s="104">
        <f>VLOOKUP(A7277,'Mano Obra'!$B$2:$T$117,19,0)</f>
        <v>166624</v>
      </c>
      <c r="E7277" s="246">
        <f>H7239</f>
        <v>8.3000000000000001E-3</v>
      </c>
      <c r="F7277" s="538">
        <f>E7277*D7277*C7277</f>
        <v>1382.9792</v>
      </c>
      <c r="G7277" s="557"/>
      <c r="H7277" s="121"/>
      <c r="I7277" s="69"/>
      <c r="J7277" s="136">
        <f>((('Mano Obra'!$M$4/30)*F7277)/D7277)*G7246</f>
        <v>0</v>
      </c>
    </row>
    <row r="7278" spans="1:15">
      <c r="A7278" s="558" t="s">
        <v>4197</v>
      </c>
      <c r="B7278" s="559">
        <f>VLOOKUP(A7278,'Mano Obra'!$B$3:$D$290,2,0)</f>
        <v>2090000.0000000002</v>
      </c>
      <c r="C7278" s="101">
        <v>1</v>
      </c>
      <c r="D7278" s="104">
        <f>VLOOKUP(A7278,'Mano Obra'!$B$2:$T$117,19,0)</f>
        <v>120456</v>
      </c>
      <c r="E7278" s="246">
        <f>H7239</f>
        <v>8.3000000000000001E-3</v>
      </c>
      <c r="F7278" s="538">
        <f t="shared" ref="F7278:F7279" si="426">E7278*D7278*C7278</f>
        <v>999.78480000000002</v>
      </c>
      <c r="G7278" s="557"/>
      <c r="H7278" s="121"/>
      <c r="J7278" s="136">
        <f>((('Mano Obra'!$M$5/30)*F7278)/D7278)*G7246</f>
        <v>0</v>
      </c>
    </row>
    <row r="7279" spans="1:15">
      <c r="A7279" s="558" t="s">
        <v>4186</v>
      </c>
      <c r="B7279" s="559">
        <f>VLOOKUP(A7279,'Mano Obra'!$B$3:$D$290,2,0)</f>
        <v>1100000</v>
      </c>
      <c r="C7279" s="101">
        <v>1</v>
      </c>
      <c r="D7279" s="104">
        <f>VLOOKUP(A7279,'Mano Obra'!$B$2:$T$117,19,0)</f>
        <v>72664</v>
      </c>
      <c r="E7279" s="246">
        <f>H7239</f>
        <v>8.3000000000000001E-3</v>
      </c>
      <c r="F7279" s="538">
        <f t="shared" si="426"/>
        <v>603.11120000000005</v>
      </c>
      <c r="G7279" s="557"/>
      <c r="H7279" s="120"/>
      <c r="J7279" s="136">
        <f>((('Mano Obra'!$M$6/30)*F7279)/D7279)*G7246</f>
        <v>0</v>
      </c>
    </row>
    <row r="7280" spans="1:15" ht="16.5">
      <c r="A7280" s="560" t="s">
        <v>4101</v>
      </c>
      <c r="B7280" s="560"/>
      <c r="C7280" s="560"/>
      <c r="D7280" s="560"/>
      <c r="E7280" s="560"/>
      <c r="F7280" s="560"/>
      <c r="G7280" s="560"/>
      <c r="H7280" s="105">
        <f>SUM(F7277:F7279)</f>
        <v>2985.8752000000004</v>
      </c>
      <c r="J7280" s="136"/>
    </row>
    <row r="7281" spans="1:14">
      <c r="A7281" s="227" t="s">
        <v>4237</v>
      </c>
      <c r="B7281" s="205"/>
      <c r="C7281" s="205"/>
      <c r="D7281" s="202"/>
      <c r="E7281" s="203"/>
      <c r="F7281" s="204"/>
      <c r="G7281" s="203"/>
      <c r="H7281" s="212"/>
    </row>
    <row r="7282" spans="1:14">
      <c r="A7282" s="561" t="s">
        <v>4224</v>
      </c>
      <c r="B7282" s="562"/>
      <c r="C7282" s="562"/>
      <c r="D7282" s="562"/>
      <c r="E7282" s="200"/>
      <c r="F7282" s="201" t="s">
        <v>4238</v>
      </c>
      <c r="G7282" s="200" t="s">
        <v>4239</v>
      </c>
      <c r="H7282" s="213"/>
    </row>
    <row r="7283" spans="1:14">
      <c r="A7283" s="223" t="s">
        <v>4097</v>
      </c>
      <c r="B7283" s="72"/>
      <c r="C7283" s="72"/>
      <c r="D7283" s="73"/>
      <c r="E7283" s="78"/>
      <c r="F7283" s="79">
        <v>0</v>
      </c>
      <c r="G7283" s="80">
        <f>F7283*H7247</f>
        <v>0</v>
      </c>
      <c r="H7283" s="212"/>
    </row>
    <row r="7284" spans="1:14">
      <c r="A7284" s="224" t="s">
        <v>4240</v>
      </c>
      <c r="B7284" s="81"/>
      <c r="C7284" s="81"/>
      <c r="D7284" s="82"/>
      <c r="E7284" s="78"/>
      <c r="F7284" s="79">
        <v>0</v>
      </c>
      <c r="G7284" s="80">
        <f>F7284*H7247</f>
        <v>0</v>
      </c>
      <c r="H7284" s="212"/>
    </row>
    <row r="7285" spans="1:14">
      <c r="A7285" s="224" t="s">
        <v>4</v>
      </c>
      <c r="B7285" s="81"/>
      <c r="C7285" s="81"/>
      <c r="D7285" s="82"/>
      <c r="E7285" s="78"/>
      <c r="F7285" s="79">
        <v>0</v>
      </c>
      <c r="G7285" s="80">
        <f>F7285*H7247</f>
        <v>0</v>
      </c>
      <c r="H7285" s="212"/>
    </row>
    <row r="7286" spans="1:14">
      <c r="A7286" s="225"/>
      <c r="B7286" s="83"/>
      <c r="C7286" s="75"/>
      <c r="D7286" s="84"/>
      <c r="E7286" s="85"/>
      <c r="F7286" s="86"/>
      <c r="G7286" s="87"/>
      <c r="H7286" s="214"/>
    </row>
    <row r="7287" spans="1:14">
      <c r="A7287" s="226"/>
      <c r="B7287" s="83"/>
      <c r="C7287" s="83"/>
      <c r="D7287" s="84"/>
      <c r="E7287" s="88"/>
      <c r="F7287" s="563" t="s">
        <v>4241</v>
      </c>
      <c r="G7287" s="564"/>
      <c r="H7287" s="233">
        <f>H7247+G7283+G7284+G7285</f>
        <v>8551.3359500000006</v>
      </c>
    </row>
    <row r="7289" spans="1:14" ht="16.5">
      <c r="A7289" s="90"/>
      <c r="B7289" s="90"/>
      <c r="C7289" s="90"/>
      <c r="D7289" s="90"/>
      <c r="E7289" s="90"/>
      <c r="F7289" s="90"/>
      <c r="G7289" s="90"/>
      <c r="H7289" s="381"/>
    </row>
    <row r="7290" spans="1:14">
      <c r="A7290" s="579" t="s">
        <v>4225</v>
      </c>
      <c r="B7290" s="580"/>
      <c r="C7290" s="580"/>
      <c r="D7290" s="580"/>
      <c r="E7290" s="580"/>
      <c r="F7290" s="580"/>
      <c r="G7290" s="580"/>
      <c r="H7290" s="581"/>
    </row>
    <row r="7291" spans="1:14" ht="16.5">
      <c r="A7291" s="91"/>
      <c r="B7291" s="92"/>
      <c r="C7291" s="92"/>
      <c r="D7291" s="92"/>
      <c r="E7291" s="92"/>
      <c r="F7291" s="93"/>
      <c r="G7291" s="94"/>
      <c r="H7291" s="380">
        <f>ROUND((5/60)/8,4)</f>
        <v>1.04E-2</v>
      </c>
      <c r="I7291" s="115"/>
    </row>
    <row r="7292" spans="1:14">
      <c r="A7292" s="582" t="s">
        <v>4220</v>
      </c>
      <c r="B7292" s="584" t="str">
        <f>COSTOS!$C$14</f>
        <v>MODERNIZACION A TECNOLOGIA LED</v>
      </c>
      <c r="C7292" s="584"/>
      <c r="D7292" s="584"/>
      <c r="E7292" s="584"/>
      <c r="F7292" s="584"/>
      <c r="G7292" s="584"/>
      <c r="H7292" s="585" t="s">
        <v>4221</v>
      </c>
    </row>
    <row r="7293" spans="1:14">
      <c r="A7293" s="583"/>
      <c r="B7293" s="584"/>
      <c r="C7293" s="584"/>
      <c r="D7293" s="584"/>
      <c r="E7293" s="584"/>
      <c r="F7293" s="584"/>
      <c r="G7293" s="584"/>
      <c r="H7293" s="585"/>
    </row>
    <row r="7294" spans="1:14">
      <c r="A7294" s="583"/>
      <c r="B7294" s="584"/>
      <c r="C7294" s="584"/>
      <c r="D7294" s="584"/>
      <c r="E7294" s="584"/>
      <c r="F7294" s="584"/>
      <c r="G7294" s="584"/>
      <c r="H7294" s="585"/>
    </row>
    <row r="7295" spans="1:14" ht="15" customHeight="1">
      <c r="A7295" s="583"/>
      <c r="B7295" s="584"/>
      <c r="C7295" s="584"/>
      <c r="D7295" s="584"/>
      <c r="E7295" s="584"/>
      <c r="F7295" s="584"/>
      <c r="G7295" s="584"/>
      <c r="H7295" s="216">
        <f ca="1">TODAY()</f>
        <v>44889</v>
      </c>
      <c r="K7295" t="s">
        <v>4391</v>
      </c>
      <c r="L7295" t="s">
        <v>4392</v>
      </c>
      <c r="M7295" t="s">
        <v>4393</v>
      </c>
      <c r="N7295" t="s">
        <v>4394</v>
      </c>
    </row>
    <row r="7296" spans="1:14" ht="60.75" customHeight="1">
      <c r="A7296" s="228" t="s">
        <v>4222</v>
      </c>
      <c r="B7296" s="565" t="str">
        <f>COSTOS!$D$16</f>
        <v>Luminarias</v>
      </c>
      <c r="C7296" s="565"/>
      <c r="D7296" s="565"/>
      <c r="E7296" s="565"/>
      <c r="F7296" s="565"/>
      <c r="G7296" s="70" t="s">
        <v>4223</v>
      </c>
      <c r="H7296" s="391" t="s">
        <v>4808</v>
      </c>
      <c r="K7296" s="62">
        <f>H7322</f>
        <v>3073.056</v>
      </c>
      <c r="L7296" s="62">
        <f>H7332</f>
        <v>3741.3375999999998</v>
      </c>
      <c r="M7296" s="62">
        <f>H7305</f>
        <v>424.346</v>
      </c>
      <c r="N7296" s="62">
        <f>H7326</f>
        <v>800</v>
      </c>
    </row>
    <row r="7297" spans="1:15" ht="43.15" customHeight="1">
      <c r="A7297" s="229" t="s">
        <v>4224</v>
      </c>
      <c r="B7297" s="566" t="str">
        <f>VLOOKUP(H7296,COSTOS!C:M,2,0)</f>
        <v>Red Aerea en cable cobre 12 x500m</v>
      </c>
      <c r="C7297" s="567"/>
      <c r="D7297" s="567"/>
      <c r="E7297" s="568"/>
      <c r="F7297" s="71" t="s">
        <v>0</v>
      </c>
      <c r="G7297" s="356" t="str">
        <f>VLOOKUP(H7296,COSTOS!C:M,8,0)</f>
        <v>Und</v>
      </c>
      <c r="H7297" s="276"/>
      <c r="I7297" s="306"/>
      <c r="J7297" s="308"/>
      <c r="K7297" s="308"/>
      <c r="L7297" s="308"/>
    </row>
    <row r="7298" spans="1:15">
      <c r="A7298" s="230"/>
      <c r="B7298" s="112"/>
      <c r="C7298" s="112"/>
      <c r="D7298" s="112"/>
      <c r="E7298" s="113"/>
      <c r="F7298" s="114" t="s">
        <v>1</v>
      </c>
      <c r="G7298" s="356">
        <f>VLOOKUP(H7296,COSTOS!C:M,9,0)</f>
        <v>0</v>
      </c>
      <c r="H7298" s="357"/>
      <c r="I7298" s="307"/>
    </row>
    <row r="7299" spans="1:15" ht="16.5">
      <c r="A7299" s="231" t="s">
        <v>4226</v>
      </c>
      <c r="B7299" s="75"/>
      <c r="C7299" s="75"/>
      <c r="D7299" s="76"/>
      <c r="E7299" s="209"/>
      <c r="F7299" s="210"/>
      <c r="G7299" s="211" t="s">
        <v>4227</v>
      </c>
      <c r="H7299" s="217">
        <f>H7305+H7322+H7326+H7332</f>
        <v>8038.7395999999999</v>
      </c>
    </row>
    <row r="7300" spans="1:15" ht="39">
      <c r="A7300" s="569" t="s">
        <v>4224</v>
      </c>
      <c r="B7300" s="569"/>
      <c r="C7300" s="569"/>
      <c r="D7300" s="77" t="s">
        <v>0</v>
      </c>
      <c r="E7300" s="207" t="s">
        <v>4228</v>
      </c>
      <c r="F7300" s="208" t="s">
        <v>4215</v>
      </c>
      <c r="G7300" s="74" t="s">
        <v>2</v>
      </c>
      <c r="H7300" s="218" t="s">
        <v>4229</v>
      </c>
      <c r="K7300" s="309"/>
    </row>
    <row r="7301" spans="1:15">
      <c r="A7301" s="536" t="s">
        <v>3946</v>
      </c>
      <c r="B7301" s="570" t="str">
        <f>VLOOKUP(A7301,'Equip, Herr y Transp'!$B$2:$D$739,2,0)</f>
        <v>EQU</v>
      </c>
      <c r="C7301" s="570"/>
      <c r="D7301" s="95" t="str">
        <f>VLOOKUP(A7301,'Equip, Herr y Transp'!$B$2:$D$218,2,0)</f>
        <v>EQU</v>
      </c>
      <c r="E7301" s="95">
        <f>VLOOKUP(A7301,'Equip, Herr y Transp'!$B$2:$D$218,3,0)</f>
        <v>14130</v>
      </c>
      <c r="F7301" s="96">
        <f>H7291</f>
        <v>1.04E-2</v>
      </c>
      <c r="G7301" s="122">
        <f>F7301*E7301</f>
        <v>146.952</v>
      </c>
      <c r="H7301" s="118"/>
    </row>
    <row r="7302" spans="1:15">
      <c r="A7302" s="536" t="s">
        <v>3904</v>
      </c>
      <c r="B7302" s="570" t="str">
        <f>VLOOKUP(A7302,'Equip, Herr y Transp'!$B$2:$D$739,2,0)</f>
        <v>EQU</v>
      </c>
      <c r="C7302" s="570"/>
      <c r="D7302" s="95" t="str">
        <f>VLOOKUP(A7302,'Equip, Herr y Transp'!$B$2:$D$218,2,0)</f>
        <v>EQU</v>
      </c>
      <c r="E7302" s="95">
        <f>VLOOKUP(A7302,'Equip, Herr y Transp'!$B$2:$D$218,3,0)</f>
        <v>26672.5</v>
      </c>
      <c r="F7302" s="96">
        <f>H7291</f>
        <v>1.04E-2</v>
      </c>
      <c r="G7302" s="122">
        <f>F7302*E7302</f>
        <v>277.39400000000001</v>
      </c>
      <c r="H7302" s="117"/>
    </row>
    <row r="7303" spans="1:15">
      <c r="A7303" s="536" t="s">
        <v>8</v>
      </c>
      <c r="B7303" s="570">
        <f>VLOOKUP(A7303,'Equip, Herr y Transp'!$B$2:$D$739,2,0)</f>
        <v>0</v>
      </c>
      <c r="C7303" s="570"/>
      <c r="D7303" s="95">
        <f>VLOOKUP(A7303,'Equip, Herr y Transp'!$B$2:$D$218,2,0)</f>
        <v>0</v>
      </c>
      <c r="E7303" s="95">
        <f>VLOOKUP(A7303,'Equip, Herr y Transp'!$B$2:$D$218,3,0)</f>
        <v>0</v>
      </c>
      <c r="F7303" s="96">
        <f>H7291</f>
        <v>1.04E-2</v>
      </c>
      <c r="G7303" s="122">
        <f>F7303*E7303</f>
        <v>0</v>
      </c>
      <c r="H7303" s="117"/>
    </row>
    <row r="7304" spans="1:15">
      <c r="A7304" s="536" t="s">
        <v>8</v>
      </c>
      <c r="B7304" s="570">
        <f>VLOOKUP(A7304,'Equip, Herr y Transp'!$B$2:$D$739,2,0)</f>
        <v>0</v>
      </c>
      <c r="C7304" s="570"/>
      <c r="D7304" s="95">
        <f>VLOOKUP(A7304,'Equip, Herr y Transp'!$B$2:$D$218,2,0)</f>
        <v>0</v>
      </c>
      <c r="E7304" s="95">
        <f>VLOOKUP(A7304,'Equip, Herr y Transp'!$B$2:$D$218,3,0)</f>
        <v>0</v>
      </c>
      <c r="F7304" s="96">
        <f>H7291</f>
        <v>1.04E-2</v>
      </c>
      <c r="G7304" s="122">
        <f>F7304*E7304</f>
        <v>0</v>
      </c>
      <c r="H7304" s="117"/>
    </row>
    <row r="7305" spans="1:15" ht="16.5">
      <c r="A7305" s="540" t="s">
        <v>4100</v>
      </c>
      <c r="B7305" s="541"/>
      <c r="C7305" s="541"/>
      <c r="D7305" s="541"/>
      <c r="E7305" s="541"/>
      <c r="F7305" s="541"/>
      <c r="G7305" s="541"/>
      <c r="H7305" s="97">
        <f>SUM(G7301:G7304)</f>
        <v>424.346</v>
      </c>
    </row>
    <row r="7306" spans="1:15" ht="16.5">
      <c r="A7306" s="571" t="s">
        <v>4230</v>
      </c>
      <c r="B7306" s="572"/>
      <c r="C7306" s="572"/>
      <c r="D7306" s="572"/>
      <c r="E7306" s="572"/>
      <c r="F7306" s="572"/>
      <c r="G7306" s="572"/>
      <c r="H7306" s="573"/>
      <c r="K7306" s="56"/>
      <c r="L7306" s="56"/>
      <c r="M7306" s="56"/>
      <c r="N7306" s="56"/>
      <c r="O7306" s="56"/>
    </row>
    <row r="7307" spans="1:15" ht="30" customHeight="1">
      <c r="A7307" s="574" t="s">
        <v>7</v>
      </c>
      <c r="B7307" s="575"/>
      <c r="C7307" s="109" t="s">
        <v>0</v>
      </c>
      <c r="D7307" s="110" t="s">
        <v>4098</v>
      </c>
      <c r="E7307" s="111" t="s">
        <v>1</v>
      </c>
      <c r="F7307" s="576" t="s">
        <v>4218</v>
      </c>
      <c r="G7307" s="576"/>
      <c r="H7307" s="215"/>
      <c r="K7307" s="56"/>
      <c r="L7307" s="56"/>
      <c r="M7307" s="56"/>
      <c r="N7307" s="56"/>
      <c r="O7307" s="56"/>
    </row>
    <row r="7308" spans="1:15">
      <c r="A7308" s="577" t="s">
        <v>4649</v>
      </c>
      <c r="B7308" s="578"/>
      <c r="C7308" s="98" t="str">
        <f>VLOOKUP(A7308,'Materiales '!$C$2:$F$1302,3,0)</f>
        <v>Ml</v>
      </c>
      <c r="D7308" s="99">
        <f>VLOOKUP(A7308,'Materiales '!$C$2:$F$1302,4,0)</f>
        <v>3073.056</v>
      </c>
      <c r="E7308" s="100">
        <v>1</v>
      </c>
      <c r="F7308" s="538">
        <f>E7308*D7308</f>
        <v>3073.056</v>
      </c>
      <c r="G7308" s="539"/>
      <c r="H7308" s="121"/>
      <c r="I7308">
        <f>E7308*G7298</f>
        <v>0</v>
      </c>
      <c r="J7308" s="67"/>
      <c r="K7308" s="56"/>
      <c r="L7308" s="56"/>
      <c r="M7308" s="56"/>
      <c r="N7308" s="56"/>
      <c r="O7308" s="56"/>
    </row>
    <row r="7309" spans="1:15">
      <c r="A7309" s="577" t="s">
        <v>8</v>
      </c>
      <c r="B7309" s="578"/>
      <c r="C7309" s="98" t="str">
        <f>VLOOKUP(A7309,'Materiales '!$C$2:$F$1302,3,0)</f>
        <v>-</v>
      </c>
      <c r="D7309" s="99">
        <f>VLOOKUP(A7309,'Materiales '!$C$2:$F$1302,4,0)</f>
        <v>0</v>
      </c>
      <c r="E7309" s="100">
        <f>3/25</f>
        <v>0.12</v>
      </c>
      <c r="F7309" s="538">
        <f t="shared" ref="F7309:F7315" si="427">E7309*D7309</f>
        <v>0</v>
      </c>
      <c r="G7309" s="539"/>
      <c r="H7309" s="121"/>
      <c r="I7309">
        <f>E7309*G7298</f>
        <v>0</v>
      </c>
      <c r="J7309" s="67"/>
      <c r="K7309" s="56"/>
      <c r="L7309" s="56"/>
      <c r="M7309" s="56"/>
      <c r="N7309" s="56"/>
      <c r="O7309" s="56"/>
    </row>
    <row r="7310" spans="1:15">
      <c r="A7310" s="536" t="s">
        <v>8</v>
      </c>
      <c r="B7310" s="537" t="str">
        <f>VLOOKUP(A7310,'Materiales '!$C$2:$F$1302,3,0)</f>
        <v>-</v>
      </c>
      <c r="C7310" s="98" t="str">
        <f>VLOOKUP(A7310,'Materiales '!$C$2:$F$1302,3,0)</f>
        <v>-</v>
      </c>
      <c r="D7310" s="99">
        <f>VLOOKUP(A7310,'Materiales '!$C$2:$F$1302,4,0)</f>
        <v>0</v>
      </c>
      <c r="E7310" s="100">
        <f>3/25</f>
        <v>0.12</v>
      </c>
      <c r="F7310" s="538">
        <f t="shared" si="427"/>
        <v>0</v>
      </c>
      <c r="G7310" s="539"/>
      <c r="H7310" s="121"/>
      <c r="I7310">
        <f>E7310*G7298</f>
        <v>0</v>
      </c>
      <c r="J7310" s="68"/>
      <c r="K7310" s="56"/>
      <c r="L7310" s="56"/>
      <c r="M7310" s="56"/>
      <c r="N7310" s="56"/>
      <c r="O7310" s="56"/>
    </row>
    <row r="7311" spans="1:15">
      <c r="A7311" s="536" t="s">
        <v>8</v>
      </c>
      <c r="B7311" s="537" t="str">
        <f>VLOOKUP(A7311,'Materiales '!$C$2:$F$1302,3,0)</f>
        <v>-</v>
      </c>
      <c r="C7311" s="98" t="str">
        <f>VLOOKUP(A7311,'Materiales '!$C$2:$F$1302,3,0)</f>
        <v>-</v>
      </c>
      <c r="D7311" s="99">
        <f>VLOOKUP(A7311,'Materiales '!$C$2:$F$1302,4,0)</f>
        <v>0</v>
      </c>
      <c r="E7311" s="100"/>
      <c r="F7311" s="538">
        <f t="shared" si="427"/>
        <v>0</v>
      </c>
      <c r="G7311" s="539"/>
      <c r="H7311" s="121"/>
      <c r="I7311">
        <f>E7311*G7298</f>
        <v>0</v>
      </c>
      <c r="J7311" s="68"/>
      <c r="K7311" s="56"/>
      <c r="L7311" s="56"/>
      <c r="M7311" s="56"/>
      <c r="N7311" s="56"/>
      <c r="O7311" s="56"/>
    </row>
    <row r="7312" spans="1:15">
      <c r="A7312" s="536" t="s">
        <v>8</v>
      </c>
      <c r="B7312" s="537" t="str">
        <f>VLOOKUP(A7312,'Materiales '!$C$2:$F$1302,3,0)</f>
        <v>-</v>
      </c>
      <c r="C7312" s="98" t="str">
        <f>VLOOKUP(A7312,'Materiales '!$C$2:$F$1302,3,0)</f>
        <v>-</v>
      </c>
      <c r="D7312" s="99">
        <f>VLOOKUP(A7312,'Materiales '!$C$2:$F$1302,4,0)</f>
        <v>0</v>
      </c>
      <c r="E7312" s="100"/>
      <c r="F7312" s="538">
        <f t="shared" si="427"/>
        <v>0</v>
      </c>
      <c r="G7312" s="539"/>
      <c r="H7312" s="121"/>
      <c r="I7312">
        <f>E7312*G7298</f>
        <v>0</v>
      </c>
      <c r="J7312" s="68"/>
      <c r="K7312" s="56"/>
      <c r="L7312" s="56"/>
      <c r="M7312" s="56"/>
      <c r="N7312" s="56"/>
      <c r="O7312" s="56"/>
    </row>
    <row r="7313" spans="1:15">
      <c r="A7313" s="536" t="s">
        <v>8</v>
      </c>
      <c r="B7313" s="537" t="str">
        <f>VLOOKUP(A7313,'Materiales '!$C$2:$F$1302,3,0)</f>
        <v>-</v>
      </c>
      <c r="C7313" s="98" t="str">
        <f>VLOOKUP(A7313,'Materiales '!$C$2:$F$1302,3,0)</f>
        <v>-</v>
      </c>
      <c r="D7313" s="99">
        <f>VLOOKUP(A7313,'Materiales '!$C$2:$F$1302,4,0)</f>
        <v>0</v>
      </c>
      <c r="E7313" s="100"/>
      <c r="F7313" s="538">
        <f t="shared" si="427"/>
        <v>0</v>
      </c>
      <c r="G7313" s="539"/>
      <c r="H7313" s="121"/>
      <c r="I7313">
        <f>E7313*G7298</f>
        <v>0</v>
      </c>
      <c r="J7313" s="68"/>
      <c r="K7313" s="56"/>
      <c r="L7313" s="56"/>
      <c r="M7313" s="56"/>
      <c r="N7313" s="56"/>
      <c r="O7313" s="56"/>
    </row>
    <row r="7314" spans="1:15">
      <c r="A7314" s="536" t="s">
        <v>8</v>
      </c>
      <c r="B7314" s="537" t="str">
        <f>VLOOKUP(A7314,'Materiales '!$C$2:$F$1302,3,0)</f>
        <v>-</v>
      </c>
      <c r="C7314" s="98" t="str">
        <f>VLOOKUP(A7314,'Materiales '!$C$2:$F$1302,3,0)</f>
        <v>-</v>
      </c>
      <c r="D7314" s="99">
        <f>VLOOKUP(A7314,'Materiales '!$C$2:$F$1302,4,0)</f>
        <v>0</v>
      </c>
      <c r="E7314" s="100"/>
      <c r="F7314" s="538">
        <f t="shared" si="427"/>
        <v>0</v>
      </c>
      <c r="G7314" s="539"/>
      <c r="H7314" s="121"/>
      <c r="I7314">
        <f>E7314*G7298</f>
        <v>0</v>
      </c>
      <c r="J7314" s="68"/>
      <c r="K7314" s="56"/>
      <c r="L7314" s="56"/>
      <c r="M7314" s="56"/>
      <c r="N7314" s="56"/>
      <c r="O7314" s="56"/>
    </row>
    <row r="7315" spans="1:15" ht="21.75" customHeight="1">
      <c r="A7315" s="536" t="s">
        <v>8</v>
      </c>
      <c r="B7315" s="537" t="str">
        <f>VLOOKUP(A7315,'Materiales '!$C$2:$F$1302,3,0)</f>
        <v>-</v>
      </c>
      <c r="C7315" s="98" t="str">
        <f>VLOOKUP(A7315,'Materiales '!$C$2:$F$1302,3,0)</f>
        <v>-</v>
      </c>
      <c r="D7315" s="99">
        <f>VLOOKUP(A7315,'Materiales '!$C$2:$F$1302,4,0)</f>
        <v>0</v>
      </c>
      <c r="E7315" s="100"/>
      <c r="F7315" s="538">
        <f t="shared" si="427"/>
        <v>0</v>
      </c>
      <c r="G7315" s="539"/>
      <c r="H7315" s="121"/>
      <c r="I7315">
        <f>E7315*G7298</f>
        <v>0</v>
      </c>
      <c r="J7315" s="68"/>
      <c r="K7315" s="56"/>
      <c r="L7315" s="56"/>
      <c r="M7315" s="56"/>
      <c r="N7315" s="56"/>
      <c r="O7315" s="56"/>
    </row>
    <row r="7316" spans="1:15">
      <c r="A7316" s="536" t="s">
        <v>8</v>
      </c>
      <c r="B7316" s="537" t="str">
        <f>VLOOKUP(A7316,'Materiales '!$C$2:$F$1302,3,0)</f>
        <v>-</v>
      </c>
      <c r="C7316" s="98" t="str">
        <f>VLOOKUP(A7316,'Materiales '!$C$2:$F$1302,3,0)</f>
        <v>-</v>
      </c>
      <c r="D7316" s="99">
        <f>VLOOKUP(A7316,'Materiales '!$C$2:$F$1302,4,0)</f>
        <v>0</v>
      </c>
      <c r="E7316" s="100"/>
      <c r="F7316" s="538">
        <f>E7316*D7316</f>
        <v>0</v>
      </c>
      <c r="G7316" s="539"/>
      <c r="H7316" s="120"/>
      <c r="I7316">
        <f>E7316*G7298</f>
        <v>0</v>
      </c>
      <c r="J7316" s="68"/>
      <c r="K7316" s="56"/>
      <c r="L7316" s="56"/>
      <c r="M7316" s="56"/>
      <c r="N7316" s="56"/>
      <c r="O7316" s="56"/>
    </row>
    <row r="7317" spans="1:15">
      <c r="A7317" s="536" t="s">
        <v>8</v>
      </c>
      <c r="B7317" s="537" t="str">
        <f>VLOOKUP(A7317,'Materiales '!$C$2:$F$1302,3,0)</f>
        <v>-</v>
      </c>
      <c r="C7317" s="98" t="str">
        <f>VLOOKUP(A7317,'Materiales '!$C$2:$F$1302,3,0)</f>
        <v>-</v>
      </c>
      <c r="D7317" s="99">
        <f>VLOOKUP(A7317,'Materiales '!$C$2:$F$1302,4,0)</f>
        <v>0</v>
      </c>
      <c r="E7317" s="100"/>
      <c r="F7317" s="538">
        <f t="shared" ref="F7317:F7320" si="428">E7317*D7317</f>
        <v>0</v>
      </c>
      <c r="G7317" s="539"/>
      <c r="H7317" s="121"/>
      <c r="I7317">
        <f>E7317*G7298</f>
        <v>0</v>
      </c>
      <c r="J7317" s="68"/>
      <c r="K7317" s="56"/>
      <c r="L7317" s="56"/>
      <c r="M7317" s="56"/>
      <c r="N7317" s="56"/>
      <c r="O7317" s="56"/>
    </row>
    <row r="7318" spans="1:15">
      <c r="A7318" s="536" t="s">
        <v>8</v>
      </c>
      <c r="B7318" s="537" t="str">
        <f>VLOOKUP(A7318,'Materiales '!$C$2:$F$1302,3,0)</f>
        <v>-</v>
      </c>
      <c r="C7318" s="98" t="str">
        <f>VLOOKUP(A7318,'Materiales '!$C$2:$F$1302,3,0)</f>
        <v>-</v>
      </c>
      <c r="D7318" s="99">
        <f>VLOOKUP(A7318,'Materiales '!$C$2:$F$1302,4,0)</f>
        <v>0</v>
      </c>
      <c r="E7318" s="100"/>
      <c r="F7318" s="538">
        <f t="shared" si="428"/>
        <v>0</v>
      </c>
      <c r="G7318" s="539"/>
      <c r="H7318" s="121"/>
      <c r="I7318">
        <f>E7318*G7298</f>
        <v>0</v>
      </c>
      <c r="J7318" s="68"/>
      <c r="K7318" s="56"/>
      <c r="L7318" s="56"/>
      <c r="M7318" s="56"/>
      <c r="N7318" s="56"/>
      <c r="O7318" s="56"/>
    </row>
    <row r="7319" spans="1:15">
      <c r="A7319" s="536" t="s">
        <v>8</v>
      </c>
      <c r="B7319" s="537" t="str">
        <f>VLOOKUP(A7319,'Materiales '!$C$2:$F$1302,3,0)</f>
        <v>-</v>
      </c>
      <c r="C7319" s="98" t="str">
        <f>VLOOKUP(A7319,'Materiales '!$C$2:$F$1302,3,0)</f>
        <v>-</v>
      </c>
      <c r="D7319" s="99">
        <f>VLOOKUP(A7319,'Materiales '!$C$2:$F$1302,4,0)</f>
        <v>0</v>
      </c>
      <c r="E7319" s="100"/>
      <c r="F7319" s="538">
        <f t="shared" si="428"/>
        <v>0</v>
      </c>
      <c r="G7319" s="539"/>
      <c r="H7319" s="121"/>
      <c r="I7319">
        <f>E7319*G7298</f>
        <v>0</v>
      </c>
      <c r="J7319" s="68"/>
      <c r="K7319" s="56"/>
      <c r="L7319" s="56"/>
      <c r="M7319" s="56"/>
      <c r="N7319" s="56"/>
      <c r="O7319" s="56"/>
    </row>
    <row r="7320" spans="1:15">
      <c r="A7320" s="536" t="s">
        <v>8</v>
      </c>
      <c r="B7320" s="537" t="str">
        <f>VLOOKUP(A7320,'Materiales '!$C$2:$F$1302,3,0)</f>
        <v>-</v>
      </c>
      <c r="C7320" s="98" t="str">
        <f>VLOOKUP(A7320,'Materiales '!$C$2:$F$1302,3,0)</f>
        <v>-</v>
      </c>
      <c r="D7320" s="99">
        <f>VLOOKUP(A7320,'Materiales '!$C$2:$F$1302,4,0)</f>
        <v>0</v>
      </c>
      <c r="E7320" s="100"/>
      <c r="F7320" s="538">
        <f t="shared" si="428"/>
        <v>0</v>
      </c>
      <c r="G7320" s="539"/>
      <c r="H7320" s="121"/>
      <c r="I7320">
        <f>E7320*G7298</f>
        <v>0</v>
      </c>
      <c r="J7320" s="68"/>
      <c r="K7320" s="56"/>
      <c r="L7320" s="56"/>
      <c r="M7320" s="56"/>
      <c r="N7320" s="56"/>
      <c r="O7320" s="56"/>
    </row>
    <row r="7321" spans="1:15">
      <c r="A7321" s="536" t="s">
        <v>8</v>
      </c>
      <c r="B7321" s="537" t="str">
        <f>VLOOKUP(A7321,'Materiales '!$C$2:$F$1302,3,0)</f>
        <v>-</v>
      </c>
      <c r="C7321" s="98" t="str">
        <f>VLOOKUP(A7321,'Materiales '!$C$2:$F$1302,3,0)</f>
        <v>-</v>
      </c>
      <c r="D7321" s="99">
        <f>VLOOKUP(A7321,'Materiales '!$C$2:$F$1302,4,0)</f>
        <v>0</v>
      </c>
      <c r="E7321" s="100"/>
      <c r="F7321" s="538">
        <f>E7321*D7321</f>
        <v>0</v>
      </c>
      <c r="G7321" s="539"/>
      <c r="H7321" s="120"/>
      <c r="I7321">
        <f>E7321*G7298</f>
        <v>0</v>
      </c>
      <c r="J7321" s="68"/>
      <c r="K7321" s="56"/>
      <c r="L7321" s="56"/>
      <c r="M7321" s="56"/>
      <c r="N7321" s="56"/>
      <c r="O7321" s="56"/>
    </row>
    <row r="7322" spans="1:15" ht="16.5">
      <c r="A7322" s="540" t="s">
        <v>4099</v>
      </c>
      <c r="B7322" s="541"/>
      <c r="C7322" s="541"/>
      <c r="D7322" s="541"/>
      <c r="E7322" s="541"/>
      <c r="F7322" s="541"/>
      <c r="G7322" s="542"/>
      <c r="H7322" s="116">
        <f>SUM(F7308:F7321)</f>
        <v>3073.056</v>
      </c>
      <c r="J7322" s="68"/>
      <c r="K7322" s="56"/>
      <c r="L7322" s="56"/>
      <c r="M7322" s="56"/>
      <c r="N7322" s="56"/>
      <c r="O7322" s="56"/>
    </row>
    <row r="7323" spans="1:15" ht="16.5">
      <c r="A7323" s="543" t="s">
        <v>4231</v>
      </c>
      <c r="B7323" s="544"/>
      <c r="C7323" s="544"/>
      <c r="D7323" s="544"/>
      <c r="E7323" s="545"/>
      <c r="F7323" s="544"/>
      <c r="G7323" s="544"/>
      <c r="H7323" s="546"/>
      <c r="J7323" s="68"/>
      <c r="K7323" s="56"/>
      <c r="L7323" s="56"/>
      <c r="M7323" s="56"/>
      <c r="N7323" s="56"/>
      <c r="O7323" s="56"/>
    </row>
    <row r="7324" spans="1:15">
      <c r="A7324" s="547" t="s">
        <v>7</v>
      </c>
      <c r="B7324" s="548"/>
      <c r="C7324" s="108" t="s">
        <v>4232</v>
      </c>
      <c r="D7324" s="107" t="s">
        <v>4233</v>
      </c>
      <c r="E7324" s="206" t="s">
        <v>4234</v>
      </c>
      <c r="F7324" s="549" t="s">
        <v>4218</v>
      </c>
      <c r="G7324" s="549"/>
      <c r="H7324" s="119"/>
      <c r="K7324" s="56"/>
      <c r="L7324" s="56"/>
      <c r="M7324" s="56"/>
      <c r="N7324" s="56"/>
      <c r="O7324" s="56"/>
    </row>
    <row r="7325" spans="1:15">
      <c r="A7325" s="550" t="s">
        <v>3928</v>
      </c>
      <c r="B7325" s="551"/>
      <c r="C7325" s="232">
        <v>1</v>
      </c>
      <c r="D7325" s="102">
        <v>5.0000000000000001E-3</v>
      </c>
      <c r="E7325" s="103">
        <f>VLOOKUP(A7325,'Equip, Herr y Transp'!$B$2:$D$218,3,0)</f>
        <v>160000</v>
      </c>
      <c r="F7325" s="552">
        <f>E7325*D7325*C7325</f>
        <v>800</v>
      </c>
      <c r="G7325" s="553"/>
      <c r="H7325" s="117"/>
      <c r="M7325" s="56"/>
    </row>
    <row r="7326" spans="1:15" ht="16.5">
      <c r="A7326" s="554" t="s">
        <v>4216</v>
      </c>
      <c r="B7326" s="555"/>
      <c r="C7326" s="555"/>
      <c r="D7326" s="555"/>
      <c r="E7326" s="555"/>
      <c r="F7326" s="555"/>
      <c r="G7326" s="555"/>
      <c r="H7326" s="105">
        <f>F7325</f>
        <v>800</v>
      </c>
    </row>
    <row r="7327" spans="1:15" ht="16.5">
      <c r="A7327" s="543" t="s">
        <v>4235</v>
      </c>
      <c r="B7327" s="544"/>
      <c r="C7327" s="544"/>
      <c r="D7327" s="544"/>
      <c r="E7327" s="544"/>
      <c r="F7327" s="544"/>
      <c r="G7327" s="544"/>
      <c r="H7327" s="546"/>
    </row>
    <row r="7328" spans="1:15">
      <c r="A7328" s="547" t="s">
        <v>7</v>
      </c>
      <c r="B7328" s="548"/>
      <c r="C7328" s="106" t="s">
        <v>1</v>
      </c>
      <c r="D7328" s="107" t="s">
        <v>4236</v>
      </c>
      <c r="E7328" s="108" t="s">
        <v>4215</v>
      </c>
      <c r="F7328" s="547" t="s">
        <v>5</v>
      </c>
      <c r="G7328" s="556"/>
      <c r="H7328" s="119"/>
    </row>
    <row r="7329" spans="1:10">
      <c r="A7329" s="550" t="s">
        <v>4196</v>
      </c>
      <c r="B7329" s="551"/>
      <c r="C7329" s="101">
        <v>1</v>
      </c>
      <c r="D7329" s="104">
        <f>VLOOKUP(A7329,'Mano Obra'!$B$2:$T$117,19,0)</f>
        <v>166624</v>
      </c>
      <c r="E7329" s="246">
        <f>H7291</f>
        <v>1.04E-2</v>
      </c>
      <c r="F7329" s="538">
        <f>E7329*D7329*C7329</f>
        <v>1732.8896</v>
      </c>
      <c r="G7329" s="557"/>
      <c r="H7329" s="121"/>
      <c r="I7329" s="69"/>
      <c r="J7329" s="136">
        <f>((('Mano Obra'!$M$4/30)*F7329)/D7329)*G7298</f>
        <v>0</v>
      </c>
    </row>
    <row r="7330" spans="1:10">
      <c r="A7330" s="558" t="s">
        <v>4197</v>
      </c>
      <c r="B7330" s="559">
        <f>VLOOKUP(A7330,'Mano Obra'!$B$3:$D$290,2,0)</f>
        <v>2090000.0000000002</v>
      </c>
      <c r="C7330" s="101">
        <v>1</v>
      </c>
      <c r="D7330" s="104">
        <f>VLOOKUP(A7330,'Mano Obra'!$B$2:$T$117,19,0)</f>
        <v>120456</v>
      </c>
      <c r="E7330" s="246">
        <f>H7291</f>
        <v>1.04E-2</v>
      </c>
      <c r="F7330" s="538">
        <f t="shared" ref="F7330:F7331" si="429">E7330*D7330*C7330</f>
        <v>1252.7423999999999</v>
      </c>
      <c r="G7330" s="557"/>
      <c r="H7330" s="121"/>
      <c r="J7330" s="136">
        <f>((('Mano Obra'!$M$5/30)*F7330)/D7330)*G7298</f>
        <v>0</v>
      </c>
    </row>
    <row r="7331" spans="1:10">
      <c r="A7331" s="558" t="s">
        <v>4186</v>
      </c>
      <c r="B7331" s="559">
        <f>VLOOKUP(A7331,'Mano Obra'!$B$3:$D$290,2,0)</f>
        <v>1100000</v>
      </c>
      <c r="C7331" s="101">
        <v>1</v>
      </c>
      <c r="D7331" s="104">
        <f>VLOOKUP(A7331,'Mano Obra'!$B$2:$T$117,19,0)</f>
        <v>72664</v>
      </c>
      <c r="E7331" s="246">
        <f>H7291</f>
        <v>1.04E-2</v>
      </c>
      <c r="F7331" s="538">
        <f t="shared" si="429"/>
        <v>755.7056</v>
      </c>
      <c r="G7331" s="557"/>
      <c r="H7331" s="120"/>
      <c r="J7331" s="136">
        <f>((('Mano Obra'!$M$6/30)*F7331)/D7331)*G7298</f>
        <v>0</v>
      </c>
    </row>
    <row r="7332" spans="1:10" ht="16.5">
      <c r="A7332" s="560" t="s">
        <v>4101</v>
      </c>
      <c r="B7332" s="560"/>
      <c r="C7332" s="560"/>
      <c r="D7332" s="560"/>
      <c r="E7332" s="560"/>
      <c r="F7332" s="560"/>
      <c r="G7332" s="560"/>
      <c r="H7332" s="105">
        <f>SUM(F7329:F7331)</f>
        <v>3741.3375999999998</v>
      </c>
      <c r="J7332" s="136"/>
    </row>
    <row r="7333" spans="1:10">
      <c r="A7333" s="227" t="s">
        <v>4237</v>
      </c>
      <c r="B7333" s="205"/>
      <c r="C7333" s="205"/>
      <c r="D7333" s="202"/>
      <c r="E7333" s="203"/>
      <c r="F7333" s="204"/>
      <c r="G7333" s="203"/>
      <c r="H7333" s="212"/>
    </row>
    <row r="7334" spans="1:10">
      <c r="A7334" s="561" t="s">
        <v>4224</v>
      </c>
      <c r="B7334" s="562"/>
      <c r="C7334" s="562"/>
      <c r="D7334" s="562"/>
      <c r="E7334" s="200"/>
      <c r="F7334" s="201" t="s">
        <v>4238</v>
      </c>
      <c r="G7334" s="200" t="s">
        <v>4239</v>
      </c>
      <c r="H7334" s="213"/>
    </row>
    <row r="7335" spans="1:10">
      <c r="A7335" s="223" t="s">
        <v>4097</v>
      </c>
      <c r="B7335" s="72"/>
      <c r="C7335" s="72"/>
      <c r="D7335" s="73"/>
      <c r="E7335" s="78"/>
      <c r="F7335" s="79">
        <v>0</v>
      </c>
      <c r="G7335" s="80">
        <f>F7335*H7299</f>
        <v>0</v>
      </c>
      <c r="H7335" s="212"/>
    </row>
    <row r="7336" spans="1:10">
      <c r="A7336" s="224" t="s">
        <v>4240</v>
      </c>
      <c r="B7336" s="81"/>
      <c r="C7336" s="81"/>
      <c r="D7336" s="82"/>
      <c r="E7336" s="78"/>
      <c r="F7336" s="79">
        <v>0</v>
      </c>
      <c r="G7336" s="80">
        <f>F7336*H7299</f>
        <v>0</v>
      </c>
      <c r="H7336" s="212"/>
    </row>
    <row r="7337" spans="1:10">
      <c r="A7337" s="224" t="s">
        <v>4</v>
      </c>
      <c r="B7337" s="81"/>
      <c r="C7337" s="81"/>
      <c r="D7337" s="82"/>
      <c r="E7337" s="78"/>
      <c r="F7337" s="79">
        <v>0</v>
      </c>
      <c r="G7337" s="80">
        <f>F7337*H7299</f>
        <v>0</v>
      </c>
      <c r="H7337" s="212"/>
    </row>
    <row r="7338" spans="1:10">
      <c r="A7338" s="225"/>
      <c r="B7338" s="83"/>
      <c r="C7338" s="75"/>
      <c r="D7338" s="84"/>
      <c r="E7338" s="85"/>
      <c r="F7338" s="86"/>
      <c r="G7338" s="87"/>
      <c r="H7338" s="214"/>
    </row>
    <row r="7339" spans="1:10">
      <c r="A7339" s="226"/>
      <c r="B7339" s="83"/>
      <c r="C7339" s="83"/>
      <c r="D7339" s="84"/>
      <c r="E7339" s="88"/>
      <c r="F7339" s="563" t="s">
        <v>4241</v>
      </c>
      <c r="G7339" s="564"/>
      <c r="H7339" s="233">
        <f>H7299+G7335+G7336+G7337</f>
        <v>8038.7395999999999</v>
      </c>
    </row>
    <row r="7341" spans="1:10" ht="16.5">
      <c r="A7341" s="90"/>
      <c r="B7341" s="90"/>
      <c r="C7341" s="90"/>
      <c r="D7341" s="90"/>
      <c r="E7341" s="90"/>
      <c r="F7341" s="90"/>
      <c r="G7341" s="90"/>
      <c r="H7341" s="381"/>
    </row>
    <row r="7342" spans="1:10">
      <c r="A7342" s="579" t="s">
        <v>4225</v>
      </c>
      <c r="B7342" s="580"/>
      <c r="C7342" s="580"/>
      <c r="D7342" s="580"/>
      <c r="E7342" s="580"/>
      <c r="F7342" s="580"/>
      <c r="G7342" s="580"/>
      <c r="H7342" s="581"/>
    </row>
    <row r="7343" spans="1:10" ht="16.5">
      <c r="A7343" s="91"/>
      <c r="B7343" s="92"/>
      <c r="C7343" s="92"/>
      <c r="D7343" s="92"/>
      <c r="E7343" s="92"/>
      <c r="F7343" s="93"/>
      <c r="G7343" s="94"/>
      <c r="H7343" s="380">
        <f>ROUND((5/60)/8,4)</f>
        <v>1.04E-2</v>
      </c>
      <c r="I7343" s="115"/>
    </row>
    <row r="7344" spans="1:10">
      <c r="A7344" s="582" t="s">
        <v>4220</v>
      </c>
      <c r="B7344" s="584" t="str">
        <f>COSTOS!$C$14</f>
        <v>MODERNIZACION A TECNOLOGIA LED</v>
      </c>
      <c r="C7344" s="584"/>
      <c r="D7344" s="584"/>
      <c r="E7344" s="584"/>
      <c r="F7344" s="584"/>
      <c r="G7344" s="584"/>
      <c r="H7344" s="585" t="s">
        <v>4221</v>
      </c>
    </row>
    <row r="7345" spans="1:15">
      <c r="A7345" s="583"/>
      <c r="B7345" s="584"/>
      <c r="C7345" s="584"/>
      <c r="D7345" s="584"/>
      <c r="E7345" s="584"/>
      <c r="F7345" s="584"/>
      <c r="G7345" s="584"/>
      <c r="H7345" s="585"/>
    </row>
    <row r="7346" spans="1:15">
      <c r="A7346" s="583"/>
      <c r="B7346" s="584"/>
      <c r="C7346" s="584"/>
      <c r="D7346" s="584"/>
      <c r="E7346" s="584"/>
      <c r="F7346" s="584"/>
      <c r="G7346" s="584"/>
      <c r="H7346" s="585"/>
    </row>
    <row r="7347" spans="1:15" ht="15" customHeight="1">
      <c r="A7347" s="583"/>
      <c r="B7347" s="584"/>
      <c r="C7347" s="584"/>
      <c r="D7347" s="584"/>
      <c r="E7347" s="584"/>
      <c r="F7347" s="584"/>
      <c r="G7347" s="584"/>
      <c r="H7347" s="216">
        <f ca="1">TODAY()</f>
        <v>44889</v>
      </c>
      <c r="K7347" t="s">
        <v>4391</v>
      </c>
      <c r="L7347" t="s">
        <v>4392</v>
      </c>
      <c r="M7347" t="s">
        <v>4393</v>
      </c>
      <c r="N7347" t="s">
        <v>4394</v>
      </c>
    </row>
    <row r="7348" spans="1:15" ht="60.75" customHeight="1">
      <c r="A7348" s="228" t="s">
        <v>4222</v>
      </c>
      <c r="B7348" s="565" t="str">
        <f>COSTOS!$D$16</f>
        <v>Luminarias</v>
      </c>
      <c r="C7348" s="565"/>
      <c r="D7348" s="565"/>
      <c r="E7348" s="565"/>
      <c r="F7348" s="565"/>
      <c r="G7348" s="70" t="s">
        <v>4223</v>
      </c>
      <c r="H7348" s="391">
        <v>3.31</v>
      </c>
      <c r="K7348" s="62">
        <f>H7374</f>
        <v>4141.2</v>
      </c>
      <c r="L7348" s="62">
        <f>H7384</f>
        <v>3741.3375999999998</v>
      </c>
      <c r="M7348" s="62">
        <f>H7357</f>
        <v>424.346</v>
      </c>
      <c r="N7348" s="62">
        <f>H7378</f>
        <v>800</v>
      </c>
    </row>
    <row r="7349" spans="1:15" ht="43.15" customHeight="1">
      <c r="A7349" s="229" t="s">
        <v>4224</v>
      </c>
      <c r="B7349" s="566" t="str">
        <f>VLOOKUP(H7348,COSTOS!C:M,2,0)</f>
        <v>Red Aerea en cable cobre 10 x 500m</v>
      </c>
      <c r="C7349" s="567"/>
      <c r="D7349" s="567"/>
      <c r="E7349" s="568"/>
      <c r="F7349" s="71" t="s">
        <v>0</v>
      </c>
      <c r="G7349" s="356" t="str">
        <f>VLOOKUP(H7348,COSTOS!C:M,8,0)</f>
        <v>Und</v>
      </c>
      <c r="H7349" s="276"/>
      <c r="I7349" s="306"/>
      <c r="J7349" s="308"/>
      <c r="K7349" s="308"/>
      <c r="L7349" s="308"/>
    </row>
    <row r="7350" spans="1:15">
      <c r="A7350" s="230"/>
      <c r="B7350" s="112"/>
      <c r="C7350" s="112"/>
      <c r="D7350" s="112"/>
      <c r="E7350" s="113"/>
      <c r="F7350" s="114" t="s">
        <v>1</v>
      </c>
      <c r="G7350" s="356">
        <f>VLOOKUP(H7348,COSTOS!C:M,9,0)</f>
        <v>0</v>
      </c>
      <c r="H7350" s="357"/>
      <c r="I7350" s="307"/>
    </row>
    <row r="7351" spans="1:15" ht="16.5">
      <c r="A7351" s="231" t="s">
        <v>4226</v>
      </c>
      <c r="B7351" s="75"/>
      <c r="C7351" s="75"/>
      <c r="D7351" s="76"/>
      <c r="E7351" s="209"/>
      <c r="F7351" s="210"/>
      <c r="G7351" s="211" t="s">
        <v>4227</v>
      </c>
      <c r="H7351" s="217">
        <f>H7357+H7374+H7378+H7384</f>
        <v>9106.883600000001</v>
      </c>
    </row>
    <row r="7352" spans="1:15" ht="39">
      <c r="A7352" s="569" t="s">
        <v>4224</v>
      </c>
      <c r="B7352" s="569"/>
      <c r="C7352" s="569"/>
      <c r="D7352" s="77" t="s">
        <v>0</v>
      </c>
      <c r="E7352" s="207" t="s">
        <v>4228</v>
      </c>
      <c r="F7352" s="208" t="s">
        <v>4215</v>
      </c>
      <c r="G7352" s="74" t="s">
        <v>2</v>
      </c>
      <c r="H7352" s="218" t="s">
        <v>4229</v>
      </c>
      <c r="K7352" s="309"/>
    </row>
    <row r="7353" spans="1:15">
      <c r="A7353" s="536" t="s">
        <v>3946</v>
      </c>
      <c r="B7353" s="570" t="str">
        <f>VLOOKUP(A7353,'Equip, Herr y Transp'!$B$2:$D$739,2,0)</f>
        <v>EQU</v>
      </c>
      <c r="C7353" s="570"/>
      <c r="D7353" s="95" t="str">
        <f>VLOOKUP(A7353,'Equip, Herr y Transp'!$B$2:$D$218,2,0)</f>
        <v>EQU</v>
      </c>
      <c r="E7353" s="95">
        <f>VLOOKUP(A7353,'Equip, Herr y Transp'!$B$2:$D$218,3,0)</f>
        <v>14130</v>
      </c>
      <c r="F7353" s="96">
        <f>H7343</f>
        <v>1.04E-2</v>
      </c>
      <c r="G7353" s="122">
        <f>F7353*E7353</f>
        <v>146.952</v>
      </c>
      <c r="H7353" s="118"/>
    </row>
    <row r="7354" spans="1:15">
      <c r="A7354" s="536" t="s">
        <v>3904</v>
      </c>
      <c r="B7354" s="570" t="str">
        <f>VLOOKUP(A7354,'Equip, Herr y Transp'!$B$2:$D$739,2,0)</f>
        <v>EQU</v>
      </c>
      <c r="C7354" s="570"/>
      <c r="D7354" s="95" t="str">
        <f>VLOOKUP(A7354,'Equip, Herr y Transp'!$B$2:$D$218,2,0)</f>
        <v>EQU</v>
      </c>
      <c r="E7354" s="95">
        <f>VLOOKUP(A7354,'Equip, Herr y Transp'!$B$2:$D$218,3,0)</f>
        <v>26672.5</v>
      </c>
      <c r="F7354" s="96">
        <f>H7343</f>
        <v>1.04E-2</v>
      </c>
      <c r="G7354" s="122">
        <f>F7354*E7354</f>
        <v>277.39400000000001</v>
      </c>
      <c r="H7354" s="117"/>
    </row>
    <row r="7355" spans="1:15">
      <c r="A7355" s="536" t="s">
        <v>8</v>
      </c>
      <c r="B7355" s="570">
        <f>VLOOKUP(A7355,'Equip, Herr y Transp'!$B$2:$D$739,2,0)</f>
        <v>0</v>
      </c>
      <c r="C7355" s="570"/>
      <c r="D7355" s="95">
        <f>VLOOKUP(A7355,'Equip, Herr y Transp'!$B$2:$D$218,2,0)</f>
        <v>0</v>
      </c>
      <c r="E7355" s="95">
        <f>VLOOKUP(A7355,'Equip, Herr y Transp'!$B$2:$D$218,3,0)</f>
        <v>0</v>
      </c>
      <c r="F7355" s="96">
        <f>H7343</f>
        <v>1.04E-2</v>
      </c>
      <c r="G7355" s="122">
        <f>F7355*E7355</f>
        <v>0</v>
      </c>
      <c r="H7355" s="117"/>
    </row>
    <row r="7356" spans="1:15">
      <c r="A7356" s="536" t="s">
        <v>8</v>
      </c>
      <c r="B7356" s="570">
        <f>VLOOKUP(A7356,'Equip, Herr y Transp'!$B$2:$D$739,2,0)</f>
        <v>0</v>
      </c>
      <c r="C7356" s="570"/>
      <c r="D7356" s="95">
        <f>VLOOKUP(A7356,'Equip, Herr y Transp'!$B$2:$D$218,2,0)</f>
        <v>0</v>
      </c>
      <c r="E7356" s="95">
        <f>VLOOKUP(A7356,'Equip, Herr y Transp'!$B$2:$D$218,3,0)</f>
        <v>0</v>
      </c>
      <c r="F7356" s="96">
        <f>H7343</f>
        <v>1.04E-2</v>
      </c>
      <c r="G7356" s="122">
        <f>F7356*E7356</f>
        <v>0</v>
      </c>
      <c r="H7356" s="117"/>
    </row>
    <row r="7357" spans="1:15" ht="16.5">
      <c r="A7357" s="540" t="s">
        <v>4100</v>
      </c>
      <c r="B7357" s="541"/>
      <c r="C7357" s="541"/>
      <c r="D7357" s="541"/>
      <c r="E7357" s="541"/>
      <c r="F7357" s="541"/>
      <c r="G7357" s="541"/>
      <c r="H7357" s="97">
        <f>SUM(G7353:G7356)</f>
        <v>424.346</v>
      </c>
    </row>
    <row r="7358" spans="1:15" ht="16.5">
      <c r="A7358" s="571" t="s">
        <v>4230</v>
      </c>
      <c r="B7358" s="572"/>
      <c r="C7358" s="572"/>
      <c r="D7358" s="572"/>
      <c r="E7358" s="572"/>
      <c r="F7358" s="572"/>
      <c r="G7358" s="572"/>
      <c r="H7358" s="573"/>
      <c r="K7358" s="56"/>
      <c r="L7358" s="56"/>
      <c r="M7358" s="56"/>
      <c r="N7358" s="56"/>
      <c r="O7358" s="56"/>
    </row>
    <row r="7359" spans="1:15" ht="30" customHeight="1">
      <c r="A7359" s="574" t="s">
        <v>7</v>
      </c>
      <c r="B7359" s="575"/>
      <c r="C7359" s="109" t="s">
        <v>0</v>
      </c>
      <c r="D7359" s="110" t="s">
        <v>4098</v>
      </c>
      <c r="E7359" s="111" t="s">
        <v>1</v>
      </c>
      <c r="F7359" s="576" t="s">
        <v>4218</v>
      </c>
      <c r="G7359" s="576"/>
      <c r="H7359" s="215"/>
      <c r="K7359" s="56"/>
      <c r="L7359" s="56"/>
      <c r="M7359" s="56"/>
      <c r="N7359" s="56"/>
      <c r="O7359" s="56"/>
    </row>
    <row r="7360" spans="1:15">
      <c r="A7360" s="577" t="s">
        <v>4806</v>
      </c>
      <c r="B7360" s="578"/>
      <c r="C7360" s="98" t="str">
        <f>VLOOKUP(A7360,'Materiales '!$C$2:$F$1302,3,0)</f>
        <v>Ml</v>
      </c>
      <c r="D7360" s="99">
        <f>VLOOKUP(A7360,'Materiales '!$C$2:$F$1302,4,0)</f>
        <v>4141.2</v>
      </c>
      <c r="E7360" s="100">
        <v>1</v>
      </c>
      <c r="F7360" s="538">
        <f>E7360*D7360</f>
        <v>4141.2</v>
      </c>
      <c r="G7360" s="539"/>
      <c r="H7360" s="121"/>
      <c r="I7360">
        <f>E7360*G7350</f>
        <v>0</v>
      </c>
      <c r="J7360" s="67"/>
      <c r="K7360" s="56"/>
      <c r="L7360" s="56"/>
      <c r="M7360" s="56"/>
      <c r="N7360" s="56"/>
      <c r="O7360" s="56"/>
    </row>
    <row r="7361" spans="1:15">
      <c r="A7361" s="577" t="s">
        <v>8</v>
      </c>
      <c r="B7361" s="578"/>
      <c r="C7361" s="98" t="str">
        <f>VLOOKUP(A7361,'Materiales '!$C$2:$F$1302,3,0)</f>
        <v>-</v>
      </c>
      <c r="D7361" s="99">
        <f>VLOOKUP(A7361,'Materiales '!$C$2:$F$1302,4,0)</f>
        <v>0</v>
      </c>
      <c r="E7361" s="100">
        <f>3/25</f>
        <v>0.12</v>
      </c>
      <c r="F7361" s="538">
        <f t="shared" ref="F7361:F7367" si="430">E7361*D7361</f>
        <v>0</v>
      </c>
      <c r="G7361" s="539"/>
      <c r="H7361" s="121"/>
      <c r="I7361">
        <f>E7361*G7350</f>
        <v>0</v>
      </c>
      <c r="J7361" s="67"/>
      <c r="K7361" s="56"/>
      <c r="L7361" s="56"/>
      <c r="M7361" s="56"/>
      <c r="N7361" s="56"/>
      <c r="O7361" s="56"/>
    </row>
    <row r="7362" spans="1:15">
      <c r="A7362" s="536" t="s">
        <v>8</v>
      </c>
      <c r="B7362" s="537" t="str">
        <f>VLOOKUP(A7362,'Materiales '!$C$2:$F$1302,3,0)</f>
        <v>-</v>
      </c>
      <c r="C7362" s="98" t="str">
        <f>VLOOKUP(A7362,'Materiales '!$C$2:$F$1302,3,0)</f>
        <v>-</v>
      </c>
      <c r="D7362" s="99">
        <f>VLOOKUP(A7362,'Materiales '!$C$2:$F$1302,4,0)</f>
        <v>0</v>
      </c>
      <c r="E7362" s="100">
        <f>3/25</f>
        <v>0.12</v>
      </c>
      <c r="F7362" s="538">
        <f t="shared" si="430"/>
        <v>0</v>
      </c>
      <c r="G7362" s="539"/>
      <c r="H7362" s="121"/>
      <c r="I7362">
        <f>E7362*G7350</f>
        <v>0</v>
      </c>
      <c r="J7362" s="68"/>
      <c r="K7362" s="56"/>
      <c r="L7362" s="56"/>
      <c r="M7362" s="56"/>
      <c r="N7362" s="56"/>
      <c r="O7362" s="56"/>
    </row>
    <row r="7363" spans="1:15">
      <c r="A7363" s="536" t="s">
        <v>8</v>
      </c>
      <c r="B7363" s="537" t="str">
        <f>VLOOKUP(A7363,'Materiales '!$C$2:$F$1302,3,0)</f>
        <v>-</v>
      </c>
      <c r="C7363" s="98" t="str">
        <f>VLOOKUP(A7363,'Materiales '!$C$2:$F$1302,3,0)</f>
        <v>-</v>
      </c>
      <c r="D7363" s="99">
        <f>VLOOKUP(A7363,'Materiales '!$C$2:$F$1302,4,0)</f>
        <v>0</v>
      </c>
      <c r="E7363" s="100"/>
      <c r="F7363" s="538">
        <f t="shared" si="430"/>
        <v>0</v>
      </c>
      <c r="G7363" s="539"/>
      <c r="H7363" s="121"/>
      <c r="I7363">
        <f>E7363*G7350</f>
        <v>0</v>
      </c>
      <c r="J7363" s="68"/>
      <c r="K7363" s="56"/>
      <c r="L7363" s="56"/>
      <c r="M7363" s="56"/>
      <c r="N7363" s="56"/>
      <c r="O7363" s="56"/>
    </row>
    <row r="7364" spans="1:15">
      <c r="A7364" s="536" t="s">
        <v>8</v>
      </c>
      <c r="B7364" s="537" t="str">
        <f>VLOOKUP(A7364,'Materiales '!$C$2:$F$1302,3,0)</f>
        <v>-</v>
      </c>
      <c r="C7364" s="98" t="str">
        <f>VLOOKUP(A7364,'Materiales '!$C$2:$F$1302,3,0)</f>
        <v>-</v>
      </c>
      <c r="D7364" s="99">
        <f>VLOOKUP(A7364,'Materiales '!$C$2:$F$1302,4,0)</f>
        <v>0</v>
      </c>
      <c r="E7364" s="100"/>
      <c r="F7364" s="538">
        <f t="shared" si="430"/>
        <v>0</v>
      </c>
      <c r="G7364" s="539"/>
      <c r="H7364" s="121"/>
      <c r="I7364">
        <f>E7364*G7350</f>
        <v>0</v>
      </c>
      <c r="J7364" s="68"/>
      <c r="K7364" s="56"/>
      <c r="L7364" s="56"/>
      <c r="M7364" s="56"/>
      <c r="N7364" s="56"/>
      <c r="O7364" s="56"/>
    </row>
    <row r="7365" spans="1:15">
      <c r="A7365" s="536" t="s">
        <v>8</v>
      </c>
      <c r="B7365" s="537" t="str">
        <f>VLOOKUP(A7365,'Materiales '!$C$2:$F$1302,3,0)</f>
        <v>-</v>
      </c>
      <c r="C7365" s="98" t="str">
        <f>VLOOKUP(A7365,'Materiales '!$C$2:$F$1302,3,0)</f>
        <v>-</v>
      </c>
      <c r="D7365" s="99">
        <f>VLOOKUP(A7365,'Materiales '!$C$2:$F$1302,4,0)</f>
        <v>0</v>
      </c>
      <c r="E7365" s="100"/>
      <c r="F7365" s="538">
        <f t="shared" si="430"/>
        <v>0</v>
      </c>
      <c r="G7365" s="539"/>
      <c r="H7365" s="121"/>
      <c r="I7365">
        <f>E7365*G7350</f>
        <v>0</v>
      </c>
      <c r="J7365" s="68"/>
      <c r="K7365" s="56"/>
      <c r="L7365" s="56"/>
      <c r="M7365" s="56"/>
      <c r="N7365" s="56"/>
      <c r="O7365" s="56"/>
    </row>
    <row r="7366" spans="1:15">
      <c r="A7366" s="536" t="s">
        <v>8</v>
      </c>
      <c r="B7366" s="537" t="str">
        <f>VLOOKUP(A7366,'Materiales '!$C$2:$F$1302,3,0)</f>
        <v>-</v>
      </c>
      <c r="C7366" s="98" t="str">
        <f>VLOOKUP(A7366,'Materiales '!$C$2:$F$1302,3,0)</f>
        <v>-</v>
      </c>
      <c r="D7366" s="99">
        <f>VLOOKUP(A7366,'Materiales '!$C$2:$F$1302,4,0)</f>
        <v>0</v>
      </c>
      <c r="E7366" s="100"/>
      <c r="F7366" s="538">
        <f t="shared" si="430"/>
        <v>0</v>
      </c>
      <c r="G7366" s="539"/>
      <c r="H7366" s="121"/>
      <c r="I7366">
        <f>E7366*G7350</f>
        <v>0</v>
      </c>
      <c r="J7366" s="68"/>
      <c r="K7366" s="56"/>
      <c r="L7366" s="56"/>
      <c r="M7366" s="56"/>
      <c r="N7366" s="56"/>
      <c r="O7366" s="56"/>
    </row>
    <row r="7367" spans="1:15" ht="21.75" customHeight="1">
      <c r="A7367" s="536" t="s">
        <v>8</v>
      </c>
      <c r="B7367" s="537" t="str">
        <f>VLOOKUP(A7367,'Materiales '!$C$2:$F$1302,3,0)</f>
        <v>-</v>
      </c>
      <c r="C7367" s="98" t="str">
        <f>VLOOKUP(A7367,'Materiales '!$C$2:$F$1302,3,0)</f>
        <v>-</v>
      </c>
      <c r="D7367" s="99">
        <f>VLOOKUP(A7367,'Materiales '!$C$2:$F$1302,4,0)</f>
        <v>0</v>
      </c>
      <c r="E7367" s="100"/>
      <c r="F7367" s="538">
        <f t="shared" si="430"/>
        <v>0</v>
      </c>
      <c r="G7367" s="539"/>
      <c r="H7367" s="121"/>
      <c r="I7367">
        <f>E7367*G7350</f>
        <v>0</v>
      </c>
      <c r="J7367" s="68"/>
      <c r="K7367" s="56"/>
      <c r="L7367" s="56"/>
      <c r="M7367" s="56"/>
      <c r="N7367" s="56"/>
      <c r="O7367" s="56"/>
    </row>
    <row r="7368" spans="1:15">
      <c r="A7368" s="536" t="s">
        <v>8</v>
      </c>
      <c r="B7368" s="537" t="str">
        <f>VLOOKUP(A7368,'Materiales '!$C$2:$F$1302,3,0)</f>
        <v>-</v>
      </c>
      <c r="C7368" s="98" t="str">
        <f>VLOOKUP(A7368,'Materiales '!$C$2:$F$1302,3,0)</f>
        <v>-</v>
      </c>
      <c r="D7368" s="99">
        <f>VLOOKUP(A7368,'Materiales '!$C$2:$F$1302,4,0)</f>
        <v>0</v>
      </c>
      <c r="E7368" s="100"/>
      <c r="F7368" s="538">
        <f>E7368*D7368</f>
        <v>0</v>
      </c>
      <c r="G7368" s="539"/>
      <c r="H7368" s="120"/>
      <c r="I7368">
        <f>E7368*G7350</f>
        <v>0</v>
      </c>
      <c r="J7368" s="68"/>
      <c r="K7368" s="56"/>
      <c r="L7368" s="56"/>
      <c r="M7368" s="56"/>
      <c r="N7368" s="56"/>
      <c r="O7368" s="56"/>
    </row>
    <row r="7369" spans="1:15">
      <c r="A7369" s="536" t="s">
        <v>8</v>
      </c>
      <c r="B7369" s="537" t="str">
        <f>VLOOKUP(A7369,'Materiales '!$C$2:$F$1302,3,0)</f>
        <v>-</v>
      </c>
      <c r="C7369" s="98" t="str">
        <f>VLOOKUP(A7369,'Materiales '!$C$2:$F$1302,3,0)</f>
        <v>-</v>
      </c>
      <c r="D7369" s="99">
        <f>VLOOKUP(A7369,'Materiales '!$C$2:$F$1302,4,0)</f>
        <v>0</v>
      </c>
      <c r="E7369" s="100"/>
      <c r="F7369" s="538">
        <f t="shared" ref="F7369:F7372" si="431">E7369*D7369</f>
        <v>0</v>
      </c>
      <c r="G7369" s="539"/>
      <c r="H7369" s="121"/>
      <c r="I7369">
        <f>E7369*G7350</f>
        <v>0</v>
      </c>
      <c r="J7369" s="68"/>
      <c r="K7369" s="56"/>
      <c r="L7369" s="56"/>
      <c r="M7369" s="56"/>
      <c r="N7369" s="56"/>
      <c r="O7369" s="56"/>
    </row>
    <row r="7370" spans="1:15">
      <c r="A7370" s="536" t="s">
        <v>8</v>
      </c>
      <c r="B7370" s="537" t="str">
        <f>VLOOKUP(A7370,'Materiales '!$C$2:$F$1302,3,0)</f>
        <v>-</v>
      </c>
      <c r="C7370" s="98" t="str">
        <f>VLOOKUP(A7370,'Materiales '!$C$2:$F$1302,3,0)</f>
        <v>-</v>
      </c>
      <c r="D7370" s="99">
        <f>VLOOKUP(A7370,'Materiales '!$C$2:$F$1302,4,0)</f>
        <v>0</v>
      </c>
      <c r="E7370" s="100"/>
      <c r="F7370" s="538">
        <f t="shared" si="431"/>
        <v>0</v>
      </c>
      <c r="G7370" s="539"/>
      <c r="H7370" s="121"/>
      <c r="I7370">
        <f>E7370*G7350</f>
        <v>0</v>
      </c>
      <c r="J7370" s="68"/>
      <c r="K7370" s="56"/>
      <c r="L7370" s="56"/>
      <c r="M7370" s="56"/>
      <c r="N7370" s="56"/>
      <c r="O7370" s="56"/>
    </row>
    <row r="7371" spans="1:15">
      <c r="A7371" s="536" t="s">
        <v>8</v>
      </c>
      <c r="B7371" s="537" t="str">
        <f>VLOOKUP(A7371,'Materiales '!$C$2:$F$1302,3,0)</f>
        <v>-</v>
      </c>
      <c r="C7371" s="98" t="str">
        <f>VLOOKUP(A7371,'Materiales '!$C$2:$F$1302,3,0)</f>
        <v>-</v>
      </c>
      <c r="D7371" s="99">
        <f>VLOOKUP(A7371,'Materiales '!$C$2:$F$1302,4,0)</f>
        <v>0</v>
      </c>
      <c r="E7371" s="100"/>
      <c r="F7371" s="538">
        <f t="shared" si="431"/>
        <v>0</v>
      </c>
      <c r="G7371" s="539"/>
      <c r="H7371" s="121"/>
      <c r="I7371">
        <f>E7371*G7350</f>
        <v>0</v>
      </c>
      <c r="J7371" s="68"/>
      <c r="K7371" s="56"/>
      <c r="L7371" s="56"/>
      <c r="M7371" s="56"/>
      <c r="N7371" s="56"/>
      <c r="O7371" s="56"/>
    </row>
    <row r="7372" spans="1:15">
      <c r="A7372" s="536" t="s">
        <v>8</v>
      </c>
      <c r="B7372" s="537" t="str">
        <f>VLOOKUP(A7372,'Materiales '!$C$2:$F$1302,3,0)</f>
        <v>-</v>
      </c>
      <c r="C7372" s="98" t="str">
        <f>VLOOKUP(A7372,'Materiales '!$C$2:$F$1302,3,0)</f>
        <v>-</v>
      </c>
      <c r="D7372" s="99">
        <f>VLOOKUP(A7372,'Materiales '!$C$2:$F$1302,4,0)</f>
        <v>0</v>
      </c>
      <c r="E7372" s="100"/>
      <c r="F7372" s="538">
        <f t="shared" si="431"/>
        <v>0</v>
      </c>
      <c r="G7372" s="539"/>
      <c r="H7372" s="121"/>
      <c r="I7372">
        <f>E7372*G7350</f>
        <v>0</v>
      </c>
      <c r="J7372" s="68"/>
      <c r="K7372" s="56"/>
      <c r="L7372" s="56"/>
      <c r="M7372" s="56"/>
      <c r="N7372" s="56"/>
      <c r="O7372" s="56"/>
    </row>
    <row r="7373" spans="1:15">
      <c r="A7373" s="536" t="s">
        <v>8</v>
      </c>
      <c r="B7373" s="537" t="str">
        <f>VLOOKUP(A7373,'Materiales '!$C$2:$F$1302,3,0)</f>
        <v>-</v>
      </c>
      <c r="C7373" s="98" t="str">
        <f>VLOOKUP(A7373,'Materiales '!$C$2:$F$1302,3,0)</f>
        <v>-</v>
      </c>
      <c r="D7373" s="99">
        <f>VLOOKUP(A7373,'Materiales '!$C$2:$F$1302,4,0)</f>
        <v>0</v>
      </c>
      <c r="E7373" s="100"/>
      <c r="F7373" s="538">
        <f>E7373*D7373</f>
        <v>0</v>
      </c>
      <c r="G7373" s="539"/>
      <c r="H7373" s="120"/>
      <c r="I7373">
        <f>E7373*G7350</f>
        <v>0</v>
      </c>
      <c r="J7373" s="68"/>
      <c r="K7373" s="56"/>
      <c r="L7373" s="56"/>
      <c r="M7373" s="56"/>
      <c r="N7373" s="56"/>
      <c r="O7373" s="56"/>
    </row>
    <row r="7374" spans="1:15" ht="16.5">
      <c r="A7374" s="540" t="s">
        <v>4099</v>
      </c>
      <c r="B7374" s="541"/>
      <c r="C7374" s="541"/>
      <c r="D7374" s="541"/>
      <c r="E7374" s="541"/>
      <c r="F7374" s="541"/>
      <c r="G7374" s="542"/>
      <c r="H7374" s="116">
        <f>SUM(F7360:F7373)</f>
        <v>4141.2</v>
      </c>
      <c r="J7374" s="68"/>
      <c r="K7374" s="56"/>
      <c r="L7374" s="56"/>
      <c r="M7374" s="56"/>
      <c r="N7374" s="56"/>
      <c r="O7374" s="56"/>
    </row>
    <row r="7375" spans="1:15" ht="16.5">
      <c r="A7375" s="543" t="s">
        <v>4231</v>
      </c>
      <c r="B7375" s="544"/>
      <c r="C7375" s="544"/>
      <c r="D7375" s="544"/>
      <c r="E7375" s="545"/>
      <c r="F7375" s="544"/>
      <c r="G7375" s="544"/>
      <c r="H7375" s="546"/>
      <c r="J7375" s="68"/>
      <c r="K7375" s="56"/>
      <c r="L7375" s="56"/>
      <c r="M7375" s="56"/>
      <c r="N7375" s="56"/>
      <c r="O7375" s="56"/>
    </row>
    <row r="7376" spans="1:15">
      <c r="A7376" s="547" t="s">
        <v>7</v>
      </c>
      <c r="B7376" s="548"/>
      <c r="C7376" s="108" t="s">
        <v>4232</v>
      </c>
      <c r="D7376" s="107" t="s">
        <v>4233</v>
      </c>
      <c r="E7376" s="206" t="s">
        <v>4234</v>
      </c>
      <c r="F7376" s="549" t="s">
        <v>4218</v>
      </c>
      <c r="G7376" s="549"/>
      <c r="H7376" s="119"/>
      <c r="K7376" s="56"/>
      <c r="L7376" s="56"/>
      <c r="M7376" s="56"/>
      <c r="N7376" s="56"/>
      <c r="O7376" s="56"/>
    </row>
    <row r="7377" spans="1:13">
      <c r="A7377" s="550" t="s">
        <v>3928</v>
      </c>
      <c r="B7377" s="551"/>
      <c r="C7377" s="232">
        <v>1</v>
      </c>
      <c r="D7377" s="102">
        <v>5.0000000000000001E-3</v>
      </c>
      <c r="E7377" s="103">
        <f>VLOOKUP(A7377,'Equip, Herr y Transp'!$B$2:$D$218,3,0)</f>
        <v>160000</v>
      </c>
      <c r="F7377" s="552">
        <f>E7377*D7377*C7377</f>
        <v>800</v>
      </c>
      <c r="G7377" s="553"/>
      <c r="H7377" s="117"/>
      <c r="M7377" s="56"/>
    </row>
    <row r="7378" spans="1:13" ht="16.5">
      <c r="A7378" s="554" t="s">
        <v>4216</v>
      </c>
      <c r="B7378" s="555"/>
      <c r="C7378" s="555"/>
      <c r="D7378" s="555"/>
      <c r="E7378" s="555"/>
      <c r="F7378" s="555"/>
      <c r="G7378" s="555"/>
      <c r="H7378" s="105">
        <f>F7377</f>
        <v>800</v>
      </c>
    </row>
    <row r="7379" spans="1:13" ht="16.5">
      <c r="A7379" s="543" t="s">
        <v>4235</v>
      </c>
      <c r="B7379" s="544"/>
      <c r="C7379" s="544"/>
      <c r="D7379" s="544"/>
      <c r="E7379" s="544"/>
      <c r="F7379" s="544"/>
      <c r="G7379" s="544"/>
      <c r="H7379" s="546"/>
    </row>
    <row r="7380" spans="1:13">
      <c r="A7380" s="547" t="s">
        <v>7</v>
      </c>
      <c r="B7380" s="548"/>
      <c r="C7380" s="106" t="s">
        <v>1</v>
      </c>
      <c r="D7380" s="107" t="s">
        <v>4236</v>
      </c>
      <c r="E7380" s="108" t="s">
        <v>4215</v>
      </c>
      <c r="F7380" s="547" t="s">
        <v>5</v>
      </c>
      <c r="G7380" s="556"/>
      <c r="H7380" s="119"/>
    </row>
    <row r="7381" spans="1:13">
      <c r="A7381" s="550" t="s">
        <v>4196</v>
      </c>
      <c r="B7381" s="551"/>
      <c r="C7381" s="101">
        <v>1</v>
      </c>
      <c r="D7381" s="104">
        <f>VLOOKUP(A7381,'Mano Obra'!$B$2:$T$117,19,0)</f>
        <v>166624</v>
      </c>
      <c r="E7381" s="246">
        <f>H7343</f>
        <v>1.04E-2</v>
      </c>
      <c r="F7381" s="538">
        <f>E7381*D7381*C7381</f>
        <v>1732.8896</v>
      </c>
      <c r="G7381" s="557"/>
      <c r="H7381" s="121"/>
      <c r="I7381" s="69"/>
      <c r="J7381" s="136">
        <f>((('Mano Obra'!$M$4/30)*F7381)/D7381)*G7350</f>
        <v>0</v>
      </c>
    </row>
    <row r="7382" spans="1:13">
      <c r="A7382" s="558" t="s">
        <v>4197</v>
      </c>
      <c r="B7382" s="559">
        <f>VLOOKUP(A7382,'Mano Obra'!$B$3:$D$290,2,0)</f>
        <v>2090000.0000000002</v>
      </c>
      <c r="C7382" s="101">
        <v>1</v>
      </c>
      <c r="D7382" s="104">
        <f>VLOOKUP(A7382,'Mano Obra'!$B$2:$T$117,19,0)</f>
        <v>120456</v>
      </c>
      <c r="E7382" s="246">
        <f>H7343</f>
        <v>1.04E-2</v>
      </c>
      <c r="F7382" s="538">
        <f t="shared" ref="F7382:F7383" si="432">E7382*D7382*C7382</f>
        <v>1252.7423999999999</v>
      </c>
      <c r="G7382" s="557"/>
      <c r="H7382" s="121"/>
      <c r="J7382" s="136">
        <f>((('Mano Obra'!$M$5/30)*F7382)/D7382)*G7350</f>
        <v>0</v>
      </c>
    </row>
    <row r="7383" spans="1:13">
      <c r="A7383" s="558" t="s">
        <v>4186</v>
      </c>
      <c r="B7383" s="559">
        <f>VLOOKUP(A7383,'Mano Obra'!$B$3:$D$290,2,0)</f>
        <v>1100000</v>
      </c>
      <c r="C7383" s="101">
        <v>1</v>
      </c>
      <c r="D7383" s="104">
        <f>VLOOKUP(A7383,'Mano Obra'!$B$2:$T$117,19,0)</f>
        <v>72664</v>
      </c>
      <c r="E7383" s="246">
        <f>H7343</f>
        <v>1.04E-2</v>
      </c>
      <c r="F7383" s="538">
        <f t="shared" si="432"/>
        <v>755.7056</v>
      </c>
      <c r="G7383" s="557"/>
      <c r="H7383" s="120"/>
      <c r="J7383" s="136">
        <f>((('Mano Obra'!$M$6/30)*F7383)/D7383)*G7350</f>
        <v>0</v>
      </c>
    </row>
    <row r="7384" spans="1:13" ht="16.5">
      <c r="A7384" s="560" t="s">
        <v>4101</v>
      </c>
      <c r="B7384" s="560"/>
      <c r="C7384" s="560"/>
      <c r="D7384" s="560"/>
      <c r="E7384" s="560"/>
      <c r="F7384" s="560"/>
      <c r="G7384" s="560"/>
      <c r="H7384" s="105">
        <f>SUM(F7381:F7383)</f>
        <v>3741.3375999999998</v>
      </c>
      <c r="J7384" s="136"/>
    </row>
    <row r="7385" spans="1:13">
      <c r="A7385" s="227" t="s">
        <v>4237</v>
      </c>
      <c r="B7385" s="205"/>
      <c r="C7385" s="205"/>
      <c r="D7385" s="202"/>
      <c r="E7385" s="203"/>
      <c r="F7385" s="204"/>
      <c r="G7385" s="203"/>
      <c r="H7385" s="212"/>
    </row>
    <row r="7386" spans="1:13">
      <c r="A7386" s="561" t="s">
        <v>4224</v>
      </c>
      <c r="B7386" s="562"/>
      <c r="C7386" s="562"/>
      <c r="D7386" s="562"/>
      <c r="E7386" s="200"/>
      <c r="F7386" s="201" t="s">
        <v>4238</v>
      </c>
      <c r="G7386" s="200" t="s">
        <v>4239</v>
      </c>
      <c r="H7386" s="213"/>
    </row>
    <row r="7387" spans="1:13">
      <c r="A7387" s="223" t="s">
        <v>4097</v>
      </c>
      <c r="B7387" s="72"/>
      <c r="C7387" s="72"/>
      <c r="D7387" s="73"/>
      <c r="E7387" s="78"/>
      <c r="F7387" s="79">
        <v>0</v>
      </c>
      <c r="G7387" s="80">
        <f>F7387*H7351</f>
        <v>0</v>
      </c>
      <c r="H7387" s="212"/>
    </row>
    <row r="7388" spans="1:13">
      <c r="A7388" s="224" t="s">
        <v>4240</v>
      </c>
      <c r="B7388" s="81"/>
      <c r="C7388" s="81"/>
      <c r="D7388" s="82"/>
      <c r="E7388" s="78"/>
      <c r="F7388" s="79">
        <v>0</v>
      </c>
      <c r="G7388" s="80">
        <f>F7388*H7351</f>
        <v>0</v>
      </c>
      <c r="H7388" s="212"/>
    </row>
    <row r="7389" spans="1:13">
      <c r="A7389" s="224" t="s">
        <v>4</v>
      </c>
      <c r="B7389" s="81"/>
      <c r="C7389" s="81"/>
      <c r="D7389" s="82"/>
      <c r="E7389" s="78"/>
      <c r="F7389" s="79">
        <v>0</v>
      </c>
      <c r="G7389" s="80">
        <f>F7389*H7351</f>
        <v>0</v>
      </c>
      <c r="H7389" s="212"/>
    </row>
    <row r="7390" spans="1:13">
      <c r="A7390" s="225"/>
      <c r="B7390" s="83"/>
      <c r="C7390" s="75"/>
      <c r="D7390" s="84"/>
      <c r="E7390" s="85"/>
      <c r="F7390" s="86"/>
      <c r="G7390" s="87"/>
      <c r="H7390" s="214"/>
    </row>
    <row r="7391" spans="1:13">
      <c r="A7391" s="226"/>
      <c r="B7391" s="83"/>
      <c r="C7391" s="83"/>
      <c r="D7391" s="84"/>
      <c r="E7391" s="88"/>
      <c r="F7391" s="563" t="s">
        <v>4241</v>
      </c>
      <c r="G7391" s="564"/>
      <c r="H7391" s="233">
        <f>H7351+G7387+G7388+G7389</f>
        <v>9106.883600000001</v>
      </c>
    </row>
    <row r="7393" spans="1:14" ht="16.5">
      <c r="A7393" s="90"/>
      <c r="B7393" s="90"/>
      <c r="C7393" s="90"/>
      <c r="D7393" s="90"/>
      <c r="E7393" s="90"/>
      <c r="F7393" s="90"/>
      <c r="G7393" s="90"/>
      <c r="H7393" s="381"/>
    </row>
    <row r="7394" spans="1:14">
      <c r="A7394" s="579" t="s">
        <v>4225</v>
      </c>
      <c r="B7394" s="580"/>
      <c r="C7394" s="580"/>
      <c r="D7394" s="580"/>
      <c r="E7394" s="580"/>
      <c r="F7394" s="580"/>
      <c r="G7394" s="580"/>
      <c r="H7394" s="581"/>
    </row>
    <row r="7395" spans="1:14" ht="16.5">
      <c r="A7395" s="91"/>
      <c r="B7395" s="92"/>
      <c r="C7395" s="92"/>
      <c r="D7395" s="92"/>
      <c r="E7395" s="92"/>
      <c r="F7395" s="93"/>
      <c r="G7395" s="94"/>
      <c r="H7395" s="380">
        <f>ROUND((5/60)/8,4)</f>
        <v>1.04E-2</v>
      </c>
      <c r="I7395" s="115"/>
    </row>
    <row r="7396" spans="1:14">
      <c r="A7396" s="582" t="s">
        <v>4220</v>
      </c>
      <c r="B7396" s="584" t="str">
        <f>COSTOS!$C$14</f>
        <v>MODERNIZACION A TECNOLOGIA LED</v>
      </c>
      <c r="C7396" s="584"/>
      <c r="D7396" s="584"/>
      <c r="E7396" s="584"/>
      <c r="F7396" s="584"/>
      <c r="G7396" s="584"/>
      <c r="H7396" s="585" t="s">
        <v>4221</v>
      </c>
    </row>
    <row r="7397" spans="1:14">
      <c r="A7397" s="583"/>
      <c r="B7397" s="584"/>
      <c r="C7397" s="584"/>
      <c r="D7397" s="584"/>
      <c r="E7397" s="584"/>
      <c r="F7397" s="584"/>
      <c r="G7397" s="584"/>
      <c r="H7397" s="585"/>
    </row>
    <row r="7398" spans="1:14">
      <c r="A7398" s="583"/>
      <c r="B7398" s="584"/>
      <c r="C7398" s="584"/>
      <c r="D7398" s="584"/>
      <c r="E7398" s="584"/>
      <c r="F7398" s="584"/>
      <c r="G7398" s="584"/>
      <c r="H7398" s="585"/>
    </row>
    <row r="7399" spans="1:14" ht="15" customHeight="1">
      <c r="A7399" s="583"/>
      <c r="B7399" s="584"/>
      <c r="C7399" s="584"/>
      <c r="D7399" s="584"/>
      <c r="E7399" s="584"/>
      <c r="F7399" s="584"/>
      <c r="G7399" s="584"/>
      <c r="H7399" s="216">
        <f ca="1">TODAY()</f>
        <v>44889</v>
      </c>
      <c r="K7399" t="s">
        <v>4391</v>
      </c>
      <c r="L7399" t="s">
        <v>4392</v>
      </c>
      <c r="M7399" t="s">
        <v>4393</v>
      </c>
      <c r="N7399" t="s">
        <v>4394</v>
      </c>
    </row>
    <row r="7400" spans="1:14" ht="60.75" customHeight="1">
      <c r="A7400" s="228" t="s">
        <v>4222</v>
      </c>
      <c r="B7400" s="565" t="str">
        <f>COSTOS!$D$16</f>
        <v>Luminarias</v>
      </c>
      <c r="C7400" s="565"/>
      <c r="D7400" s="565"/>
      <c r="E7400" s="565"/>
      <c r="F7400" s="565"/>
      <c r="G7400" s="70" t="s">
        <v>4223</v>
      </c>
      <c r="H7400" s="391">
        <v>3.32</v>
      </c>
      <c r="K7400" s="62">
        <f>H7426</f>
        <v>6248.927999999999</v>
      </c>
      <c r="L7400" s="62">
        <f>H7436</f>
        <v>3741.3375999999998</v>
      </c>
      <c r="M7400" s="62">
        <f>H7409</f>
        <v>424.346</v>
      </c>
      <c r="N7400" s="62">
        <f>H7430</f>
        <v>800</v>
      </c>
    </row>
    <row r="7401" spans="1:14" ht="43.15" customHeight="1">
      <c r="A7401" s="229" t="s">
        <v>4224</v>
      </c>
      <c r="B7401" s="566" t="str">
        <f>VLOOKUP(H7400,COSTOS!C:M,2,0)</f>
        <v>Red Aerea en cable cobre 8 x 500m</v>
      </c>
      <c r="C7401" s="567"/>
      <c r="D7401" s="567"/>
      <c r="E7401" s="568"/>
      <c r="F7401" s="71" t="s">
        <v>0</v>
      </c>
      <c r="G7401" s="356" t="str">
        <f>VLOOKUP(H7400,COSTOS!C:M,8,0)</f>
        <v>Und</v>
      </c>
      <c r="H7401" s="276"/>
      <c r="I7401" s="306"/>
      <c r="J7401" s="308"/>
      <c r="K7401" s="308"/>
      <c r="L7401" s="308"/>
    </row>
    <row r="7402" spans="1:14">
      <c r="A7402" s="230"/>
      <c r="B7402" s="112"/>
      <c r="C7402" s="112"/>
      <c r="D7402" s="112"/>
      <c r="E7402" s="113"/>
      <c r="F7402" s="114" t="s">
        <v>1</v>
      </c>
      <c r="G7402" s="356">
        <f>VLOOKUP(H7400,COSTOS!C:M,9,0)</f>
        <v>0</v>
      </c>
      <c r="H7402" s="357"/>
      <c r="I7402" s="307"/>
    </row>
    <row r="7403" spans="1:14" ht="16.5">
      <c r="A7403" s="231" t="s">
        <v>4226</v>
      </c>
      <c r="B7403" s="75"/>
      <c r="C7403" s="75"/>
      <c r="D7403" s="76"/>
      <c r="E7403" s="209"/>
      <c r="F7403" s="210"/>
      <c r="G7403" s="211" t="s">
        <v>4227</v>
      </c>
      <c r="H7403" s="217">
        <f>H7409+H7426+H7430+H7436</f>
        <v>11214.6116</v>
      </c>
    </row>
    <row r="7404" spans="1:14" ht="39">
      <c r="A7404" s="569" t="s">
        <v>4224</v>
      </c>
      <c r="B7404" s="569"/>
      <c r="C7404" s="569"/>
      <c r="D7404" s="77" t="s">
        <v>0</v>
      </c>
      <c r="E7404" s="207" t="s">
        <v>4228</v>
      </c>
      <c r="F7404" s="208" t="s">
        <v>4215</v>
      </c>
      <c r="G7404" s="74" t="s">
        <v>2</v>
      </c>
      <c r="H7404" s="218" t="s">
        <v>4229</v>
      </c>
      <c r="K7404" s="309"/>
    </row>
    <row r="7405" spans="1:14">
      <c r="A7405" s="536" t="s">
        <v>3946</v>
      </c>
      <c r="B7405" s="570" t="str">
        <f>VLOOKUP(A7405,'Equip, Herr y Transp'!$B$2:$D$739,2,0)</f>
        <v>EQU</v>
      </c>
      <c r="C7405" s="570"/>
      <c r="D7405" s="95" t="str">
        <f>VLOOKUP(A7405,'Equip, Herr y Transp'!$B$2:$D$218,2,0)</f>
        <v>EQU</v>
      </c>
      <c r="E7405" s="95">
        <f>VLOOKUP(A7405,'Equip, Herr y Transp'!$B$2:$D$218,3,0)</f>
        <v>14130</v>
      </c>
      <c r="F7405" s="96">
        <f>H7395</f>
        <v>1.04E-2</v>
      </c>
      <c r="G7405" s="122">
        <f>F7405*E7405</f>
        <v>146.952</v>
      </c>
      <c r="H7405" s="118"/>
    </row>
    <row r="7406" spans="1:14">
      <c r="A7406" s="536" t="s">
        <v>3904</v>
      </c>
      <c r="B7406" s="570" t="str">
        <f>VLOOKUP(A7406,'Equip, Herr y Transp'!$B$2:$D$739,2,0)</f>
        <v>EQU</v>
      </c>
      <c r="C7406" s="570"/>
      <c r="D7406" s="95" t="str">
        <f>VLOOKUP(A7406,'Equip, Herr y Transp'!$B$2:$D$218,2,0)</f>
        <v>EQU</v>
      </c>
      <c r="E7406" s="95">
        <f>VLOOKUP(A7406,'Equip, Herr y Transp'!$B$2:$D$218,3,0)</f>
        <v>26672.5</v>
      </c>
      <c r="F7406" s="96">
        <f>H7395</f>
        <v>1.04E-2</v>
      </c>
      <c r="G7406" s="122">
        <f>F7406*E7406</f>
        <v>277.39400000000001</v>
      </c>
      <c r="H7406" s="117"/>
    </row>
    <row r="7407" spans="1:14">
      <c r="A7407" s="536" t="s">
        <v>8</v>
      </c>
      <c r="B7407" s="570">
        <f>VLOOKUP(A7407,'Equip, Herr y Transp'!$B$2:$D$739,2,0)</f>
        <v>0</v>
      </c>
      <c r="C7407" s="570"/>
      <c r="D7407" s="95">
        <f>VLOOKUP(A7407,'Equip, Herr y Transp'!$B$2:$D$218,2,0)</f>
        <v>0</v>
      </c>
      <c r="E7407" s="95">
        <f>VLOOKUP(A7407,'Equip, Herr y Transp'!$B$2:$D$218,3,0)</f>
        <v>0</v>
      </c>
      <c r="F7407" s="96">
        <f>H7395</f>
        <v>1.04E-2</v>
      </c>
      <c r="G7407" s="122">
        <f>F7407*E7407</f>
        <v>0</v>
      </c>
      <c r="H7407" s="117"/>
    </row>
    <row r="7408" spans="1:14">
      <c r="A7408" s="536" t="s">
        <v>8</v>
      </c>
      <c r="B7408" s="570">
        <f>VLOOKUP(A7408,'Equip, Herr y Transp'!$B$2:$D$739,2,0)</f>
        <v>0</v>
      </c>
      <c r="C7408" s="570"/>
      <c r="D7408" s="95">
        <f>VLOOKUP(A7408,'Equip, Herr y Transp'!$B$2:$D$218,2,0)</f>
        <v>0</v>
      </c>
      <c r="E7408" s="95">
        <f>VLOOKUP(A7408,'Equip, Herr y Transp'!$B$2:$D$218,3,0)</f>
        <v>0</v>
      </c>
      <c r="F7408" s="96">
        <f>H7395</f>
        <v>1.04E-2</v>
      </c>
      <c r="G7408" s="122">
        <f>F7408*E7408</f>
        <v>0</v>
      </c>
      <c r="H7408" s="117"/>
    </row>
    <row r="7409" spans="1:15" ht="16.5">
      <c r="A7409" s="540" t="s">
        <v>4100</v>
      </c>
      <c r="B7409" s="541"/>
      <c r="C7409" s="541"/>
      <c r="D7409" s="541"/>
      <c r="E7409" s="541"/>
      <c r="F7409" s="541"/>
      <c r="G7409" s="541"/>
      <c r="H7409" s="97">
        <f>SUM(G7405:G7408)</f>
        <v>424.346</v>
      </c>
    </row>
    <row r="7410" spans="1:15" ht="16.5">
      <c r="A7410" s="571" t="s">
        <v>4230</v>
      </c>
      <c r="B7410" s="572"/>
      <c r="C7410" s="572"/>
      <c r="D7410" s="572"/>
      <c r="E7410" s="572"/>
      <c r="F7410" s="572"/>
      <c r="G7410" s="572"/>
      <c r="H7410" s="573"/>
      <c r="K7410" s="56"/>
      <c r="L7410" s="56"/>
      <c r="M7410" s="56"/>
      <c r="N7410" s="56"/>
      <c r="O7410" s="56"/>
    </row>
    <row r="7411" spans="1:15" ht="30" customHeight="1">
      <c r="A7411" s="574" t="s">
        <v>7</v>
      </c>
      <c r="B7411" s="575"/>
      <c r="C7411" s="109" t="s">
        <v>0</v>
      </c>
      <c r="D7411" s="110" t="s">
        <v>4098</v>
      </c>
      <c r="E7411" s="111" t="s">
        <v>1</v>
      </c>
      <c r="F7411" s="576" t="s">
        <v>4218</v>
      </c>
      <c r="G7411" s="576"/>
      <c r="H7411" s="215"/>
      <c r="K7411" s="56"/>
      <c r="L7411" s="56"/>
      <c r="M7411" s="56"/>
      <c r="N7411" s="56"/>
      <c r="O7411" s="56"/>
    </row>
    <row r="7412" spans="1:15">
      <c r="A7412" s="577" t="s">
        <v>4457</v>
      </c>
      <c r="B7412" s="578"/>
      <c r="C7412" s="98" t="str">
        <f>VLOOKUP(A7412,'Materiales '!$C$2:$F$1302,3,0)</f>
        <v>Ml</v>
      </c>
      <c r="D7412" s="99">
        <f>VLOOKUP(A7412,'Materiales '!$C$2:$F$1302,4,0)</f>
        <v>6248.927999999999</v>
      </c>
      <c r="E7412" s="100">
        <v>1</v>
      </c>
      <c r="F7412" s="538">
        <f>E7412*D7412</f>
        <v>6248.927999999999</v>
      </c>
      <c r="G7412" s="539"/>
      <c r="H7412" s="121"/>
      <c r="I7412">
        <f>E7412*G7402</f>
        <v>0</v>
      </c>
      <c r="J7412" s="67"/>
      <c r="K7412" s="56"/>
      <c r="L7412" s="56"/>
      <c r="M7412" s="56"/>
      <c r="N7412" s="56"/>
      <c r="O7412" s="56"/>
    </row>
    <row r="7413" spans="1:15">
      <c r="A7413" s="577" t="s">
        <v>8</v>
      </c>
      <c r="B7413" s="578"/>
      <c r="C7413" s="98" t="str">
        <f>VLOOKUP(A7413,'Materiales '!$C$2:$F$1302,3,0)</f>
        <v>-</v>
      </c>
      <c r="D7413" s="99">
        <f>VLOOKUP(A7413,'Materiales '!$C$2:$F$1302,4,0)</f>
        <v>0</v>
      </c>
      <c r="E7413" s="100">
        <f>3/25</f>
        <v>0.12</v>
      </c>
      <c r="F7413" s="538">
        <f t="shared" ref="F7413:F7419" si="433">E7413*D7413</f>
        <v>0</v>
      </c>
      <c r="G7413" s="539"/>
      <c r="H7413" s="121"/>
      <c r="I7413">
        <f>E7413*G7402</f>
        <v>0</v>
      </c>
      <c r="J7413" s="67"/>
      <c r="K7413" s="56"/>
      <c r="L7413" s="56"/>
      <c r="M7413" s="56"/>
      <c r="N7413" s="56"/>
      <c r="O7413" s="56"/>
    </row>
    <row r="7414" spans="1:15">
      <c r="A7414" s="536" t="s">
        <v>8</v>
      </c>
      <c r="B7414" s="537" t="str">
        <f>VLOOKUP(A7414,'Materiales '!$C$2:$F$1302,3,0)</f>
        <v>-</v>
      </c>
      <c r="C7414" s="98" t="str">
        <f>VLOOKUP(A7414,'Materiales '!$C$2:$F$1302,3,0)</f>
        <v>-</v>
      </c>
      <c r="D7414" s="99">
        <f>VLOOKUP(A7414,'Materiales '!$C$2:$F$1302,4,0)</f>
        <v>0</v>
      </c>
      <c r="E7414" s="100">
        <f>3/25</f>
        <v>0.12</v>
      </c>
      <c r="F7414" s="538">
        <f t="shared" si="433"/>
        <v>0</v>
      </c>
      <c r="G7414" s="539"/>
      <c r="H7414" s="121"/>
      <c r="I7414">
        <f>E7414*G7402</f>
        <v>0</v>
      </c>
      <c r="J7414" s="68"/>
      <c r="K7414" s="56"/>
      <c r="L7414" s="56"/>
      <c r="M7414" s="56"/>
      <c r="N7414" s="56"/>
      <c r="O7414" s="56"/>
    </row>
    <row r="7415" spans="1:15">
      <c r="A7415" s="536" t="s">
        <v>8</v>
      </c>
      <c r="B7415" s="537" t="str">
        <f>VLOOKUP(A7415,'Materiales '!$C$2:$F$1302,3,0)</f>
        <v>-</v>
      </c>
      <c r="C7415" s="98" t="str">
        <f>VLOOKUP(A7415,'Materiales '!$C$2:$F$1302,3,0)</f>
        <v>-</v>
      </c>
      <c r="D7415" s="99">
        <f>VLOOKUP(A7415,'Materiales '!$C$2:$F$1302,4,0)</f>
        <v>0</v>
      </c>
      <c r="E7415" s="100"/>
      <c r="F7415" s="538">
        <f t="shared" si="433"/>
        <v>0</v>
      </c>
      <c r="G7415" s="539"/>
      <c r="H7415" s="121"/>
      <c r="I7415">
        <f>E7415*G7402</f>
        <v>0</v>
      </c>
      <c r="J7415" s="68"/>
      <c r="K7415" s="56"/>
      <c r="L7415" s="56"/>
      <c r="M7415" s="56"/>
      <c r="N7415" s="56"/>
      <c r="O7415" s="56"/>
    </row>
    <row r="7416" spans="1:15">
      <c r="A7416" s="536" t="s">
        <v>8</v>
      </c>
      <c r="B7416" s="537" t="str">
        <f>VLOOKUP(A7416,'Materiales '!$C$2:$F$1302,3,0)</f>
        <v>-</v>
      </c>
      <c r="C7416" s="98" t="str">
        <f>VLOOKUP(A7416,'Materiales '!$C$2:$F$1302,3,0)</f>
        <v>-</v>
      </c>
      <c r="D7416" s="99">
        <f>VLOOKUP(A7416,'Materiales '!$C$2:$F$1302,4,0)</f>
        <v>0</v>
      </c>
      <c r="E7416" s="100"/>
      <c r="F7416" s="538">
        <f t="shared" si="433"/>
        <v>0</v>
      </c>
      <c r="G7416" s="539"/>
      <c r="H7416" s="121"/>
      <c r="I7416">
        <f>E7416*G7402</f>
        <v>0</v>
      </c>
      <c r="J7416" s="68"/>
      <c r="K7416" s="56"/>
      <c r="L7416" s="56"/>
      <c r="M7416" s="56"/>
      <c r="N7416" s="56"/>
      <c r="O7416" s="56"/>
    </row>
    <row r="7417" spans="1:15">
      <c r="A7417" s="536" t="s">
        <v>8</v>
      </c>
      <c r="B7417" s="537" t="str">
        <f>VLOOKUP(A7417,'Materiales '!$C$2:$F$1302,3,0)</f>
        <v>-</v>
      </c>
      <c r="C7417" s="98" t="str">
        <f>VLOOKUP(A7417,'Materiales '!$C$2:$F$1302,3,0)</f>
        <v>-</v>
      </c>
      <c r="D7417" s="99">
        <f>VLOOKUP(A7417,'Materiales '!$C$2:$F$1302,4,0)</f>
        <v>0</v>
      </c>
      <c r="E7417" s="100"/>
      <c r="F7417" s="538">
        <f t="shared" si="433"/>
        <v>0</v>
      </c>
      <c r="G7417" s="539"/>
      <c r="H7417" s="121"/>
      <c r="I7417">
        <f>E7417*G7402</f>
        <v>0</v>
      </c>
      <c r="J7417" s="68"/>
      <c r="K7417" s="56"/>
      <c r="L7417" s="56"/>
      <c r="M7417" s="56"/>
      <c r="N7417" s="56"/>
      <c r="O7417" s="56"/>
    </row>
    <row r="7418" spans="1:15">
      <c r="A7418" s="536" t="s">
        <v>8</v>
      </c>
      <c r="B7418" s="537" t="str">
        <f>VLOOKUP(A7418,'Materiales '!$C$2:$F$1302,3,0)</f>
        <v>-</v>
      </c>
      <c r="C7418" s="98" t="str">
        <f>VLOOKUP(A7418,'Materiales '!$C$2:$F$1302,3,0)</f>
        <v>-</v>
      </c>
      <c r="D7418" s="99">
        <f>VLOOKUP(A7418,'Materiales '!$C$2:$F$1302,4,0)</f>
        <v>0</v>
      </c>
      <c r="E7418" s="100"/>
      <c r="F7418" s="538">
        <f t="shared" si="433"/>
        <v>0</v>
      </c>
      <c r="G7418" s="539"/>
      <c r="H7418" s="121"/>
      <c r="I7418">
        <f>E7418*G7402</f>
        <v>0</v>
      </c>
      <c r="J7418" s="68"/>
      <c r="K7418" s="56"/>
      <c r="L7418" s="56"/>
      <c r="M7418" s="56"/>
      <c r="N7418" s="56"/>
      <c r="O7418" s="56"/>
    </row>
    <row r="7419" spans="1:15" ht="21.75" customHeight="1">
      <c r="A7419" s="536" t="s">
        <v>8</v>
      </c>
      <c r="B7419" s="537" t="str">
        <f>VLOOKUP(A7419,'Materiales '!$C$2:$F$1302,3,0)</f>
        <v>-</v>
      </c>
      <c r="C7419" s="98" t="str">
        <f>VLOOKUP(A7419,'Materiales '!$C$2:$F$1302,3,0)</f>
        <v>-</v>
      </c>
      <c r="D7419" s="99">
        <f>VLOOKUP(A7419,'Materiales '!$C$2:$F$1302,4,0)</f>
        <v>0</v>
      </c>
      <c r="E7419" s="100"/>
      <c r="F7419" s="538">
        <f t="shared" si="433"/>
        <v>0</v>
      </c>
      <c r="G7419" s="539"/>
      <c r="H7419" s="121"/>
      <c r="I7419">
        <f>E7419*G7402</f>
        <v>0</v>
      </c>
      <c r="J7419" s="68"/>
      <c r="K7419" s="56"/>
      <c r="L7419" s="56"/>
      <c r="M7419" s="56"/>
      <c r="N7419" s="56"/>
      <c r="O7419" s="56"/>
    </row>
    <row r="7420" spans="1:15">
      <c r="A7420" s="536" t="s">
        <v>8</v>
      </c>
      <c r="B7420" s="537" t="str">
        <f>VLOOKUP(A7420,'Materiales '!$C$2:$F$1302,3,0)</f>
        <v>-</v>
      </c>
      <c r="C7420" s="98" t="str">
        <f>VLOOKUP(A7420,'Materiales '!$C$2:$F$1302,3,0)</f>
        <v>-</v>
      </c>
      <c r="D7420" s="99">
        <f>VLOOKUP(A7420,'Materiales '!$C$2:$F$1302,4,0)</f>
        <v>0</v>
      </c>
      <c r="E7420" s="100"/>
      <c r="F7420" s="538">
        <f>E7420*D7420</f>
        <v>0</v>
      </c>
      <c r="G7420" s="539"/>
      <c r="H7420" s="120"/>
      <c r="I7420">
        <f>E7420*G7402</f>
        <v>0</v>
      </c>
      <c r="J7420" s="68"/>
      <c r="K7420" s="56"/>
      <c r="L7420" s="56"/>
      <c r="M7420" s="56"/>
      <c r="N7420" s="56"/>
      <c r="O7420" s="56"/>
    </row>
    <row r="7421" spans="1:15">
      <c r="A7421" s="536" t="s">
        <v>8</v>
      </c>
      <c r="B7421" s="537" t="str">
        <f>VLOOKUP(A7421,'Materiales '!$C$2:$F$1302,3,0)</f>
        <v>-</v>
      </c>
      <c r="C7421" s="98" t="str">
        <f>VLOOKUP(A7421,'Materiales '!$C$2:$F$1302,3,0)</f>
        <v>-</v>
      </c>
      <c r="D7421" s="99">
        <f>VLOOKUP(A7421,'Materiales '!$C$2:$F$1302,4,0)</f>
        <v>0</v>
      </c>
      <c r="E7421" s="100"/>
      <c r="F7421" s="538">
        <f t="shared" ref="F7421:F7424" si="434">E7421*D7421</f>
        <v>0</v>
      </c>
      <c r="G7421" s="539"/>
      <c r="H7421" s="121"/>
      <c r="I7421">
        <f>E7421*G7402</f>
        <v>0</v>
      </c>
      <c r="J7421" s="68"/>
      <c r="K7421" s="56"/>
      <c r="L7421" s="56"/>
      <c r="M7421" s="56"/>
      <c r="N7421" s="56"/>
      <c r="O7421" s="56"/>
    </row>
    <row r="7422" spans="1:15">
      <c r="A7422" s="536" t="s">
        <v>8</v>
      </c>
      <c r="B7422" s="537" t="str">
        <f>VLOOKUP(A7422,'Materiales '!$C$2:$F$1302,3,0)</f>
        <v>-</v>
      </c>
      <c r="C7422" s="98" t="str">
        <f>VLOOKUP(A7422,'Materiales '!$C$2:$F$1302,3,0)</f>
        <v>-</v>
      </c>
      <c r="D7422" s="99">
        <f>VLOOKUP(A7422,'Materiales '!$C$2:$F$1302,4,0)</f>
        <v>0</v>
      </c>
      <c r="E7422" s="100"/>
      <c r="F7422" s="538">
        <f t="shared" si="434"/>
        <v>0</v>
      </c>
      <c r="G7422" s="539"/>
      <c r="H7422" s="121"/>
      <c r="I7422">
        <f>E7422*G7402</f>
        <v>0</v>
      </c>
      <c r="J7422" s="68"/>
      <c r="K7422" s="56"/>
      <c r="L7422" s="56"/>
      <c r="M7422" s="56"/>
      <c r="N7422" s="56"/>
      <c r="O7422" s="56"/>
    </row>
    <row r="7423" spans="1:15">
      <c r="A7423" s="536" t="s">
        <v>8</v>
      </c>
      <c r="B7423" s="537" t="str">
        <f>VLOOKUP(A7423,'Materiales '!$C$2:$F$1302,3,0)</f>
        <v>-</v>
      </c>
      <c r="C7423" s="98" t="str">
        <f>VLOOKUP(A7423,'Materiales '!$C$2:$F$1302,3,0)</f>
        <v>-</v>
      </c>
      <c r="D7423" s="99">
        <f>VLOOKUP(A7423,'Materiales '!$C$2:$F$1302,4,0)</f>
        <v>0</v>
      </c>
      <c r="E7423" s="100"/>
      <c r="F7423" s="538">
        <f t="shared" si="434"/>
        <v>0</v>
      </c>
      <c r="G7423" s="539"/>
      <c r="H7423" s="121"/>
      <c r="I7423">
        <f>E7423*G7402</f>
        <v>0</v>
      </c>
      <c r="J7423" s="68"/>
      <c r="K7423" s="56"/>
      <c r="L7423" s="56"/>
      <c r="M7423" s="56"/>
      <c r="N7423" s="56"/>
      <c r="O7423" s="56"/>
    </row>
    <row r="7424" spans="1:15">
      <c r="A7424" s="536" t="s">
        <v>8</v>
      </c>
      <c r="B7424" s="537" t="str">
        <f>VLOOKUP(A7424,'Materiales '!$C$2:$F$1302,3,0)</f>
        <v>-</v>
      </c>
      <c r="C7424" s="98" t="str">
        <f>VLOOKUP(A7424,'Materiales '!$C$2:$F$1302,3,0)</f>
        <v>-</v>
      </c>
      <c r="D7424" s="99">
        <f>VLOOKUP(A7424,'Materiales '!$C$2:$F$1302,4,0)</f>
        <v>0</v>
      </c>
      <c r="E7424" s="100"/>
      <c r="F7424" s="538">
        <f t="shared" si="434"/>
        <v>0</v>
      </c>
      <c r="G7424" s="539"/>
      <c r="H7424" s="121"/>
      <c r="I7424">
        <f>E7424*G7402</f>
        <v>0</v>
      </c>
      <c r="J7424" s="68"/>
      <c r="K7424" s="56"/>
      <c r="L7424" s="56"/>
      <c r="M7424" s="56"/>
      <c r="N7424" s="56"/>
      <c r="O7424" s="56"/>
    </row>
    <row r="7425" spans="1:15">
      <c r="A7425" s="536" t="s">
        <v>8</v>
      </c>
      <c r="B7425" s="537" t="str">
        <f>VLOOKUP(A7425,'Materiales '!$C$2:$F$1302,3,0)</f>
        <v>-</v>
      </c>
      <c r="C7425" s="98" t="str">
        <f>VLOOKUP(A7425,'Materiales '!$C$2:$F$1302,3,0)</f>
        <v>-</v>
      </c>
      <c r="D7425" s="99">
        <f>VLOOKUP(A7425,'Materiales '!$C$2:$F$1302,4,0)</f>
        <v>0</v>
      </c>
      <c r="E7425" s="100"/>
      <c r="F7425" s="538">
        <f>E7425*D7425</f>
        <v>0</v>
      </c>
      <c r="G7425" s="539"/>
      <c r="H7425" s="120"/>
      <c r="I7425">
        <f>E7425*G7402</f>
        <v>0</v>
      </c>
      <c r="J7425" s="68"/>
      <c r="K7425" s="56"/>
      <c r="L7425" s="56"/>
      <c r="M7425" s="56"/>
      <c r="N7425" s="56"/>
      <c r="O7425" s="56"/>
    </row>
    <row r="7426" spans="1:15" ht="16.5">
      <c r="A7426" s="540" t="s">
        <v>4099</v>
      </c>
      <c r="B7426" s="541"/>
      <c r="C7426" s="541"/>
      <c r="D7426" s="541"/>
      <c r="E7426" s="541"/>
      <c r="F7426" s="541"/>
      <c r="G7426" s="542"/>
      <c r="H7426" s="116">
        <f>SUM(F7412:F7425)</f>
        <v>6248.927999999999</v>
      </c>
      <c r="J7426" s="68"/>
      <c r="K7426" s="56"/>
      <c r="L7426" s="56"/>
      <c r="M7426" s="56"/>
      <c r="N7426" s="56"/>
      <c r="O7426" s="56"/>
    </row>
    <row r="7427" spans="1:15" ht="16.5">
      <c r="A7427" s="543" t="s">
        <v>4231</v>
      </c>
      <c r="B7427" s="544"/>
      <c r="C7427" s="544"/>
      <c r="D7427" s="544"/>
      <c r="E7427" s="545"/>
      <c r="F7427" s="544"/>
      <c r="G7427" s="544"/>
      <c r="H7427" s="546"/>
      <c r="J7427" s="68"/>
      <c r="K7427" s="56"/>
      <c r="L7427" s="56"/>
      <c r="M7427" s="56"/>
      <c r="N7427" s="56"/>
      <c r="O7427" s="56"/>
    </row>
    <row r="7428" spans="1:15">
      <c r="A7428" s="547" t="s">
        <v>7</v>
      </c>
      <c r="B7428" s="548"/>
      <c r="C7428" s="108" t="s">
        <v>4232</v>
      </c>
      <c r="D7428" s="107" t="s">
        <v>4233</v>
      </c>
      <c r="E7428" s="206" t="s">
        <v>4234</v>
      </c>
      <c r="F7428" s="549" t="s">
        <v>4218</v>
      </c>
      <c r="G7428" s="549"/>
      <c r="H7428" s="119"/>
      <c r="K7428" s="56"/>
      <c r="L7428" s="56"/>
      <c r="M7428" s="56"/>
      <c r="N7428" s="56"/>
      <c r="O7428" s="56"/>
    </row>
    <row r="7429" spans="1:15">
      <c r="A7429" s="550" t="s">
        <v>3928</v>
      </c>
      <c r="B7429" s="551"/>
      <c r="C7429" s="232">
        <v>1</v>
      </c>
      <c r="D7429" s="102">
        <v>5.0000000000000001E-3</v>
      </c>
      <c r="E7429" s="103">
        <f>VLOOKUP(A7429,'Equip, Herr y Transp'!$B$2:$D$218,3,0)</f>
        <v>160000</v>
      </c>
      <c r="F7429" s="552">
        <f>E7429*D7429*C7429</f>
        <v>800</v>
      </c>
      <c r="G7429" s="553"/>
      <c r="H7429" s="117"/>
      <c r="M7429" s="56"/>
    </row>
    <row r="7430" spans="1:15" ht="16.5">
      <c r="A7430" s="554" t="s">
        <v>4216</v>
      </c>
      <c r="B7430" s="555"/>
      <c r="C7430" s="555"/>
      <c r="D7430" s="555"/>
      <c r="E7430" s="555"/>
      <c r="F7430" s="555"/>
      <c r="G7430" s="555"/>
      <c r="H7430" s="105">
        <f>F7429</f>
        <v>800</v>
      </c>
    </row>
    <row r="7431" spans="1:15" ht="16.5">
      <c r="A7431" s="543" t="s">
        <v>4235</v>
      </c>
      <c r="B7431" s="544"/>
      <c r="C7431" s="544"/>
      <c r="D7431" s="544"/>
      <c r="E7431" s="544"/>
      <c r="F7431" s="544"/>
      <c r="G7431" s="544"/>
      <c r="H7431" s="546"/>
    </row>
    <row r="7432" spans="1:15">
      <c r="A7432" s="547" t="s">
        <v>7</v>
      </c>
      <c r="B7432" s="548"/>
      <c r="C7432" s="106" t="s">
        <v>1</v>
      </c>
      <c r="D7432" s="107" t="s">
        <v>4236</v>
      </c>
      <c r="E7432" s="108" t="s">
        <v>4215</v>
      </c>
      <c r="F7432" s="547" t="s">
        <v>5</v>
      </c>
      <c r="G7432" s="556"/>
      <c r="H7432" s="119"/>
    </row>
    <row r="7433" spans="1:15">
      <c r="A7433" s="550" t="s">
        <v>4196</v>
      </c>
      <c r="B7433" s="551"/>
      <c r="C7433" s="101">
        <v>1</v>
      </c>
      <c r="D7433" s="104">
        <f>VLOOKUP(A7433,'Mano Obra'!$B$2:$T$117,19,0)</f>
        <v>166624</v>
      </c>
      <c r="E7433" s="246">
        <f>H7395</f>
        <v>1.04E-2</v>
      </c>
      <c r="F7433" s="538">
        <f>E7433*D7433*C7433</f>
        <v>1732.8896</v>
      </c>
      <c r="G7433" s="557"/>
      <c r="H7433" s="121"/>
      <c r="I7433" s="69"/>
      <c r="J7433" s="136">
        <f>((('Mano Obra'!$M$4/30)*F7433)/D7433)*G7402</f>
        <v>0</v>
      </c>
    </row>
    <row r="7434" spans="1:15">
      <c r="A7434" s="558" t="s">
        <v>4197</v>
      </c>
      <c r="B7434" s="559">
        <f>VLOOKUP(A7434,'Mano Obra'!$B$3:$D$290,2,0)</f>
        <v>2090000.0000000002</v>
      </c>
      <c r="C7434" s="101">
        <v>1</v>
      </c>
      <c r="D7434" s="104">
        <f>VLOOKUP(A7434,'Mano Obra'!$B$2:$T$117,19,0)</f>
        <v>120456</v>
      </c>
      <c r="E7434" s="246">
        <f>H7395</f>
        <v>1.04E-2</v>
      </c>
      <c r="F7434" s="538">
        <f t="shared" ref="F7434:F7435" si="435">E7434*D7434*C7434</f>
        <v>1252.7423999999999</v>
      </c>
      <c r="G7434" s="557"/>
      <c r="H7434" s="121"/>
      <c r="J7434" s="136">
        <f>((('Mano Obra'!$M$5/30)*F7434)/D7434)*G7402</f>
        <v>0</v>
      </c>
    </row>
    <row r="7435" spans="1:15">
      <c r="A7435" s="558" t="s">
        <v>4186</v>
      </c>
      <c r="B7435" s="559">
        <f>VLOOKUP(A7435,'Mano Obra'!$B$3:$D$290,2,0)</f>
        <v>1100000</v>
      </c>
      <c r="C7435" s="101">
        <v>1</v>
      </c>
      <c r="D7435" s="104">
        <f>VLOOKUP(A7435,'Mano Obra'!$B$2:$T$117,19,0)</f>
        <v>72664</v>
      </c>
      <c r="E7435" s="246">
        <f>H7395</f>
        <v>1.04E-2</v>
      </c>
      <c r="F7435" s="538">
        <f t="shared" si="435"/>
        <v>755.7056</v>
      </c>
      <c r="G7435" s="557"/>
      <c r="H7435" s="120"/>
      <c r="J7435" s="136">
        <f>((('Mano Obra'!$M$6/30)*F7435)/D7435)*G7402</f>
        <v>0</v>
      </c>
    </row>
    <row r="7436" spans="1:15" ht="16.5">
      <c r="A7436" s="560" t="s">
        <v>4101</v>
      </c>
      <c r="B7436" s="560"/>
      <c r="C7436" s="560"/>
      <c r="D7436" s="560"/>
      <c r="E7436" s="560"/>
      <c r="F7436" s="560"/>
      <c r="G7436" s="560"/>
      <c r="H7436" s="105">
        <f>SUM(F7433:F7435)</f>
        <v>3741.3375999999998</v>
      </c>
      <c r="J7436" s="136"/>
    </row>
    <row r="7437" spans="1:15">
      <c r="A7437" s="227" t="s">
        <v>4237</v>
      </c>
      <c r="B7437" s="205"/>
      <c r="C7437" s="205"/>
      <c r="D7437" s="202"/>
      <c r="E7437" s="203"/>
      <c r="F7437" s="204"/>
      <c r="G7437" s="203"/>
      <c r="H7437" s="212"/>
    </row>
    <row r="7438" spans="1:15">
      <c r="A7438" s="561" t="s">
        <v>4224</v>
      </c>
      <c r="B7438" s="562"/>
      <c r="C7438" s="562"/>
      <c r="D7438" s="562"/>
      <c r="E7438" s="200"/>
      <c r="F7438" s="201" t="s">
        <v>4238</v>
      </c>
      <c r="G7438" s="200" t="s">
        <v>4239</v>
      </c>
      <c r="H7438" s="213"/>
    </row>
    <row r="7439" spans="1:15">
      <c r="A7439" s="223" t="s">
        <v>4097</v>
      </c>
      <c r="B7439" s="72"/>
      <c r="C7439" s="72"/>
      <c r="D7439" s="73"/>
      <c r="E7439" s="78"/>
      <c r="F7439" s="79">
        <v>0</v>
      </c>
      <c r="G7439" s="80">
        <f>F7439*H7403</f>
        <v>0</v>
      </c>
      <c r="H7439" s="212"/>
    </row>
    <row r="7440" spans="1:15">
      <c r="A7440" s="224" t="s">
        <v>4240</v>
      </c>
      <c r="B7440" s="81"/>
      <c r="C7440" s="81"/>
      <c r="D7440" s="82"/>
      <c r="E7440" s="78"/>
      <c r="F7440" s="79">
        <v>0</v>
      </c>
      <c r="G7440" s="80">
        <f>F7440*H7403</f>
        <v>0</v>
      </c>
      <c r="H7440" s="212"/>
    </row>
    <row r="7441" spans="1:14">
      <c r="A7441" s="224" t="s">
        <v>4</v>
      </c>
      <c r="B7441" s="81"/>
      <c r="C7441" s="81"/>
      <c r="D7441" s="82"/>
      <c r="E7441" s="78"/>
      <c r="F7441" s="79">
        <v>0</v>
      </c>
      <c r="G7441" s="80">
        <f>F7441*H7403</f>
        <v>0</v>
      </c>
      <c r="H7441" s="212"/>
    </row>
    <row r="7442" spans="1:14">
      <c r="A7442" s="225"/>
      <c r="B7442" s="83"/>
      <c r="C7442" s="75"/>
      <c r="D7442" s="84"/>
      <c r="E7442" s="85"/>
      <c r="F7442" s="86"/>
      <c r="G7442" s="87"/>
      <c r="H7442" s="214"/>
    </row>
    <row r="7443" spans="1:14">
      <c r="A7443" s="226"/>
      <c r="B7443" s="83"/>
      <c r="C7443" s="83"/>
      <c r="D7443" s="84"/>
      <c r="E7443" s="88"/>
      <c r="F7443" s="563" t="s">
        <v>4241</v>
      </c>
      <c r="G7443" s="564"/>
      <c r="H7443" s="233">
        <f>H7403+G7439+G7440+G7441</f>
        <v>11214.6116</v>
      </c>
    </row>
    <row r="7444" spans="1:14" ht="17.25" customHeight="1"/>
    <row r="7445" spans="1:14" ht="16.5">
      <c r="A7445" s="90"/>
      <c r="B7445" s="90"/>
      <c r="C7445" s="90"/>
      <c r="D7445" s="90"/>
      <c r="E7445" s="90"/>
      <c r="F7445" s="90"/>
      <c r="G7445" s="90"/>
      <c r="H7445" s="381"/>
    </row>
    <row r="7446" spans="1:14">
      <c r="A7446" s="579" t="s">
        <v>4225</v>
      </c>
      <c r="B7446" s="580"/>
      <c r="C7446" s="580"/>
      <c r="D7446" s="580"/>
      <c r="E7446" s="580"/>
      <c r="F7446" s="580"/>
      <c r="G7446" s="580"/>
      <c r="H7446" s="581"/>
    </row>
    <row r="7447" spans="1:14" ht="16.5">
      <c r="A7447" s="91"/>
      <c r="B7447" s="92"/>
      <c r="C7447" s="92"/>
      <c r="D7447" s="92"/>
      <c r="E7447" s="92"/>
      <c r="F7447" s="93"/>
      <c r="G7447" s="94"/>
      <c r="H7447" s="380">
        <f>ROUND((4/60)/8,4)</f>
        <v>8.3000000000000001E-3</v>
      </c>
      <c r="I7447" s="115"/>
    </row>
    <row r="7448" spans="1:14">
      <c r="A7448" s="582" t="s">
        <v>4220</v>
      </c>
      <c r="B7448" s="584" t="str">
        <f>COSTOS!$C$14</f>
        <v>MODERNIZACION A TECNOLOGIA LED</v>
      </c>
      <c r="C7448" s="584"/>
      <c r="D7448" s="584"/>
      <c r="E7448" s="584"/>
      <c r="F7448" s="584"/>
      <c r="G7448" s="584"/>
      <c r="H7448" s="585" t="s">
        <v>4221</v>
      </c>
    </row>
    <row r="7449" spans="1:14">
      <c r="A7449" s="583"/>
      <c r="B7449" s="584"/>
      <c r="C7449" s="584"/>
      <c r="D7449" s="584"/>
      <c r="E7449" s="584"/>
      <c r="F7449" s="584"/>
      <c r="G7449" s="584"/>
      <c r="H7449" s="585"/>
    </row>
    <row r="7450" spans="1:14">
      <c r="A7450" s="583"/>
      <c r="B7450" s="584"/>
      <c r="C7450" s="584"/>
      <c r="D7450" s="584"/>
      <c r="E7450" s="584"/>
      <c r="F7450" s="584"/>
      <c r="G7450" s="584"/>
      <c r="H7450" s="585"/>
    </row>
    <row r="7451" spans="1:14" ht="15" customHeight="1">
      <c r="A7451" s="583"/>
      <c r="B7451" s="584"/>
      <c r="C7451" s="584"/>
      <c r="D7451" s="584"/>
      <c r="E7451" s="584"/>
      <c r="F7451" s="584"/>
      <c r="G7451" s="584"/>
      <c r="H7451" s="216">
        <f ca="1">TODAY()</f>
        <v>44889</v>
      </c>
      <c r="K7451" t="s">
        <v>4391</v>
      </c>
      <c r="L7451" t="s">
        <v>4392</v>
      </c>
      <c r="M7451" t="s">
        <v>4393</v>
      </c>
      <c r="N7451" t="s">
        <v>4394</v>
      </c>
    </row>
    <row r="7452" spans="1:14" ht="60.75" customHeight="1">
      <c r="A7452" s="228" t="s">
        <v>4222</v>
      </c>
      <c r="B7452" s="565" t="str">
        <f>COSTOS!$D$16</f>
        <v>Luminarias</v>
      </c>
      <c r="C7452" s="565"/>
      <c r="D7452" s="565"/>
      <c r="E7452" s="565"/>
      <c r="F7452" s="565"/>
      <c r="G7452" s="70" t="s">
        <v>4223</v>
      </c>
      <c r="H7452" s="391">
        <v>3.33</v>
      </c>
      <c r="K7452" s="62">
        <f>H7478</f>
        <v>4569.5999999999995</v>
      </c>
      <c r="L7452" s="62">
        <f>H7488</f>
        <v>2985.8752000000004</v>
      </c>
      <c r="M7452" s="62">
        <f>H7461</f>
        <v>338.66075000000001</v>
      </c>
      <c r="N7452" s="62">
        <f>H7482</f>
        <v>800</v>
      </c>
    </row>
    <row r="7453" spans="1:14" ht="43.15" customHeight="1">
      <c r="A7453" s="229" t="s">
        <v>4224</v>
      </c>
      <c r="B7453" s="566" t="str">
        <f>VLOOKUP(H7452,COSTOS!C:M,2,0)</f>
        <v>Red en cable encauchetado 2x14 x 500m</v>
      </c>
      <c r="C7453" s="567"/>
      <c r="D7453" s="567"/>
      <c r="E7453" s="568"/>
      <c r="F7453" s="71" t="s">
        <v>0</v>
      </c>
      <c r="G7453" s="356" t="str">
        <f>VLOOKUP(H7452,COSTOS!C:M,8,0)</f>
        <v>Und</v>
      </c>
      <c r="H7453" s="276"/>
      <c r="I7453" s="306"/>
      <c r="J7453" s="308"/>
      <c r="K7453" s="308"/>
      <c r="L7453" s="308"/>
    </row>
    <row r="7454" spans="1:14">
      <c r="A7454" s="230"/>
      <c r="B7454" s="112"/>
      <c r="C7454" s="112"/>
      <c r="D7454" s="112"/>
      <c r="E7454" s="113"/>
      <c r="F7454" s="114" t="s">
        <v>1</v>
      </c>
      <c r="G7454" s="356">
        <f>VLOOKUP(H7452,COSTOS!C:M,9,0)</f>
        <v>0</v>
      </c>
      <c r="H7454" s="357"/>
      <c r="I7454" s="307"/>
    </row>
    <row r="7455" spans="1:14" ht="16.5">
      <c r="A7455" s="231" t="s">
        <v>4226</v>
      </c>
      <c r="B7455" s="75"/>
      <c r="C7455" s="75"/>
      <c r="D7455" s="76"/>
      <c r="E7455" s="209"/>
      <c r="F7455" s="210"/>
      <c r="G7455" s="211" t="s">
        <v>4227</v>
      </c>
      <c r="H7455" s="217">
        <f>H7461+H7478+H7482+H7488</f>
        <v>8694.1359499999999</v>
      </c>
    </row>
    <row r="7456" spans="1:14" ht="39">
      <c r="A7456" s="569" t="s">
        <v>4224</v>
      </c>
      <c r="B7456" s="569"/>
      <c r="C7456" s="569"/>
      <c r="D7456" s="77" t="s">
        <v>0</v>
      </c>
      <c r="E7456" s="207" t="s">
        <v>4228</v>
      </c>
      <c r="F7456" s="208" t="s">
        <v>4215</v>
      </c>
      <c r="G7456" s="74" t="s">
        <v>2</v>
      </c>
      <c r="H7456" s="218" t="s">
        <v>4229</v>
      </c>
      <c r="K7456" s="309"/>
    </row>
    <row r="7457" spans="1:15">
      <c r="A7457" s="536" t="s">
        <v>3946</v>
      </c>
      <c r="B7457" s="570" t="str">
        <f>VLOOKUP(A7457,'Equip, Herr y Transp'!$B$2:$D$739,2,0)</f>
        <v>EQU</v>
      </c>
      <c r="C7457" s="570"/>
      <c r="D7457" s="95" t="str">
        <f>VLOOKUP(A7457,'Equip, Herr y Transp'!$B$2:$D$218,2,0)</f>
        <v>EQU</v>
      </c>
      <c r="E7457" s="95">
        <f>VLOOKUP(A7457,'Equip, Herr y Transp'!$B$2:$D$218,3,0)</f>
        <v>14130</v>
      </c>
      <c r="F7457" s="96">
        <f>H7447</f>
        <v>8.3000000000000001E-3</v>
      </c>
      <c r="G7457" s="122">
        <f>F7457*E7457</f>
        <v>117.279</v>
      </c>
      <c r="H7457" s="118"/>
    </row>
    <row r="7458" spans="1:15">
      <c r="A7458" s="536" t="s">
        <v>3904</v>
      </c>
      <c r="B7458" s="570" t="str">
        <f>VLOOKUP(A7458,'Equip, Herr y Transp'!$B$2:$D$739,2,0)</f>
        <v>EQU</v>
      </c>
      <c r="C7458" s="570"/>
      <c r="D7458" s="95" t="str">
        <f>VLOOKUP(A7458,'Equip, Herr y Transp'!$B$2:$D$218,2,0)</f>
        <v>EQU</v>
      </c>
      <c r="E7458" s="95">
        <f>VLOOKUP(A7458,'Equip, Herr y Transp'!$B$2:$D$218,3,0)</f>
        <v>26672.5</v>
      </c>
      <c r="F7458" s="96">
        <f>H7447</f>
        <v>8.3000000000000001E-3</v>
      </c>
      <c r="G7458" s="122">
        <f>F7458*E7458</f>
        <v>221.38175000000001</v>
      </c>
      <c r="H7458" s="117"/>
    </row>
    <row r="7459" spans="1:15">
      <c r="A7459" s="536" t="s">
        <v>8</v>
      </c>
      <c r="B7459" s="570">
        <f>VLOOKUP(A7459,'Equip, Herr y Transp'!$B$2:$D$739,2,0)</f>
        <v>0</v>
      </c>
      <c r="C7459" s="570"/>
      <c r="D7459" s="95">
        <f>VLOOKUP(A7459,'Equip, Herr y Transp'!$B$2:$D$218,2,0)</f>
        <v>0</v>
      </c>
      <c r="E7459" s="95">
        <f>VLOOKUP(A7459,'Equip, Herr y Transp'!$B$2:$D$218,3,0)</f>
        <v>0</v>
      </c>
      <c r="F7459" s="96">
        <f>H7447</f>
        <v>8.3000000000000001E-3</v>
      </c>
      <c r="G7459" s="122">
        <f>F7459*E7459</f>
        <v>0</v>
      </c>
      <c r="H7459" s="117"/>
    </row>
    <row r="7460" spans="1:15">
      <c r="A7460" s="536" t="s">
        <v>8</v>
      </c>
      <c r="B7460" s="570">
        <f>VLOOKUP(A7460,'Equip, Herr y Transp'!$B$2:$D$739,2,0)</f>
        <v>0</v>
      </c>
      <c r="C7460" s="570"/>
      <c r="D7460" s="95">
        <f>VLOOKUP(A7460,'Equip, Herr y Transp'!$B$2:$D$218,2,0)</f>
        <v>0</v>
      </c>
      <c r="E7460" s="95">
        <f>VLOOKUP(A7460,'Equip, Herr y Transp'!$B$2:$D$218,3,0)</f>
        <v>0</v>
      </c>
      <c r="F7460" s="96">
        <f>H7447</f>
        <v>8.3000000000000001E-3</v>
      </c>
      <c r="G7460" s="122">
        <f>F7460*E7460</f>
        <v>0</v>
      </c>
      <c r="H7460" s="117"/>
    </row>
    <row r="7461" spans="1:15" ht="16.5">
      <c r="A7461" s="540" t="s">
        <v>4100</v>
      </c>
      <c r="B7461" s="541"/>
      <c r="C7461" s="541"/>
      <c r="D7461" s="541"/>
      <c r="E7461" s="541"/>
      <c r="F7461" s="541"/>
      <c r="G7461" s="541"/>
      <c r="H7461" s="97">
        <f>SUM(G7457:G7460)</f>
        <v>338.66075000000001</v>
      </c>
    </row>
    <row r="7462" spans="1:15" ht="16.5">
      <c r="A7462" s="571" t="s">
        <v>4230</v>
      </c>
      <c r="B7462" s="572"/>
      <c r="C7462" s="572"/>
      <c r="D7462" s="572"/>
      <c r="E7462" s="572"/>
      <c r="F7462" s="572"/>
      <c r="G7462" s="572"/>
      <c r="H7462" s="573"/>
      <c r="K7462" s="56"/>
      <c r="L7462" s="56"/>
      <c r="M7462" s="56"/>
      <c r="N7462" s="56"/>
      <c r="O7462" s="56"/>
    </row>
    <row r="7463" spans="1:15" ht="30" customHeight="1">
      <c r="A7463" s="574" t="s">
        <v>7</v>
      </c>
      <c r="B7463" s="575"/>
      <c r="C7463" s="109" t="s">
        <v>0</v>
      </c>
      <c r="D7463" s="110" t="s">
        <v>4098</v>
      </c>
      <c r="E7463" s="111" t="s">
        <v>1</v>
      </c>
      <c r="F7463" s="576" t="s">
        <v>4218</v>
      </c>
      <c r="G7463" s="576"/>
      <c r="H7463" s="215"/>
      <c r="K7463" s="56"/>
      <c r="L7463" s="56"/>
      <c r="M7463" s="56"/>
      <c r="N7463" s="56"/>
      <c r="O7463" s="56"/>
    </row>
    <row r="7464" spans="1:15">
      <c r="A7464" s="577" t="s">
        <v>4809</v>
      </c>
      <c r="B7464" s="578"/>
      <c r="C7464" s="98" t="str">
        <f>VLOOKUP(A7464,'Materiales '!$C$2:$F$1302,3,0)</f>
        <v>Ml</v>
      </c>
      <c r="D7464" s="99">
        <f>VLOOKUP(A7464,'Materiales '!$C$2:$F$1302,4,0)</f>
        <v>4569.5999999999995</v>
      </c>
      <c r="E7464" s="100">
        <v>1</v>
      </c>
      <c r="F7464" s="538">
        <f>E7464*D7464</f>
        <v>4569.5999999999995</v>
      </c>
      <c r="G7464" s="539"/>
      <c r="H7464" s="121"/>
      <c r="I7464">
        <f>E7464*G7454</f>
        <v>0</v>
      </c>
      <c r="J7464" s="67"/>
      <c r="K7464" s="56"/>
      <c r="L7464" s="56"/>
      <c r="M7464" s="56"/>
      <c r="N7464" s="56"/>
      <c r="O7464" s="56"/>
    </row>
    <row r="7465" spans="1:15">
      <c r="A7465" s="577" t="s">
        <v>8</v>
      </c>
      <c r="B7465" s="578"/>
      <c r="C7465" s="98" t="str">
        <f>VLOOKUP(A7465,'Materiales '!$C$2:$F$1302,3,0)</f>
        <v>-</v>
      </c>
      <c r="D7465" s="99">
        <f>VLOOKUP(A7465,'Materiales '!$C$2:$F$1302,4,0)</f>
        <v>0</v>
      </c>
      <c r="E7465" s="100">
        <f>3/25</f>
        <v>0.12</v>
      </c>
      <c r="F7465" s="538">
        <f t="shared" ref="F7465:F7471" si="436">E7465*D7465</f>
        <v>0</v>
      </c>
      <c r="G7465" s="539"/>
      <c r="H7465" s="121"/>
      <c r="I7465">
        <f>E7465*G7454</f>
        <v>0</v>
      </c>
      <c r="J7465" s="67"/>
      <c r="K7465" s="56"/>
      <c r="L7465" s="56"/>
      <c r="M7465" s="56"/>
      <c r="N7465" s="56"/>
      <c r="O7465" s="56"/>
    </row>
    <row r="7466" spans="1:15">
      <c r="A7466" s="536" t="s">
        <v>8</v>
      </c>
      <c r="B7466" s="537" t="str">
        <f>VLOOKUP(A7466,'Materiales '!$C$2:$F$1302,3,0)</f>
        <v>-</v>
      </c>
      <c r="C7466" s="98" t="str">
        <f>VLOOKUP(A7466,'Materiales '!$C$2:$F$1302,3,0)</f>
        <v>-</v>
      </c>
      <c r="D7466" s="99">
        <f>VLOOKUP(A7466,'Materiales '!$C$2:$F$1302,4,0)</f>
        <v>0</v>
      </c>
      <c r="E7466" s="100">
        <f>3/25</f>
        <v>0.12</v>
      </c>
      <c r="F7466" s="538">
        <f t="shared" si="436"/>
        <v>0</v>
      </c>
      <c r="G7466" s="539"/>
      <c r="H7466" s="121"/>
      <c r="I7466">
        <f>E7466*G7454</f>
        <v>0</v>
      </c>
      <c r="J7466" s="68"/>
      <c r="K7466" s="56"/>
      <c r="L7466" s="56"/>
      <c r="M7466" s="56"/>
      <c r="N7466" s="56"/>
      <c r="O7466" s="56"/>
    </row>
    <row r="7467" spans="1:15">
      <c r="A7467" s="536" t="s">
        <v>8</v>
      </c>
      <c r="B7467" s="537" t="str">
        <f>VLOOKUP(A7467,'Materiales '!$C$2:$F$1302,3,0)</f>
        <v>-</v>
      </c>
      <c r="C7467" s="98" t="str">
        <f>VLOOKUP(A7467,'Materiales '!$C$2:$F$1302,3,0)</f>
        <v>-</v>
      </c>
      <c r="D7467" s="99">
        <f>VLOOKUP(A7467,'Materiales '!$C$2:$F$1302,4,0)</f>
        <v>0</v>
      </c>
      <c r="E7467" s="100"/>
      <c r="F7467" s="538">
        <f t="shared" si="436"/>
        <v>0</v>
      </c>
      <c r="G7467" s="539"/>
      <c r="H7467" s="121"/>
      <c r="I7467">
        <f>E7467*G7454</f>
        <v>0</v>
      </c>
      <c r="J7467" s="68"/>
      <c r="K7467" s="56"/>
      <c r="L7467" s="56"/>
      <c r="M7467" s="56"/>
      <c r="N7467" s="56"/>
      <c r="O7467" s="56"/>
    </row>
    <row r="7468" spans="1:15">
      <c r="A7468" s="536" t="s">
        <v>8</v>
      </c>
      <c r="B7468" s="537" t="str">
        <f>VLOOKUP(A7468,'Materiales '!$C$2:$F$1302,3,0)</f>
        <v>-</v>
      </c>
      <c r="C7468" s="98" t="str">
        <f>VLOOKUP(A7468,'Materiales '!$C$2:$F$1302,3,0)</f>
        <v>-</v>
      </c>
      <c r="D7468" s="99">
        <f>VLOOKUP(A7468,'Materiales '!$C$2:$F$1302,4,0)</f>
        <v>0</v>
      </c>
      <c r="E7468" s="100"/>
      <c r="F7468" s="538">
        <f t="shared" si="436"/>
        <v>0</v>
      </c>
      <c r="G7468" s="539"/>
      <c r="H7468" s="121"/>
      <c r="I7468">
        <f>E7468*G7454</f>
        <v>0</v>
      </c>
      <c r="J7468" s="68"/>
      <c r="K7468" s="56"/>
      <c r="L7468" s="56"/>
      <c r="M7468" s="56"/>
      <c r="N7468" s="56"/>
      <c r="O7468" s="56"/>
    </row>
    <row r="7469" spans="1:15">
      <c r="A7469" s="536" t="s">
        <v>8</v>
      </c>
      <c r="B7469" s="537" t="str">
        <f>VLOOKUP(A7469,'Materiales '!$C$2:$F$1302,3,0)</f>
        <v>-</v>
      </c>
      <c r="C7469" s="98" t="str">
        <f>VLOOKUP(A7469,'Materiales '!$C$2:$F$1302,3,0)</f>
        <v>-</v>
      </c>
      <c r="D7469" s="99">
        <f>VLOOKUP(A7469,'Materiales '!$C$2:$F$1302,4,0)</f>
        <v>0</v>
      </c>
      <c r="E7469" s="100"/>
      <c r="F7469" s="538">
        <f t="shared" si="436"/>
        <v>0</v>
      </c>
      <c r="G7469" s="539"/>
      <c r="H7469" s="121"/>
      <c r="I7469">
        <f>E7469*G7454</f>
        <v>0</v>
      </c>
      <c r="J7469" s="68"/>
      <c r="K7469" s="56"/>
      <c r="L7469" s="56"/>
      <c r="M7469" s="56"/>
      <c r="N7469" s="56"/>
      <c r="O7469" s="56"/>
    </row>
    <row r="7470" spans="1:15">
      <c r="A7470" s="536" t="s">
        <v>8</v>
      </c>
      <c r="B7470" s="537" t="str">
        <f>VLOOKUP(A7470,'Materiales '!$C$2:$F$1302,3,0)</f>
        <v>-</v>
      </c>
      <c r="C7470" s="98" t="str">
        <f>VLOOKUP(A7470,'Materiales '!$C$2:$F$1302,3,0)</f>
        <v>-</v>
      </c>
      <c r="D7470" s="99">
        <f>VLOOKUP(A7470,'Materiales '!$C$2:$F$1302,4,0)</f>
        <v>0</v>
      </c>
      <c r="E7470" s="100"/>
      <c r="F7470" s="538">
        <f t="shared" si="436"/>
        <v>0</v>
      </c>
      <c r="G7470" s="539"/>
      <c r="H7470" s="121"/>
      <c r="I7470">
        <f>E7470*G7454</f>
        <v>0</v>
      </c>
      <c r="J7470" s="68"/>
      <c r="K7470" s="56"/>
      <c r="L7470" s="56"/>
      <c r="M7470" s="56"/>
      <c r="N7470" s="56"/>
      <c r="O7470" s="56"/>
    </row>
    <row r="7471" spans="1:15" ht="21.75" customHeight="1">
      <c r="A7471" s="536" t="s">
        <v>8</v>
      </c>
      <c r="B7471" s="537" t="str">
        <f>VLOOKUP(A7471,'Materiales '!$C$2:$F$1302,3,0)</f>
        <v>-</v>
      </c>
      <c r="C7471" s="98" t="str">
        <f>VLOOKUP(A7471,'Materiales '!$C$2:$F$1302,3,0)</f>
        <v>-</v>
      </c>
      <c r="D7471" s="99">
        <f>VLOOKUP(A7471,'Materiales '!$C$2:$F$1302,4,0)</f>
        <v>0</v>
      </c>
      <c r="E7471" s="100"/>
      <c r="F7471" s="538">
        <f t="shared" si="436"/>
        <v>0</v>
      </c>
      <c r="G7471" s="539"/>
      <c r="H7471" s="121"/>
      <c r="I7471">
        <f>E7471*G7454</f>
        <v>0</v>
      </c>
      <c r="J7471" s="68"/>
      <c r="K7471" s="56"/>
      <c r="L7471" s="56"/>
      <c r="M7471" s="56"/>
      <c r="N7471" s="56"/>
      <c r="O7471" s="56"/>
    </row>
    <row r="7472" spans="1:15">
      <c r="A7472" s="536" t="s">
        <v>8</v>
      </c>
      <c r="B7472" s="537" t="str">
        <f>VLOOKUP(A7472,'Materiales '!$C$2:$F$1302,3,0)</f>
        <v>-</v>
      </c>
      <c r="C7472" s="98" t="str">
        <f>VLOOKUP(A7472,'Materiales '!$C$2:$F$1302,3,0)</f>
        <v>-</v>
      </c>
      <c r="D7472" s="99">
        <f>VLOOKUP(A7472,'Materiales '!$C$2:$F$1302,4,0)</f>
        <v>0</v>
      </c>
      <c r="E7472" s="100"/>
      <c r="F7472" s="538">
        <f>E7472*D7472</f>
        <v>0</v>
      </c>
      <c r="G7472" s="539"/>
      <c r="H7472" s="120"/>
      <c r="I7472">
        <f>E7472*G7454</f>
        <v>0</v>
      </c>
      <c r="J7472" s="68"/>
      <c r="K7472" s="56"/>
      <c r="L7472" s="56"/>
      <c r="M7472" s="56"/>
      <c r="N7472" s="56"/>
      <c r="O7472" s="56"/>
    </row>
    <row r="7473" spans="1:15">
      <c r="A7473" s="536" t="s">
        <v>8</v>
      </c>
      <c r="B7473" s="537" t="str">
        <f>VLOOKUP(A7473,'Materiales '!$C$2:$F$1302,3,0)</f>
        <v>-</v>
      </c>
      <c r="C7473" s="98" t="str">
        <f>VLOOKUP(A7473,'Materiales '!$C$2:$F$1302,3,0)</f>
        <v>-</v>
      </c>
      <c r="D7473" s="99">
        <f>VLOOKUP(A7473,'Materiales '!$C$2:$F$1302,4,0)</f>
        <v>0</v>
      </c>
      <c r="E7473" s="100"/>
      <c r="F7473" s="538">
        <f t="shared" ref="F7473:F7476" si="437">E7473*D7473</f>
        <v>0</v>
      </c>
      <c r="G7473" s="539"/>
      <c r="H7473" s="121"/>
      <c r="I7473">
        <f>E7473*G7454</f>
        <v>0</v>
      </c>
      <c r="J7473" s="68"/>
      <c r="K7473" s="56"/>
      <c r="L7473" s="56"/>
      <c r="M7473" s="56"/>
      <c r="N7473" s="56"/>
      <c r="O7473" s="56"/>
    </row>
    <row r="7474" spans="1:15">
      <c r="A7474" s="536" t="s">
        <v>8</v>
      </c>
      <c r="B7474" s="537" t="str">
        <f>VLOOKUP(A7474,'Materiales '!$C$2:$F$1302,3,0)</f>
        <v>-</v>
      </c>
      <c r="C7474" s="98" t="str">
        <f>VLOOKUP(A7474,'Materiales '!$C$2:$F$1302,3,0)</f>
        <v>-</v>
      </c>
      <c r="D7474" s="99">
        <f>VLOOKUP(A7474,'Materiales '!$C$2:$F$1302,4,0)</f>
        <v>0</v>
      </c>
      <c r="E7474" s="100"/>
      <c r="F7474" s="538">
        <f t="shared" si="437"/>
        <v>0</v>
      </c>
      <c r="G7474" s="539"/>
      <c r="H7474" s="121"/>
      <c r="I7474">
        <f>E7474*G7454</f>
        <v>0</v>
      </c>
      <c r="J7474" s="68"/>
      <c r="K7474" s="56"/>
      <c r="L7474" s="56"/>
      <c r="M7474" s="56"/>
      <c r="N7474" s="56"/>
      <c r="O7474" s="56"/>
    </row>
    <row r="7475" spans="1:15">
      <c r="A7475" s="536" t="s">
        <v>8</v>
      </c>
      <c r="B7475" s="537" t="str">
        <f>VLOOKUP(A7475,'Materiales '!$C$2:$F$1302,3,0)</f>
        <v>-</v>
      </c>
      <c r="C7475" s="98" t="str">
        <f>VLOOKUP(A7475,'Materiales '!$C$2:$F$1302,3,0)</f>
        <v>-</v>
      </c>
      <c r="D7475" s="99">
        <f>VLOOKUP(A7475,'Materiales '!$C$2:$F$1302,4,0)</f>
        <v>0</v>
      </c>
      <c r="E7475" s="100"/>
      <c r="F7475" s="538">
        <f t="shared" si="437"/>
        <v>0</v>
      </c>
      <c r="G7475" s="539"/>
      <c r="H7475" s="121"/>
      <c r="I7475">
        <f>E7475*G7454</f>
        <v>0</v>
      </c>
      <c r="J7475" s="68"/>
      <c r="K7475" s="56"/>
      <c r="L7475" s="56"/>
      <c r="M7475" s="56"/>
      <c r="N7475" s="56"/>
      <c r="O7475" s="56"/>
    </row>
    <row r="7476" spans="1:15">
      <c r="A7476" s="536" t="s">
        <v>8</v>
      </c>
      <c r="B7476" s="537" t="str">
        <f>VLOOKUP(A7476,'Materiales '!$C$2:$F$1302,3,0)</f>
        <v>-</v>
      </c>
      <c r="C7476" s="98" t="str">
        <f>VLOOKUP(A7476,'Materiales '!$C$2:$F$1302,3,0)</f>
        <v>-</v>
      </c>
      <c r="D7476" s="99">
        <f>VLOOKUP(A7476,'Materiales '!$C$2:$F$1302,4,0)</f>
        <v>0</v>
      </c>
      <c r="E7476" s="100"/>
      <c r="F7476" s="538">
        <f t="shared" si="437"/>
        <v>0</v>
      </c>
      <c r="G7476" s="539"/>
      <c r="H7476" s="121"/>
      <c r="I7476">
        <f>E7476*G7454</f>
        <v>0</v>
      </c>
      <c r="J7476" s="68"/>
      <c r="K7476" s="56"/>
      <c r="L7476" s="56"/>
      <c r="M7476" s="56"/>
      <c r="N7476" s="56"/>
      <c r="O7476" s="56"/>
    </row>
    <row r="7477" spans="1:15">
      <c r="A7477" s="536" t="s">
        <v>8</v>
      </c>
      <c r="B7477" s="537" t="str">
        <f>VLOOKUP(A7477,'Materiales '!$C$2:$F$1302,3,0)</f>
        <v>-</v>
      </c>
      <c r="C7477" s="98" t="str">
        <f>VLOOKUP(A7477,'Materiales '!$C$2:$F$1302,3,0)</f>
        <v>-</v>
      </c>
      <c r="D7477" s="99">
        <f>VLOOKUP(A7477,'Materiales '!$C$2:$F$1302,4,0)</f>
        <v>0</v>
      </c>
      <c r="E7477" s="100"/>
      <c r="F7477" s="538">
        <f>E7477*D7477</f>
        <v>0</v>
      </c>
      <c r="G7477" s="539"/>
      <c r="H7477" s="120"/>
      <c r="I7477">
        <f>E7477*G7454</f>
        <v>0</v>
      </c>
      <c r="J7477" s="68"/>
      <c r="K7477" s="56"/>
      <c r="L7477" s="56"/>
      <c r="M7477" s="56"/>
      <c r="N7477" s="56"/>
      <c r="O7477" s="56"/>
    </row>
    <row r="7478" spans="1:15" ht="16.5">
      <c r="A7478" s="540" t="s">
        <v>4099</v>
      </c>
      <c r="B7478" s="541"/>
      <c r="C7478" s="541"/>
      <c r="D7478" s="541"/>
      <c r="E7478" s="541"/>
      <c r="F7478" s="541"/>
      <c r="G7478" s="542"/>
      <c r="H7478" s="116">
        <f>SUM(F7464:F7477)</f>
        <v>4569.5999999999995</v>
      </c>
      <c r="J7478" s="68"/>
      <c r="K7478" s="56"/>
      <c r="L7478" s="56"/>
      <c r="M7478" s="56"/>
      <c r="N7478" s="56"/>
      <c r="O7478" s="56"/>
    </row>
    <row r="7479" spans="1:15" ht="16.5">
      <c r="A7479" s="543" t="s">
        <v>4231</v>
      </c>
      <c r="B7479" s="544"/>
      <c r="C7479" s="544"/>
      <c r="D7479" s="544"/>
      <c r="E7479" s="545"/>
      <c r="F7479" s="544"/>
      <c r="G7479" s="544"/>
      <c r="H7479" s="546"/>
      <c r="J7479" s="68"/>
      <c r="K7479" s="56"/>
      <c r="L7479" s="56"/>
      <c r="M7479" s="56"/>
      <c r="N7479" s="56"/>
      <c r="O7479" s="56"/>
    </row>
    <row r="7480" spans="1:15">
      <c r="A7480" s="547" t="s">
        <v>7</v>
      </c>
      <c r="B7480" s="548"/>
      <c r="C7480" s="108" t="s">
        <v>4232</v>
      </c>
      <c r="D7480" s="107" t="s">
        <v>4233</v>
      </c>
      <c r="E7480" s="206" t="s">
        <v>4234</v>
      </c>
      <c r="F7480" s="549" t="s">
        <v>4218</v>
      </c>
      <c r="G7480" s="549"/>
      <c r="H7480" s="119"/>
      <c r="K7480" s="56"/>
      <c r="L7480" s="56"/>
      <c r="M7480" s="56"/>
      <c r="N7480" s="56"/>
      <c r="O7480" s="56"/>
    </row>
    <row r="7481" spans="1:15">
      <c r="A7481" s="550" t="s">
        <v>3928</v>
      </c>
      <c r="B7481" s="551"/>
      <c r="C7481" s="232">
        <v>1</v>
      </c>
      <c r="D7481" s="102">
        <v>5.0000000000000001E-3</v>
      </c>
      <c r="E7481" s="103">
        <f>VLOOKUP(A7481,'Equip, Herr y Transp'!$B$2:$D$218,3,0)</f>
        <v>160000</v>
      </c>
      <c r="F7481" s="552">
        <f>E7481*D7481*C7481</f>
        <v>800</v>
      </c>
      <c r="G7481" s="553"/>
      <c r="H7481" s="117"/>
      <c r="M7481" s="56"/>
    </row>
    <row r="7482" spans="1:15" ht="16.5">
      <c r="A7482" s="554" t="s">
        <v>4216</v>
      </c>
      <c r="B7482" s="555"/>
      <c r="C7482" s="555"/>
      <c r="D7482" s="555"/>
      <c r="E7482" s="555"/>
      <c r="F7482" s="555"/>
      <c r="G7482" s="555"/>
      <c r="H7482" s="105">
        <f>F7481</f>
        <v>800</v>
      </c>
    </row>
    <row r="7483" spans="1:15" ht="16.5">
      <c r="A7483" s="543" t="s">
        <v>4235</v>
      </c>
      <c r="B7483" s="544"/>
      <c r="C7483" s="544"/>
      <c r="D7483" s="544"/>
      <c r="E7483" s="544"/>
      <c r="F7483" s="544"/>
      <c r="G7483" s="544"/>
      <c r="H7483" s="546"/>
    </row>
    <row r="7484" spans="1:15">
      <c r="A7484" s="547" t="s">
        <v>7</v>
      </c>
      <c r="B7484" s="548"/>
      <c r="C7484" s="106" t="s">
        <v>1</v>
      </c>
      <c r="D7484" s="107" t="s">
        <v>4236</v>
      </c>
      <c r="E7484" s="108" t="s">
        <v>4215</v>
      </c>
      <c r="F7484" s="547" t="s">
        <v>5</v>
      </c>
      <c r="G7484" s="556"/>
      <c r="H7484" s="119"/>
    </row>
    <row r="7485" spans="1:15">
      <c r="A7485" s="550" t="s">
        <v>4196</v>
      </c>
      <c r="B7485" s="551"/>
      <c r="C7485" s="101">
        <v>1</v>
      </c>
      <c r="D7485" s="104">
        <f>VLOOKUP(A7485,'Mano Obra'!$B$2:$T$117,19,0)</f>
        <v>166624</v>
      </c>
      <c r="E7485" s="246">
        <f>H7447</f>
        <v>8.3000000000000001E-3</v>
      </c>
      <c r="F7485" s="538">
        <f>E7485*D7485*C7485</f>
        <v>1382.9792</v>
      </c>
      <c r="G7485" s="557"/>
      <c r="H7485" s="121"/>
      <c r="I7485" s="69"/>
      <c r="J7485" s="136">
        <f>((('Mano Obra'!$M$4/30)*F7485)/D7485)*G7454</f>
        <v>0</v>
      </c>
    </row>
    <row r="7486" spans="1:15">
      <c r="A7486" s="558" t="s">
        <v>4197</v>
      </c>
      <c r="B7486" s="559">
        <f>VLOOKUP(A7486,'Mano Obra'!$B$3:$D$290,2,0)</f>
        <v>2090000.0000000002</v>
      </c>
      <c r="C7486" s="101">
        <v>1</v>
      </c>
      <c r="D7486" s="104">
        <f>VLOOKUP(A7486,'Mano Obra'!$B$2:$T$117,19,0)</f>
        <v>120456</v>
      </c>
      <c r="E7486" s="246">
        <f>H7447</f>
        <v>8.3000000000000001E-3</v>
      </c>
      <c r="F7486" s="538">
        <f t="shared" ref="F7486:F7487" si="438">E7486*D7486*C7486</f>
        <v>999.78480000000002</v>
      </c>
      <c r="G7486" s="557"/>
      <c r="H7486" s="121"/>
      <c r="J7486" s="136">
        <f>((('Mano Obra'!$M$5/30)*F7486)/D7486)*G7454</f>
        <v>0</v>
      </c>
    </row>
    <row r="7487" spans="1:15">
      <c r="A7487" s="558" t="s">
        <v>4186</v>
      </c>
      <c r="B7487" s="559">
        <f>VLOOKUP(A7487,'Mano Obra'!$B$3:$D$290,2,0)</f>
        <v>1100000</v>
      </c>
      <c r="C7487" s="101">
        <v>1</v>
      </c>
      <c r="D7487" s="104">
        <f>VLOOKUP(A7487,'Mano Obra'!$B$2:$T$117,19,0)</f>
        <v>72664</v>
      </c>
      <c r="E7487" s="246">
        <f>H7447</f>
        <v>8.3000000000000001E-3</v>
      </c>
      <c r="F7487" s="538">
        <f t="shared" si="438"/>
        <v>603.11120000000005</v>
      </c>
      <c r="G7487" s="557"/>
      <c r="H7487" s="120"/>
      <c r="J7487" s="136">
        <f>((('Mano Obra'!$M$6/30)*F7487)/D7487)*G7454</f>
        <v>0</v>
      </c>
    </row>
    <row r="7488" spans="1:15" ht="16.5">
      <c r="A7488" s="560" t="s">
        <v>4101</v>
      </c>
      <c r="B7488" s="560"/>
      <c r="C7488" s="560"/>
      <c r="D7488" s="560"/>
      <c r="E7488" s="560"/>
      <c r="F7488" s="560"/>
      <c r="G7488" s="560"/>
      <c r="H7488" s="105">
        <f>SUM(F7485:F7487)</f>
        <v>2985.8752000000004</v>
      </c>
      <c r="J7488" s="136"/>
    </row>
    <row r="7489" spans="1:14">
      <c r="A7489" s="227" t="s">
        <v>4237</v>
      </c>
      <c r="B7489" s="205"/>
      <c r="C7489" s="205"/>
      <c r="D7489" s="202"/>
      <c r="E7489" s="203"/>
      <c r="F7489" s="204"/>
      <c r="G7489" s="203"/>
      <c r="H7489" s="212"/>
    </row>
    <row r="7490" spans="1:14">
      <c r="A7490" s="561" t="s">
        <v>4224</v>
      </c>
      <c r="B7490" s="562"/>
      <c r="C7490" s="562"/>
      <c r="D7490" s="562"/>
      <c r="E7490" s="200"/>
      <c r="F7490" s="201" t="s">
        <v>4238</v>
      </c>
      <c r="G7490" s="200" t="s">
        <v>4239</v>
      </c>
      <c r="H7490" s="213"/>
    </row>
    <row r="7491" spans="1:14">
      <c r="A7491" s="223" t="s">
        <v>4097</v>
      </c>
      <c r="B7491" s="72"/>
      <c r="C7491" s="72"/>
      <c r="D7491" s="73"/>
      <c r="E7491" s="78"/>
      <c r="F7491" s="79">
        <v>0</v>
      </c>
      <c r="G7491" s="80">
        <f>F7491*H7455</f>
        <v>0</v>
      </c>
      <c r="H7491" s="212"/>
    </row>
    <row r="7492" spans="1:14">
      <c r="A7492" s="224" t="s">
        <v>4240</v>
      </c>
      <c r="B7492" s="81"/>
      <c r="C7492" s="81"/>
      <c r="D7492" s="82"/>
      <c r="E7492" s="78"/>
      <c r="F7492" s="79">
        <v>0</v>
      </c>
      <c r="G7492" s="80">
        <f>F7492*H7455</f>
        <v>0</v>
      </c>
      <c r="H7492" s="212"/>
    </row>
    <row r="7493" spans="1:14">
      <c r="A7493" s="224" t="s">
        <v>4</v>
      </c>
      <c r="B7493" s="81"/>
      <c r="C7493" s="81"/>
      <c r="D7493" s="82"/>
      <c r="E7493" s="78"/>
      <c r="F7493" s="79">
        <v>0</v>
      </c>
      <c r="G7493" s="80">
        <f>F7493*H7455</f>
        <v>0</v>
      </c>
      <c r="H7493" s="212"/>
    </row>
    <row r="7494" spans="1:14">
      <c r="A7494" s="225"/>
      <c r="B7494" s="83"/>
      <c r="C7494" s="75"/>
      <c r="D7494" s="84"/>
      <c r="E7494" s="85"/>
      <c r="F7494" s="86"/>
      <c r="G7494" s="87"/>
      <c r="H7494" s="214"/>
    </row>
    <row r="7495" spans="1:14">
      <c r="A7495" s="226"/>
      <c r="B7495" s="83"/>
      <c r="C7495" s="83"/>
      <c r="D7495" s="84"/>
      <c r="E7495" s="88"/>
      <c r="F7495" s="563" t="s">
        <v>4241</v>
      </c>
      <c r="G7495" s="564"/>
      <c r="H7495" s="233">
        <f>H7455+G7491+G7492+G7493</f>
        <v>8694.1359499999999</v>
      </c>
    </row>
    <row r="7496" spans="1:14">
      <c r="A7496" s="83"/>
      <c r="B7496" s="83"/>
      <c r="C7496" s="83"/>
      <c r="D7496" s="84"/>
      <c r="E7496" s="388"/>
      <c r="F7496" s="389"/>
      <c r="G7496" s="389"/>
      <c r="H7496" s="390"/>
    </row>
    <row r="7497" spans="1:14" ht="16.5">
      <c r="A7497" s="90"/>
      <c r="B7497" s="90"/>
      <c r="C7497" s="90"/>
      <c r="D7497" s="90"/>
      <c r="E7497" s="90"/>
      <c r="F7497" s="90"/>
      <c r="G7497" s="90"/>
      <c r="H7497" s="381"/>
    </row>
    <row r="7498" spans="1:14">
      <c r="A7498" s="579" t="s">
        <v>4225</v>
      </c>
      <c r="B7498" s="580"/>
      <c r="C7498" s="580"/>
      <c r="D7498" s="580"/>
      <c r="E7498" s="580"/>
      <c r="F7498" s="580"/>
      <c r="G7498" s="580"/>
      <c r="H7498" s="581"/>
    </row>
    <row r="7499" spans="1:14" ht="16.5">
      <c r="A7499" s="91"/>
      <c r="B7499" s="92"/>
      <c r="C7499" s="92"/>
      <c r="D7499" s="92"/>
      <c r="E7499" s="92"/>
      <c r="F7499" s="93"/>
      <c r="G7499" s="94"/>
      <c r="H7499" s="380">
        <f>ROUND((15/60)/8,4)</f>
        <v>3.1300000000000001E-2</v>
      </c>
      <c r="I7499" s="115"/>
    </row>
    <row r="7500" spans="1:14">
      <c r="A7500" s="582" t="s">
        <v>4220</v>
      </c>
      <c r="B7500" s="584" t="str">
        <f>COSTOS!$C$14</f>
        <v>MODERNIZACION A TECNOLOGIA LED</v>
      </c>
      <c r="C7500" s="584"/>
      <c r="D7500" s="584"/>
      <c r="E7500" s="584"/>
      <c r="F7500" s="584"/>
      <c r="G7500" s="584"/>
      <c r="H7500" s="585" t="s">
        <v>4221</v>
      </c>
    </row>
    <row r="7501" spans="1:14">
      <c r="A7501" s="583"/>
      <c r="B7501" s="584"/>
      <c r="C7501" s="584"/>
      <c r="D7501" s="584"/>
      <c r="E7501" s="584"/>
      <c r="F7501" s="584"/>
      <c r="G7501" s="584"/>
      <c r="H7501" s="585"/>
    </row>
    <row r="7502" spans="1:14">
      <c r="A7502" s="583"/>
      <c r="B7502" s="584"/>
      <c r="C7502" s="584"/>
      <c r="D7502" s="584"/>
      <c r="E7502" s="584"/>
      <c r="F7502" s="584"/>
      <c r="G7502" s="584"/>
      <c r="H7502" s="585"/>
    </row>
    <row r="7503" spans="1:14" ht="15" customHeight="1">
      <c r="A7503" s="583"/>
      <c r="B7503" s="584"/>
      <c r="C7503" s="584"/>
      <c r="D7503" s="584"/>
      <c r="E7503" s="584"/>
      <c r="F7503" s="584"/>
      <c r="G7503" s="584"/>
      <c r="H7503" s="216">
        <f ca="1">TODAY()</f>
        <v>44889</v>
      </c>
      <c r="K7503" t="s">
        <v>4391</v>
      </c>
      <c r="L7503" t="s">
        <v>4392</v>
      </c>
      <c r="M7503" t="s">
        <v>4393</v>
      </c>
      <c r="N7503" t="s">
        <v>4394</v>
      </c>
    </row>
    <row r="7504" spans="1:14" ht="60.75" customHeight="1">
      <c r="A7504" s="228" t="s">
        <v>4222</v>
      </c>
      <c r="B7504" s="565" t="str">
        <f>COSTOS!$D$16</f>
        <v>Luminarias</v>
      </c>
      <c r="C7504" s="565"/>
      <c r="D7504" s="565"/>
      <c r="E7504" s="565"/>
      <c r="F7504" s="565"/>
      <c r="G7504" s="70" t="s">
        <v>4223</v>
      </c>
      <c r="H7504" s="391">
        <v>3.34</v>
      </c>
      <c r="K7504" s="62">
        <f>H7530</f>
        <v>9093.9106943999996</v>
      </c>
      <c r="L7504" s="62">
        <f>H7540</f>
        <v>11259.987200000001</v>
      </c>
      <c r="M7504" s="62">
        <f>H7513</f>
        <v>1277.11825</v>
      </c>
      <c r="N7504" s="62">
        <f>H7534</f>
        <v>800</v>
      </c>
    </row>
    <row r="7505" spans="1:15" ht="43.15" customHeight="1">
      <c r="A7505" s="229" t="s">
        <v>4224</v>
      </c>
      <c r="B7505" s="566" t="str">
        <f>VLOOKUP(H7504,COSTOS!C:M,2,0)</f>
        <v>Red aerea en ASCR No 4x2 AWG x 500m</v>
      </c>
      <c r="C7505" s="567"/>
      <c r="D7505" s="567"/>
      <c r="E7505" s="568"/>
      <c r="F7505" s="71" t="s">
        <v>0</v>
      </c>
      <c r="G7505" s="356" t="str">
        <f>VLOOKUP(H7504,COSTOS!C:M,8,0)</f>
        <v>Und</v>
      </c>
      <c r="H7505" s="276"/>
      <c r="I7505" s="306"/>
      <c r="J7505" s="308"/>
      <c r="K7505" s="308"/>
      <c r="L7505" s="308"/>
    </row>
    <row r="7506" spans="1:15">
      <c r="A7506" s="230"/>
      <c r="B7506" s="112"/>
      <c r="C7506" s="112"/>
      <c r="D7506" s="112"/>
      <c r="E7506" s="113"/>
      <c r="F7506" s="114" t="s">
        <v>1</v>
      </c>
      <c r="G7506" s="356">
        <f>VLOOKUP(H7504,COSTOS!C:M,9,0)</f>
        <v>0</v>
      </c>
      <c r="H7506" s="357"/>
      <c r="I7506" s="307"/>
    </row>
    <row r="7507" spans="1:15" ht="16.5">
      <c r="A7507" s="231" t="s">
        <v>4226</v>
      </c>
      <c r="B7507" s="75"/>
      <c r="C7507" s="75"/>
      <c r="D7507" s="76"/>
      <c r="E7507" s="209"/>
      <c r="F7507" s="210"/>
      <c r="G7507" s="211" t="s">
        <v>4227</v>
      </c>
      <c r="H7507" s="217">
        <f>H7513+H7530+H7534+H7540</f>
        <v>22431.0161444</v>
      </c>
    </row>
    <row r="7508" spans="1:15" ht="39">
      <c r="A7508" s="569" t="s">
        <v>4224</v>
      </c>
      <c r="B7508" s="569"/>
      <c r="C7508" s="569"/>
      <c r="D7508" s="77" t="s">
        <v>0</v>
      </c>
      <c r="E7508" s="207" t="s">
        <v>4228</v>
      </c>
      <c r="F7508" s="208" t="s">
        <v>4215</v>
      </c>
      <c r="G7508" s="74" t="s">
        <v>2</v>
      </c>
      <c r="H7508" s="218" t="s">
        <v>4229</v>
      </c>
      <c r="K7508" s="309"/>
    </row>
    <row r="7509" spans="1:15">
      <c r="A7509" s="536" t="s">
        <v>3946</v>
      </c>
      <c r="B7509" s="570" t="str">
        <f>VLOOKUP(A7509,'Equip, Herr y Transp'!$B$2:$D$739,2,0)</f>
        <v>EQU</v>
      </c>
      <c r="C7509" s="570"/>
      <c r="D7509" s="95" t="str">
        <f>VLOOKUP(A7509,'Equip, Herr y Transp'!$B$2:$D$218,2,0)</f>
        <v>EQU</v>
      </c>
      <c r="E7509" s="95">
        <f>VLOOKUP(A7509,'Equip, Herr y Transp'!$B$2:$D$218,3,0)</f>
        <v>14130</v>
      </c>
      <c r="F7509" s="96">
        <f>H7499</f>
        <v>3.1300000000000001E-2</v>
      </c>
      <c r="G7509" s="122">
        <f>F7509*E7509</f>
        <v>442.26900000000001</v>
      </c>
      <c r="H7509" s="118"/>
    </row>
    <row r="7510" spans="1:15">
      <c r="A7510" s="536" t="s">
        <v>3904</v>
      </c>
      <c r="B7510" s="570" t="str">
        <f>VLOOKUP(A7510,'Equip, Herr y Transp'!$B$2:$D$739,2,0)</f>
        <v>EQU</v>
      </c>
      <c r="C7510" s="570"/>
      <c r="D7510" s="95" t="str">
        <f>VLOOKUP(A7510,'Equip, Herr y Transp'!$B$2:$D$218,2,0)</f>
        <v>EQU</v>
      </c>
      <c r="E7510" s="95">
        <f>VLOOKUP(A7510,'Equip, Herr y Transp'!$B$2:$D$218,3,0)</f>
        <v>26672.5</v>
      </c>
      <c r="F7510" s="96">
        <f>H7499</f>
        <v>3.1300000000000001E-2</v>
      </c>
      <c r="G7510" s="122">
        <f>F7510*E7510</f>
        <v>834.84924999999998</v>
      </c>
      <c r="H7510" s="117"/>
    </row>
    <row r="7511" spans="1:15">
      <c r="A7511" s="536" t="s">
        <v>8</v>
      </c>
      <c r="B7511" s="570">
        <f>VLOOKUP(A7511,'Equip, Herr y Transp'!$B$2:$D$739,2,0)</f>
        <v>0</v>
      </c>
      <c r="C7511" s="570"/>
      <c r="D7511" s="95">
        <f>VLOOKUP(A7511,'Equip, Herr y Transp'!$B$2:$D$218,2,0)</f>
        <v>0</v>
      </c>
      <c r="E7511" s="95">
        <f>VLOOKUP(A7511,'Equip, Herr y Transp'!$B$2:$D$218,3,0)</f>
        <v>0</v>
      </c>
      <c r="F7511" s="96">
        <f>H7499</f>
        <v>3.1300000000000001E-2</v>
      </c>
      <c r="G7511" s="122">
        <f>F7511*E7511</f>
        <v>0</v>
      </c>
      <c r="H7511" s="117"/>
    </row>
    <row r="7512" spans="1:15">
      <c r="A7512" s="536" t="s">
        <v>8</v>
      </c>
      <c r="B7512" s="570">
        <f>VLOOKUP(A7512,'Equip, Herr y Transp'!$B$2:$D$739,2,0)</f>
        <v>0</v>
      </c>
      <c r="C7512" s="570"/>
      <c r="D7512" s="95">
        <f>VLOOKUP(A7512,'Equip, Herr y Transp'!$B$2:$D$218,2,0)</f>
        <v>0</v>
      </c>
      <c r="E7512" s="95">
        <f>VLOOKUP(A7512,'Equip, Herr y Transp'!$B$2:$D$218,3,0)</f>
        <v>0</v>
      </c>
      <c r="F7512" s="96">
        <f>H7499</f>
        <v>3.1300000000000001E-2</v>
      </c>
      <c r="G7512" s="122">
        <f>F7512*E7512</f>
        <v>0</v>
      </c>
      <c r="H7512" s="117"/>
    </row>
    <row r="7513" spans="1:15" ht="16.5">
      <c r="A7513" s="540" t="s">
        <v>4100</v>
      </c>
      <c r="B7513" s="541"/>
      <c r="C7513" s="541"/>
      <c r="D7513" s="541"/>
      <c r="E7513" s="541"/>
      <c r="F7513" s="541"/>
      <c r="G7513" s="541"/>
      <c r="H7513" s="97">
        <f>SUM(G7509:G7512)</f>
        <v>1277.11825</v>
      </c>
    </row>
    <row r="7514" spans="1:15" ht="16.5">
      <c r="A7514" s="571" t="s">
        <v>4230</v>
      </c>
      <c r="B7514" s="572"/>
      <c r="C7514" s="572"/>
      <c r="D7514" s="572"/>
      <c r="E7514" s="572"/>
      <c r="F7514" s="572"/>
      <c r="G7514" s="572"/>
      <c r="H7514" s="573"/>
      <c r="K7514" s="56"/>
      <c r="L7514" s="56"/>
      <c r="M7514" s="56"/>
      <c r="N7514" s="56"/>
      <c r="O7514" s="56"/>
    </row>
    <row r="7515" spans="1:15" ht="30" customHeight="1">
      <c r="A7515" s="574" t="s">
        <v>7</v>
      </c>
      <c r="B7515" s="575"/>
      <c r="C7515" s="109" t="s">
        <v>0</v>
      </c>
      <c r="D7515" s="110" t="s">
        <v>4098</v>
      </c>
      <c r="E7515" s="111" t="s">
        <v>1</v>
      </c>
      <c r="F7515" s="576" t="s">
        <v>4218</v>
      </c>
      <c r="G7515" s="576"/>
      <c r="H7515" s="215"/>
      <c r="K7515" s="56"/>
      <c r="L7515" s="56"/>
      <c r="M7515" s="56"/>
      <c r="N7515" s="56"/>
      <c r="O7515" s="56"/>
    </row>
    <row r="7516" spans="1:15">
      <c r="A7516" s="577" t="s">
        <v>4440</v>
      </c>
      <c r="B7516" s="578"/>
      <c r="C7516" s="98" t="str">
        <f>VLOOKUP(A7516,'Materiales '!$C$2:$F$1302,3,0)</f>
        <v>Ml</v>
      </c>
      <c r="D7516" s="99">
        <f>VLOOKUP(A7516,'Materiales '!$C$2:$F$1302,4,0)</f>
        <v>1785</v>
      </c>
      <c r="E7516" s="100">
        <v>4</v>
      </c>
      <c r="F7516" s="538">
        <f>E7516*D7516</f>
        <v>7140</v>
      </c>
      <c r="G7516" s="539"/>
      <c r="H7516" s="121"/>
      <c r="I7516">
        <f>E7516*G7506</f>
        <v>0</v>
      </c>
      <c r="J7516" s="67"/>
      <c r="K7516" s="56"/>
      <c r="L7516" s="56"/>
      <c r="M7516" s="56"/>
      <c r="N7516" s="56"/>
      <c r="O7516" s="56"/>
    </row>
    <row r="7517" spans="1:15">
      <c r="A7517" s="577" t="s">
        <v>4417</v>
      </c>
      <c r="B7517" s="578"/>
      <c r="C7517" s="98" t="str">
        <f>VLOOKUP(A7517,'Materiales '!$C$2:$F$1302,3,0)</f>
        <v>Und</v>
      </c>
      <c r="D7517" s="99">
        <f>VLOOKUP(A7517,'Materiales '!$C$2:$F$1302,4,0)</f>
        <v>3213</v>
      </c>
      <c r="E7517" s="100">
        <f>4/25</f>
        <v>0.16</v>
      </c>
      <c r="F7517" s="538">
        <f t="shared" ref="F7517:F7523" si="439">E7517*D7517</f>
        <v>514.08000000000004</v>
      </c>
      <c r="G7517" s="539"/>
      <c r="H7517" s="121"/>
      <c r="I7517">
        <f>E7517*G7506</f>
        <v>0</v>
      </c>
      <c r="J7517" s="67"/>
      <c r="K7517" s="56"/>
      <c r="L7517" s="56"/>
      <c r="M7517" s="56"/>
      <c r="N7517" s="56"/>
      <c r="O7517" s="56"/>
    </row>
    <row r="7518" spans="1:15">
      <c r="A7518" s="536" t="s">
        <v>4553</v>
      </c>
      <c r="B7518" s="537" t="str">
        <f>VLOOKUP(A7518,'Materiales '!$C$2:$F$1302,3,0)</f>
        <v>Und</v>
      </c>
      <c r="C7518" s="98" t="str">
        <f>VLOOKUP(A7518,'Materiales '!$C$2:$F$1302,3,0)</f>
        <v>Und</v>
      </c>
      <c r="D7518" s="99">
        <f>VLOOKUP(A7518,'Materiales '!$C$2:$F$1302,4,0)</f>
        <v>6428.4990000000007</v>
      </c>
      <c r="E7518" s="100">
        <f>E7517</f>
        <v>0.16</v>
      </c>
      <c r="F7518" s="538">
        <f t="shared" si="439"/>
        <v>1028.5598400000001</v>
      </c>
      <c r="G7518" s="539"/>
      <c r="H7518" s="121"/>
      <c r="I7518">
        <f>E7518*G7506</f>
        <v>0</v>
      </c>
      <c r="J7518" s="68"/>
      <c r="K7518" s="56"/>
      <c r="L7518" s="56"/>
      <c r="M7518" s="56"/>
      <c r="N7518" s="56"/>
      <c r="O7518" s="56"/>
    </row>
    <row r="7519" spans="1:15">
      <c r="A7519" s="536" t="s">
        <v>4474</v>
      </c>
      <c r="B7519" s="537" t="str">
        <f>VLOOKUP(A7519,'Materiales '!$C$2:$F$1302,3,0)</f>
        <v>Ml</v>
      </c>
      <c r="C7519" s="98" t="str">
        <f>VLOOKUP(A7519,'Materiales '!$C$2:$F$1302,3,0)</f>
        <v>Ml</v>
      </c>
      <c r="D7519" s="99">
        <f>VLOOKUP(A7519,'Materiales '!$C$2:$F$1302,4,0)</f>
        <v>2064.93084</v>
      </c>
      <c r="E7519" s="100">
        <f>E7518</f>
        <v>0.16</v>
      </c>
      <c r="F7519" s="538">
        <f t="shared" si="439"/>
        <v>330.38893439999998</v>
      </c>
      <c r="G7519" s="539"/>
      <c r="H7519" s="121"/>
      <c r="I7519">
        <f>E7519*G7506</f>
        <v>0</v>
      </c>
      <c r="J7519" s="68"/>
      <c r="K7519" s="56"/>
      <c r="L7519" s="56"/>
      <c r="M7519" s="56"/>
      <c r="N7519" s="56"/>
      <c r="O7519" s="56"/>
    </row>
    <row r="7520" spans="1:15">
      <c r="A7520" s="536" t="s">
        <v>4539</v>
      </c>
      <c r="B7520" s="537" t="str">
        <f>VLOOKUP(A7520,'Materiales '!$C$2:$F$1302,3,0)</f>
        <v>Und</v>
      </c>
      <c r="C7520" s="98" t="str">
        <f>VLOOKUP(A7520,'Materiales '!$C$2:$F$1302,3,0)</f>
        <v>Und</v>
      </c>
      <c r="D7520" s="99">
        <f>VLOOKUP(A7520,'Materiales '!$C$2:$F$1302,4,0)</f>
        <v>505.51199999999994</v>
      </c>
      <c r="E7520" s="100">
        <f>E7519</f>
        <v>0.16</v>
      </c>
      <c r="F7520" s="538">
        <f t="shared" si="439"/>
        <v>80.881919999999994</v>
      </c>
      <c r="G7520" s="539"/>
      <c r="H7520" s="121"/>
      <c r="I7520">
        <f>E7520*G7506</f>
        <v>0</v>
      </c>
      <c r="J7520" s="68"/>
      <c r="K7520" s="56"/>
      <c r="L7520" s="56"/>
      <c r="M7520" s="56"/>
      <c r="N7520" s="56"/>
      <c r="O7520" s="56"/>
    </row>
    <row r="7521" spans="1:15">
      <c r="A7521" s="536" t="s">
        <v>8</v>
      </c>
      <c r="B7521" s="537" t="str">
        <f>VLOOKUP(A7521,'Materiales '!$C$2:$F$1302,3,0)</f>
        <v>-</v>
      </c>
      <c r="C7521" s="98" t="str">
        <f>VLOOKUP(A7521,'Materiales '!$C$2:$F$1302,3,0)</f>
        <v>-</v>
      </c>
      <c r="D7521" s="99">
        <f>VLOOKUP(A7521,'Materiales '!$C$2:$F$1302,4,0)</f>
        <v>0</v>
      </c>
      <c r="E7521" s="100"/>
      <c r="F7521" s="538">
        <f t="shared" si="439"/>
        <v>0</v>
      </c>
      <c r="G7521" s="539"/>
      <c r="H7521" s="121"/>
      <c r="I7521">
        <f>E7521*G7506</f>
        <v>0</v>
      </c>
      <c r="J7521" s="68"/>
      <c r="K7521" s="56"/>
      <c r="L7521" s="56"/>
      <c r="M7521" s="56"/>
      <c r="N7521" s="56"/>
      <c r="O7521" s="56"/>
    </row>
    <row r="7522" spans="1:15">
      <c r="A7522" s="536" t="s">
        <v>8</v>
      </c>
      <c r="B7522" s="537" t="str">
        <f>VLOOKUP(A7522,'Materiales '!$C$2:$F$1302,3,0)</f>
        <v>-</v>
      </c>
      <c r="C7522" s="98" t="str">
        <f>VLOOKUP(A7522,'Materiales '!$C$2:$F$1302,3,0)</f>
        <v>-</v>
      </c>
      <c r="D7522" s="99">
        <f>VLOOKUP(A7522,'Materiales '!$C$2:$F$1302,4,0)</f>
        <v>0</v>
      </c>
      <c r="E7522" s="100"/>
      <c r="F7522" s="538">
        <f t="shared" si="439"/>
        <v>0</v>
      </c>
      <c r="G7522" s="539"/>
      <c r="H7522" s="121"/>
      <c r="I7522">
        <f>E7522*G7506</f>
        <v>0</v>
      </c>
      <c r="J7522" s="68"/>
      <c r="K7522" s="56"/>
      <c r="L7522" s="56"/>
      <c r="M7522" s="56"/>
      <c r="N7522" s="56"/>
      <c r="O7522" s="56"/>
    </row>
    <row r="7523" spans="1:15" ht="21.75" customHeight="1">
      <c r="A7523" s="536" t="s">
        <v>8</v>
      </c>
      <c r="B7523" s="537" t="str">
        <f>VLOOKUP(A7523,'Materiales '!$C$2:$F$1302,3,0)</f>
        <v>-</v>
      </c>
      <c r="C7523" s="98" t="str">
        <f>VLOOKUP(A7523,'Materiales '!$C$2:$F$1302,3,0)</f>
        <v>-</v>
      </c>
      <c r="D7523" s="99">
        <f>VLOOKUP(A7523,'Materiales '!$C$2:$F$1302,4,0)</f>
        <v>0</v>
      </c>
      <c r="E7523" s="100"/>
      <c r="F7523" s="538">
        <f t="shared" si="439"/>
        <v>0</v>
      </c>
      <c r="G7523" s="539"/>
      <c r="H7523" s="121"/>
      <c r="I7523">
        <f>E7523*G7506</f>
        <v>0</v>
      </c>
      <c r="J7523" s="68"/>
      <c r="K7523" s="56"/>
      <c r="L7523" s="56"/>
      <c r="M7523" s="56"/>
      <c r="N7523" s="56"/>
      <c r="O7523" s="56"/>
    </row>
    <row r="7524" spans="1:15">
      <c r="A7524" s="536" t="s">
        <v>8</v>
      </c>
      <c r="B7524" s="537" t="str">
        <f>VLOOKUP(A7524,'Materiales '!$C$2:$F$1302,3,0)</f>
        <v>-</v>
      </c>
      <c r="C7524" s="98" t="str">
        <f>VLOOKUP(A7524,'Materiales '!$C$2:$F$1302,3,0)</f>
        <v>-</v>
      </c>
      <c r="D7524" s="99">
        <f>VLOOKUP(A7524,'Materiales '!$C$2:$F$1302,4,0)</f>
        <v>0</v>
      </c>
      <c r="E7524" s="100"/>
      <c r="F7524" s="538">
        <f>E7524*D7524</f>
        <v>0</v>
      </c>
      <c r="G7524" s="539"/>
      <c r="H7524" s="120"/>
      <c r="I7524">
        <f>E7524*G7506</f>
        <v>0</v>
      </c>
      <c r="J7524" s="68"/>
      <c r="K7524" s="56"/>
      <c r="L7524" s="56"/>
      <c r="M7524" s="56"/>
      <c r="N7524" s="56"/>
      <c r="O7524" s="56"/>
    </row>
    <row r="7525" spans="1:15">
      <c r="A7525" s="536" t="s">
        <v>8</v>
      </c>
      <c r="B7525" s="537" t="str">
        <f>VLOOKUP(A7525,'Materiales '!$C$2:$F$1302,3,0)</f>
        <v>-</v>
      </c>
      <c r="C7525" s="98" t="str">
        <f>VLOOKUP(A7525,'Materiales '!$C$2:$F$1302,3,0)</f>
        <v>-</v>
      </c>
      <c r="D7525" s="99">
        <f>VLOOKUP(A7525,'Materiales '!$C$2:$F$1302,4,0)</f>
        <v>0</v>
      </c>
      <c r="E7525" s="100"/>
      <c r="F7525" s="538">
        <f t="shared" ref="F7525:F7528" si="440">E7525*D7525</f>
        <v>0</v>
      </c>
      <c r="G7525" s="539"/>
      <c r="H7525" s="121"/>
      <c r="I7525">
        <f>E7525*G7506</f>
        <v>0</v>
      </c>
      <c r="J7525" s="68"/>
      <c r="K7525" s="56"/>
      <c r="L7525" s="56"/>
      <c r="M7525" s="56"/>
      <c r="N7525" s="56"/>
      <c r="O7525" s="56"/>
    </row>
    <row r="7526" spans="1:15">
      <c r="A7526" s="536" t="s">
        <v>8</v>
      </c>
      <c r="B7526" s="537" t="str">
        <f>VLOOKUP(A7526,'Materiales '!$C$2:$F$1302,3,0)</f>
        <v>-</v>
      </c>
      <c r="C7526" s="98" t="str">
        <f>VLOOKUP(A7526,'Materiales '!$C$2:$F$1302,3,0)</f>
        <v>-</v>
      </c>
      <c r="D7526" s="99">
        <f>VLOOKUP(A7526,'Materiales '!$C$2:$F$1302,4,0)</f>
        <v>0</v>
      </c>
      <c r="E7526" s="100"/>
      <c r="F7526" s="538">
        <f t="shared" si="440"/>
        <v>0</v>
      </c>
      <c r="G7526" s="539"/>
      <c r="H7526" s="121"/>
      <c r="I7526">
        <f>E7526*G7506</f>
        <v>0</v>
      </c>
      <c r="J7526" s="68"/>
      <c r="K7526" s="56"/>
      <c r="L7526" s="56"/>
      <c r="M7526" s="56"/>
      <c r="N7526" s="56"/>
      <c r="O7526" s="56"/>
    </row>
    <row r="7527" spans="1:15">
      <c r="A7527" s="536" t="s">
        <v>8</v>
      </c>
      <c r="B7527" s="537" t="str">
        <f>VLOOKUP(A7527,'Materiales '!$C$2:$F$1302,3,0)</f>
        <v>-</v>
      </c>
      <c r="C7527" s="98" t="str">
        <f>VLOOKUP(A7527,'Materiales '!$C$2:$F$1302,3,0)</f>
        <v>-</v>
      </c>
      <c r="D7527" s="99">
        <f>VLOOKUP(A7527,'Materiales '!$C$2:$F$1302,4,0)</f>
        <v>0</v>
      </c>
      <c r="E7527" s="100"/>
      <c r="F7527" s="538">
        <f t="shared" si="440"/>
        <v>0</v>
      </c>
      <c r="G7527" s="539"/>
      <c r="H7527" s="121"/>
      <c r="I7527">
        <f>E7527*G7506</f>
        <v>0</v>
      </c>
      <c r="J7527" s="68"/>
      <c r="K7527" s="56"/>
      <c r="L7527" s="56"/>
      <c r="M7527" s="56"/>
      <c r="N7527" s="56"/>
      <c r="O7527" s="56"/>
    </row>
    <row r="7528" spans="1:15">
      <c r="A7528" s="536" t="s">
        <v>8</v>
      </c>
      <c r="B7528" s="537" t="str">
        <f>VLOOKUP(A7528,'Materiales '!$C$2:$F$1302,3,0)</f>
        <v>-</v>
      </c>
      <c r="C7528" s="98" t="str">
        <f>VLOOKUP(A7528,'Materiales '!$C$2:$F$1302,3,0)</f>
        <v>-</v>
      </c>
      <c r="D7528" s="99">
        <f>VLOOKUP(A7528,'Materiales '!$C$2:$F$1302,4,0)</f>
        <v>0</v>
      </c>
      <c r="E7528" s="100"/>
      <c r="F7528" s="538">
        <f t="shared" si="440"/>
        <v>0</v>
      </c>
      <c r="G7528" s="539"/>
      <c r="H7528" s="121"/>
      <c r="I7528">
        <f>E7528*G7506</f>
        <v>0</v>
      </c>
      <c r="J7528" s="68"/>
      <c r="K7528" s="56"/>
      <c r="L7528" s="56"/>
      <c r="M7528" s="56"/>
      <c r="N7528" s="56"/>
      <c r="O7528" s="56"/>
    </row>
    <row r="7529" spans="1:15">
      <c r="A7529" s="536" t="s">
        <v>8</v>
      </c>
      <c r="B7529" s="537" t="str">
        <f>VLOOKUP(A7529,'Materiales '!$C$2:$F$1302,3,0)</f>
        <v>-</v>
      </c>
      <c r="C7529" s="98" t="str">
        <f>VLOOKUP(A7529,'Materiales '!$C$2:$F$1302,3,0)</f>
        <v>-</v>
      </c>
      <c r="D7529" s="99">
        <f>VLOOKUP(A7529,'Materiales '!$C$2:$F$1302,4,0)</f>
        <v>0</v>
      </c>
      <c r="E7529" s="100"/>
      <c r="F7529" s="538">
        <f>E7529*D7529</f>
        <v>0</v>
      </c>
      <c r="G7529" s="539"/>
      <c r="H7529" s="120"/>
      <c r="I7529">
        <f>E7529*G7506</f>
        <v>0</v>
      </c>
      <c r="J7529" s="68"/>
      <c r="K7529" s="56"/>
      <c r="L7529" s="56"/>
      <c r="M7529" s="56"/>
      <c r="N7529" s="56"/>
      <c r="O7529" s="56"/>
    </row>
    <row r="7530" spans="1:15" ht="16.5">
      <c r="A7530" s="540" t="s">
        <v>4099</v>
      </c>
      <c r="B7530" s="541"/>
      <c r="C7530" s="541"/>
      <c r="D7530" s="541"/>
      <c r="E7530" s="541"/>
      <c r="F7530" s="541"/>
      <c r="G7530" s="542"/>
      <c r="H7530" s="116">
        <f>SUM(F7516:F7529)</f>
        <v>9093.9106943999996</v>
      </c>
      <c r="J7530" s="68"/>
      <c r="K7530" s="56"/>
      <c r="L7530" s="56"/>
      <c r="M7530" s="56"/>
      <c r="N7530" s="56"/>
      <c r="O7530" s="56"/>
    </row>
    <row r="7531" spans="1:15" ht="16.5">
      <c r="A7531" s="543" t="s">
        <v>4231</v>
      </c>
      <c r="B7531" s="544"/>
      <c r="C7531" s="544"/>
      <c r="D7531" s="544"/>
      <c r="E7531" s="545"/>
      <c r="F7531" s="544"/>
      <c r="G7531" s="544"/>
      <c r="H7531" s="546"/>
      <c r="J7531" s="68"/>
      <c r="K7531" s="56"/>
      <c r="L7531" s="56"/>
      <c r="M7531" s="56"/>
      <c r="N7531" s="56"/>
      <c r="O7531" s="56"/>
    </row>
    <row r="7532" spans="1:15">
      <c r="A7532" s="547" t="s">
        <v>7</v>
      </c>
      <c r="B7532" s="548"/>
      <c r="C7532" s="108" t="s">
        <v>4232</v>
      </c>
      <c r="D7532" s="107" t="s">
        <v>4233</v>
      </c>
      <c r="E7532" s="206" t="s">
        <v>4234</v>
      </c>
      <c r="F7532" s="549" t="s">
        <v>4218</v>
      </c>
      <c r="G7532" s="549"/>
      <c r="H7532" s="119"/>
      <c r="K7532" s="56"/>
      <c r="L7532" s="56"/>
      <c r="M7532" s="56"/>
      <c r="N7532" s="56"/>
      <c r="O7532" s="56"/>
    </row>
    <row r="7533" spans="1:15">
      <c r="A7533" s="550" t="s">
        <v>3928</v>
      </c>
      <c r="B7533" s="551"/>
      <c r="C7533" s="232">
        <v>1</v>
      </c>
      <c r="D7533" s="102">
        <v>5.0000000000000001E-3</v>
      </c>
      <c r="E7533" s="103">
        <f>VLOOKUP(A7533,'Equip, Herr y Transp'!$B$2:$D$218,3,0)</f>
        <v>160000</v>
      </c>
      <c r="F7533" s="552">
        <f>E7533*D7533*C7533</f>
        <v>800</v>
      </c>
      <c r="G7533" s="553"/>
      <c r="H7533" s="117"/>
      <c r="M7533" s="56"/>
    </row>
    <row r="7534" spans="1:15" ht="16.5">
      <c r="A7534" s="554" t="s">
        <v>4216</v>
      </c>
      <c r="B7534" s="555"/>
      <c r="C7534" s="555"/>
      <c r="D7534" s="555"/>
      <c r="E7534" s="555"/>
      <c r="F7534" s="555"/>
      <c r="G7534" s="555"/>
      <c r="H7534" s="105">
        <f>F7533</f>
        <v>800</v>
      </c>
    </row>
    <row r="7535" spans="1:15" ht="16.5">
      <c r="A7535" s="543" t="s">
        <v>4235</v>
      </c>
      <c r="B7535" s="544"/>
      <c r="C7535" s="544"/>
      <c r="D7535" s="544"/>
      <c r="E7535" s="544"/>
      <c r="F7535" s="544"/>
      <c r="G7535" s="544"/>
      <c r="H7535" s="546"/>
    </row>
    <row r="7536" spans="1:15">
      <c r="A7536" s="547" t="s">
        <v>7</v>
      </c>
      <c r="B7536" s="548"/>
      <c r="C7536" s="106" t="s">
        <v>1</v>
      </c>
      <c r="D7536" s="107" t="s">
        <v>4236</v>
      </c>
      <c r="E7536" s="108" t="s">
        <v>4215</v>
      </c>
      <c r="F7536" s="547" t="s">
        <v>5</v>
      </c>
      <c r="G7536" s="556"/>
      <c r="H7536" s="119"/>
    </row>
    <row r="7537" spans="1:10">
      <c r="A7537" s="550" t="s">
        <v>4196</v>
      </c>
      <c r="B7537" s="551"/>
      <c r="C7537" s="101">
        <v>1</v>
      </c>
      <c r="D7537" s="104">
        <f>VLOOKUP(A7537,'Mano Obra'!$B$2:$T$117,19,0)</f>
        <v>166624</v>
      </c>
      <c r="E7537" s="246">
        <f>H7499</f>
        <v>3.1300000000000001E-2</v>
      </c>
      <c r="F7537" s="538">
        <f>E7537*D7537*C7537</f>
        <v>5215.3312000000005</v>
      </c>
      <c r="G7537" s="557"/>
      <c r="H7537" s="121"/>
      <c r="I7537" s="69"/>
      <c r="J7537" s="136">
        <f>((('Mano Obra'!$M$4/30)*F7537)/D7537)*G7506</f>
        <v>0</v>
      </c>
    </row>
    <row r="7538" spans="1:10">
      <c r="A7538" s="558" t="s">
        <v>4197</v>
      </c>
      <c r="B7538" s="559">
        <f>VLOOKUP(A7538,'Mano Obra'!$B$3:$D$290,2,0)</f>
        <v>2090000.0000000002</v>
      </c>
      <c r="C7538" s="101">
        <v>1</v>
      </c>
      <c r="D7538" s="104">
        <f>VLOOKUP(A7538,'Mano Obra'!$B$2:$T$117,19,0)</f>
        <v>120456</v>
      </c>
      <c r="E7538" s="246">
        <f>H7499</f>
        <v>3.1300000000000001E-2</v>
      </c>
      <c r="F7538" s="538">
        <f t="shared" ref="F7538:F7539" si="441">E7538*D7538*C7538</f>
        <v>3770.2728000000002</v>
      </c>
      <c r="G7538" s="557"/>
      <c r="H7538" s="121"/>
      <c r="J7538" s="136">
        <f>((('Mano Obra'!$M$5/30)*F7538)/D7538)*G7506</f>
        <v>0</v>
      </c>
    </row>
    <row r="7539" spans="1:10">
      <c r="A7539" s="558" t="s">
        <v>4186</v>
      </c>
      <c r="B7539" s="559">
        <f>VLOOKUP(A7539,'Mano Obra'!$B$3:$D$290,2,0)</f>
        <v>1100000</v>
      </c>
      <c r="C7539" s="101">
        <v>1</v>
      </c>
      <c r="D7539" s="104">
        <f>VLOOKUP(A7539,'Mano Obra'!$B$2:$T$117,19,0)</f>
        <v>72664</v>
      </c>
      <c r="E7539" s="246">
        <f>H7499</f>
        <v>3.1300000000000001E-2</v>
      </c>
      <c r="F7539" s="538">
        <f t="shared" si="441"/>
        <v>2274.3832000000002</v>
      </c>
      <c r="G7539" s="557"/>
      <c r="H7539" s="120"/>
      <c r="J7539" s="136">
        <f>((('Mano Obra'!$M$6/30)*F7539)/D7539)*G7506</f>
        <v>0</v>
      </c>
    </row>
    <row r="7540" spans="1:10" ht="16.5">
      <c r="A7540" s="560" t="s">
        <v>4101</v>
      </c>
      <c r="B7540" s="560"/>
      <c r="C7540" s="560"/>
      <c r="D7540" s="560"/>
      <c r="E7540" s="560"/>
      <c r="F7540" s="560"/>
      <c r="G7540" s="560"/>
      <c r="H7540" s="105">
        <f>SUM(F7537:F7539)</f>
        <v>11259.987200000001</v>
      </c>
      <c r="J7540" s="136"/>
    </row>
    <row r="7541" spans="1:10">
      <c r="A7541" s="227" t="s">
        <v>4237</v>
      </c>
      <c r="B7541" s="205"/>
      <c r="C7541" s="205"/>
      <c r="D7541" s="202"/>
      <c r="E7541" s="203"/>
      <c r="F7541" s="204"/>
      <c r="G7541" s="203"/>
      <c r="H7541" s="212"/>
    </row>
    <row r="7542" spans="1:10">
      <c r="A7542" s="561" t="s">
        <v>4224</v>
      </c>
      <c r="B7542" s="562"/>
      <c r="C7542" s="562"/>
      <c r="D7542" s="562"/>
      <c r="E7542" s="200"/>
      <c r="F7542" s="201" t="s">
        <v>4238</v>
      </c>
      <c r="G7542" s="200" t="s">
        <v>4239</v>
      </c>
      <c r="H7542" s="213"/>
    </row>
    <row r="7543" spans="1:10">
      <c r="A7543" s="223" t="s">
        <v>4097</v>
      </c>
      <c r="B7543" s="72"/>
      <c r="C7543" s="72"/>
      <c r="D7543" s="73"/>
      <c r="E7543" s="78"/>
      <c r="F7543" s="79">
        <v>0</v>
      </c>
      <c r="G7543" s="80">
        <f>F7543*H7507</f>
        <v>0</v>
      </c>
      <c r="H7543" s="212"/>
    </row>
    <row r="7544" spans="1:10">
      <c r="A7544" s="224" t="s">
        <v>4240</v>
      </c>
      <c r="B7544" s="81"/>
      <c r="C7544" s="81"/>
      <c r="D7544" s="82"/>
      <c r="E7544" s="78"/>
      <c r="F7544" s="79">
        <v>0</v>
      </c>
      <c r="G7544" s="80">
        <f>F7544*H7507</f>
        <v>0</v>
      </c>
      <c r="H7544" s="212"/>
    </row>
    <row r="7545" spans="1:10">
      <c r="A7545" s="224" t="s">
        <v>4</v>
      </c>
      <c r="B7545" s="81"/>
      <c r="C7545" s="81"/>
      <c r="D7545" s="82"/>
      <c r="E7545" s="78"/>
      <c r="F7545" s="79">
        <v>0</v>
      </c>
      <c r="G7545" s="80">
        <f>F7545*H7507</f>
        <v>0</v>
      </c>
      <c r="H7545" s="212"/>
    </row>
    <row r="7546" spans="1:10">
      <c r="A7546" s="225"/>
      <c r="B7546" s="83"/>
      <c r="C7546" s="75"/>
      <c r="D7546" s="84"/>
      <c r="E7546" s="85"/>
      <c r="F7546" s="86"/>
      <c r="G7546" s="87"/>
      <c r="H7546" s="214"/>
    </row>
    <row r="7547" spans="1:10">
      <c r="A7547" s="226"/>
      <c r="B7547" s="83"/>
      <c r="C7547" s="83"/>
      <c r="D7547" s="84"/>
      <c r="E7547" s="88"/>
      <c r="F7547" s="563" t="s">
        <v>4241</v>
      </c>
      <c r="G7547" s="564"/>
      <c r="H7547" s="233">
        <f>H7507+G7543+G7544+G7545</f>
        <v>22431.0161444</v>
      </c>
    </row>
    <row r="7548" spans="1:10">
      <c r="A7548" s="83"/>
      <c r="B7548" s="83"/>
      <c r="C7548" s="83"/>
      <c r="D7548" s="84"/>
      <c r="E7548" s="388"/>
      <c r="F7548" s="389"/>
      <c r="G7548" s="389"/>
      <c r="H7548" s="390"/>
    </row>
    <row r="7549" spans="1:10">
      <c r="A7549" s="83"/>
      <c r="B7549" s="83"/>
      <c r="C7549" s="83"/>
      <c r="D7549" s="84"/>
      <c r="E7549" s="388"/>
      <c r="F7549" s="389"/>
      <c r="G7549" s="389"/>
      <c r="H7549" s="390"/>
    </row>
    <row r="7550" spans="1:10">
      <c r="A7550" s="83"/>
      <c r="B7550" s="83"/>
      <c r="C7550" s="83"/>
      <c r="D7550" s="84"/>
      <c r="E7550" s="388"/>
      <c r="F7550" s="389"/>
      <c r="G7550" s="389"/>
      <c r="H7550" s="390"/>
    </row>
    <row r="7552" spans="1:10" ht="16.5">
      <c r="A7552" s="90"/>
      <c r="B7552" s="90"/>
      <c r="C7552" s="90"/>
      <c r="D7552" s="90"/>
      <c r="E7552" s="90"/>
      <c r="F7552" s="90"/>
      <c r="G7552" s="90"/>
      <c r="H7552" s="381"/>
    </row>
    <row r="7553" spans="1:14">
      <c r="A7553" s="579" t="s">
        <v>4225</v>
      </c>
      <c r="B7553" s="580"/>
      <c r="C7553" s="580"/>
      <c r="D7553" s="580"/>
      <c r="E7553" s="580"/>
      <c r="F7553" s="580"/>
      <c r="G7553" s="580"/>
      <c r="H7553" s="581"/>
    </row>
    <row r="7554" spans="1:14" ht="16.5">
      <c r="A7554" s="91"/>
      <c r="B7554" s="92"/>
      <c r="C7554" s="92"/>
      <c r="D7554" s="92"/>
      <c r="E7554" s="92"/>
      <c r="F7554" s="93"/>
      <c r="G7554" s="94"/>
      <c r="H7554" s="380">
        <f>ROUND((10/60)/8,4)</f>
        <v>2.0799999999999999E-2</v>
      </c>
      <c r="I7554" s="115"/>
    </row>
    <row r="7555" spans="1:14">
      <c r="A7555" s="582" t="s">
        <v>4220</v>
      </c>
      <c r="B7555" s="584" t="str">
        <f>COSTOS!$C$14</f>
        <v>MODERNIZACION A TECNOLOGIA LED</v>
      </c>
      <c r="C7555" s="584"/>
      <c r="D7555" s="584"/>
      <c r="E7555" s="584"/>
      <c r="F7555" s="584"/>
      <c r="G7555" s="584"/>
      <c r="H7555" s="585" t="s">
        <v>4221</v>
      </c>
    </row>
    <row r="7556" spans="1:14">
      <c r="A7556" s="583"/>
      <c r="B7556" s="584"/>
      <c r="C7556" s="584"/>
      <c r="D7556" s="584"/>
      <c r="E7556" s="584"/>
      <c r="F7556" s="584"/>
      <c r="G7556" s="584"/>
      <c r="H7556" s="585"/>
    </row>
    <row r="7557" spans="1:14">
      <c r="A7557" s="583"/>
      <c r="B7557" s="584"/>
      <c r="C7557" s="584"/>
      <c r="D7557" s="584"/>
      <c r="E7557" s="584"/>
      <c r="F7557" s="584"/>
      <c r="G7557" s="584"/>
      <c r="H7557" s="585"/>
    </row>
    <row r="7558" spans="1:14" ht="15" customHeight="1">
      <c r="A7558" s="583"/>
      <c r="B7558" s="584"/>
      <c r="C7558" s="584"/>
      <c r="D7558" s="584"/>
      <c r="E7558" s="584"/>
      <c r="F7558" s="584"/>
      <c r="G7558" s="584"/>
      <c r="H7558" s="216">
        <f ca="1">TODAY()</f>
        <v>44889</v>
      </c>
      <c r="K7558" t="s">
        <v>4391</v>
      </c>
      <c r="L7558" t="s">
        <v>4392</v>
      </c>
      <c r="M7558" t="s">
        <v>4393</v>
      </c>
      <c r="N7558" t="s">
        <v>4394</v>
      </c>
    </row>
    <row r="7559" spans="1:14" ht="60.75" customHeight="1">
      <c r="A7559" s="228" t="s">
        <v>4222</v>
      </c>
      <c r="B7559" s="565" t="str">
        <f>COSTOS!$D$16</f>
        <v>Luminarias</v>
      </c>
      <c r="C7559" s="565"/>
      <c r="D7559" s="565"/>
      <c r="E7559" s="565"/>
      <c r="F7559" s="565"/>
      <c r="G7559" s="70" t="s">
        <v>4223</v>
      </c>
      <c r="H7559" s="391">
        <v>3.34</v>
      </c>
      <c r="K7559" s="62">
        <f>H7585</f>
        <v>4569.5999999999995</v>
      </c>
      <c r="L7559" s="62">
        <f>H7595</f>
        <v>7482.6751999999997</v>
      </c>
      <c r="M7559" s="62">
        <f>H7568</f>
        <v>848.69200000000001</v>
      </c>
      <c r="N7559" s="62">
        <f>H7589</f>
        <v>800</v>
      </c>
    </row>
    <row r="7560" spans="1:14" ht="43.15" customHeight="1">
      <c r="A7560" s="229" t="s">
        <v>4224</v>
      </c>
      <c r="B7560" s="566" t="str">
        <f>VLOOKUP(H7559,COSTOS!C:M,2,0)</f>
        <v>Red aerea en ASCR No 4x2 AWG x 500m</v>
      </c>
      <c r="C7560" s="567"/>
      <c r="D7560" s="567"/>
      <c r="E7560" s="568"/>
      <c r="F7560" s="71" t="s">
        <v>0</v>
      </c>
      <c r="G7560" s="356" t="str">
        <f>VLOOKUP(H7559,COSTOS!C:M,8,0)</f>
        <v>Und</v>
      </c>
      <c r="H7560" s="276"/>
      <c r="I7560" s="306"/>
      <c r="J7560" s="308"/>
      <c r="K7560" s="308"/>
      <c r="L7560" s="308"/>
    </row>
    <row r="7561" spans="1:14">
      <c r="A7561" s="230"/>
      <c r="B7561" s="112"/>
      <c r="C7561" s="112"/>
      <c r="D7561" s="112"/>
      <c r="E7561" s="113"/>
      <c r="F7561" s="114" t="s">
        <v>1</v>
      </c>
      <c r="G7561" s="356">
        <f>VLOOKUP(H7559,COSTOS!C:M,9,0)</f>
        <v>0</v>
      </c>
      <c r="H7561" s="357"/>
      <c r="I7561" s="307"/>
    </row>
    <row r="7562" spans="1:14" ht="16.5">
      <c r="A7562" s="231" t="s">
        <v>4226</v>
      </c>
      <c r="B7562" s="75"/>
      <c r="C7562" s="75"/>
      <c r="D7562" s="76"/>
      <c r="E7562" s="209"/>
      <c r="F7562" s="210"/>
      <c r="G7562" s="211" t="s">
        <v>4227</v>
      </c>
      <c r="H7562" s="217">
        <f>H7568+H7585+H7589+H7595</f>
        <v>13700.967199999999</v>
      </c>
    </row>
    <row r="7563" spans="1:14" ht="39">
      <c r="A7563" s="569" t="s">
        <v>4224</v>
      </c>
      <c r="B7563" s="569"/>
      <c r="C7563" s="569"/>
      <c r="D7563" s="77" t="s">
        <v>0</v>
      </c>
      <c r="E7563" s="207" t="s">
        <v>4228</v>
      </c>
      <c r="F7563" s="208" t="s">
        <v>4215</v>
      </c>
      <c r="G7563" s="74" t="s">
        <v>2</v>
      </c>
      <c r="H7563" s="218" t="s">
        <v>4229</v>
      </c>
      <c r="K7563" s="309"/>
    </row>
    <row r="7564" spans="1:14">
      <c r="A7564" s="536" t="s">
        <v>3946</v>
      </c>
      <c r="B7564" s="570" t="str">
        <f>VLOOKUP(A7564,'Equip, Herr y Transp'!$B$2:$D$739,2,0)</f>
        <v>EQU</v>
      </c>
      <c r="C7564" s="570"/>
      <c r="D7564" s="95" t="str">
        <f>VLOOKUP(A7564,'Equip, Herr y Transp'!$B$2:$D$218,2,0)</f>
        <v>EQU</v>
      </c>
      <c r="E7564" s="95">
        <f>VLOOKUP(A7564,'Equip, Herr y Transp'!$B$2:$D$218,3,0)</f>
        <v>14130</v>
      </c>
      <c r="F7564" s="96">
        <f>H7554</f>
        <v>2.0799999999999999E-2</v>
      </c>
      <c r="G7564" s="122">
        <f>F7564*E7564</f>
        <v>293.904</v>
      </c>
      <c r="H7564" s="118"/>
    </row>
    <row r="7565" spans="1:14">
      <c r="A7565" s="536" t="s">
        <v>3904</v>
      </c>
      <c r="B7565" s="570" t="str">
        <f>VLOOKUP(A7565,'Equip, Herr y Transp'!$B$2:$D$739,2,0)</f>
        <v>EQU</v>
      </c>
      <c r="C7565" s="570"/>
      <c r="D7565" s="95" t="str">
        <f>VLOOKUP(A7565,'Equip, Herr y Transp'!$B$2:$D$218,2,0)</f>
        <v>EQU</v>
      </c>
      <c r="E7565" s="95">
        <f>VLOOKUP(A7565,'Equip, Herr y Transp'!$B$2:$D$218,3,0)</f>
        <v>26672.5</v>
      </c>
      <c r="F7565" s="96">
        <f>H7554</f>
        <v>2.0799999999999999E-2</v>
      </c>
      <c r="G7565" s="122">
        <f>F7565*E7565</f>
        <v>554.78800000000001</v>
      </c>
      <c r="H7565" s="117"/>
    </row>
    <row r="7566" spans="1:14">
      <c r="A7566" s="536" t="s">
        <v>8</v>
      </c>
      <c r="B7566" s="570">
        <f>VLOOKUP(A7566,'Equip, Herr y Transp'!$B$2:$D$739,2,0)</f>
        <v>0</v>
      </c>
      <c r="C7566" s="570"/>
      <c r="D7566" s="95">
        <f>VLOOKUP(A7566,'Equip, Herr y Transp'!$B$2:$D$218,2,0)</f>
        <v>0</v>
      </c>
      <c r="E7566" s="95">
        <f>VLOOKUP(A7566,'Equip, Herr y Transp'!$B$2:$D$218,3,0)</f>
        <v>0</v>
      </c>
      <c r="F7566" s="96">
        <f>H7554</f>
        <v>2.0799999999999999E-2</v>
      </c>
      <c r="G7566" s="122">
        <f>F7566*E7566</f>
        <v>0</v>
      </c>
      <c r="H7566" s="117"/>
    </row>
    <row r="7567" spans="1:14">
      <c r="A7567" s="536" t="s">
        <v>8</v>
      </c>
      <c r="B7567" s="570">
        <f>VLOOKUP(A7567,'Equip, Herr y Transp'!$B$2:$D$739,2,0)</f>
        <v>0</v>
      </c>
      <c r="C7567" s="570"/>
      <c r="D7567" s="95">
        <f>VLOOKUP(A7567,'Equip, Herr y Transp'!$B$2:$D$218,2,0)</f>
        <v>0</v>
      </c>
      <c r="E7567" s="95">
        <f>VLOOKUP(A7567,'Equip, Herr y Transp'!$B$2:$D$218,3,0)</f>
        <v>0</v>
      </c>
      <c r="F7567" s="96">
        <f>H7554</f>
        <v>2.0799999999999999E-2</v>
      </c>
      <c r="G7567" s="122">
        <f>F7567*E7567</f>
        <v>0</v>
      </c>
      <c r="H7567" s="117"/>
    </row>
    <row r="7568" spans="1:14" ht="16.5">
      <c r="A7568" s="540" t="s">
        <v>4100</v>
      </c>
      <c r="B7568" s="541"/>
      <c r="C7568" s="541"/>
      <c r="D7568" s="541"/>
      <c r="E7568" s="541"/>
      <c r="F7568" s="541"/>
      <c r="G7568" s="541"/>
      <c r="H7568" s="97">
        <f>SUM(G7564:G7567)</f>
        <v>848.69200000000001</v>
      </c>
    </row>
    <row r="7569" spans="1:15" ht="16.5">
      <c r="A7569" s="571" t="s">
        <v>4230</v>
      </c>
      <c r="B7569" s="572"/>
      <c r="C7569" s="572"/>
      <c r="D7569" s="572"/>
      <c r="E7569" s="572"/>
      <c r="F7569" s="572"/>
      <c r="G7569" s="572"/>
      <c r="H7569" s="573"/>
      <c r="K7569" s="56"/>
      <c r="L7569" s="56"/>
      <c r="M7569" s="56"/>
      <c r="N7569" s="56"/>
      <c r="O7569" s="56"/>
    </row>
    <row r="7570" spans="1:15" ht="30" customHeight="1">
      <c r="A7570" s="574" t="s">
        <v>7</v>
      </c>
      <c r="B7570" s="575"/>
      <c r="C7570" s="109" t="s">
        <v>0</v>
      </c>
      <c r="D7570" s="110" t="s">
        <v>4098</v>
      </c>
      <c r="E7570" s="111" t="s">
        <v>1</v>
      </c>
      <c r="F7570" s="576" t="s">
        <v>4218</v>
      </c>
      <c r="G7570" s="576"/>
      <c r="H7570" s="215"/>
      <c r="K7570" s="56"/>
      <c r="L7570" s="56"/>
      <c r="M7570" s="56"/>
      <c r="N7570" s="56"/>
      <c r="O7570" s="56"/>
    </row>
    <row r="7571" spans="1:15">
      <c r="A7571" s="577" t="s">
        <v>4809</v>
      </c>
      <c r="B7571" s="578"/>
      <c r="C7571" s="98" t="str">
        <f>VLOOKUP(A7571,'Materiales '!$C$2:$F$1302,3,0)</f>
        <v>Ml</v>
      </c>
      <c r="D7571" s="99">
        <f>VLOOKUP(A7571,'Materiales '!$C$2:$F$1302,4,0)</f>
        <v>4569.5999999999995</v>
      </c>
      <c r="E7571" s="100">
        <v>1</v>
      </c>
      <c r="F7571" s="538">
        <f>E7571*D7571</f>
        <v>4569.5999999999995</v>
      </c>
      <c r="G7571" s="539"/>
      <c r="H7571" s="121"/>
      <c r="I7571">
        <f>E7571*G7561</f>
        <v>0</v>
      </c>
      <c r="J7571" s="67"/>
      <c r="K7571" s="56"/>
      <c r="L7571" s="56"/>
      <c r="M7571" s="56"/>
      <c r="N7571" s="56"/>
      <c r="O7571" s="56"/>
    </row>
    <row r="7572" spans="1:15">
      <c r="A7572" s="577" t="s">
        <v>8</v>
      </c>
      <c r="B7572" s="578"/>
      <c r="C7572" s="98" t="str">
        <f>VLOOKUP(A7572,'Materiales '!$C$2:$F$1302,3,0)</f>
        <v>-</v>
      </c>
      <c r="D7572" s="99">
        <f>VLOOKUP(A7572,'Materiales '!$C$2:$F$1302,4,0)</f>
        <v>0</v>
      </c>
      <c r="E7572" s="100">
        <f>3/25</f>
        <v>0.12</v>
      </c>
      <c r="F7572" s="538">
        <f t="shared" ref="F7572:F7578" si="442">E7572*D7572</f>
        <v>0</v>
      </c>
      <c r="G7572" s="539"/>
      <c r="H7572" s="121"/>
      <c r="I7572">
        <f>E7572*G7561</f>
        <v>0</v>
      </c>
      <c r="J7572" s="67"/>
      <c r="K7572" s="56"/>
      <c r="L7572" s="56"/>
      <c r="M7572" s="56"/>
      <c r="N7572" s="56"/>
      <c r="O7572" s="56"/>
    </row>
    <row r="7573" spans="1:15">
      <c r="A7573" s="536" t="s">
        <v>8</v>
      </c>
      <c r="B7573" s="537" t="str">
        <f>VLOOKUP(A7573,'Materiales '!$C$2:$F$1302,3,0)</f>
        <v>-</v>
      </c>
      <c r="C7573" s="98" t="str">
        <f>VLOOKUP(A7573,'Materiales '!$C$2:$F$1302,3,0)</f>
        <v>-</v>
      </c>
      <c r="D7573" s="99">
        <f>VLOOKUP(A7573,'Materiales '!$C$2:$F$1302,4,0)</f>
        <v>0</v>
      </c>
      <c r="E7573" s="100">
        <f>3/25</f>
        <v>0.12</v>
      </c>
      <c r="F7573" s="538">
        <f t="shared" si="442"/>
        <v>0</v>
      </c>
      <c r="G7573" s="539"/>
      <c r="H7573" s="121"/>
      <c r="I7573">
        <f>E7573*G7561</f>
        <v>0</v>
      </c>
      <c r="J7573" s="68"/>
      <c r="K7573" s="56"/>
      <c r="L7573" s="56"/>
      <c r="M7573" s="56"/>
      <c r="N7573" s="56"/>
      <c r="O7573" s="56"/>
    </row>
    <row r="7574" spans="1:15">
      <c r="A7574" s="536" t="s">
        <v>8</v>
      </c>
      <c r="B7574" s="537" t="str">
        <f>VLOOKUP(A7574,'Materiales '!$C$2:$F$1302,3,0)</f>
        <v>-</v>
      </c>
      <c r="C7574" s="98" t="str">
        <f>VLOOKUP(A7574,'Materiales '!$C$2:$F$1302,3,0)</f>
        <v>-</v>
      </c>
      <c r="D7574" s="99">
        <f>VLOOKUP(A7574,'Materiales '!$C$2:$F$1302,4,0)</f>
        <v>0</v>
      </c>
      <c r="E7574" s="100"/>
      <c r="F7574" s="538">
        <f t="shared" si="442"/>
        <v>0</v>
      </c>
      <c r="G7574" s="539"/>
      <c r="H7574" s="121"/>
      <c r="I7574">
        <f>E7574*G7561</f>
        <v>0</v>
      </c>
      <c r="J7574" s="68"/>
      <c r="K7574" s="56"/>
      <c r="L7574" s="56"/>
      <c r="M7574" s="56"/>
      <c r="N7574" s="56"/>
      <c r="O7574" s="56"/>
    </row>
    <row r="7575" spans="1:15">
      <c r="A7575" s="536" t="s">
        <v>8</v>
      </c>
      <c r="B7575" s="537" t="str">
        <f>VLOOKUP(A7575,'Materiales '!$C$2:$F$1302,3,0)</f>
        <v>-</v>
      </c>
      <c r="C7575" s="98" t="str">
        <f>VLOOKUP(A7575,'Materiales '!$C$2:$F$1302,3,0)</f>
        <v>-</v>
      </c>
      <c r="D7575" s="99">
        <f>VLOOKUP(A7575,'Materiales '!$C$2:$F$1302,4,0)</f>
        <v>0</v>
      </c>
      <c r="E7575" s="100"/>
      <c r="F7575" s="538">
        <f t="shared" si="442"/>
        <v>0</v>
      </c>
      <c r="G7575" s="539"/>
      <c r="H7575" s="121"/>
      <c r="I7575">
        <f>E7575*G7561</f>
        <v>0</v>
      </c>
      <c r="J7575" s="68"/>
      <c r="K7575" s="56"/>
      <c r="L7575" s="56"/>
      <c r="M7575" s="56"/>
      <c r="N7575" s="56"/>
      <c r="O7575" s="56"/>
    </row>
    <row r="7576" spans="1:15">
      <c r="A7576" s="536" t="s">
        <v>8</v>
      </c>
      <c r="B7576" s="537" t="str">
        <f>VLOOKUP(A7576,'Materiales '!$C$2:$F$1302,3,0)</f>
        <v>-</v>
      </c>
      <c r="C7576" s="98" t="str">
        <f>VLOOKUP(A7576,'Materiales '!$C$2:$F$1302,3,0)</f>
        <v>-</v>
      </c>
      <c r="D7576" s="99">
        <f>VLOOKUP(A7576,'Materiales '!$C$2:$F$1302,4,0)</f>
        <v>0</v>
      </c>
      <c r="E7576" s="100"/>
      <c r="F7576" s="538">
        <f t="shared" si="442"/>
        <v>0</v>
      </c>
      <c r="G7576" s="539"/>
      <c r="H7576" s="121"/>
      <c r="I7576">
        <f>E7576*G7561</f>
        <v>0</v>
      </c>
      <c r="J7576" s="68"/>
      <c r="K7576" s="56"/>
      <c r="L7576" s="56"/>
      <c r="M7576" s="56"/>
      <c r="N7576" s="56"/>
      <c r="O7576" s="56"/>
    </row>
    <row r="7577" spans="1:15">
      <c r="A7577" s="536" t="s">
        <v>8</v>
      </c>
      <c r="B7577" s="537" t="str">
        <f>VLOOKUP(A7577,'Materiales '!$C$2:$F$1302,3,0)</f>
        <v>-</v>
      </c>
      <c r="C7577" s="98" t="str">
        <f>VLOOKUP(A7577,'Materiales '!$C$2:$F$1302,3,0)</f>
        <v>-</v>
      </c>
      <c r="D7577" s="99">
        <f>VLOOKUP(A7577,'Materiales '!$C$2:$F$1302,4,0)</f>
        <v>0</v>
      </c>
      <c r="E7577" s="100"/>
      <c r="F7577" s="538">
        <f t="shared" si="442"/>
        <v>0</v>
      </c>
      <c r="G7577" s="539"/>
      <c r="H7577" s="121"/>
      <c r="I7577">
        <f>E7577*G7561</f>
        <v>0</v>
      </c>
      <c r="J7577" s="68"/>
      <c r="K7577" s="56"/>
      <c r="L7577" s="56"/>
      <c r="M7577" s="56"/>
      <c r="N7577" s="56"/>
      <c r="O7577" s="56"/>
    </row>
    <row r="7578" spans="1:15" ht="21.75" customHeight="1">
      <c r="A7578" s="536" t="s">
        <v>8</v>
      </c>
      <c r="B7578" s="537" t="str">
        <f>VLOOKUP(A7578,'Materiales '!$C$2:$F$1302,3,0)</f>
        <v>-</v>
      </c>
      <c r="C7578" s="98" t="str">
        <f>VLOOKUP(A7578,'Materiales '!$C$2:$F$1302,3,0)</f>
        <v>-</v>
      </c>
      <c r="D7578" s="99">
        <f>VLOOKUP(A7578,'Materiales '!$C$2:$F$1302,4,0)</f>
        <v>0</v>
      </c>
      <c r="E7578" s="100"/>
      <c r="F7578" s="538">
        <f t="shared" si="442"/>
        <v>0</v>
      </c>
      <c r="G7578" s="539"/>
      <c r="H7578" s="121"/>
      <c r="I7578">
        <f>E7578*G7561</f>
        <v>0</v>
      </c>
      <c r="J7578" s="68"/>
      <c r="K7578" s="56"/>
      <c r="L7578" s="56"/>
      <c r="M7578" s="56"/>
      <c r="N7578" s="56"/>
      <c r="O7578" s="56"/>
    </row>
    <row r="7579" spans="1:15">
      <c r="A7579" s="536" t="s">
        <v>8</v>
      </c>
      <c r="B7579" s="537" t="str">
        <f>VLOOKUP(A7579,'Materiales '!$C$2:$F$1302,3,0)</f>
        <v>-</v>
      </c>
      <c r="C7579" s="98" t="str">
        <f>VLOOKUP(A7579,'Materiales '!$C$2:$F$1302,3,0)</f>
        <v>-</v>
      </c>
      <c r="D7579" s="99">
        <f>VLOOKUP(A7579,'Materiales '!$C$2:$F$1302,4,0)</f>
        <v>0</v>
      </c>
      <c r="E7579" s="100"/>
      <c r="F7579" s="538">
        <f>E7579*D7579</f>
        <v>0</v>
      </c>
      <c r="G7579" s="539"/>
      <c r="H7579" s="120"/>
      <c r="I7579">
        <f>E7579*G7561</f>
        <v>0</v>
      </c>
      <c r="J7579" s="68"/>
      <c r="K7579" s="56"/>
      <c r="L7579" s="56"/>
      <c r="M7579" s="56"/>
      <c r="N7579" s="56"/>
      <c r="O7579" s="56"/>
    </row>
    <row r="7580" spans="1:15">
      <c r="A7580" s="536" t="s">
        <v>8</v>
      </c>
      <c r="B7580" s="537" t="str">
        <f>VLOOKUP(A7580,'Materiales '!$C$2:$F$1302,3,0)</f>
        <v>-</v>
      </c>
      <c r="C7580" s="98" t="str">
        <f>VLOOKUP(A7580,'Materiales '!$C$2:$F$1302,3,0)</f>
        <v>-</v>
      </c>
      <c r="D7580" s="99">
        <f>VLOOKUP(A7580,'Materiales '!$C$2:$F$1302,4,0)</f>
        <v>0</v>
      </c>
      <c r="E7580" s="100"/>
      <c r="F7580" s="538">
        <f t="shared" ref="F7580:F7583" si="443">E7580*D7580</f>
        <v>0</v>
      </c>
      <c r="G7580" s="539"/>
      <c r="H7580" s="121"/>
      <c r="I7580">
        <f>E7580*G7561</f>
        <v>0</v>
      </c>
      <c r="J7580" s="68"/>
      <c r="K7580" s="56"/>
      <c r="L7580" s="56"/>
      <c r="M7580" s="56"/>
      <c r="N7580" s="56"/>
      <c r="O7580" s="56"/>
    </row>
    <row r="7581" spans="1:15">
      <c r="A7581" s="536" t="s">
        <v>8</v>
      </c>
      <c r="B7581" s="537" t="str">
        <f>VLOOKUP(A7581,'Materiales '!$C$2:$F$1302,3,0)</f>
        <v>-</v>
      </c>
      <c r="C7581" s="98" t="str">
        <f>VLOOKUP(A7581,'Materiales '!$C$2:$F$1302,3,0)</f>
        <v>-</v>
      </c>
      <c r="D7581" s="99">
        <f>VLOOKUP(A7581,'Materiales '!$C$2:$F$1302,4,0)</f>
        <v>0</v>
      </c>
      <c r="E7581" s="100"/>
      <c r="F7581" s="538">
        <f t="shared" si="443"/>
        <v>0</v>
      </c>
      <c r="G7581" s="539"/>
      <c r="H7581" s="121"/>
      <c r="I7581">
        <f>E7581*G7561</f>
        <v>0</v>
      </c>
      <c r="J7581" s="68"/>
      <c r="K7581" s="56"/>
      <c r="L7581" s="56"/>
      <c r="M7581" s="56"/>
      <c r="N7581" s="56"/>
      <c r="O7581" s="56"/>
    </row>
    <row r="7582" spans="1:15">
      <c r="A7582" s="536" t="s">
        <v>8</v>
      </c>
      <c r="B7582" s="537" t="str">
        <f>VLOOKUP(A7582,'Materiales '!$C$2:$F$1302,3,0)</f>
        <v>-</v>
      </c>
      <c r="C7582" s="98" t="str">
        <f>VLOOKUP(A7582,'Materiales '!$C$2:$F$1302,3,0)</f>
        <v>-</v>
      </c>
      <c r="D7582" s="99">
        <f>VLOOKUP(A7582,'Materiales '!$C$2:$F$1302,4,0)</f>
        <v>0</v>
      </c>
      <c r="E7582" s="100"/>
      <c r="F7582" s="538">
        <f t="shared" si="443"/>
        <v>0</v>
      </c>
      <c r="G7582" s="539"/>
      <c r="H7582" s="121"/>
      <c r="I7582">
        <f>E7582*G7561</f>
        <v>0</v>
      </c>
      <c r="J7582" s="68"/>
      <c r="K7582" s="56"/>
      <c r="L7582" s="56"/>
      <c r="M7582" s="56"/>
      <c r="N7582" s="56"/>
      <c r="O7582" s="56"/>
    </row>
    <row r="7583" spans="1:15">
      <c r="A7583" s="536" t="s">
        <v>8</v>
      </c>
      <c r="B7583" s="537" t="str">
        <f>VLOOKUP(A7583,'Materiales '!$C$2:$F$1302,3,0)</f>
        <v>-</v>
      </c>
      <c r="C7583" s="98" t="str">
        <f>VLOOKUP(A7583,'Materiales '!$C$2:$F$1302,3,0)</f>
        <v>-</v>
      </c>
      <c r="D7583" s="99">
        <f>VLOOKUP(A7583,'Materiales '!$C$2:$F$1302,4,0)</f>
        <v>0</v>
      </c>
      <c r="E7583" s="100"/>
      <c r="F7583" s="538">
        <f t="shared" si="443"/>
        <v>0</v>
      </c>
      <c r="G7583" s="539"/>
      <c r="H7583" s="121"/>
      <c r="I7583">
        <f>E7583*G7561</f>
        <v>0</v>
      </c>
      <c r="J7583" s="68"/>
      <c r="K7583" s="56"/>
      <c r="L7583" s="56"/>
      <c r="M7583" s="56"/>
      <c r="N7583" s="56"/>
      <c r="O7583" s="56"/>
    </row>
    <row r="7584" spans="1:15">
      <c r="A7584" s="536" t="s">
        <v>8</v>
      </c>
      <c r="B7584" s="537" t="str">
        <f>VLOOKUP(A7584,'Materiales '!$C$2:$F$1302,3,0)</f>
        <v>-</v>
      </c>
      <c r="C7584" s="98" t="str">
        <f>VLOOKUP(A7584,'Materiales '!$C$2:$F$1302,3,0)</f>
        <v>-</v>
      </c>
      <c r="D7584" s="99">
        <f>VLOOKUP(A7584,'Materiales '!$C$2:$F$1302,4,0)</f>
        <v>0</v>
      </c>
      <c r="E7584" s="100"/>
      <c r="F7584" s="538">
        <f>E7584*D7584</f>
        <v>0</v>
      </c>
      <c r="G7584" s="539"/>
      <c r="H7584" s="120"/>
      <c r="I7584">
        <f>E7584*G7561</f>
        <v>0</v>
      </c>
      <c r="J7584" s="68"/>
      <c r="K7584" s="56"/>
      <c r="L7584" s="56"/>
      <c r="M7584" s="56"/>
      <c r="N7584" s="56"/>
      <c r="O7584" s="56"/>
    </row>
    <row r="7585" spans="1:15" ht="16.5">
      <c r="A7585" s="540" t="s">
        <v>4099</v>
      </c>
      <c r="B7585" s="541"/>
      <c r="C7585" s="541"/>
      <c r="D7585" s="541"/>
      <c r="E7585" s="541"/>
      <c r="F7585" s="541"/>
      <c r="G7585" s="542"/>
      <c r="H7585" s="116">
        <f>SUM(F7571:F7584)</f>
        <v>4569.5999999999995</v>
      </c>
      <c r="J7585" s="68"/>
      <c r="K7585" s="56"/>
      <c r="L7585" s="56"/>
      <c r="M7585" s="56"/>
      <c r="N7585" s="56"/>
      <c r="O7585" s="56"/>
    </row>
    <row r="7586" spans="1:15" ht="16.5">
      <c r="A7586" s="543" t="s">
        <v>4231</v>
      </c>
      <c r="B7586" s="544"/>
      <c r="C7586" s="544"/>
      <c r="D7586" s="544"/>
      <c r="E7586" s="545"/>
      <c r="F7586" s="544"/>
      <c r="G7586" s="544"/>
      <c r="H7586" s="546"/>
      <c r="J7586" s="68"/>
      <c r="K7586" s="56"/>
      <c r="L7586" s="56"/>
      <c r="M7586" s="56"/>
      <c r="N7586" s="56"/>
      <c r="O7586" s="56"/>
    </row>
    <row r="7587" spans="1:15">
      <c r="A7587" s="547" t="s">
        <v>7</v>
      </c>
      <c r="B7587" s="548"/>
      <c r="C7587" s="108" t="s">
        <v>4232</v>
      </c>
      <c r="D7587" s="107" t="s">
        <v>4233</v>
      </c>
      <c r="E7587" s="206" t="s">
        <v>4234</v>
      </c>
      <c r="F7587" s="549" t="s">
        <v>4218</v>
      </c>
      <c r="G7587" s="549"/>
      <c r="H7587" s="119"/>
      <c r="K7587" s="56"/>
      <c r="L7587" s="56"/>
      <c r="M7587" s="56"/>
      <c r="N7587" s="56"/>
      <c r="O7587" s="56"/>
    </row>
    <row r="7588" spans="1:15">
      <c r="A7588" s="550" t="s">
        <v>3928</v>
      </c>
      <c r="B7588" s="551"/>
      <c r="C7588" s="232">
        <v>1</v>
      </c>
      <c r="D7588" s="102">
        <v>5.0000000000000001E-3</v>
      </c>
      <c r="E7588" s="103">
        <f>VLOOKUP(A7588,'Equip, Herr y Transp'!$B$2:$D$218,3,0)</f>
        <v>160000</v>
      </c>
      <c r="F7588" s="552">
        <f>E7588*D7588*C7588</f>
        <v>800</v>
      </c>
      <c r="G7588" s="553"/>
      <c r="H7588" s="117"/>
      <c r="M7588" s="56"/>
    </row>
    <row r="7589" spans="1:15" ht="16.5">
      <c r="A7589" s="554" t="s">
        <v>4216</v>
      </c>
      <c r="B7589" s="555"/>
      <c r="C7589" s="555"/>
      <c r="D7589" s="555"/>
      <c r="E7589" s="555"/>
      <c r="F7589" s="555"/>
      <c r="G7589" s="555"/>
      <c r="H7589" s="105">
        <f>F7588</f>
        <v>800</v>
      </c>
    </row>
    <row r="7590" spans="1:15" ht="16.5">
      <c r="A7590" s="543" t="s">
        <v>4235</v>
      </c>
      <c r="B7590" s="544"/>
      <c r="C7590" s="544"/>
      <c r="D7590" s="544"/>
      <c r="E7590" s="544"/>
      <c r="F7590" s="544"/>
      <c r="G7590" s="544"/>
      <c r="H7590" s="546"/>
    </row>
    <row r="7591" spans="1:15">
      <c r="A7591" s="547" t="s">
        <v>7</v>
      </c>
      <c r="B7591" s="548"/>
      <c r="C7591" s="106" t="s">
        <v>1</v>
      </c>
      <c r="D7591" s="107" t="s">
        <v>4236</v>
      </c>
      <c r="E7591" s="108" t="s">
        <v>4215</v>
      </c>
      <c r="F7591" s="547" t="s">
        <v>5</v>
      </c>
      <c r="G7591" s="556"/>
      <c r="H7591" s="119"/>
    </row>
    <row r="7592" spans="1:15">
      <c r="A7592" s="550" t="s">
        <v>4196</v>
      </c>
      <c r="B7592" s="551"/>
      <c r="C7592" s="101">
        <v>1</v>
      </c>
      <c r="D7592" s="104">
        <f>VLOOKUP(A7592,'Mano Obra'!$B$2:$T$117,19,0)</f>
        <v>166624</v>
      </c>
      <c r="E7592" s="246">
        <f>H7554</f>
        <v>2.0799999999999999E-2</v>
      </c>
      <c r="F7592" s="538">
        <f>E7592*D7592*C7592</f>
        <v>3465.7791999999999</v>
      </c>
      <c r="G7592" s="557"/>
      <c r="H7592" s="121"/>
      <c r="I7592" s="69"/>
      <c r="J7592" s="136">
        <f>((('Mano Obra'!$M$4/30)*F7592)/D7592)*G7561</f>
        <v>0</v>
      </c>
    </row>
    <row r="7593" spans="1:15">
      <c r="A7593" s="558" t="s">
        <v>4197</v>
      </c>
      <c r="B7593" s="559">
        <f>VLOOKUP(A7593,'Mano Obra'!$B$3:$D$290,2,0)</f>
        <v>2090000.0000000002</v>
      </c>
      <c r="C7593" s="101">
        <v>1</v>
      </c>
      <c r="D7593" s="104">
        <f>VLOOKUP(A7593,'Mano Obra'!$B$2:$T$117,19,0)</f>
        <v>120456</v>
      </c>
      <c r="E7593" s="246">
        <f>H7554</f>
        <v>2.0799999999999999E-2</v>
      </c>
      <c r="F7593" s="538">
        <f t="shared" ref="F7593:F7594" si="444">E7593*D7593*C7593</f>
        <v>2505.4847999999997</v>
      </c>
      <c r="G7593" s="557"/>
      <c r="H7593" s="121"/>
      <c r="J7593" s="136">
        <f>((('Mano Obra'!$M$5/30)*F7593)/D7593)*G7561</f>
        <v>0</v>
      </c>
    </row>
    <row r="7594" spans="1:15">
      <c r="A7594" s="558" t="s">
        <v>4186</v>
      </c>
      <c r="B7594" s="559">
        <f>VLOOKUP(A7594,'Mano Obra'!$B$3:$D$290,2,0)</f>
        <v>1100000</v>
      </c>
      <c r="C7594" s="101">
        <v>1</v>
      </c>
      <c r="D7594" s="104">
        <f>VLOOKUP(A7594,'Mano Obra'!$B$2:$T$117,19,0)</f>
        <v>72664</v>
      </c>
      <c r="E7594" s="246">
        <f>H7554</f>
        <v>2.0799999999999999E-2</v>
      </c>
      <c r="F7594" s="538">
        <f t="shared" si="444"/>
        <v>1511.4112</v>
      </c>
      <c r="G7594" s="557"/>
      <c r="H7594" s="120"/>
      <c r="J7594" s="136">
        <f>((('Mano Obra'!$M$6/30)*F7594)/D7594)*G7561</f>
        <v>0</v>
      </c>
    </row>
    <row r="7595" spans="1:15" ht="16.5">
      <c r="A7595" s="560" t="s">
        <v>4101</v>
      </c>
      <c r="B7595" s="560"/>
      <c r="C7595" s="560"/>
      <c r="D7595" s="560"/>
      <c r="E7595" s="560"/>
      <c r="F7595" s="560"/>
      <c r="G7595" s="560"/>
      <c r="H7595" s="105">
        <f>SUM(F7592:F7594)</f>
        <v>7482.6751999999997</v>
      </c>
      <c r="J7595" s="136"/>
    </row>
    <row r="7596" spans="1:15">
      <c r="A7596" s="227" t="s">
        <v>4237</v>
      </c>
      <c r="B7596" s="205"/>
      <c r="C7596" s="205"/>
      <c r="D7596" s="202"/>
      <c r="E7596" s="203"/>
      <c r="F7596" s="204"/>
      <c r="G7596" s="203"/>
      <c r="H7596" s="212"/>
    </row>
    <row r="7597" spans="1:15">
      <c r="A7597" s="561" t="s">
        <v>4224</v>
      </c>
      <c r="B7597" s="562"/>
      <c r="C7597" s="562"/>
      <c r="D7597" s="562"/>
      <c r="E7597" s="200"/>
      <c r="F7597" s="201" t="s">
        <v>4238</v>
      </c>
      <c r="G7597" s="200" t="s">
        <v>4239</v>
      </c>
      <c r="H7597" s="213"/>
    </row>
    <row r="7598" spans="1:15">
      <c r="A7598" s="223" t="s">
        <v>4097</v>
      </c>
      <c r="B7598" s="72"/>
      <c r="C7598" s="72"/>
      <c r="D7598" s="73"/>
      <c r="E7598" s="78"/>
      <c r="F7598" s="79">
        <v>0</v>
      </c>
      <c r="G7598" s="80">
        <f>F7598*H7562</f>
        <v>0</v>
      </c>
      <c r="H7598" s="212"/>
    </row>
    <row r="7599" spans="1:15">
      <c r="A7599" s="224" t="s">
        <v>4240</v>
      </c>
      <c r="B7599" s="81"/>
      <c r="C7599" s="81"/>
      <c r="D7599" s="82"/>
      <c r="E7599" s="78"/>
      <c r="F7599" s="79">
        <v>0</v>
      </c>
      <c r="G7599" s="80">
        <f>F7599*H7562</f>
        <v>0</v>
      </c>
      <c r="H7599" s="212"/>
    </row>
    <row r="7600" spans="1:15">
      <c r="A7600" s="224" t="s">
        <v>4</v>
      </c>
      <c r="B7600" s="81"/>
      <c r="C7600" s="81"/>
      <c r="D7600" s="82"/>
      <c r="E7600" s="78"/>
      <c r="F7600" s="79">
        <v>0</v>
      </c>
      <c r="G7600" s="80">
        <f>F7600*H7562</f>
        <v>0</v>
      </c>
      <c r="H7600" s="212"/>
    </row>
    <row r="7601" spans="1:14">
      <c r="A7601" s="225"/>
      <c r="B7601" s="83"/>
      <c r="C7601" s="75"/>
      <c r="D7601" s="84"/>
      <c r="E7601" s="85"/>
      <c r="F7601" s="86"/>
      <c r="G7601" s="87"/>
      <c r="H7601" s="214"/>
    </row>
    <row r="7602" spans="1:14">
      <c r="A7602" s="226"/>
      <c r="B7602" s="83"/>
      <c r="C7602" s="83"/>
      <c r="D7602" s="84"/>
      <c r="E7602" s="88"/>
      <c r="F7602" s="563" t="s">
        <v>4241</v>
      </c>
      <c r="G7602" s="564"/>
      <c r="H7602" s="233">
        <f>H7562+G7598+G7599+G7600</f>
        <v>13700.967199999999</v>
      </c>
    </row>
    <row r="7605" spans="1:14" ht="16.5">
      <c r="A7605" s="90"/>
      <c r="B7605" s="90"/>
      <c r="C7605" s="90"/>
      <c r="D7605" s="90"/>
      <c r="E7605" s="90"/>
      <c r="F7605" s="90"/>
      <c r="G7605" s="90"/>
      <c r="H7605" s="381"/>
    </row>
    <row r="7606" spans="1:14">
      <c r="A7606" s="579" t="s">
        <v>4225</v>
      </c>
      <c r="B7606" s="580"/>
      <c r="C7606" s="580"/>
      <c r="D7606" s="580"/>
      <c r="E7606" s="580"/>
      <c r="F7606" s="580"/>
      <c r="G7606" s="580"/>
      <c r="H7606" s="581"/>
    </row>
    <row r="7607" spans="1:14" ht="16.5">
      <c r="A7607" s="91"/>
      <c r="B7607" s="92"/>
      <c r="C7607" s="92"/>
      <c r="D7607" s="92"/>
      <c r="E7607" s="92"/>
      <c r="F7607" s="93"/>
      <c r="G7607" s="94"/>
      <c r="H7607" s="380">
        <f>ROUND((10/60)/8,4)</f>
        <v>2.0799999999999999E-2</v>
      </c>
      <c r="I7607" s="115"/>
    </row>
    <row r="7608" spans="1:14">
      <c r="A7608" s="582" t="s">
        <v>4220</v>
      </c>
      <c r="B7608" s="584" t="str">
        <f>COSTOS!$C$14</f>
        <v>MODERNIZACION A TECNOLOGIA LED</v>
      </c>
      <c r="C7608" s="584"/>
      <c r="D7608" s="584"/>
      <c r="E7608" s="584"/>
      <c r="F7608" s="584"/>
      <c r="G7608" s="584"/>
      <c r="H7608" s="585" t="s">
        <v>4221</v>
      </c>
    </row>
    <row r="7609" spans="1:14">
      <c r="A7609" s="583"/>
      <c r="B7609" s="584"/>
      <c r="C7609" s="584"/>
      <c r="D7609" s="584"/>
      <c r="E7609" s="584"/>
      <c r="F7609" s="584"/>
      <c r="G7609" s="584"/>
      <c r="H7609" s="585"/>
    </row>
    <row r="7610" spans="1:14">
      <c r="A7610" s="583"/>
      <c r="B7610" s="584"/>
      <c r="C7610" s="584"/>
      <c r="D7610" s="584"/>
      <c r="E7610" s="584"/>
      <c r="F7610" s="584"/>
      <c r="G7610" s="584"/>
      <c r="H7610" s="585"/>
    </row>
    <row r="7611" spans="1:14" ht="15" customHeight="1">
      <c r="A7611" s="583"/>
      <c r="B7611" s="584"/>
      <c r="C7611" s="584"/>
      <c r="D7611" s="584"/>
      <c r="E7611" s="584"/>
      <c r="F7611" s="584"/>
      <c r="G7611" s="584"/>
      <c r="H7611" s="216">
        <f ca="1">TODAY()</f>
        <v>44889</v>
      </c>
      <c r="K7611" t="s">
        <v>4391</v>
      </c>
      <c r="L7611" t="s">
        <v>4392</v>
      </c>
      <c r="M7611" t="s">
        <v>4393</v>
      </c>
      <c r="N7611" t="s">
        <v>4394</v>
      </c>
    </row>
    <row r="7612" spans="1:14" ht="60.75" customHeight="1">
      <c r="A7612" s="228" t="s">
        <v>4222</v>
      </c>
      <c r="B7612" s="565" t="str">
        <f>COSTOS!$D$16</f>
        <v>Luminarias</v>
      </c>
      <c r="C7612" s="565"/>
      <c r="D7612" s="565"/>
      <c r="E7612" s="565"/>
      <c r="F7612" s="565"/>
      <c r="G7612" s="70" t="s">
        <v>4223</v>
      </c>
      <c r="H7612" s="391">
        <v>3.21</v>
      </c>
      <c r="K7612" s="62">
        <f>H7638</f>
        <v>20474.074950000002</v>
      </c>
      <c r="L7612" s="62">
        <f>H7648</f>
        <v>7482.6751999999997</v>
      </c>
      <c r="M7612" s="62">
        <f>H7621</f>
        <v>848.69200000000001</v>
      </c>
      <c r="N7612" s="62">
        <f>H7642</f>
        <v>800</v>
      </c>
    </row>
    <row r="7613" spans="1:14" ht="43.15" customHeight="1">
      <c r="A7613" s="229" t="s">
        <v>4224</v>
      </c>
      <c r="B7613" s="566" t="str">
        <f>VLOOKUP(H7612,COSTOS!C:M,2,0)</f>
        <v>Red Aerea 3x2+2 AWG AL x 500m</v>
      </c>
      <c r="C7613" s="567"/>
      <c r="D7613" s="567"/>
      <c r="E7613" s="568"/>
      <c r="F7613" s="71" t="s">
        <v>0</v>
      </c>
      <c r="G7613" s="356" t="str">
        <f>VLOOKUP(H7612,COSTOS!C:M,8,0)</f>
        <v>Und</v>
      </c>
      <c r="H7613" s="276"/>
      <c r="I7613" s="306"/>
      <c r="J7613" s="308"/>
      <c r="K7613" s="308"/>
      <c r="L7613" s="308"/>
    </row>
    <row r="7614" spans="1:14">
      <c r="A7614" s="230"/>
      <c r="B7614" s="112"/>
      <c r="C7614" s="112"/>
      <c r="D7614" s="112"/>
      <c r="E7614" s="113"/>
      <c r="F7614" s="114" t="s">
        <v>1</v>
      </c>
      <c r="G7614" s="356">
        <f>VLOOKUP(H7612,COSTOS!C:M,9,0)</f>
        <v>0</v>
      </c>
      <c r="H7614" s="357"/>
      <c r="I7614" s="307"/>
    </row>
    <row r="7615" spans="1:14" ht="16.5">
      <c r="A7615" s="231" t="s">
        <v>4226</v>
      </c>
      <c r="B7615" s="75"/>
      <c r="C7615" s="75"/>
      <c r="D7615" s="76"/>
      <c r="E7615" s="209"/>
      <c r="F7615" s="210"/>
      <c r="G7615" s="211" t="s">
        <v>4227</v>
      </c>
      <c r="H7615" s="217">
        <f>H7621+H7638+H7642+H7648</f>
        <v>29605.442150000003</v>
      </c>
    </row>
    <row r="7616" spans="1:14" ht="39">
      <c r="A7616" s="569" t="s">
        <v>4224</v>
      </c>
      <c r="B7616" s="569"/>
      <c r="C7616" s="569"/>
      <c r="D7616" s="77" t="s">
        <v>0</v>
      </c>
      <c r="E7616" s="207" t="s">
        <v>4228</v>
      </c>
      <c r="F7616" s="208" t="s">
        <v>4215</v>
      </c>
      <c r="G7616" s="74" t="s">
        <v>2</v>
      </c>
      <c r="H7616" s="218" t="s">
        <v>4229</v>
      </c>
      <c r="K7616" s="309"/>
    </row>
    <row r="7617" spans="1:15">
      <c r="A7617" s="536" t="s">
        <v>3946</v>
      </c>
      <c r="B7617" s="570" t="str">
        <f>VLOOKUP(A7617,'Equip, Herr y Transp'!$B$2:$D$739,2,0)</f>
        <v>EQU</v>
      </c>
      <c r="C7617" s="570"/>
      <c r="D7617" s="95" t="str">
        <f>VLOOKUP(A7617,'Equip, Herr y Transp'!$B$2:$D$218,2,0)</f>
        <v>EQU</v>
      </c>
      <c r="E7617" s="95">
        <f>VLOOKUP(A7617,'Equip, Herr y Transp'!$B$2:$D$218,3,0)</f>
        <v>14130</v>
      </c>
      <c r="F7617" s="96">
        <f>H7607</f>
        <v>2.0799999999999999E-2</v>
      </c>
      <c r="G7617" s="122">
        <f>F7617*E7617</f>
        <v>293.904</v>
      </c>
      <c r="H7617" s="118"/>
    </row>
    <row r="7618" spans="1:15">
      <c r="A7618" s="536" t="s">
        <v>3904</v>
      </c>
      <c r="B7618" s="570" t="str">
        <f>VLOOKUP(A7618,'Equip, Herr y Transp'!$B$2:$D$739,2,0)</f>
        <v>EQU</v>
      </c>
      <c r="C7618" s="570"/>
      <c r="D7618" s="95" t="str">
        <f>VLOOKUP(A7618,'Equip, Herr y Transp'!$B$2:$D$218,2,0)</f>
        <v>EQU</v>
      </c>
      <c r="E7618" s="95">
        <f>VLOOKUP(A7618,'Equip, Herr y Transp'!$B$2:$D$218,3,0)</f>
        <v>26672.5</v>
      </c>
      <c r="F7618" s="96">
        <f>H7607</f>
        <v>2.0799999999999999E-2</v>
      </c>
      <c r="G7618" s="122">
        <f>F7618*E7618</f>
        <v>554.78800000000001</v>
      </c>
      <c r="H7618" s="117"/>
    </row>
    <row r="7619" spans="1:15">
      <c r="A7619" s="536" t="s">
        <v>8</v>
      </c>
      <c r="B7619" s="570">
        <f>VLOOKUP(A7619,'Equip, Herr y Transp'!$B$2:$D$739,2,0)</f>
        <v>0</v>
      </c>
      <c r="C7619" s="570"/>
      <c r="D7619" s="95">
        <f>VLOOKUP(A7619,'Equip, Herr y Transp'!$B$2:$D$218,2,0)</f>
        <v>0</v>
      </c>
      <c r="E7619" s="95">
        <f>VLOOKUP(A7619,'Equip, Herr y Transp'!$B$2:$D$218,3,0)</f>
        <v>0</v>
      </c>
      <c r="F7619" s="96">
        <f>H7607</f>
        <v>2.0799999999999999E-2</v>
      </c>
      <c r="G7619" s="122">
        <f>F7619*E7619</f>
        <v>0</v>
      </c>
      <c r="H7619" s="117"/>
    </row>
    <row r="7620" spans="1:15">
      <c r="A7620" s="536" t="s">
        <v>8</v>
      </c>
      <c r="B7620" s="570">
        <f>VLOOKUP(A7620,'Equip, Herr y Transp'!$B$2:$D$739,2,0)</f>
        <v>0</v>
      </c>
      <c r="C7620" s="570"/>
      <c r="D7620" s="95">
        <f>VLOOKUP(A7620,'Equip, Herr y Transp'!$B$2:$D$218,2,0)</f>
        <v>0</v>
      </c>
      <c r="E7620" s="95">
        <f>VLOOKUP(A7620,'Equip, Herr y Transp'!$B$2:$D$218,3,0)</f>
        <v>0</v>
      </c>
      <c r="F7620" s="96">
        <f>H7607</f>
        <v>2.0799999999999999E-2</v>
      </c>
      <c r="G7620" s="122">
        <f>F7620*E7620</f>
        <v>0</v>
      </c>
      <c r="H7620" s="117"/>
    </row>
    <row r="7621" spans="1:15" ht="16.5">
      <c r="A7621" s="540" t="s">
        <v>4100</v>
      </c>
      <c r="B7621" s="541"/>
      <c r="C7621" s="541"/>
      <c r="D7621" s="541"/>
      <c r="E7621" s="541"/>
      <c r="F7621" s="541"/>
      <c r="G7621" s="541"/>
      <c r="H7621" s="97">
        <f>SUM(G7617:G7620)</f>
        <v>848.69200000000001</v>
      </c>
    </row>
    <row r="7622" spans="1:15" ht="16.5">
      <c r="A7622" s="571" t="s">
        <v>4230</v>
      </c>
      <c r="B7622" s="572"/>
      <c r="C7622" s="572"/>
      <c r="D7622" s="572"/>
      <c r="E7622" s="572"/>
      <c r="F7622" s="572"/>
      <c r="G7622" s="572"/>
      <c r="H7622" s="573"/>
      <c r="K7622" s="56"/>
      <c r="L7622" s="56"/>
      <c r="M7622" s="56"/>
      <c r="N7622" s="56"/>
      <c r="O7622" s="56"/>
    </row>
    <row r="7623" spans="1:15" ht="30" customHeight="1">
      <c r="A7623" s="574" t="s">
        <v>7</v>
      </c>
      <c r="B7623" s="575"/>
      <c r="C7623" s="109" t="s">
        <v>0</v>
      </c>
      <c r="D7623" s="110" t="s">
        <v>4098</v>
      </c>
      <c r="E7623" s="111" t="s">
        <v>1</v>
      </c>
      <c r="F7623" s="576" t="s">
        <v>4218</v>
      </c>
      <c r="G7623" s="576"/>
      <c r="H7623" s="215"/>
      <c r="K7623" s="56"/>
      <c r="L7623" s="56"/>
      <c r="M7623" s="56"/>
      <c r="N7623" s="56"/>
      <c r="O7623" s="56"/>
    </row>
    <row r="7624" spans="1:15">
      <c r="A7624" s="577" t="s">
        <v>4451</v>
      </c>
      <c r="B7624" s="578"/>
      <c r="C7624" s="98" t="str">
        <f>VLOOKUP(A7624,'Materiales '!$C$2:$F$1302,3,0)</f>
        <v>Ml</v>
      </c>
      <c r="D7624" s="99">
        <f>VLOOKUP(A7624,'Materiales '!$C$2:$F$1302,4,0)</f>
        <v>19992</v>
      </c>
      <c r="E7624" s="100">
        <v>1</v>
      </c>
      <c r="F7624" s="538">
        <f>E7624*D7624</f>
        <v>19992</v>
      </c>
      <c r="G7624" s="539"/>
      <c r="H7624" s="121"/>
      <c r="I7624">
        <f>E7624*G7614</f>
        <v>0</v>
      </c>
      <c r="J7624" s="67"/>
      <c r="K7624" s="56"/>
      <c r="L7624" s="56"/>
      <c r="M7624" s="56"/>
      <c r="N7624" s="56"/>
      <c r="O7624" s="56"/>
    </row>
    <row r="7625" spans="1:15">
      <c r="A7625" s="577" t="s">
        <v>4417</v>
      </c>
      <c r="B7625" s="578"/>
      <c r="C7625" s="98" t="str">
        <f>VLOOKUP(A7625,'Materiales '!$C$2:$F$1302,3,0)</f>
        <v>Und</v>
      </c>
      <c r="D7625" s="99">
        <f>VLOOKUP(A7625,'Materiales '!$C$2:$F$1302,4,0)</f>
        <v>3213</v>
      </c>
      <c r="E7625" s="100">
        <f>1/20</f>
        <v>0.05</v>
      </c>
      <c r="F7625" s="538">
        <f t="shared" ref="F7625:F7631" si="445">E7625*D7625</f>
        <v>160.65</v>
      </c>
      <c r="G7625" s="539"/>
      <c r="H7625" s="121"/>
      <c r="I7625">
        <f>E7625*G7614</f>
        <v>0</v>
      </c>
      <c r="J7625" s="67"/>
      <c r="K7625" s="56"/>
      <c r="L7625" s="56"/>
      <c r="M7625" s="56"/>
      <c r="N7625" s="56"/>
      <c r="O7625" s="56"/>
    </row>
    <row r="7626" spans="1:15">
      <c r="A7626" s="536" t="s">
        <v>4553</v>
      </c>
      <c r="B7626" s="537" t="str">
        <f>VLOOKUP(A7626,'Materiales '!$C$2:$F$1302,3,0)</f>
        <v>Und</v>
      </c>
      <c r="C7626" s="98" t="str">
        <f>VLOOKUP(A7626,'Materiales '!$C$2:$F$1302,3,0)</f>
        <v>Und</v>
      </c>
      <c r="D7626" s="99">
        <f>VLOOKUP(A7626,'Materiales '!$C$2:$F$1302,4,0)</f>
        <v>6428.4990000000007</v>
      </c>
      <c r="E7626" s="100">
        <f>1/20</f>
        <v>0.05</v>
      </c>
      <c r="F7626" s="538">
        <f t="shared" si="445"/>
        <v>321.42495000000008</v>
      </c>
      <c r="G7626" s="539"/>
      <c r="H7626" s="121"/>
      <c r="I7626">
        <f>E7626*G7614</f>
        <v>0</v>
      </c>
      <c r="J7626" s="68"/>
      <c r="K7626" s="56"/>
      <c r="L7626" s="56"/>
      <c r="M7626" s="56"/>
      <c r="N7626" s="56"/>
      <c r="O7626" s="56"/>
    </row>
    <row r="7627" spans="1:15">
      <c r="A7627" s="536" t="s">
        <v>8</v>
      </c>
      <c r="B7627" s="537" t="str">
        <f>VLOOKUP(A7627,'Materiales '!$C$2:$F$1302,3,0)</f>
        <v>-</v>
      </c>
      <c r="C7627" s="98" t="str">
        <f>VLOOKUP(A7627,'Materiales '!$C$2:$F$1302,3,0)</f>
        <v>-</v>
      </c>
      <c r="D7627" s="99">
        <f>VLOOKUP(A7627,'Materiales '!$C$2:$F$1302,4,0)</f>
        <v>0</v>
      </c>
      <c r="E7627" s="100"/>
      <c r="F7627" s="538">
        <f t="shared" si="445"/>
        <v>0</v>
      </c>
      <c r="G7627" s="539"/>
      <c r="H7627" s="121"/>
      <c r="I7627">
        <f>E7627*G7614</f>
        <v>0</v>
      </c>
      <c r="J7627" s="68"/>
      <c r="K7627" s="56"/>
      <c r="L7627" s="56"/>
      <c r="M7627" s="56"/>
      <c r="N7627" s="56"/>
      <c r="O7627" s="56"/>
    </row>
    <row r="7628" spans="1:15">
      <c r="A7628" s="536" t="s">
        <v>8</v>
      </c>
      <c r="B7628" s="537" t="str">
        <f>VLOOKUP(A7628,'Materiales '!$C$2:$F$1302,3,0)</f>
        <v>-</v>
      </c>
      <c r="C7628" s="98" t="str">
        <f>VLOOKUP(A7628,'Materiales '!$C$2:$F$1302,3,0)</f>
        <v>-</v>
      </c>
      <c r="D7628" s="99">
        <f>VLOOKUP(A7628,'Materiales '!$C$2:$F$1302,4,0)</f>
        <v>0</v>
      </c>
      <c r="E7628" s="100"/>
      <c r="F7628" s="538">
        <f t="shared" si="445"/>
        <v>0</v>
      </c>
      <c r="G7628" s="539"/>
      <c r="H7628" s="121"/>
      <c r="I7628">
        <f>E7628*G7614</f>
        <v>0</v>
      </c>
      <c r="J7628" s="68"/>
      <c r="K7628" s="56"/>
      <c r="L7628" s="56"/>
      <c r="M7628" s="56"/>
      <c r="N7628" s="56"/>
      <c r="O7628" s="56"/>
    </row>
    <row r="7629" spans="1:15">
      <c r="A7629" s="536" t="s">
        <v>8</v>
      </c>
      <c r="B7629" s="537" t="str">
        <f>VLOOKUP(A7629,'Materiales '!$C$2:$F$1302,3,0)</f>
        <v>-</v>
      </c>
      <c r="C7629" s="98" t="str">
        <f>VLOOKUP(A7629,'Materiales '!$C$2:$F$1302,3,0)</f>
        <v>-</v>
      </c>
      <c r="D7629" s="99">
        <f>VLOOKUP(A7629,'Materiales '!$C$2:$F$1302,4,0)</f>
        <v>0</v>
      </c>
      <c r="E7629" s="100"/>
      <c r="F7629" s="538">
        <f t="shared" si="445"/>
        <v>0</v>
      </c>
      <c r="G7629" s="539"/>
      <c r="H7629" s="121"/>
      <c r="I7629">
        <f>E7629*G7614</f>
        <v>0</v>
      </c>
      <c r="J7629" s="68"/>
      <c r="K7629" s="56"/>
      <c r="L7629" s="56"/>
      <c r="M7629" s="56"/>
      <c r="N7629" s="56"/>
      <c r="O7629" s="56"/>
    </row>
    <row r="7630" spans="1:15">
      <c r="A7630" s="536" t="s">
        <v>8</v>
      </c>
      <c r="B7630" s="537" t="str">
        <f>VLOOKUP(A7630,'Materiales '!$C$2:$F$1302,3,0)</f>
        <v>-</v>
      </c>
      <c r="C7630" s="98" t="str">
        <f>VLOOKUP(A7630,'Materiales '!$C$2:$F$1302,3,0)</f>
        <v>-</v>
      </c>
      <c r="D7630" s="99">
        <f>VLOOKUP(A7630,'Materiales '!$C$2:$F$1302,4,0)</f>
        <v>0</v>
      </c>
      <c r="E7630" s="100"/>
      <c r="F7630" s="538">
        <f t="shared" si="445"/>
        <v>0</v>
      </c>
      <c r="G7630" s="539"/>
      <c r="H7630" s="121"/>
      <c r="I7630">
        <f>E7630*G7614</f>
        <v>0</v>
      </c>
      <c r="J7630" s="68"/>
      <c r="K7630" s="56"/>
      <c r="L7630" s="56"/>
      <c r="M7630" s="56"/>
      <c r="N7630" s="56"/>
      <c r="O7630" s="56"/>
    </row>
    <row r="7631" spans="1:15" ht="21.75" customHeight="1">
      <c r="A7631" s="536" t="s">
        <v>8</v>
      </c>
      <c r="B7631" s="537" t="str">
        <f>VLOOKUP(A7631,'Materiales '!$C$2:$F$1302,3,0)</f>
        <v>-</v>
      </c>
      <c r="C7631" s="98" t="str">
        <f>VLOOKUP(A7631,'Materiales '!$C$2:$F$1302,3,0)</f>
        <v>-</v>
      </c>
      <c r="D7631" s="99">
        <f>VLOOKUP(A7631,'Materiales '!$C$2:$F$1302,4,0)</f>
        <v>0</v>
      </c>
      <c r="E7631" s="100"/>
      <c r="F7631" s="538">
        <f t="shared" si="445"/>
        <v>0</v>
      </c>
      <c r="G7631" s="539"/>
      <c r="H7631" s="121"/>
      <c r="I7631">
        <f>E7631*G7614</f>
        <v>0</v>
      </c>
      <c r="J7631" s="68"/>
      <c r="K7631" s="56"/>
      <c r="L7631" s="56"/>
      <c r="M7631" s="56"/>
      <c r="N7631" s="56"/>
      <c r="O7631" s="56"/>
    </row>
    <row r="7632" spans="1:15">
      <c r="A7632" s="536" t="s">
        <v>8</v>
      </c>
      <c r="B7632" s="537" t="str">
        <f>VLOOKUP(A7632,'Materiales '!$C$2:$F$1302,3,0)</f>
        <v>-</v>
      </c>
      <c r="C7632" s="98" t="str">
        <f>VLOOKUP(A7632,'Materiales '!$C$2:$F$1302,3,0)</f>
        <v>-</v>
      </c>
      <c r="D7632" s="99">
        <f>VLOOKUP(A7632,'Materiales '!$C$2:$F$1302,4,0)</f>
        <v>0</v>
      </c>
      <c r="E7632" s="100"/>
      <c r="F7632" s="538">
        <f>E7632*D7632</f>
        <v>0</v>
      </c>
      <c r="G7632" s="539"/>
      <c r="H7632" s="120"/>
      <c r="I7632">
        <f>E7632*G7614</f>
        <v>0</v>
      </c>
      <c r="J7632" s="68"/>
      <c r="K7632" s="56"/>
      <c r="L7632" s="56"/>
      <c r="M7632" s="56"/>
      <c r="N7632" s="56"/>
      <c r="O7632" s="56"/>
    </row>
    <row r="7633" spans="1:15">
      <c r="A7633" s="536" t="s">
        <v>8</v>
      </c>
      <c r="B7633" s="537" t="str">
        <f>VLOOKUP(A7633,'Materiales '!$C$2:$F$1302,3,0)</f>
        <v>-</v>
      </c>
      <c r="C7633" s="98" t="str">
        <f>VLOOKUP(A7633,'Materiales '!$C$2:$F$1302,3,0)</f>
        <v>-</v>
      </c>
      <c r="D7633" s="99">
        <f>VLOOKUP(A7633,'Materiales '!$C$2:$F$1302,4,0)</f>
        <v>0</v>
      </c>
      <c r="E7633" s="100"/>
      <c r="F7633" s="538">
        <f t="shared" ref="F7633:F7636" si="446">E7633*D7633</f>
        <v>0</v>
      </c>
      <c r="G7633" s="539"/>
      <c r="H7633" s="121"/>
      <c r="I7633">
        <f>E7633*G7614</f>
        <v>0</v>
      </c>
      <c r="J7633" s="68"/>
      <c r="K7633" s="56"/>
      <c r="L7633" s="56"/>
      <c r="M7633" s="56"/>
      <c r="N7633" s="56"/>
      <c r="O7633" s="56"/>
    </row>
    <row r="7634" spans="1:15">
      <c r="A7634" s="536" t="s">
        <v>8</v>
      </c>
      <c r="B7634" s="537" t="str">
        <f>VLOOKUP(A7634,'Materiales '!$C$2:$F$1302,3,0)</f>
        <v>-</v>
      </c>
      <c r="C7634" s="98" t="str">
        <f>VLOOKUP(A7634,'Materiales '!$C$2:$F$1302,3,0)</f>
        <v>-</v>
      </c>
      <c r="D7634" s="99">
        <f>VLOOKUP(A7634,'Materiales '!$C$2:$F$1302,4,0)</f>
        <v>0</v>
      </c>
      <c r="E7634" s="100"/>
      <c r="F7634" s="538">
        <f t="shared" si="446"/>
        <v>0</v>
      </c>
      <c r="G7634" s="539"/>
      <c r="H7634" s="121"/>
      <c r="I7634">
        <f>E7634*G7614</f>
        <v>0</v>
      </c>
      <c r="J7634" s="68"/>
      <c r="K7634" s="56"/>
      <c r="L7634" s="56"/>
      <c r="M7634" s="56"/>
      <c r="N7634" s="56"/>
      <c r="O7634" s="56"/>
    </row>
    <row r="7635" spans="1:15">
      <c r="A7635" s="536" t="s">
        <v>8</v>
      </c>
      <c r="B7635" s="537" t="str">
        <f>VLOOKUP(A7635,'Materiales '!$C$2:$F$1302,3,0)</f>
        <v>-</v>
      </c>
      <c r="C7635" s="98" t="str">
        <f>VLOOKUP(A7635,'Materiales '!$C$2:$F$1302,3,0)</f>
        <v>-</v>
      </c>
      <c r="D7635" s="99">
        <f>VLOOKUP(A7635,'Materiales '!$C$2:$F$1302,4,0)</f>
        <v>0</v>
      </c>
      <c r="E7635" s="100"/>
      <c r="F7635" s="538">
        <f t="shared" si="446"/>
        <v>0</v>
      </c>
      <c r="G7635" s="539"/>
      <c r="H7635" s="121"/>
      <c r="I7635">
        <f>E7635*G7614</f>
        <v>0</v>
      </c>
      <c r="J7635" s="68"/>
      <c r="K7635" s="56"/>
      <c r="L7635" s="56"/>
      <c r="M7635" s="56"/>
      <c r="N7635" s="56"/>
      <c r="O7635" s="56"/>
    </row>
    <row r="7636" spans="1:15">
      <c r="A7636" s="536" t="s">
        <v>8</v>
      </c>
      <c r="B7636" s="537" t="str">
        <f>VLOOKUP(A7636,'Materiales '!$C$2:$F$1302,3,0)</f>
        <v>-</v>
      </c>
      <c r="C7636" s="98" t="str">
        <f>VLOOKUP(A7636,'Materiales '!$C$2:$F$1302,3,0)</f>
        <v>-</v>
      </c>
      <c r="D7636" s="99">
        <f>VLOOKUP(A7636,'Materiales '!$C$2:$F$1302,4,0)</f>
        <v>0</v>
      </c>
      <c r="E7636" s="100"/>
      <c r="F7636" s="538">
        <f t="shared" si="446"/>
        <v>0</v>
      </c>
      <c r="G7636" s="539"/>
      <c r="H7636" s="121"/>
      <c r="I7636">
        <f>E7636*G7614</f>
        <v>0</v>
      </c>
      <c r="J7636" s="68"/>
      <c r="K7636" s="56"/>
      <c r="L7636" s="56"/>
      <c r="M7636" s="56"/>
      <c r="N7636" s="56"/>
      <c r="O7636" s="56"/>
    </row>
    <row r="7637" spans="1:15">
      <c r="A7637" s="536" t="s">
        <v>8</v>
      </c>
      <c r="B7637" s="537" t="str">
        <f>VLOOKUP(A7637,'Materiales '!$C$2:$F$1302,3,0)</f>
        <v>-</v>
      </c>
      <c r="C7637" s="98" t="str">
        <f>VLOOKUP(A7637,'Materiales '!$C$2:$F$1302,3,0)</f>
        <v>-</v>
      </c>
      <c r="D7637" s="99">
        <f>VLOOKUP(A7637,'Materiales '!$C$2:$F$1302,4,0)</f>
        <v>0</v>
      </c>
      <c r="E7637" s="100"/>
      <c r="F7637" s="538">
        <f>E7637*D7637</f>
        <v>0</v>
      </c>
      <c r="G7637" s="539"/>
      <c r="H7637" s="120"/>
      <c r="I7637">
        <f>E7637*G7614</f>
        <v>0</v>
      </c>
      <c r="J7637" s="68"/>
      <c r="K7637" s="56"/>
      <c r="L7637" s="56"/>
      <c r="M7637" s="56"/>
      <c r="N7637" s="56"/>
      <c r="O7637" s="56"/>
    </row>
    <row r="7638" spans="1:15" ht="16.5">
      <c r="A7638" s="540" t="s">
        <v>4099</v>
      </c>
      <c r="B7638" s="541"/>
      <c r="C7638" s="541"/>
      <c r="D7638" s="541"/>
      <c r="E7638" s="541"/>
      <c r="F7638" s="541"/>
      <c r="G7638" s="542"/>
      <c r="H7638" s="116">
        <f>SUM(F7624:F7637)</f>
        <v>20474.074950000002</v>
      </c>
      <c r="J7638" s="68"/>
      <c r="K7638" s="56"/>
      <c r="L7638" s="56"/>
      <c r="M7638" s="56"/>
      <c r="N7638" s="56"/>
      <c r="O7638" s="56"/>
    </row>
    <row r="7639" spans="1:15" ht="16.5">
      <c r="A7639" s="543" t="s">
        <v>4231</v>
      </c>
      <c r="B7639" s="544"/>
      <c r="C7639" s="544"/>
      <c r="D7639" s="544"/>
      <c r="E7639" s="545"/>
      <c r="F7639" s="544"/>
      <c r="G7639" s="544"/>
      <c r="H7639" s="546"/>
      <c r="J7639" s="68"/>
      <c r="K7639" s="56"/>
      <c r="L7639" s="56"/>
      <c r="M7639" s="56"/>
      <c r="N7639" s="56"/>
      <c r="O7639" s="56"/>
    </row>
    <row r="7640" spans="1:15">
      <c r="A7640" s="547" t="s">
        <v>7</v>
      </c>
      <c r="B7640" s="548"/>
      <c r="C7640" s="108" t="s">
        <v>4232</v>
      </c>
      <c r="D7640" s="107" t="s">
        <v>4233</v>
      </c>
      <c r="E7640" s="206" t="s">
        <v>4234</v>
      </c>
      <c r="F7640" s="549" t="s">
        <v>4218</v>
      </c>
      <c r="G7640" s="549"/>
      <c r="H7640" s="119"/>
      <c r="K7640" s="56"/>
      <c r="L7640" s="56"/>
      <c r="M7640" s="56"/>
      <c r="N7640" s="56"/>
      <c r="O7640" s="56"/>
    </row>
    <row r="7641" spans="1:15">
      <c r="A7641" s="550" t="s">
        <v>3928</v>
      </c>
      <c r="B7641" s="551"/>
      <c r="C7641" s="232">
        <v>1</v>
      </c>
      <c r="D7641" s="102">
        <v>5.0000000000000001E-3</v>
      </c>
      <c r="E7641" s="103">
        <f>VLOOKUP(A7641,'Equip, Herr y Transp'!$B$2:$D$218,3,0)</f>
        <v>160000</v>
      </c>
      <c r="F7641" s="552">
        <f>E7641*D7641*C7641</f>
        <v>800</v>
      </c>
      <c r="G7641" s="553"/>
      <c r="H7641" s="117"/>
      <c r="M7641" s="56"/>
    </row>
    <row r="7642" spans="1:15" ht="16.5">
      <c r="A7642" s="554" t="s">
        <v>4216</v>
      </c>
      <c r="B7642" s="555"/>
      <c r="C7642" s="555"/>
      <c r="D7642" s="555"/>
      <c r="E7642" s="555"/>
      <c r="F7642" s="555"/>
      <c r="G7642" s="555"/>
      <c r="H7642" s="105">
        <f>F7641</f>
        <v>800</v>
      </c>
    </row>
    <row r="7643" spans="1:15" ht="16.5">
      <c r="A7643" s="543" t="s">
        <v>4235</v>
      </c>
      <c r="B7643" s="544"/>
      <c r="C7643" s="544"/>
      <c r="D7643" s="544"/>
      <c r="E7643" s="544"/>
      <c r="F7643" s="544"/>
      <c r="G7643" s="544"/>
      <c r="H7643" s="546"/>
    </row>
    <row r="7644" spans="1:15">
      <c r="A7644" s="547" t="s">
        <v>7</v>
      </c>
      <c r="B7644" s="548"/>
      <c r="C7644" s="106" t="s">
        <v>1</v>
      </c>
      <c r="D7644" s="107" t="s">
        <v>4236</v>
      </c>
      <c r="E7644" s="108" t="s">
        <v>4215</v>
      </c>
      <c r="F7644" s="547" t="s">
        <v>5</v>
      </c>
      <c r="G7644" s="556"/>
      <c r="H7644" s="119"/>
    </row>
    <row r="7645" spans="1:15">
      <c r="A7645" s="550" t="s">
        <v>4196</v>
      </c>
      <c r="B7645" s="551"/>
      <c r="C7645" s="101">
        <v>1</v>
      </c>
      <c r="D7645" s="104">
        <f>VLOOKUP(A7645,'Mano Obra'!$B$2:$T$117,19,0)</f>
        <v>166624</v>
      </c>
      <c r="E7645" s="246">
        <f>H7607</f>
        <v>2.0799999999999999E-2</v>
      </c>
      <c r="F7645" s="538">
        <f>E7645*D7645*C7645</f>
        <v>3465.7791999999999</v>
      </c>
      <c r="G7645" s="557"/>
      <c r="H7645" s="121"/>
      <c r="I7645" s="69"/>
      <c r="J7645" s="136">
        <f>((('Mano Obra'!$M$4/30)*F7645)/D7645)*G7614</f>
        <v>0</v>
      </c>
    </row>
    <row r="7646" spans="1:15">
      <c r="A7646" s="558" t="s">
        <v>4197</v>
      </c>
      <c r="B7646" s="559">
        <f>VLOOKUP(A7646,'Mano Obra'!$B$3:$D$290,2,0)</f>
        <v>2090000.0000000002</v>
      </c>
      <c r="C7646" s="101">
        <v>1</v>
      </c>
      <c r="D7646" s="104">
        <f>VLOOKUP(A7646,'Mano Obra'!$B$2:$T$117,19,0)</f>
        <v>120456</v>
      </c>
      <c r="E7646" s="246">
        <f>H7607</f>
        <v>2.0799999999999999E-2</v>
      </c>
      <c r="F7646" s="538">
        <f t="shared" ref="F7646:F7647" si="447">E7646*D7646*C7646</f>
        <v>2505.4847999999997</v>
      </c>
      <c r="G7646" s="557"/>
      <c r="H7646" s="121"/>
      <c r="J7646" s="136">
        <f>((('Mano Obra'!$M$5/30)*F7646)/D7646)*G7614</f>
        <v>0</v>
      </c>
    </row>
    <row r="7647" spans="1:15">
      <c r="A7647" s="558" t="s">
        <v>4186</v>
      </c>
      <c r="B7647" s="559">
        <f>VLOOKUP(A7647,'Mano Obra'!$B$3:$D$290,2,0)</f>
        <v>1100000</v>
      </c>
      <c r="C7647" s="101">
        <v>1</v>
      </c>
      <c r="D7647" s="104">
        <f>VLOOKUP(A7647,'Mano Obra'!$B$2:$T$117,19,0)</f>
        <v>72664</v>
      </c>
      <c r="E7647" s="246">
        <f>H7607</f>
        <v>2.0799999999999999E-2</v>
      </c>
      <c r="F7647" s="538">
        <f t="shared" si="447"/>
        <v>1511.4112</v>
      </c>
      <c r="G7647" s="557"/>
      <c r="H7647" s="120"/>
      <c r="J7647" s="136">
        <f>((('Mano Obra'!$M$6/30)*F7647)/D7647)*G7614</f>
        <v>0</v>
      </c>
    </row>
    <row r="7648" spans="1:15" ht="16.5">
      <c r="A7648" s="560" t="s">
        <v>4101</v>
      </c>
      <c r="B7648" s="560"/>
      <c r="C7648" s="560"/>
      <c r="D7648" s="560"/>
      <c r="E7648" s="560"/>
      <c r="F7648" s="560"/>
      <c r="G7648" s="560"/>
      <c r="H7648" s="105">
        <f>SUM(F7645:F7647)</f>
        <v>7482.6751999999997</v>
      </c>
      <c r="J7648" s="136"/>
    </row>
    <row r="7649" spans="1:14">
      <c r="A7649" s="227" t="s">
        <v>4237</v>
      </c>
      <c r="B7649" s="205"/>
      <c r="C7649" s="205"/>
      <c r="D7649" s="202"/>
      <c r="E7649" s="203"/>
      <c r="F7649" s="204"/>
      <c r="G7649" s="203"/>
      <c r="H7649" s="212"/>
    </row>
    <row r="7650" spans="1:14">
      <c r="A7650" s="561" t="s">
        <v>4224</v>
      </c>
      <c r="B7650" s="562"/>
      <c r="C7650" s="562"/>
      <c r="D7650" s="562"/>
      <c r="E7650" s="200"/>
      <c r="F7650" s="201" t="s">
        <v>4238</v>
      </c>
      <c r="G7650" s="200" t="s">
        <v>4239</v>
      </c>
      <c r="H7650" s="213"/>
    </row>
    <row r="7651" spans="1:14">
      <c r="A7651" s="223" t="s">
        <v>4097</v>
      </c>
      <c r="B7651" s="72"/>
      <c r="C7651" s="72"/>
      <c r="D7651" s="73"/>
      <c r="E7651" s="78"/>
      <c r="F7651" s="79">
        <v>0</v>
      </c>
      <c r="G7651" s="80">
        <f>F7651*H7615</f>
        <v>0</v>
      </c>
      <c r="H7651" s="212"/>
    </row>
    <row r="7652" spans="1:14">
      <c r="A7652" s="224" t="s">
        <v>4240</v>
      </c>
      <c r="B7652" s="81"/>
      <c r="C7652" s="81"/>
      <c r="D7652" s="82"/>
      <c r="E7652" s="78"/>
      <c r="F7652" s="79">
        <v>0</v>
      </c>
      <c r="G7652" s="80">
        <f>F7652*H7615</f>
        <v>0</v>
      </c>
      <c r="H7652" s="212"/>
    </row>
    <row r="7653" spans="1:14">
      <c r="A7653" s="224" t="s">
        <v>4</v>
      </c>
      <c r="B7653" s="81"/>
      <c r="C7653" s="81"/>
      <c r="D7653" s="82"/>
      <c r="E7653" s="78"/>
      <c r="F7653" s="79">
        <v>0</v>
      </c>
      <c r="G7653" s="80">
        <f>F7653*H7615</f>
        <v>0</v>
      </c>
      <c r="H7653" s="212"/>
    </row>
    <row r="7654" spans="1:14">
      <c r="A7654" s="225"/>
      <c r="B7654" s="83"/>
      <c r="C7654" s="75"/>
      <c r="D7654" s="84"/>
      <c r="E7654" s="85"/>
      <c r="F7654" s="86"/>
      <c r="G7654" s="87"/>
      <c r="H7654" s="214"/>
    </row>
    <row r="7655" spans="1:14">
      <c r="A7655" s="226"/>
      <c r="B7655" s="83"/>
      <c r="C7655" s="83"/>
      <c r="D7655" s="84"/>
      <c r="E7655" s="88"/>
      <c r="F7655" s="563" t="s">
        <v>4241</v>
      </c>
      <c r="G7655" s="564"/>
      <c r="H7655" s="233">
        <f>H7615+G7651+G7652+G7653</f>
        <v>29605.442150000003</v>
      </c>
    </row>
    <row r="7657" spans="1:14" ht="16.5">
      <c r="A7657" s="90"/>
      <c r="B7657" s="90"/>
      <c r="C7657" s="90"/>
      <c r="D7657" s="90"/>
      <c r="E7657" s="90"/>
      <c r="F7657" s="90"/>
      <c r="G7657" s="90"/>
      <c r="H7657" s="381"/>
    </row>
    <row r="7658" spans="1:14">
      <c r="A7658" s="579" t="s">
        <v>4225</v>
      </c>
      <c r="B7658" s="580"/>
      <c r="C7658" s="580"/>
      <c r="D7658" s="580"/>
      <c r="E7658" s="580"/>
      <c r="F7658" s="580"/>
      <c r="G7658" s="580"/>
      <c r="H7658" s="581"/>
    </row>
    <row r="7659" spans="1:14" ht="16.5">
      <c r="A7659" s="91"/>
      <c r="B7659" s="92"/>
      <c r="C7659" s="92"/>
      <c r="D7659" s="92"/>
      <c r="E7659" s="92"/>
      <c r="F7659" s="93"/>
      <c r="G7659" s="94"/>
      <c r="H7659" s="380">
        <f>ROUND((8/60)/8,4)</f>
        <v>1.67E-2</v>
      </c>
      <c r="I7659" s="115"/>
    </row>
    <row r="7660" spans="1:14">
      <c r="A7660" s="582" t="s">
        <v>4220</v>
      </c>
      <c r="B7660" s="584" t="str">
        <f>COSTOS!$C$14</f>
        <v>MODERNIZACION A TECNOLOGIA LED</v>
      </c>
      <c r="C7660" s="584"/>
      <c r="D7660" s="584"/>
      <c r="E7660" s="584"/>
      <c r="F7660" s="584"/>
      <c r="G7660" s="584"/>
      <c r="H7660" s="585" t="s">
        <v>4221</v>
      </c>
    </row>
    <row r="7661" spans="1:14">
      <c r="A7661" s="583"/>
      <c r="B7661" s="584"/>
      <c r="C7661" s="584"/>
      <c r="D7661" s="584"/>
      <c r="E7661" s="584"/>
      <c r="F7661" s="584"/>
      <c r="G7661" s="584"/>
      <c r="H7661" s="585"/>
    </row>
    <row r="7662" spans="1:14">
      <c r="A7662" s="583"/>
      <c r="B7662" s="584"/>
      <c r="C7662" s="584"/>
      <c r="D7662" s="584"/>
      <c r="E7662" s="584"/>
      <c r="F7662" s="584"/>
      <c r="G7662" s="584"/>
      <c r="H7662" s="585"/>
    </row>
    <row r="7663" spans="1:14" ht="15" customHeight="1">
      <c r="A7663" s="583"/>
      <c r="B7663" s="584"/>
      <c r="C7663" s="584"/>
      <c r="D7663" s="584"/>
      <c r="E7663" s="584"/>
      <c r="F7663" s="584"/>
      <c r="G7663" s="584"/>
      <c r="H7663" s="216">
        <f ca="1">TODAY()</f>
        <v>44889</v>
      </c>
      <c r="K7663" t="s">
        <v>4391</v>
      </c>
      <c r="L7663" t="s">
        <v>4392</v>
      </c>
      <c r="M7663" t="s">
        <v>4393</v>
      </c>
      <c r="N7663" t="s">
        <v>4394</v>
      </c>
    </row>
    <row r="7664" spans="1:14" ht="60.75" customHeight="1">
      <c r="A7664" s="228" t="s">
        <v>4222</v>
      </c>
      <c r="B7664" s="565" t="str">
        <f>COSTOS!$D$16</f>
        <v>Luminarias</v>
      </c>
      <c r="C7664" s="565"/>
      <c r="D7664" s="565"/>
      <c r="E7664" s="565"/>
      <c r="F7664" s="565"/>
      <c r="G7664" s="70" t="s">
        <v>4223</v>
      </c>
      <c r="H7664" s="387">
        <v>3.22</v>
      </c>
      <c r="K7664" s="62">
        <f>H7690</f>
        <v>4341.3199199999999</v>
      </c>
      <c r="L7664" s="62">
        <f>H7700</f>
        <v>6007.7248</v>
      </c>
      <c r="M7664" s="62">
        <f>H7673</f>
        <v>681.40174999999999</v>
      </c>
      <c r="N7664" s="62">
        <f>H7694</f>
        <v>800</v>
      </c>
    </row>
    <row r="7665" spans="1:15" ht="43.15" customHeight="1">
      <c r="A7665" s="229" t="s">
        <v>4224</v>
      </c>
      <c r="B7665" s="566" t="str">
        <f>VLOOKUP(H7664,COSTOS!C:M,2,0)</f>
        <v>Red Abierta 2#4 ACSR desnudo x 500m</v>
      </c>
      <c r="C7665" s="567"/>
      <c r="D7665" s="567"/>
      <c r="E7665" s="568"/>
      <c r="F7665" s="71" t="s">
        <v>0</v>
      </c>
      <c r="G7665" s="356" t="str">
        <f>VLOOKUP(H7664,COSTOS!C:M,8,0)</f>
        <v>Und</v>
      </c>
      <c r="H7665" s="276"/>
      <c r="I7665" s="306"/>
      <c r="J7665" s="308"/>
      <c r="K7665" s="308"/>
      <c r="L7665" s="308"/>
    </row>
    <row r="7666" spans="1:15">
      <c r="A7666" s="230"/>
      <c r="B7666" s="112"/>
      <c r="C7666" s="112"/>
      <c r="D7666" s="112"/>
      <c r="E7666" s="113"/>
      <c r="F7666" s="114" t="s">
        <v>1</v>
      </c>
      <c r="G7666" s="356">
        <f>VLOOKUP(H7664,COSTOS!C:M,9,0)</f>
        <v>0</v>
      </c>
      <c r="H7666" s="357"/>
      <c r="I7666" s="307"/>
    </row>
    <row r="7667" spans="1:15" ht="16.5">
      <c r="A7667" s="231" t="s">
        <v>4226</v>
      </c>
      <c r="B7667" s="75"/>
      <c r="C7667" s="75"/>
      <c r="D7667" s="76"/>
      <c r="E7667" s="209"/>
      <c r="F7667" s="210"/>
      <c r="G7667" s="211" t="s">
        <v>4227</v>
      </c>
      <c r="H7667" s="217">
        <f>H7673+H7690+H7694+H7700</f>
        <v>11830.446469999999</v>
      </c>
    </row>
    <row r="7668" spans="1:15" ht="39">
      <c r="A7668" s="569" t="s">
        <v>4224</v>
      </c>
      <c r="B7668" s="569"/>
      <c r="C7668" s="569"/>
      <c r="D7668" s="77" t="s">
        <v>0</v>
      </c>
      <c r="E7668" s="207" t="s">
        <v>4228</v>
      </c>
      <c r="F7668" s="208" t="s">
        <v>4215</v>
      </c>
      <c r="G7668" s="74" t="s">
        <v>2</v>
      </c>
      <c r="H7668" s="218" t="s">
        <v>4229</v>
      </c>
      <c r="K7668" s="309"/>
    </row>
    <row r="7669" spans="1:15">
      <c r="A7669" s="536" t="s">
        <v>3946</v>
      </c>
      <c r="B7669" s="570" t="str">
        <f>VLOOKUP(A7669,'Equip, Herr y Transp'!$B$2:$D$739,2,0)</f>
        <v>EQU</v>
      </c>
      <c r="C7669" s="570"/>
      <c r="D7669" s="95" t="str">
        <f>VLOOKUP(A7669,'Equip, Herr y Transp'!$B$2:$D$218,2,0)</f>
        <v>EQU</v>
      </c>
      <c r="E7669" s="95">
        <f>VLOOKUP(A7669,'Equip, Herr y Transp'!$B$2:$D$218,3,0)</f>
        <v>14130</v>
      </c>
      <c r="F7669" s="96">
        <f>H7659</f>
        <v>1.67E-2</v>
      </c>
      <c r="G7669" s="122">
        <f>F7669*E7669</f>
        <v>235.971</v>
      </c>
      <c r="H7669" s="118"/>
    </row>
    <row r="7670" spans="1:15">
      <c r="A7670" s="536" t="s">
        <v>3904</v>
      </c>
      <c r="B7670" s="570" t="str">
        <f>VLOOKUP(A7670,'Equip, Herr y Transp'!$B$2:$D$739,2,0)</f>
        <v>EQU</v>
      </c>
      <c r="C7670" s="570"/>
      <c r="D7670" s="95" t="str">
        <f>VLOOKUP(A7670,'Equip, Herr y Transp'!$B$2:$D$218,2,0)</f>
        <v>EQU</v>
      </c>
      <c r="E7670" s="95">
        <f>VLOOKUP(A7670,'Equip, Herr y Transp'!$B$2:$D$218,3,0)</f>
        <v>26672.5</v>
      </c>
      <c r="F7670" s="96">
        <f>H7659</f>
        <v>1.67E-2</v>
      </c>
      <c r="G7670" s="122">
        <f>F7670*E7670</f>
        <v>445.43074999999999</v>
      </c>
      <c r="H7670" s="117"/>
    </row>
    <row r="7671" spans="1:15">
      <c r="A7671" s="536" t="s">
        <v>8</v>
      </c>
      <c r="B7671" s="570">
        <f>VLOOKUP(A7671,'Equip, Herr y Transp'!$B$2:$D$739,2,0)</f>
        <v>0</v>
      </c>
      <c r="C7671" s="570"/>
      <c r="D7671" s="95">
        <f>VLOOKUP(A7671,'Equip, Herr y Transp'!$B$2:$D$218,2,0)</f>
        <v>0</v>
      </c>
      <c r="E7671" s="95">
        <f>VLOOKUP(A7671,'Equip, Herr y Transp'!$B$2:$D$218,3,0)</f>
        <v>0</v>
      </c>
      <c r="F7671" s="96">
        <f>H7659</f>
        <v>1.67E-2</v>
      </c>
      <c r="G7671" s="122">
        <f>F7671*E7671</f>
        <v>0</v>
      </c>
      <c r="H7671" s="117"/>
    </row>
    <row r="7672" spans="1:15">
      <c r="A7672" s="536" t="s">
        <v>8</v>
      </c>
      <c r="B7672" s="570">
        <f>VLOOKUP(A7672,'Equip, Herr y Transp'!$B$2:$D$739,2,0)</f>
        <v>0</v>
      </c>
      <c r="C7672" s="570"/>
      <c r="D7672" s="95">
        <f>VLOOKUP(A7672,'Equip, Herr y Transp'!$B$2:$D$218,2,0)</f>
        <v>0</v>
      </c>
      <c r="E7672" s="95">
        <f>VLOOKUP(A7672,'Equip, Herr y Transp'!$B$2:$D$218,3,0)</f>
        <v>0</v>
      </c>
      <c r="F7672" s="96">
        <f>H7659</f>
        <v>1.67E-2</v>
      </c>
      <c r="G7672" s="122">
        <f>F7672*E7672</f>
        <v>0</v>
      </c>
      <c r="H7672" s="117"/>
    </row>
    <row r="7673" spans="1:15" ht="16.5">
      <c r="A7673" s="540" t="s">
        <v>4100</v>
      </c>
      <c r="B7673" s="541"/>
      <c r="C7673" s="541"/>
      <c r="D7673" s="541"/>
      <c r="E7673" s="541"/>
      <c r="F7673" s="541"/>
      <c r="G7673" s="541"/>
      <c r="H7673" s="97">
        <f>SUM(G7669:G7672)</f>
        <v>681.40174999999999</v>
      </c>
    </row>
    <row r="7674" spans="1:15" ht="16.5">
      <c r="A7674" s="571" t="s">
        <v>4230</v>
      </c>
      <c r="B7674" s="572"/>
      <c r="C7674" s="572"/>
      <c r="D7674" s="572"/>
      <c r="E7674" s="572"/>
      <c r="F7674" s="572"/>
      <c r="G7674" s="572"/>
      <c r="H7674" s="573"/>
      <c r="K7674" s="56"/>
      <c r="L7674" s="56"/>
      <c r="M7674" s="56"/>
      <c r="N7674" s="56"/>
      <c r="O7674" s="56"/>
    </row>
    <row r="7675" spans="1:15" ht="30" customHeight="1">
      <c r="A7675" s="574" t="s">
        <v>7</v>
      </c>
      <c r="B7675" s="575"/>
      <c r="C7675" s="109" t="s">
        <v>0</v>
      </c>
      <c r="D7675" s="110" t="s">
        <v>4098</v>
      </c>
      <c r="E7675" s="111" t="s">
        <v>1</v>
      </c>
      <c r="F7675" s="576" t="s">
        <v>4218</v>
      </c>
      <c r="G7675" s="576"/>
      <c r="H7675" s="215"/>
      <c r="K7675" s="56"/>
      <c r="L7675" s="56"/>
      <c r="M7675" s="56"/>
      <c r="N7675" s="56"/>
      <c r="O7675" s="56"/>
    </row>
    <row r="7676" spans="1:15">
      <c r="A7676" s="577" t="s">
        <v>4440</v>
      </c>
      <c r="B7676" s="578"/>
      <c r="C7676" s="98" t="str">
        <f>VLOOKUP(A7676,'Materiales '!$C$2:$F$1302,3,0)</f>
        <v>Ml</v>
      </c>
      <c r="D7676" s="99">
        <f>VLOOKUP(A7676,'Materiales '!$C$2:$F$1302,4,0)</f>
        <v>1785</v>
      </c>
      <c r="E7676" s="100">
        <v>2</v>
      </c>
      <c r="F7676" s="538">
        <f>E7676*D7676</f>
        <v>3570</v>
      </c>
      <c r="G7676" s="539"/>
      <c r="H7676" s="121"/>
      <c r="I7676">
        <f>E7676*G7666</f>
        <v>0</v>
      </c>
      <c r="J7676" s="67"/>
      <c r="K7676" s="56"/>
      <c r="L7676" s="56"/>
      <c r="M7676" s="56"/>
      <c r="N7676" s="56"/>
      <c r="O7676" s="56"/>
    </row>
    <row r="7677" spans="1:15">
      <c r="A7677" s="577" t="s">
        <v>4417</v>
      </c>
      <c r="B7677" s="578"/>
      <c r="C7677" s="98" t="str">
        <f>VLOOKUP(A7677,'Materiales '!$C$2:$F$1302,3,0)</f>
        <v>Und</v>
      </c>
      <c r="D7677" s="99">
        <f>VLOOKUP(A7677,'Materiales '!$C$2:$F$1302,4,0)</f>
        <v>3213</v>
      </c>
      <c r="E7677" s="100">
        <f>2/25</f>
        <v>0.08</v>
      </c>
      <c r="F7677" s="538">
        <f t="shared" ref="F7677:F7683" si="448">E7677*D7677</f>
        <v>257.04000000000002</v>
      </c>
      <c r="G7677" s="539"/>
      <c r="H7677" s="121"/>
      <c r="I7677">
        <f>E7677*G7666</f>
        <v>0</v>
      </c>
      <c r="J7677" s="67"/>
      <c r="K7677" s="56"/>
      <c r="L7677" s="56"/>
      <c r="M7677" s="56"/>
      <c r="N7677" s="56"/>
      <c r="O7677" s="56"/>
    </row>
    <row r="7678" spans="1:15">
      <c r="A7678" s="536" t="s">
        <v>4553</v>
      </c>
      <c r="B7678" s="537" t="str">
        <f>VLOOKUP(A7678,'Materiales '!$C$2:$F$1302,3,0)</f>
        <v>Und</v>
      </c>
      <c r="C7678" s="98" t="str">
        <f>VLOOKUP(A7678,'Materiales '!$C$2:$F$1302,3,0)</f>
        <v>Und</v>
      </c>
      <c r="D7678" s="99">
        <f>VLOOKUP(A7678,'Materiales '!$C$2:$F$1302,4,0)</f>
        <v>6428.4990000000007</v>
      </c>
      <c r="E7678" s="100">
        <f>2/25</f>
        <v>0.08</v>
      </c>
      <c r="F7678" s="538">
        <f t="shared" si="448"/>
        <v>514.27992000000006</v>
      </c>
      <c r="G7678" s="539"/>
      <c r="H7678" s="121"/>
      <c r="I7678">
        <f>E7678*G7666</f>
        <v>0</v>
      </c>
      <c r="J7678" s="68"/>
      <c r="K7678" s="56"/>
      <c r="L7678" s="56"/>
      <c r="M7678" s="56"/>
      <c r="N7678" s="56"/>
      <c r="O7678" s="56"/>
    </row>
    <row r="7679" spans="1:15">
      <c r="A7679" s="536" t="s">
        <v>8</v>
      </c>
      <c r="B7679" s="537" t="str">
        <f>VLOOKUP(A7679,'Materiales '!$C$2:$F$1302,3,0)</f>
        <v>-</v>
      </c>
      <c r="C7679" s="98" t="str">
        <f>VLOOKUP(A7679,'Materiales '!$C$2:$F$1302,3,0)</f>
        <v>-</v>
      </c>
      <c r="D7679" s="99">
        <f>VLOOKUP(A7679,'Materiales '!$C$2:$F$1302,4,0)</f>
        <v>0</v>
      </c>
      <c r="E7679" s="100"/>
      <c r="F7679" s="538">
        <f t="shared" si="448"/>
        <v>0</v>
      </c>
      <c r="G7679" s="539"/>
      <c r="H7679" s="121"/>
      <c r="I7679">
        <f>E7679*G7666</f>
        <v>0</v>
      </c>
      <c r="J7679" s="68"/>
      <c r="K7679" s="56"/>
      <c r="L7679" s="56"/>
      <c r="M7679" s="56"/>
      <c r="N7679" s="56"/>
      <c r="O7679" s="56"/>
    </row>
    <row r="7680" spans="1:15">
      <c r="A7680" s="536" t="s">
        <v>8</v>
      </c>
      <c r="B7680" s="537" t="str">
        <f>VLOOKUP(A7680,'Materiales '!$C$2:$F$1302,3,0)</f>
        <v>-</v>
      </c>
      <c r="C7680" s="98" t="str">
        <f>VLOOKUP(A7680,'Materiales '!$C$2:$F$1302,3,0)</f>
        <v>-</v>
      </c>
      <c r="D7680" s="99">
        <f>VLOOKUP(A7680,'Materiales '!$C$2:$F$1302,4,0)</f>
        <v>0</v>
      </c>
      <c r="E7680" s="100"/>
      <c r="F7680" s="538">
        <f t="shared" si="448"/>
        <v>0</v>
      </c>
      <c r="G7680" s="539"/>
      <c r="H7680" s="121"/>
      <c r="I7680">
        <f>E7680*G7666</f>
        <v>0</v>
      </c>
      <c r="J7680" s="68"/>
      <c r="K7680" s="56"/>
      <c r="L7680" s="56"/>
      <c r="M7680" s="56"/>
      <c r="N7680" s="56"/>
      <c r="O7680" s="56"/>
    </row>
    <row r="7681" spans="1:15">
      <c r="A7681" s="536" t="s">
        <v>8</v>
      </c>
      <c r="B7681" s="537" t="str">
        <f>VLOOKUP(A7681,'Materiales '!$C$2:$F$1302,3,0)</f>
        <v>-</v>
      </c>
      <c r="C7681" s="98" t="str">
        <f>VLOOKUP(A7681,'Materiales '!$C$2:$F$1302,3,0)</f>
        <v>-</v>
      </c>
      <c r="D7681" s="99">
        <f>VLOOKUP(A7681,'Materiales '!$C$2:$F$1302,4,0)</f>
        <v>0</v>
      </c>
      <c r="E7681" s="100"/>
      <c r="F7681" s="538">
        <f t="shared" si="448"/>
        <v>0</v>
      </c>
      <c r="G7681" s="539"/>
      <c r="H7681" s="121"/>
      <c r="I7681">
        <f>E7681*G7666</f>
        <v>0</v>
      </c>
      <c r="J7681" s="68"/>
      <c r="K7681" s="56"/>
      <c r="L7681" s="56"/>
      <c r="M7681" s="56"/>
      <c r="N7681" s="56"/>
      <c r="O7681" s="56"/>
    </row>
    <row r="7682" spans="1:15">
      <c r="A7682" s="536" t="s">
        <v>8</v>
      </c>
      <c r="B7682" s="537" t="str">
        <f>VLOOKUP(A7682,'Materiales '!$C$2:$F$1302,3,0)</f>
        <v>-</v>
      </c>
      <c r="C7682" s="98" t="str">
        <f>VLOOKUP(A7682,'Materiales '!$C$2:$F$1302,3,0)</f>
        <v>-</v>
      </c>
      <c r="D7682" s="99">
        <f>VLOOKUP(A7682,'Materiales '!$C$2:$F$1302,4,0)</f>
        <v>0</v>
      </c>
      <c r="E7682" s="100"/>
      <c r="F7682" s="538">
        <f t="shared" si="448"/>
        <v>0</v>
      </c>
      <c r="G7682" s="539"/>
      <c r="H7682" s="121"/>
      <c r="I7682">
        <f>E7682*G7666</f>
        <v>0</v>
      </c>
      <c r="J7682" s="68"/>
      <c r="K7682" s="56"/>
      <c r="L7682" s="56"/>
      <c r="M7682" s="56"/>
      <c r="N7682" s="56"/>
      <c r="O7682" s="56"/>
    </row>
    <row r="7683" spans="1:15" ht="21.75" customHeight="1">
      <c r="A7683" s="536" t="s">
        <v>8</v>
      </c>
      <c r="B7683" s="537" t="str">
        <f>VLOOKUP(A7683,'Materiales '!$C$2:$F$1302,3,0)</f>
        <v>-</v>
      </c>
      <c r="C7683" s="98" t="str">
        <f>VLOOKUP(A7683,'Materiales '!$C$2:$F$1302,3,0)</f>
        <v>-</v>
      </c>
      <c r="D7683" s="99">
        <f>VLOOKUP(A7683,'Materiales '!$C$2:$F$1302,4,0)</f>
        <v>0</v>
      </c>
      <c r="E7683" s="100"/>
      <c r="F7683" s="538">
        <f t="shared" si="448"/>
        <v>0</v>
      </c>
      <c r="G7683" s="539"/>
      <c r="H7683" s="121"/>
      <c r="I7683">
        <f>E7683*G7666</f>
        <v>0</v>
      </c>
      <c r="J7683" s="68"/>
      <c r="K7683" s="56"/>
      <c r="L7683" s="56"/>
      <c r="M7683" s="56"/>
      <c r="N7683" s="56"/>
      <c r="O7683" s="56"/>
    </row>
    <row r="7684" spans="1:15">
      <c r="A7684" s="536" t="s">
        <v>8</v>
      </c>
      <c r="B7684" s="537" t="str">
        <f>VLOOKUP(A7684,'Materiales '!$C$2:$F$1302,3,0)</f>
        <v>-</v>
      </c>
      <c r="C7684" s="98" t="str">
        <f>VLOOKUP(A7684,'Materiales '!$C$2:$F$1302,3,0)</f>
        <v>-</v>
      </c>
      <c r="D7684" s="99">
        <f>VLOOKUP(A7684,'Materiales '!$C$2:$F$1302,4,0)</f>
        <v>0</v>
      </c>
      <c r="E7684" s="100"/>
      <c r="F7684" s="538">
        <f>E7684*D7684</f>
        <v>0</v>
      </c>
      <c r="G7684" s="539"/>
      <c r="H7684" s="120"/>
      <c r="I7684">
        <f>E7684*G7666</f>
        <v>0</v>
      </c>
      <c r="J7684" s="68"/>
      <c r="K7684" s="56"/>
      <c r="L7684" s="56"/>
      <c r="M7684" s="56"/>
      <c r="N7684" s="56"/>
      <c r="O7684" s="56"/>
    </row>
    <row r="7685" spans="1:15">
      <c r="A7685" s="536" t="s">
        <v>8</v>
      </c>
      <c r="B7685" s="537" t="str">
        <f>VLOOKUP(A7685,'Materiales '!$C$2:$F$1302,3,0)</f>
        <v>-</v>
      </c>
      <c r="C7685" s="98" t="str">
        <f>VLOOKUP(A7685,'Materiales '!$C$2:$F$1302,3,0)</f>
        <v>-</v>
      </c>
      <c r="D7685" s="99">
        <f>VLOOKUP(A7685,'Materiales '!$C$2:$F$1302,4,0)</f>
        <v>0</v>
      </c>
      <c r="E7685" s="100"/>
      <c r="F7685" s="538">
        <f t="shared" ref="F7685:F7688" si="449">E7685*D7685</f>
        <v>0</v>
      </c>
      <c r="G7685" s="539"/>
      <c r="H7685" s="121"/>
      <c r="I7685">
        <f>E7685*G7666</f>
        <v>0</v>
      </c>
      <c r="J7685" s="68"/>
      <c r="K7685" s="56"/>
      <c r="L7685" s="56"/>
      <c r="M7685" s="56"/>
      <c r="N7685" s="56"/>
      <c r="O7685" s="56"/>
    </row>
    <row r="7686" spans="1:15">
      <c r="A7686" s="536" t="s">
        <v>8</v>
      </c>
      <c r="B7686" s="537" t="str">
        <f>VLOOKUP(A7686,'Materiales '!$C$2:$F$1302,3,0)</f>
        <v>-</v>
      </c>
      <c r="C7686" s="98" t="str">
        <f>VLOOKUP(A7686,'Materiales '!$C$2:$F$1302,3,0)</f>
        <v>-</v>
      </c>
      <c r="D7686" s="99">
        <f>VLOOKUP(A7686,'Materiales '!$C$2:$F$1302,4,0)</f>
        <v>0</v>
      </c>
      <c r="E7686" s="100"/>
      <c r="F7686" s="538">
        <f t="shared" si="449"/>
        <v>0</v>
      </c>
      <c r="G7686" s="539"/>
      <c r="H7686" s="121"/>
      <c r="I7686">
        <f>E7686*G7666</f>
        <v>0</v>
      </c>
      <c r="J7686" s="68"/>
      <c r="K7686" s="56"/>
      <c r="L7686" s="56"/>
      <c r="M7686" s="56"/>
      <c r="N7686" s="56"/>
      <c r="O7686" s="56"/>
    </row>
    <row r="7687" spans="1:15">
      <c r="A7687" s="536" t="s">
        <v>8</v>
      </c>
      <c r="B7687" s="537" t="str">
        <f>VLOOKUP(A7687,'Materiales '!$C$2:$F$1302,3,0)</f>
        <v>-</v>
      </c>
      <c r="C7687" s="98" t="str">
        <f>VLOOKUP(A7687,'Materiales '!$C$2:$F$1302,3,0)</f>
        <v>-</v>
      </c>
      <c r="D7687" s="99">
        <f>VLOOKUP(A7687,'Materiales '!$C$2:$F$1302,4,0)</f>
        <v>0</v>
      </c>
      <c r="E7687" s="100"/>
      <c r="F7687" s="538">
        <f t="shared" si="449"/>
        <v>0</v>
      </c>
      <c r="G7687" s="539"/>
      <c r="H7687" s="121"/>
      <c r="I7687">
        <f>E7687*G7666</f>
        <v>0</v>
      </c>
      <c r="J7687" s="68"/>
      <c r="K7687" s="56"/>
      <c r="L7687" s="56"/>
      <c r="M7687" s="56"/>
      <c r="N7687" s="56"/>
      <c r="O7687" s="56"/>
    </row>
    <row r="7688" spans="1:15">
      <c r="A7688" s="536" t="s">
        <v>8</v>
      </c>
      <c r="B7688" s="537" t="str">
        <f>VLOOKUP(A7688,'Materiales '!$C$2:$F$1302,3,0)</f>
        <v>-</v>
      </c>
      <c r="C7688" s="98" t="str">
        <f>VLOOKUP(A7688,'Materiales '!$C$2:$F$1302,3,0)</f>
        <v>-</v>
      </c>
      <c r="D7688" s="99">
        <f>VLOOKUP(A7688,'Materiales '!$C$2:$F$1302,4,0)</f>
        <v>0</v>
      </c>
      <c r="E7688" s="100"/>
      <c r="F7688" s="538">
        <f t="shared" si="449"/>
        <v>0</v>
      </c>
      <c r="G7688" s="539"/>
      <c r="H7688" s="121"/>
      <c r="I7688">
        <f>E7688*G7666</f>
        <v>0</v>
      </c>
      <c r="J7688" s="68"/>
      <c r="K7688" s="56"/>
      <c r="L7688" s="56"/>
      <c r="M7688" s="56"/>
      <c r="N7688" s="56"/>
      <c r="O7688" s="56"/>
    </row>
    <row r="7689" spans="1:15">
      <c r="A7689" s="536" t="s">
        <v>8</v>
      </c>
      <c r="B7689" s="537" t="str">
        <f>VLOOKUP(A7689,'Materiales '!$C$2:$F$1302,3,0)</f>
        <v>-</v>
      </c>
      <c r="C7689" s="98" t="str">
        <f>VLOOKUP(A7689,'Materiales '!$C$2:$F$1302,3,0)</f>
        <v>-</v>
      </c>
      <c r="D7689" s="99">
        <f>VLOOKUP(A7689,'Materiales '!$C$2:$F$1302,4,0)</f>
        <v>0</v>
      </c>
      <c r="E7689" s="100"/>
      <c r="F7689" s="538">
        <f>E7689*D7689</f>
        <v>0</v>
      </c>
      <c r="G7689" s="539"/>
      <c r="H7689" s="120"/>
      <c r="I7689">
        <f>E7689*G7666</f>
        <v>0</v>
      </c>
      <c r="J7689" s="68"/>
      <c r="K7689" s="56"/>
      <c r="L7689" s="56"/>
      <c r="M7689" s="56"/>
      <c r="N7689" s="56"/>
      <c r="O7689" s="56"/>
    </row>
    <row r="7690" spans="1:15" ht="16.5">
      <c r="A7690" s="540" t="s">
        <v>4099</v>
      </c>
      <c r="B7690" s="541"/>
      <c r="C7690" s="541"/>
      <c r="D7690" s="541"/>
      <c r="E7690" s="541"/>
      <c r="F7690" s="541"/>
      <c r="G7690" s="542"/>
      <c r="H7690" s="116">
        <f>SUM(F7676:F7689)</f>
        <v>4341.3199199999999</v>
      </c>
      <c r="J7690" s="68"/>
      <c r="K7690" s="56"/>
      <c r="L7690" s="56"/>
      <c r="M7690" s="56"/>
      <c r="N7690" s="56"/>
      <c r="O7690" s="56"/>
    </row>
    <row r="7691" spans="1:15" ht="16.5">
      <c r="A7691" s="543" t="s">
        <v>4231</v>
      </c>
      <c r="B7691" s="544"/>
      <c r="C7691" s="544"/>
      <c r="D7691" s="544"/>
      <c r="E7691" s="545"/>
      <c r="F7691" s="544"/>
      <c r="G7691" s="544"/>
      <c r="H7691" s="546"/>
      <c r="J7691" s="68"/>
      <c r="K7691" s="56"/>
      <c r="L7691" s="56"/>
      <c r="M7691" s="56"/>
      <c r="N7691" s="56"/>
      <c r="O7691" s="56"/>
    </row>
    <row r="7692" spans="1:15">
      <c r="A7692" s="547" t="s">
        <v>7</v>
      </c>
      <c r="B7692" s="548"/>
      <c r="C7692" s="108" t="s">
        <v>4232</v>
      </c>
      <c r="D7692" s="107" t="s">
        <v>4233</v>
      </c>
      <c r="E7692" s="206" t="s">
        <v>4234</v>
      </c>
      <c r="F7692" s="549" t="s">
        <v>4218</v>
      </c>
      <c r="G7692" s="549"/>
      <c r="H7692" s="119"/>
      <c r="K7692" s="56"/>
      <c r="L7692" s="56"/>
      <c r="M7692" s="56"/>
      <c r="N7692" s="56"/>
      <c r="O7692" s="56"/>
    </row>
    <row r="7693" spans="1:15">
      <c r="A7693" s="550" t="s">
        <v>3928</v>
      </c>
      <c r="B7693" s="551"/>
      <c r="C7693" s="232">
        <v>1</v>
      </c>
      <c r="D7693" s="102">
        <v>5.0000000000000001E-3</v>
      </c>
      <c r="E7693" s="103">
        <f>VLOOKUP(A7693,'Equip, Herr y Transp'!$B$2:$D$218,3,0)</f>
        <v>160000</v>
      </c>
      <c r="F7693" s="552">
        <f>E7693*D7693*C7693</f>
        <v>800</v>
      </c>
      <c r="G7693" s="553"/>
      <c r="H7693" s="117"/>
      <c r="M7693" s="56"/>
    </row>
    <row r="7694" spans="1:15" ht="16.5">
      <c r="A7694" s="554" t="s">
        <v>4216</v>
      </c>
      <c r="B7694" s="555"/>
      <c r="C7694" s="555"/>
      <c r="D7694" s="555"/>
      <c r="E7694" s="555"/>
      <c r="F7694" s="555"/>
      <c r="G7694" s="555"/>
      <c r="H7694" s="105">
        <f>F7693</f>
        <v>800</v>
      </c>
    </row>
    <row r="7695" spans="1:15" ht="16.5">
      <c r="A7695" s="543" t="s">
        <v>4235</v>
      </c>
      <c r="B7695" s="544"/>
      <c r="C7695" s="544"/>
      <c r="D7695" s="544"/>
      <c r="E7695" s="544"/>
      <c r="F7695" s="544"/>
      <c r="G7695" s="544"/>
      <c r="H7695" s="546"/>
    </row>
    <row r="7696" spans="1:15">
      <c r="A7696" s="547" t="s">
        <v>7</v>
      </c>
      <c r="B7696" s="548"/>
      <c r="C7696" s="106" t="s">
        <v>1</v>
      </c>
      <c r="D7696" s="107" t="s">
        <v>4236</v>
      </c>
      <c r="E7696" s="108" t="s">
        <v>4215</v>
      </c>
      <c r="F7696" s="547" t="s">
        <v>5</v>
      </c>
      <c r="G7696" s="556"/>
      <c r="H7696" s="119"/>
    </row>
    <row r="7697" spans="1:10">
      <c r="A7697" s="550" t="s">
        <v>4196</v>
      </c>
      <c r="B7697" s="551"/>
      <c r="C7697" s="101">
        <v>1</v>
      </c>
      <c r="D7697" s="104">
        <f>VLOOKUP(A7697,'Mano Obra'!$B$2:$T$117,19,0)</f>
        <v>166624</v>
      </c>
      <c r="E7697" s="246">
        <f>H7659</f>
        <v>1.67E-2</v>
      </c>
      <c r="F7697" s="538">
        <f>E7697*D7697*C7697</f>
        <v>2782.6208000000001</v>
      </c>
      <c r="G7697" s="557"/>
      <c r="H7697" s="121"/>
      <c r="I7697" s="69"/>
      <c r="J7697" s="136">
        <f>((('Mano Obra'!$M$4/30)*F7697)/D7697)*G7666</f>
        <v>0</v>
      </c>
    </row>
    <row r="7698" spans="1:10">
      <c r="A7698" s="558" t="s">
        <v>4197</v>
      </c>
      <c r="B7698" s="559">
        <f>VLOOKUP(A7698,'Mano Obra'!$B$3:$D$290,2,0)</f>
        <v>2090000.0000000002</v>
      </c>
      <c r="C7698" s="101">
        <v>1</v>
      </c>
      <c r="D7698" s="104">
        <f>VLOOKUP(A7698,'Mano Obra'!$B$2:$T$117,19,0)</f>
        <v>120456</v>
      </c>
      <c r="E7698" s="246">
        <f>H7659</f>
        <v>1.67E-2</v>
      </c>
      <c r="F7698" s="538">
        <f t="shared" ref="F7698:F7699" si="450">E7698*D7698*C7698</f>
        <v>2011.6152</v>
      </c>
      <c r="G7698" s="557"/>
      <c r="H7698" s="121"/>
      <c r="J7698" s="136">
        <f>((('Mano Obra'!$M$5/30)*F7698)/D7698)*G7666</f>
        <v>0</v>
      </c>
    </row>
    <row r="7699" spans="1:10">
      <c r="A7699" s="558" t="s">
        <v>4186</v>
      </c>
      <c r="B7699" s="559">
        <f>VLOOKUP(A7699,'Mano Obra'!$B$3:$D$290,2,0)</f>
        <v>1100000</v>
      </c>
      <c r="C7699" s="101">
        <v>1</v>
      </c>
      <c r="D7699" s="104">
        <f>VLOOKUP(A7699,'Mano Obra'!$B$2:$T$117,19,0)</f>
        <v>72664</v>
      </c>
      <c r="E7699" s="246">
        <f>H7659</f>
        <v>1.67E-2</v>
      </c>
      <c r="F7699" s="538">
        <f t="shared" si="450"/>
        <v>1213.4887999999999</v>
      </c>
      <c r="G7699" s="557"/>
      <c r="H7699" s="120"/>
      <c r="J7699" s="136">
        <f>((('Mano Obra'!$M$6/30)*F7699)/D7699)*G7666</f>
        <v>0</v>
      </c>
    </row>
    <row r="7700" spans="1:10" ht="16.5">
      <c r="A7700" s="560" t="s">
        <v>4101</v>
      </c>
      <c r="B7700" s="560"/>
      <c r="C7700" s="560"/>
      <c r="D7700" s="560"/>
      <c r="E7700" s="560"/>
      <c r="F7700" s="560"/>
      <c r="G7700" s="560"/>
      <c r="H7700" s="105">
        <f>SUM(F7697:F7699)</f>
        <v>6007.7248</v>
      </c>
      <c r="J7700" s="136"/>
    </row>
    <row r="7701" spans="1:10">
      <c r="A7701" s="227" t="s">
        <v>4237</v>
      </c>
      <c r="B7701" s="205"/>
      <c r="C7701" s="205"/>
      <c r="D7701" s="202"/>
      <c r="E7701" s="203"/>
      <c r="F7701" s="204"/>
      <c r="G7701" s="203"/>
      <c r="H7701" s="212"/>
    </row>
    <row r="7702" spans="1:10">
      <c r="A7702" s="561" t="s">
        <v>4224</v>
      </c>
      <c r="B7702" s="562"/>
      <c r="C7702" s="562"/>
      <c r="D7702" s="562"/>
      <c r="E7702" s="200"/>
      <c r="F7702" s="201" t="s">
        <v>4238</v>
      </c>
      <c r="G7702" s="200" t="s">
        <v>4239</v>
      </c>
      <c r="H7702" s="213"/>
    </row>
    <row r="7703" spans="1:10">
      <c r="A7703" s="223" t="s">
        <v>4097</v>
      </c>
      <c r="B7703" s="72"/>
      <c r="C7703" s="72"/>
      <c r="D7703" s="73"/>
      <c r="E7703" s="78"/>
      <c r="F7703" s="79">
        <v>0</v>
      </c>
      <c r="G7703" s="80">
        <f>F7703*H7667</f>
        <v>0</v>
      </c>
      <c r="H7703" s="212"/>
    </row>
    <row r="7704" spans="1:10">
      <c r="A7704" s="224" t="s">
        <v>4240</v>
      </c>
      <c r="B7704" s="81"/>
      <c r="C7704" s="81"/>
      <c r="D7704" s="82"/>
      <c r="E7704" s="78"/>
      <c r="F7704" s="79">
        <v>0</v>
      </c>
      <c r="G7704" s="80">
        <f>F7704*H7667</f>
        <v>0</v>
      </c>
      <c r="H7704" s="212"/>
    </row>
    <row r="7705" spans="1:10">
      <c r="A7705" s="224" t="s">
        <v>4</v>
      </c>
      <c r="B7705" s="81"/>
      <c r="C7705" s="81"/>
      <c r="D7705" s="82"/>
      <c r="E7705" s="78"/>
      <c r="F7705" s="79">
        <v>0</v>
      </c>
      <c r="G7705" s="80">
        <f>F7705*H7667</f>
        <v>0</v>
      </c>
      <c r="H7705" s="212"/>
    </row>
    <row r="7706" spans="1:10">
      <c r="A7706" s="225"/>
      <c r="B7706" s="83"/>
      <c r="C7706" s="75"/>
      <c r="D7706" s="84"/>
      <c r="E7706" s="85"/>
      <c r="F7706" s="86"/>
      <c r="G7706" s="87"/>
      <c r="H7706" s="214"/>
    </row>
    <row r="7707" spans="1:10">
      <c r="A7707" s="226"/>
      <c r="B7707" s="83"/>
      <c r="C7707" s="83"/>
      <c r="D7707" s="84"/>
      <c r="E7707" s="88"/>
      <c r="F7707" s="563" t="s">
        <v>4241</v>
      </c>
      <c r="G7707" s="564"/>
      <c r="H7707" s="233">
        <f>H7667+G7703+G7704+G7705</f>
        <v>11830.446469999999</v>
      </c>
    </row>
    <row r="7710" spans="1:10" ht="16.5">
      <c r="A7710" s="90"/>
      <c r="B7710" s="90"/>
      <c r="C7710" s="90"/>
      <c r="D7710" s="90"/>
      <c r="E7710" s="90"/>
      <c r="F7710" s="90"/>
      <c r="G7710" s="90"/>
      <c r="H7710" s="381"/>
    </row>
    <row r="7711" spans="1:10">
      <c r="A7711" s="579" t="s">
        <v>4225</v>
      </c>
      <c r="B7711" s="580"/>
      <c r="C7711" s="580"/>
      <c r="D7711" s="580"/>
      <c r="E7711" s="580"/>
      <c r="F7711" s="580"/>
      <c r="G7711" s="580"/>
      <c r="H7711" s="581"/>
    </row>
    <row r="7712" spans="1:10" ht="16.5">
      <c r="A7712" s="91"/>
      <c r="B7712" s="92"/>
      <c r="C7712" s="92"/>
      <c r="D7712" s="92"/>
      <c r="E7712" s="92"/>
      <c r="F7712" s="93"/>
      <c r="G7712" s="94"/>
      <c r="H7712" s="380">
        <f>ROUND((10/60)/8,4)</f>
        <v>2.0799999999999999E-2</v>
      </c>
      <c r="I7712" s="115"/>
    </row>
    <row r="7713" spans="1:15">
      <c r="A7713" s="582" t="s">
        <v>4220</v>
      </c>
      <c r="B7713" s="584" t="str">
        <f>COSTOS!$C$14</f>
        <v>MODERNIZACION A TECNOLOGIA LED</v>
      </c>
      <c r="C7713" s="584"/>
      <c r="D7713" s="584"/>
      <c r="E7713" s="584"/>
      <c r="F7713" s="584"/>
      <c r="G7713" s="584"/>
      <c r="H7713" s="585" t="s">
        <v>4221</v>
      </c>
    </row>
    <row r="7714" spans="1:15">
      <c r="A7714" s="583"/>
      <c r="B7714" s="584"/>
      <c r="C7714" s="584"/>
      <c r="D7714" s="584"/>
      <c r="E7714" s="584"/>
      <c r="F7714" s="584"/>
      <c r="G7714" s="584"/>
      <c r="H7714" s="585"/>
    </row>
    <row r="7715" spans="1:15">
      <c r="A7715" s="583"/>
      <c r="B7715" s="584"/>
      <c r="C7715" s="584"/>
      <c r="D7715" s="584"/>
      <c r="E7715" s="584"/>
      <c r="F7715" s="584"/>
      <c r="G7715" s="584"/>
      <c r="H7715" s="585"/>
    </row>
    <row r="7716" spans="1:15" ht="15" customHeight="1">
      <c r="A7716" s="583"/>
      <c r="B7716" s="584"/>
      <c r="C7716" s="584"/>
      <c r="D7716" s="584"/>
      <c r="E7716" s="584"/>
      <c r="F7716" s="584"/>
      <c r="G7716" s="584"/>
      <c r="H7716" s="216">
        <f ca="1">TODAY()</f>
        <v>44889</v>
      </c>
      <c r="K7716" t="s">
        <v>4391</v>
      </c>
      <c r="L7716" t="s">
        <v>4392</v>
      </c>
      <c r="M7716" t="s">
        <v>4393</v>
      </c>
      <c r="N7716" t="s">
        <v>4394</v>
      </c>
    </row>
    <row r="7717" spans="1:15" ht="60.75" customHeight="1">
      <c r="A7717" s="228" t="s">
        <v>4222</v>
      </c>
      <c r="B7717" s="565" t="str">
        <f>COSTOS!$D$16</f>
        <v>Luminarias</v>
      </c>
      <c r="C7717" s="565"/>
      <c r="D7717" s="565"/>
      <c r="E7717" s="565"/>
      <c r="F7717" s="565"/>
      <c r="G7717" s="70" t="s">
        <v>4223</v>
      </c>
      <c r="H7717" s="391">
        <v>3.35</v>
      </c>
      <c r="K7717" s="62">
        <f>H7743</f>
        <v>14048.07495</v>
      </c>
      <c r="L7717" s="62">
        <f>H7753</f>
        <v>7482.6751999999997</v>
      </c>
      <c r="M7717" s="62">
        <f>H7726</f>
        <v>848.69200000000001</v>
      </c>
      <c r="N7717" s="62">
        <f>H7747</f>
        <v>800</v>
      </c>
    </row>
    <row r="7718" spans="1:15" ht="43.15" customHeight="1">
      <c r="A7718" s="229" t="s">
        <v>4224</v>
      </c>
      <c r="B7718" s="566" t="str">
        <f>VLOOKUP(H7717,COSTOS!C:M,2,0)</f>
        <v>Red Aerea 3x4+4 AWG AL x 500m</v>
      </c>
      <c r="C7718" s="567"/>
      <c r="D7718" s="567"/>
      <c r="E7718" s="568"/>
      <c r="F7718" s="71" t="s">
        <v>0</v>
      </c>
      <c r="G7718" s="356" t="str">
        <f>VLOOKUP(H7717,COSTOS!C:M,8,0)</f>
        <v>Und</v>
      </c>
      <c r="H7718" s="276"/>
      <c r="I7718" s="306"/>
      <c r="J7718" s="308"/>
      <c r="K7718" s="308"/>
      <c r="L7718" s="308"/>
    </row>
    <row r="7719" spans="1:15">
      <c r="A7719" s="230"/>
      <c r="B7719" s="112"/>
      <c r="C7719" s="112"/>
      <c r="D7719" s="112"/>
      <c r="E7719" s="113"/>
      <c r="F7719" s="114" t="s">
        <v>1</v>
      </c>
      <c r="G7719" s="356">
        <f>VLOOKUP(H7717,COSTOS!C:M,9,0)</f>
        <v>0</v>
      </c>
      <c r="H7719" s="357"/>
      <c r="I7719" s="307"/>
    </row>
    <row r="7720" spans="1:15" ht="16.5">
      <c r="A7720" s="231" t="s">
        <v>4226</v>
      </c>
      <c r="B7720" s="75"/>
      <c r="C7720" s="75"/>
      <c r="D7720" s="76"/>
      <c r="E7720" s="209"/>
      <c r="F7720" s="210"/>
      <c r="G7720" s="211" t="s">
        <v>4227</v>
      </c>
      <c r="H7720" s="217">
        <f>H7726+H7743+H7747+H7753</f>
        <v>23179.442150000003</v>
      </c>
    </row>
    <row r="7721" spans="1:15" ht="39">
      <c r="A7721" s="569" t="s">
        <v>4224</v>
      </c>
      <c r="B7721" s="569"/>
      <c r="C7721" s="569"/>
      <c r="D7721" s="77" t="s">
        <v>0</v>
      </c>
      <c r="E7721" s="207" t="s">
        <v>4228</v>
      </c>
      <c r="F7721" s="208" t="s">
        <v>4215</v>
      </c>
      <c r="G7721" s="74" t="s">
        <v>2</v>
      </c>
      <c r="H7721" s="218" t="s">
        <v>4229</v>
      </c>
      <c r="K7721" s="309"/>
    </row>
    <row r="7722" spans="1:15">
      <c r="A7722" s="536" t="s">
        <v>3946</v>
      </c>
      <c r="B7722" s="570" t="str">
        <f>VLOOKUP(A7722,'Equip, Herr y Transp'!$B$2:$D$739,2,0)</f>
        <v>EQU</v>
      </c>
      <c r="C7722" s="570"/>
      <c r="D7722" s="95" t="str">
        <f>VLOOKUP(A7722,'Equip, Herr y Transp'!$B$2:$D$218,2,0)</f>
        <v>EQU</v>
      </c>
      <c r="E7722" s="95">
        <f>VLOOKUP(A7722,'Equip, Herr y Transp'!$B$2:$D$218,3,0)</f>
        <v>14130</v>
      </c>
      <c r="F7722" s="96">
        <f>H7712</f>
        <v>2.0799999999999999E-2</v>
      </c>
      <c r="G7722" s="122">
        <f>F7722*E7722</f>
        <v>293.904</v>
      </c>
      <c r="H7722" s="118"/>
    </row>
    <row r="7723" spans="1:15">
      <c r="A7723" s="536" t="s">
        <v>3904</v>
      </c>
      <c r="B7723" s="570" t="str">
        <f>VLOOKUP(A7723,'Equip, Herr y Transp'!$B$2:$D$739,2,0)</f>
        <v>EQU</v>
      </c>
      <c r="C7723" s="570"/>
      <c r="D7723" s="95" t="str">
        <f>VLOOKUP(A7723,'Equip, Herr y Transp'!$B$2:$D$218,2,0)</f>
        <v>EQU</v>
      </c>
      <c r="E7723" s="95">
        <f>VLOOKUP(A7723,'Equip, Herr y Transp'!$B$2:$D$218,3,0)</f>
        <v>26672.5</v>
      </c>
      <c r="F7723" s="96">
        <f>H7712</f>
        <v>2.0799999999999999E-2</v>
      </c>
      <c r="G7723" s="122">
        <f>F7723*E7723</f>
        <v>554.78800000000001</v>
      </c>
      <c r="H7723" s="117"/>
    </row>
    <row r="7724" spans="1:15">
      <c r="A7724" s="536" t="s">
        <v>8</v>
      </c>
      <c r="B7724" s="570">
        <f>VLOOKUP(A7724,'Equip, Herr y Transp'!$B$2:$D$739,2,0)</f>
        <v>0</v>
      </c>
      <c r="C7724" s="570"/>
      <c r="D7724" s="95">
        <f>VLOOKUP(A7724,'Equip, Herr y Transp'!$B$2:$D$218,2,0)</f>
        <v>0</v>
      </c>
      <c r="E7724" s="95">
        <f>VLOOKUP(A7724,'Equip, Herr y Transp'!$B$2:$D$218,3,0)</f>
        <v>0</v>
      </c>
      <c r="F7724" s="96">
        <f>H7712</f>
        <v>2.0799999999999999E-2</v>
      </c>
      <c r="G7724" s="122">
        <f>F7724*E7724</f>
        <v>0</v>
      </c>
      <c r="H7724" s="117"/>
    </row>
    <row r="7725" spans="1:15">
      <c r="A7725" s="536" t="s">
        <v>8</v>
      </c>
      <c r="B7725" s="570">
        <f>VLOOKUP(A7725,'Equip, Herr y Transp'!$B$2:$D$739,2,0)</f>
        <v>0</v>
      </c>
      <c r="C7725" s="570"/>
      <c r="D7725" s="95">
        <f>VLOOKUP(A7725,'Equip, Herr y Transp'!$B$2:$D$218,2,0)</f>
        <v>0</v>
      </c>
      <c r="E7725" s="95">
        <f>VLOOKUP(A7725,'Equip, Herr y Transp'!$B$2:$D$218,3,0)</f>
        <v>0</v>
      </c>
      <c r="F7725" s="96">
        <f>H7712</f>
        <v>2.0799999999999999E-2</v>
      </c>
      <c r="G7725" s="122">
        <f>F7725*E7725</f>
        <v>0</v>
      </c>
      <c r="H7725" s="117"/>
    </row>
    <row r="7726" spans="1:15" ht="16.5">
      <c r="A7726" s="540" t="s">
        <v>4100</v>
      </c>
      <c r="B7726" s="541"/>
      <c r="C7726" s="541"/>
      <c r="D7726" s="541"/>
      <c r="E7726" s="541"/>
      <c r="F7726" s="541"/>
      <c r="G7726" s="541"/>
      <c r="H7726" s="97">
        <f>SUM(G7722:G7725)</f>
        <v>848.69200000000001</v>
      </c>
    </row>
    <row r="7727" spans="1:15" ht="16.5">
      <c r="A7727" s="571" t="s">
        <v>4230</v>
      </c>
      <c r="B7727" s="572"/>
      <c r="C7727" s="572"/>
      <c r="D7727" s="572"/>
      <c r="E7727" s="572"/>
      <c r="F7727" s="572"/>
      <c r="G7727" s="572"/>
      <c r="H7727" s="573"/>
      <c r="K7727" s="56"/>
      <c r="L7727" s="56"/>
      <c r="M7727" s="56"/>
      <c r="N7727" s="56"/>
      <c r="O7727" s="56"/>
    </row>
    <row r="7728" spans="1:15" ht="30" customHeight="1">
      <c r="A7728" s="574" t="s">
        <v>7</v>
      </c>
      <c r="B7728" s="575"/>
      <c r="C7728" s="109" t="s">
        <v>0</v>
      </c>
      <c r="D7728" s="110" t="s">
        <v>4098</v>
      </c>
      <c r="E7728" s="111" t="s">
        <v>1</v>
      </c>
      <c r="F7728" s="576" t="s">
        <v>4218</v>
      </c>
      <c r="G7728" s="576"/>
      <c r="H7728" s="215"/>
      <c r="K7728" s="56"/>
      <c r="L7728" s="56"/>
      <c r="M7728" s="56"/>
      <c r="N7728" s="56"/>
      <c r="O7728" s="56"/>
    </row>
    <row r="7729" spans="1:15">
      <c r="A7729" s="577" t="s">
        <v>4452</v>
      </c>
      <c r="B7729" s="578"/>
      <c r="C7729" s="98" t="str">
        <f>VLOOKUP(A7729,'Materiales '!$C$2:$F$1302,3,0)</f>
        <v>Ml</v>
      </c>
      <c r="D7729" s="99">
        <f>VLOOKUP(A7729,'Materiales '!$C$2:$F$1302,4,0)</f>
        <v>13566</v>
      </c>
      <c r="E7729" s="100">
        <v>1</v>
      </c>
      <c r="F7729" s="538">
        <f>E7729*D7729</f>
        <v>13566</v>
      </c>
      <c r="G7729" s="539"/>
      <c r="H7729" s="121"/>
      <c r="I7729">
        <f>E7729*G7719</f>
        <v>0</v>
      </c>
      <c r="J7729" s="67"/>
      <c r="K7729" s="56"/>
      <c r="L7729" s="56"/>
      <c r="M7729" s="56"/>
      <c r="N7729" s="56"/>
      <c r="O7729" s="56"/>
    </row>
    <row r="7730" spans="1:15">
      <c r="A7730" s="577" t="s">
        <v>4417</v>
      </c>
      <c r="B7730" s="578"/>
      <c r="C7730" s="98" t="str">
        <f>VLOOKUP(A7730,'Materiales '!$C$2:$F$1302,3,0)</f>
        <v>Und</v>
      </c>
      <c r="D7730" s="99">
        <f>VLOOKUP(A7730,'Materiales '!$C$2:$F$1302,4,0)</f>
        <v>3213</v>
      </c>
      <c r="E7730" s="100">
        <f>1/20</f>
        <v>0.05</v>
      </c>
      <c r="F7730" s="538">
        <f t="shared" ref="F7730:F7736" si="451">E7730*D7730</f>
        <v>160.65</v>
      </c>
      <c r="G7730" s="539"/>
      <c r="H7730" s="121"/>
      <c r="I7730">
        <f>E7730*G7719</f>
        <v>0</v>
      </c>
      <c r="J7730" s="67"/>
      <c r="K7730" s="56"/>
      <c r="L7730" s="56"/>
      <c r="M7730" s="56"/>
      <c r="N7730" s="56"/>
      <c r="O7730" s="56"/>
    </row>
    <row r="7731" spans="1:15">
      <c r="A7731" s="536" t="s">
        <v>4553</v>
      </c>
      <c r="B7731" s="537" t="str">
        <f>VLOOKUP(A7731,'Materiales '!$C$2:$F$1302,3,0)</f>
        <v>Und</v>
      </c>
      <c r="C7731" s="98" t="str">
        <f>VLOOKUP(A7731,'Materiales '!$C$2:$F$1302,3,0)</f>
        <v>Und</v>
      </c>
      <c r="D7731" s="99">
        <f>VLOOKUP(A7731,'Materiales '!$C$2:$F$1302,4,0)</f>
        <v>6428.4990000000007</v>
      </c>
      <c r="E7731" s="100">
        <f>1/20</f>
        <v>0.05</v>
      </c>
      <c r="F7731" s="538">
        <f t="shared" si="451"/>
        <v>321.42495000000008</v>
      </c>
      <c r="G7731" s="539"/>
      <c r="H7731" s="121"/>
      <c r="I7731">
        <f>E7731*G7719</f>
        <v>0</v>
      </c>
      <c r="J7731" s="68"/>
      <c r="K7731" s="56"/>
      <c r="L7731" s="56"/>
      <c r="M7731" s="56"/>
      <c r="N7731" s="56"/>
      <c r="O7731" s="56"/>
    </row>
    <row r="7732" spans="1:15">
      <c r="A7732" s="536" t="s">
        <v>8</v>
      </c>
      <c r="B7732" s="537" t="str">
        <f>VLOOKUP(A7732,'Materiales '!$C$2:$F$1302,3,0)</f>
        <v>-</v>
      </c>
      <c r="C7732" s="98" t="str">
        <f>VLOOKUP(A7732,'Materiales '!$C$2:$F$1302,3,0)</f>
        <v>-</v>
      </c>
      <c r="D7732" s="99">
        <f>VLOOKUP(A7732,'Materiales '!$C$2:$F$1302,4,0)</f>
        <v>0</v>
      </c>
      <c r="E7732" s="100"/>
      <c r="F7732" s="538">
        <f t="shared" si="451"/>
        <v>0</v>
      </c>
      <c r="G7732" s="539"/>
      <c r="H7732" s="121"/>
      <c r="I7732">
        <f>E7732*G7719</f>
        <v>0</v>
      </c>
      <c r="J7732" s="68"/>
      <c r="K7732" s="56"/>
      <c r="L7732" s="56"/>
      <c r="M7732" s="56"/>
      <c r="N7732" s="56"/>
      <c r="O7732" s="56"/>
    </row>
    <row r="7733" spans="1:15">
      <c r="A7733" s="536" t="s">
        <v>8</v>
      </c>
      <c r="B7733" s="537" t="str">
        <f>VLOOKUP(A7733,'Materiales '!$C$2:$F$1302,3,0)</f>
        <v>-</v>
      </c>
      <c r="C7733" s="98" t="str">
        <f>VLOOKUP(A7733,'Materiales '!$C$2:$F$1302,3,0)</f>
        <v>-</v>
      </c>
      <c r="D7733" s="99">
        <f>VLOOKUP(A7733,'Materiales '!$C$2:$F$1302,4,0)</f>
        <v>0</v>
      </c>
      <c r="E7733" s="100"/>
      <c r="F7733" s="538">
        <f t="shared" si="451"/>
        <v>0</v>
      </c>
      <c r="G7733" s="539"/>
      <c r="H7733" s="121"/>
      <c r="I7733">
        <f>E7733*G7719</f>
        <v>0</v>
      </c>
      <c r="J7733" s="68"/>
      <c r="K7733" s="56"/>
      <c r="L7733" s="56"/>
      <c r="M7733" s="56"/>
      <c r="N7733" s="56"/>
      <c r="O7733" s="56"/>
    </row>
    <row r="7734" spans="1:15">
      <c r="A7734" s="536" t="s">
        <v>8</v>
      </c>
      <c r="B7734" s="537" t="str">
        <f>VLOOKUP(A7734,'Materiales '!$C$2:$F$1302,3,0)</f>
        <v>-</v>
      </c>
      <c r="C7734" s="98" t="str">
        <f>VLOOKUP(A7734,'Materiales '!$C$2:$F$1302,3,0)</f>
        <v>-</v>
      </c>
      <c r="D7734" s="99">
        <f>VLOOKUP(A7734,'Materiales '!$C$2:$F$1302,4,0)</f>
        <v>0</v>
      </c>
      <c r="E7734" s="100"/>
      <c r="F7734" s="538">
        <f t="shared" si="451"/>
        <v>0</v>
      </c>
      <c r="G7734" s="539"/>
      <c r="H7734" s="121"/>
      <c r="I7734">
        <f>E7734*G7719</f>
        <v>0</v>
      </c>
      <c r="J7734" s="68"/>
      <c r="K7734" s="56"/>
      <c r="L7734" s="56"/>
      <c r="M7734" s="56"/>
      <c r="N7734" s="56"/>
      <c r="O7734" s="56"/>
    </row>
    <row r="7735" spans="1:15">
      <c r="A7735" s="536" t="s">
        <v>8</v>
      </c>
      <c r="B7735" s="537" t="str">
        <f>VLOOKUP(A7735,'Materiales '!$C$2:$F$1302,3,0)</f>
        <v>-</v>
      </c>
      <c r="C7735" s="98" t="str">
        <f>VLOOKUP(A7735,'Materiales '!$C$2:$F$1302,3,0)</f>
        <v>-</v>
      </c>
      <c r="D7735" s="99">
        <f>VLOOKUP(A7735,'Materiales '!$C$2:$F$1302,4,0)</f>
        <v>0</v>
      </c>
      <c r="E7735" s="100"/>
      <c r="F7735" s="538">
        <f t="shared" si="451"/>
        <v>0</v>
      </c>
      <c r="G7735" s="539"/>
      <c r="H7735" s="121"/>
      <c r="I7735">
        <f>E7735*G7719</f>
        <v>0</v>
      </c>
      <c r="J7735" s="68"/>
      <c r="K7735" s="56"/>
      <c r="L7735" s="56"/>
      <c r="M7735" s="56"/>
      <c r="N7735" s="56"/>
      <c r="O7735" s="56"/>
    </row>
    <row r="7736" spans="1:15" ht="21.75" customHeight="1">
      <c r="A7736" s="536" t="s">
        <v>8</v>
      </c>
      <c r="B7736" s="537" t="str">
        <f>VLOOKUP(A7736,'Materiales '!$C$2:$F$1302,3,0)</f>
        <v>-</v>
      </c>
      <c r="C7736" s="98" t="str">
        <f>VLOOKUP(A7736,'Materiales '!$C$2:$F$1302,3,0)</f>
        <v>-</v>
      </c>
      <c r="D7736" s="99">
        <f>VLOOKUP(A7736,'Materiales '!$C$2:$F$1302,4,0)</f>
        <v>0</v>
      </c>
      <c r="E7736" s="100"/>
      <c r="F7736" s="538">
        <f t="shared" si="451"/>
        <v>0</v>
      </c>
      <c r="G7736" s="539"/>
      <c r="H7736" s="121"/>
      <c r="I7736">
        <f>E7736*G7719</f>
        <v>0</v>
      </c>
      <c r="J7736" s="68"/>
      <c r="K7736" s="56"/>
      <c r="L7736" s="56"/>
      <c r="M7736" s="56"/>
      <c r="N7736" s="56"/>
      <c r="O7736" s="56"/>
    </row>
    <row r="7737" spans="1:15">
      <c r="A7737" s="536" t="s">
        <v>8</v>
      </c>
      <c r="B7737" s="537" t="str">
        <f>VLOOKUP(A7737,'Materiales '!$C$2:$F$1302,3,0)</f>
        <v>-</v>
      </c>
      <c r="C7737" s="98" t="str">
        <f>VLOOKUP(A7737,'Materiales '!$C$2:$F$1302,3,0)</f>
        <v>-</v>
      </c>
      <c r="D7737" s="99">
        <f>VLOOKUP(A7737,'Materiales '!$C$2:$F$1302,4,0)</f>
        <v>0</v>
      </c>
      <c r="E7737" s="100"/>
      <c r="F7737" s="538">
        <f>E7737*D7737</f>
        <v>0</v>
      </c>
      <c r="G7737" s="539"/>
      <c r="H7737" s="120"/>
      <c r="I7737">
        <f>E7737*G7719</f>
        <v>0</v>
      </c>
      <c r="J7737" s="68"/>
      <c r="K7737" s="56"/>
      <c r="L7737" s="56"/>
      <c r="M7737" s="56"/>
      <c r="N7737" s="56"/>
      <c r="O7737" s="56"/>
    </row>
    <row r="7738" spans="1:15">
      <c r="A7738" s="536" t="s">
        <v>8</v>
      </c>
      <c r="B7738" s="537" t="str">
        <f>VLOOKUP(A7738,'Materiales '!$C$2:$F$1302,3,0)</f>
        <v>-</v>
      </c>
      <c r="C7738" s="98" t="str">
        <f>VLOOKUP(A7738,'Materiales '!$C$2:$F$1302,3,0)</f>
        <v>-</v>
      </c>
      <c r="D7738" s="99">
        <f>VLOOKUP(A7738,'Materiales '!$C$2:$F$1302,4,0)</f>
        <v>0</v>
      </c>
      <c r="E7738" s="100"/>
      <c r="F7738" s="538">
        <f t="shared" ref="F7738:F7741" si="452">E7738*D7738</f>
        <v>0</v>
      </c>
      <c r="G7738" s="539"/>
      <c r="H7738" s="121"/>
      <c r="I7738">
        <f>E7738*G7719</f>
        <v>0</v>
      </c>
      <c r="J7738" s="68"/>
      <c r="K7738" s="56"/>
      <c r="L7738" s="56"/>
      <c r="M7738" s="56"/>
      <c r="N7738" s="56"/>
      <c r="O7738" s="56"/>
    </row>
    <row r="7739" spans="1:15">
      <c r="A7739" s="536" t="s">
        <v>8</v>
      </c>
      <c r="B7739" s="537" t="str">
        <f>VLOOKUP(A7739,'Materiales '!$C$2:$F$1302,3,0)</f>
        <v>-</v>
      </c>
      <c r="C7739" s="98" t="str">
        <f>VLOOKUP(A7739,'Materiales '!$C$2:$F$1302,3,0)</f>
        <v>-</v>
      </c>
      <c r="D7739" s="99">
        <f>VLOOKUP(A7739,'Materiales '!$C$2:$F$1302,4,0)</f>
        <v>0</v>
      </c>
      <c r="E7739" s="100"/>
      <c r="F7739" s="538">
        <f t="shared" si="452"/>
        <v>0</v>
      </c>
      <c r="G7739" s="539"/>
      <c r="H7739" s="121"/>
      <c r="I7739">
        <f>E7739*G7719</f>
        <v>0</v>
      </c>
      <c r="J7739" s="68"/>
      <c r="K7739" s="56"/>
      <c r="L7739" s="56"/>
      <c r="M7739" s="56"/>
      <c r="N7739" s="56"/>
      <c r="O7739" s="56"/>
    </row>
    <row r="7740" spans="1:15">
      <c r="A7740" s="536" t="s">
        <v>8</v>
      </c>
      <c r="B7740" s="537" t="str">
        <f>VLOOKUP(A7740,'Materiales '!$C$2:$F$1302,3,0)</f>
        <v>-</v>
      </c>
      <c r="C7740" s="98" t="str">
        <f>VLOOKUP(A7740,'Materiales '!$C$2:$F$1302,3,0)</f>
        <v>-</v>
      </c>
      <c r="D7740" s="99">
        <f>VLOOKUP(A7740,'Materiales '!$C$2:$F$1302,4,0)</f>
        <v>0</v>
      </c>
      <c r="E7740" s="100"/>
      <c r="F7740" s="538">
        <f t="shared" si="452"/>
        <v>0</v>
      </c>
      <c r="G7740" s="539"/>
      <c r="H7740" s="121"/>
      <c r="I7740">
        <f>E7740*G7719</f>
        <v>0</v>
      </c>
      <c r="J7740" s="68"/>
      <c r="K7740" s="56"/>
      <c r="L7740" s="56"/>
      <c r="M7740" s="56"/>
      <c r="N7740" s="56"/>
      <c r="O7740" s="56"/>
    </row>
    <row r="7741" spans="1:15">
      <c r="A7741" s="536" t="s">
        <v>8</v>
      </c>
      <c r="B7741" s="537" t="str">
        <f>VLOOKUP(A7741,'Materiales '!$C$2:$F$1302,3,0)</f>
        <v>-</v>
      </c>
      <c r="C7741" s="98" t="str">
        <f>VLOOKUP(A7741,'Materiales '!$C$2:$F$1302,3,0)</f>
        <v>-</v>
      </c>
      <c r="D7741" s="99">
        <f>VLOOKUP(A7741,'Materiales '!$C$2:$F$1302,4,0)</f>
        <v>0</v>
      </c>
      <c r="E7741" s="100"/>
      <c r="F7741" s="538">
        <f t="shared" si="452"/>
        <v>0</v>
      </c>
      <c r="G7741" s="539"/>
      <c r="H7741" s="121"/>
      <c r="I7741">
        <f>E7741*G7719</f>
        <v>0</v>
      </c>
      <c r="J7741" s="68"/>
      <c r="K7741" s="56"/>
      <c r="L7741" s="56"/>
      <c r="M7741" s="56"/>
      <c r="N7741" s="56"/>
      <c r="O7741" s="56"/>
    </row>
    <row r="7742" spans="1:15">
      <c r="A7742" s="536" t="s">
        <v>8</v>
      </c>
      <c r="B7742" s="537" t="str">
        <f>VLOOKUP(A7742,'Materiales '!$C$2:$F$1302,3,0)</f>
        <v>-</v>
      </c>
      <c r="C7742" s="98" t="str">
        <f>VLOOKUP(A7742,'Materiales '!$C$2:$F$1302,3,0)</f>
        <v>-</v>
      </c>
      <c r="D7742" s="99">
        <f>VLOOKUP(A7742,'Materiales '!$C$2:$F$1302,4,0)</f>
        <v>0</v>
      </c>
      <c r="E7742" s="100"/>
      <c r="F7742" s="538">
        <f>E7742*D7742</f>
        <v>0</v>
      </c>
      <c r="G7742" s="539"/>
      <c r="H7742" s="120"/>
      <c r="I7742">
        <f>E7742*G7719</f>
        <v>0</v>
      </c>
      <c r="J7742" s="68"/>
      <c r="K7742" s="56"/>
      <c r="L7742" s="56"/>
      <c r="M7742" s="56"/>
      <c r="N7742" s="56"/>
      <c r="O7742" s="56"/>
    </row>
    <row r="7743" spans="1:15" ht="16.5">
      <c r="A7743" s="540" t="s">
        <v>4099</v>
      </c>
      <c r="B7743" s="541"/>
      <c r="C7743" s="541"/>
      <c r="D7743" s="541"/>
      <c r="E7743" s="541"/>
      <c r="F7743" s="541"/>
      <c r="G7743" s="542"/>
      <c r="H7743" s="116">
        <f>SUM(F7729:F7742)</f>
        <v>14048.07495</v>
      </c>
      <c r="J7743" s="68"/>
      <c r="K7743" s="56"/>
      <c r="L7743" s="56"/>
      <c r="M7743" s="56"/>
      <c r="N7743" s="56"/>
      <c r="O7743" s="56"/>
    </row>
    <row r="7744" spans="1:15" ht="16.5">
      <c r="A7744" s="543" t="s">
        <v>4231</v>
      </c>
      <c r="B7744" s="544"/>
      <c r="C7744" s="544"/>
      <c r="D7744" s="544"/>
      <c r="E7744" s="545"/>
      <c r="F7744" s="544"/>
      <c r="G7744" s="544"/>
      <c r="H7744" s="546"/>
      <c r="J7744" s="68"/>
      <c r="K7744" s="56"/>
      <c r="L7744" s="56"/>
      <c r="M7744" s="56"/>
      <c r="N7744" s="56"/>
      <c r="O7744" s="56"/>
    </row>
    <row r="7745" spans="1:15">
      <c r="A7745" s="547" t="s">
        <v>7</v>
      </c>
      <c r="B7745" s="548"/>
      <c r="C7745" s="108" t="s">
        <v>4232</v>
      </c>
      <c r="D7745" s="107" t="s">
        <v>4233</v>
      </c>
      <c r="E7745" s="206" t="s">
        <v>4234</v>
      </c>
      <c r="F7745" s="549" t="s">
        <v>4218</v>
      </c>
      <c r="G7745" s="549"/>
      <c r="H7745" s="119"/>
      <c r="K7745" s="56"/>
      <c r="L7745" s="56"/>
      <c r="M7745" s="56"/>
      <c r="N7745" s="56"/>
      <c r="O7745" s="56"/>
    </row>
    <row r="7746" spans="1:15">
      <c r="A7746" s="550" t="s">
        <v>3928</v>
      </c>
      <c r="B7746" s="551"/>
      <c r="C7746" s="232">
        <v>1</v>
      </c>
      <c r="D7746" s="102">
        <v>5.0000000000000001E-3</v>
      </c>
      <c r="E7746" s="103">
        <f>VLOOKUP(A7746,'Equip, Herr y Transp'!$B$2:$D$218,3,0)</f>
        <v>160000</v>
      </c>
      <c r="F7746" s="552">
        <f>E7746*D7746*C7746</f>
        <v>800</v>
      </c>
      <c r="G7746" s="553"/>
      <c r="H7746" s="117"/>
      <c r="M7746" s="56"/>
    </row>
    <row r="7747" spans="1:15" ht="16.5">
      <c r="A7747" s="554" t="s">
        <v>4216</v>
      </c>
      <c r="B7747" s="555"/>
      <c r="C7747" s="555"/>
      <c r="D7747" s="555"/>
      <c r="E7747" s="555"/>
      <c r="F7747" s="555"/>
      <c r="G7747" s="555"/>
      <c r="H7747" s="105">
        <f>F7746</f>
        <v>800</v>
      </c>
    </row>
    <row r="7748" spans="1:15" ht="16.5">
      <c r="A7748" s="543" t="s">
        <v>4235</v>
      </c>
      <c r="B7748" s="544"/>
      <c r="C7748" s="544"/>
      <c r="D7748" s="544"/>
      <c r="E7748" s="544"/>
      <c r="F7748" s="544"/>
      <c r="G7748" s="544"/>
      <c r="H7748" s="546"/>
    </row>
    <row r="7749" spans="1:15">
      <c r="A7749" s="547" t="s">
        <v>7</v>
      </c>
      <c r="B7749" s="548"/>
      <c r="C7749" s="106" t="s">
        <v>1</v>
      </c>
      <c r="D7749" s="107" t="s">
        <v>4236</v>
      </c>
      <c r="E7749" s="108" t="s">
        <v>4215</v>
      </c>
      <c r="F7749" s="547" t="s">
        <v>5</v>
      </c>
      <c r="G7749" s="556"/>
      <c r="H7749" s="119"/>
    </row>
    <row r="7750" spans="1:15">
      <c r="A7750" s="550" t="s">
        <v>4196</v>
      </c>
      <c r="B7750" s="551"/>
      <c r="C7750" s="101">
        <v>1</v>
      </c>
      <c r="D7750" s="104">
        <f>VLOOKUP(A7750,'Mano Obra'!$B$2:$T$117,19,0)</f>
        <v>166624</v>
      </c>
      <c r="E7750" s="246">
        <f>H7712</f>
        <v>2.0799999999999999E-2</v>
      </c>
      <c r="F7750" s="538">
        <f>E7750*D7750*C7750</f>
        <v>3465.7791999999999</v>
      </c>
      <c r="G7750" s="557"/>
      <c r="H7750" s="121"/>
      <c r="I7750" s="69"/>
      <c r="J7750" s="136">
        <f>((('Mano Obra'!$M$4/30)*F7750)/D7750)*G7719</f>
        <v>0</v>
      </c>
    </row>
    <row r="7751" spans="1:15">
      <c r="A7751" s="558" t="s">
        <v>4197</v>
      </c>
      <c r="B7751" s="559">
        <f>VLOOKUP(A7751,'Mano Obra'!$B$3:$D$290,2,0)</f>
        <v>2090000.0000000002</v>
      </c>
      <c r="C7751" s="101">
        <v>1</v>
      </c>
      <c r="D7751" s="104">
        <f>VLOOKUP(A7751,'Mano Obra'!$B$2:$T$117,19,0)</f>
        <v>120456</v>
      </c>
      <c r="E7751" s="246">
        <f>H7712</f>
        <v>2.0799999999999999E-2</v>
      </c>
      <c r="F7751" s="538">
        <f t="shared" ref="F7751:F7752" si="453">E7751*D7751*C7751</f>
        <v>2505.4847999999997</v>
      </c>
      <c r="G7751" s="557"/>
      <c r="H7751" s="121"/>
      <c r="J7751" s="136">
        <f>((('Mano Obra'!$M$5/30)*F7751)/D7751)*G7719</f>
        <v>0</v>
      </c>
    </row>
    <row r="7752" spans="1:15">
      <c r="A7752" s="558" t="s">
        <v>4186</v>
      </c>
      <c r="B7752" s="559">
        <f>VLOOKUP(A7752,'Mano Obra'!$B$3:$D$290,2,0)</f>
        <v>1100000</v>
      </c>
      <c r="C7752" s="101">
        <v>1</v>
      </c>
      <c r="D7752" s="104">
        <f>VLOOKUP(A7752,'Mano Obra'!$B$2:$T$117,19,0)</f>
        <v>72664</v>
      </c>
      <c r="E7752" s="246">
        <f>H7712</f>
        <v>2.0799999999999999E-2</v>
      </c>
      <c r="F7752" s="538">
        <f t="shared" si="453"/>
        <v>1511.4112</v>
      </c>
      <c r="G7752" s="557"/>
      <c r="H7752" s="120"/>
      <c r="J7752" s="136">
        <f>((('Mano Obra'!$M$6/30)*F7752)/D7752)*G7719</f>
        <v>0</v>
      </c>
    </row>
    <row r="7753" spans="1:15" ht="16.5">
      <c r="A7753" s="560" t="s">
        <v>4101</v>
      </c>
      <c r="B7753" s="560"/>
      <c r="C7753" s="560"/>
      <c r="D7753" s="560"/>
      <c r="E7753" s="560"/>
      <c r="F7753" s="560"/>
      <c r="G7753" s="560"/>
      <c r="H7753" s="105">
        <f>SUM(F7750:F7752)</f>
        <v>7482.6751999999997</v>
      </c>
      <c r="J7753" s="136"/>
    </row>
    <row r="7754" spans="1:15">
      <c r="A7754" s="227" t="s">
        <v>4237</v>
      </c>
      <c r="B7754" s="205"/>
      <c r="C7754" s="205"/>
      <c r="D7754" s="202"/>
      <c r="E7754" s="203"/>
      <c r="F7754" s="204"/>
      <c r="G7754" s="203"/>
      <c r="H7754" s="212"/>
    </row>
    <row r="7755" spans="1:15">
      <c r="A7755" s="561" t="s">
        <v>4224</v>
      </c>
      <c r="B7755" s="562"/>
      <c r="C7755" s="562"/>
      <c r="D7755" s="562"/>
      <c r="E7755" s="200"/>
      <c r="F7755" s="201" t="s">
        <v>4238</v>
      </c>
      <c r="G7755" s="200" t="s">
        <v>4239</v>
      </c>
      <c r="H7755" s="213"/>
    </row>
    <row r="7756" spans="1:15">
      <c r="A7756" s="223" t="s">
        <v>4097</v>
      </c>
      <c r="B7756" s="72"/>
      <c r="C7756" s="72"/>
      <c r="D7756" s="73"/>
      <c r="E7756" s="78"/>
      <c r="F7756" s="79">
        <v>0</v>
      </c>
      <c r="G7756" s="80">
        <f>F7756*H7720</f>
        <v>0</v>
      </c>
      <c r="H7756" s="212"/>
    </row>
    <row r="7757" spans="1:15">
      <c r="A7757" s="224" t="s">
        <v>4240</v>
      </c>
      <c r="B7757" s="81"/>
      <c r="C7757" s="81"/>
      <c r="D7757" s="82"/>
      <c r="E7757" s="78"/>
      <c r="F7757" s="79">
        <v>0</v>
      </c>
      <c r="G7757" s="80">
        <f>F7757*H7720</f>
        <v>0</v>
      </c>
      <c r="H7757" s="212"/>
    </row>
    <row r="7758" spans="1:15">
      <c r="A7758" s="224" t="s">
        <v>4</v>
      </c>
      <c r="B7758" s="81"/>
      <c r="C7758" s="81"/>
      <c r="D7758" s="82"/>
      <c r="E7758" s="78"/>
      <c r="F7758" s="79">
        <v>0</v>
      </c>
      <c r="G7758" s="80">
        <f>F7758*H7720</f>
        <v>0</v>
      </c>
      <c r="H7758" s="212"/>
    </row>
    <row r="7759" spans="1:15">
      <c r="A7759" s="225"/>
      <c r="B7759" s="83"/>
      <c r="C7759" s="75"/>
      <c r="D7759" s="84"/>
      <c r="E7759" s="85"/>
      <c r="F7759" s="86"/>
      <c r="G7759" s="87"/>
      <c r="H7759" s="214"/>
    </row>
    <row r="7760" spans="1:15">
      <c r="A7760" s="226"/>
      <c r="B7760" s="83"/>
      <c r="C7760" s="83"/>
      <c r="D7760" s="84"/>
      <c r="E7760" s="88"/>
      <c r="F7760" s="563" t="s">
        <v>4241</v>
      </c>
      <c r="G7760" s="564"/>
      <c r="H7760" s="233">
        <f>H7720+G7756+G7757+G7758</f>
        <v>23179.442150000003</v>
      </c>
    </row>
    <row r="7763" spans="1:14" ht="16.5">
      <c r="A7763" s="90"/>
      <c r="B7763" s="90"/>
      <c r="C7763" s="90"/>
      <c r="D7763" s="90"/>
      <c r="E7763" s="90"/>
      <c r="F7763" s="90"/>
      <c r="G7763" s="90"/>
      <c r="H7763" s="381"/>
    </row>
    <row r="7764" spans="1:14">
      <c r="A7764" s="579" t="s">
        <v>4225</v>
      </c>
      <c r="B7764" s="580"/>
      <c r="C7764" s="580"/>
      <c r="D7764" s="580"/>
      <c r="E7764" s="580"/>
      <c r="F7764" s="580"/>
      <c r="G7764" s="580"/>
      <c r="H7764" s="581"/>
    </row>
    <row r="7765" spans="1:14" ht="16.5">
      <c r="A7765" s="91"/>
      <c r="B7765" s="92"/>
      <c r="C7765" s="92"/>
      <c r="D7765" s="92"/>
      <c r="E7765" s="92"/>
      <c r="F7765" s="93"/>
      <c r="G7765" s="94"/>
      <c r="H7765" s="380">
        <f>ROUND((13/60)/8,4)</f>
        <v>2.7099999999999999E-2</v>
      </c>
      <c r="I7765" s="115"/>
    </row>
    <row r="7766" spans="1:14">
      <c r="A7766" s="582" t="s">
        <v>4220</v>
      </c>
      <c r="B7766" s="584" t="str">
        <f>COSTOS!$C$14</f>
        <v>MODERNIZACION A TECNOLOGIA LED</v>
      </c>
      <c r="C7766" s="584"/>
      <c r="D7766" s="584"/>
      <c r="E7766" s="584"/>
      <c r="F7766" s="584"/>
      <c r="G7766" s="584"/>
      <c r="H7766" s="585" t="s">
        <v>4221</v>
      </c>
    </row>
    <row r="7767" spans="1:14">
      <c r="A7767" s="583"/>
      <c r="B7767" s="584"/>
      <c r="C7767" s="584"/>
      <c r="D7767" s="584"/>
      <c r="E7767" s="584"/>
      <c r="F7767" s="584"/>
      <c r="G7767" s="584"/>
      <c r="H7767" s="585"/>
    </row>
    <row r="7768" spans="1:14">
      <c r="A7768" s="583"/>
      <c r="B7768" s="584"/>
      <c r="C7768" s="584"/>
      <c r="D7768" s="584"/>
      <c r="E7768" s="584"/>
      <c r="F7768" s="584"/>
      <c r="G7768" s="584"/>
      <c r="H7768" s="585"/>
    </row>
    <row r="7769" spans="1:14" ht="15" customHeight="1">
      <c r="A7769" s="583"/>
      <c r="B7769" s="584"/>
      <c r="C7769" s="584"/>
      <c r="D7769" s="584"/>
      <c r="E7769" s="584"/>
      <c r="F7769" s="584"/>
      <c r="G7769" s="584"/>
      <c r="H7769" s="216">
        <f ca="1">TODAY()</f>
        <v>44889</v>
      </c>
      <c r="K7769" t="s">
        <v>4391</v>
      </c>
      <c r="L7769" t="s">
        <v>4392</v>
      </c>
      <c r="M7769" t="s">
        <v>4393</v>
      </c>
      <c r="N7769" t="s">
        <v>4394</v>
      </c>
    </row>
    <row r="7770" spans="1:14" ht="60.75" customHeight="1">
      <c r="A7770" s="228" t="s">
        <v>4222</v>
      </c>
      <c r="B7770" s="565" t="str">
        <f>COSTOS!$D$16</f>
        <v>Luminarias</v>
      </c>
      <c r="C7770" s="565"/>
      <c r="D7770" s="565"/>
      <c r="E7770" s="565"/>
      <c r="F7770" s="565"/>
      <c r="G7770" s="70" t="s">
        <v>4223</v>
      </c>
      <c r="H7770" s="391">
        <v>3.36</v>
      </c>
      <c r="K7770" s="62">
        <f>H7796</f>
        <v>31898.074950000002</v>
      </c>
      <c r="L7770" s="62">
        <f>H7806</f>
        <v>9749.0624000000007</v>
      </c>
      <c r="M7770" s="62">
        <f>H7779</f>
        <v>1105.74775</v>
      </c>
      <c r="N7770" s="62">
        <f>H7800</f>
        <v>800</v>
      </c>
    </row>
    <row r="7771" spans="1:14" ht="43.15" customHeight="1">
      <c r="A7771" s="229" t="s">
        <v>4224</v>
      </c>
      <c r="B7771" s="566" t="str">
        <f>VLOOKUP(H7770,COSTOS!C:M,2,0)</f>
        <v>Red Aerea 3x1/0+1/0 AWG AL x 500m</v>
      </c>
      <c r="C7771" s="567"/>
      <c r="D7771" s="567"/>
      <c r="E7771" s="568"/>
      <c r="F7771" s="71" t="s">
        <v>0</v>
      </c>
      <c r="G7771" s="356" t="str">
        <f>VLOOKUP(H7770,COSTOS!C:M,8,0)</f>
        <v>Und</v>
      </c>
      <c r="H7771" s="276"/>
      <c r="I7771" s="306"/>
      <c r="J7771" s="308"/>
      <c r="K7771" s="308"/>
      <c r="L7771" s="308"/>
    </row>
    <row r="7772" spans="1:14">
      <c r="A7772" s="230"/>
      <c r="B7772" s="112"/>
      <c r="C7772" s="112"/>
      <c r="D7772" s="112"/>
      <c r="E7772" s="113"/>
      <c r="F7772" s="114" t="s">
        <v>1</v>
      </c>
      <c r="G7772" s="356">
        <f>VLOOKUP(H7770,COSTOS!C:M,9,0)</f>
        <v>0</v>
      </c>
      <c r="H7772" s="357"/>
      <c r="I7772" s="307"/>
    </row>
    <row r="7773" spans="1:14" ht="16.5">
      <c r="A7773" s="231" t="s">
        <v>4226</v>
      </c>
      <c r="B7773" s="75"/>
      <c r="C7773" s="75"/>
      <c r="D7773" s="76"/>
      <c r="E7773" s="209"/>
      <c r="F7773" s="210"/>
      <c r="G7773" s="211" t="s">
        <v>4227</v>
      </c>
      <c r="H7773" s="217">
        <f>H7779+H7796+H7800+H7806</f>
        <v>43552.885100000007</v>
      </c>
    </row>
    <row r="7774" spans="1:14" ht="39">
      <c r="A7774" s="569" t="s">
        <v>4224</v>
      </c>
      <c r="B7774" s="569"/>
      <c r="C7774" s="569"/>
      <c r="D7774" s="77" t="s">
        <v>0</v>
      </c>
      <c r="E7774" s="207" t="s">
        <v>4228</v>
      </c>
      <c r="F7774" s="208" t="s">
        <v>4215</v>
      </c>
      <c r="G7774" s="74" t="s">
        <v>2</v>
      </c>
      <c r="H7774" s="218" t="s">
        <v>4229</v>
      </c>
      <c r="K7774" s="309"/>
    </row>
    <row r="7775" spans="1:14">
      <c r="A7775" s="536" t="s">
        <v>3946</v>
      </c>
      <c r="B7775" s="570" t="str">
        <f>VLOOKUP(A7775,'Equip, Herr y Transp'!$B$2:$D$739,2,0)</f>
        <v>EQU</v>
      </c>
      <c r="C7775" s="570"/>
      <c r="D7775" s="95" t="str">
        <f>VLOOKUP(A7775,'Equip, Herr y Transp'!$B$2:$D$218,2,0)</f>
        <v>EQU</v>
      </c>
      <c r="E7775" s="95">
        <f>VLOOKUP(A7775,'Equip, Herr y Transp'!$B$2:$D$218,3,0)</f>
        <v>14130</v>
      </c>
      <c r="F7775" s="96">
        <f>H7765</f>
        <v>2.7099999999999999E-2</v>
      </c>
      <c r="G7775" s="122">
        <f>F7775*E7775</f>
        <v>382.923</v>
      </c>
      <c r="H7775" s="118"/>
    </row>
    <row r="7776" spans="1:14">
      <c r="A7776" s="536" t="s">
        <v>3904</v>
      </c>
      <c r="B7776" s="570" t="str">
        <f>VLOOKUP(A7776,'Equip, Herr y Transp'!$B$2:$D$739,2,0)</f>
        <v>EQU</v>
      </c>
      <c r="C7776" s="570"/>
      <c r="D7776" s="95" t="str">
        <f>VLOOKUP(A7776,'Equip, Herr y Transp'!$B$2:$D$218,2,0)</f>
        <v>EQU</v>
      </c>
      <c r="E7776" s="95">
        <f>VLOOKUP(A7776,'Equip, Herr y Transp'!$B$2:$D$218,3,0)</f>
        <v>26672.5</v>
      </c>
      <c r="F7776" s="96">
        <f>H7765</f>
        <v>2.7099999999999999E-2</v>
      </c>
      <c r="G7776" s="122">
        <f>F7776*E7776</f>
        <v>722.82474999999999</v>
      </c>
      <c r="H7776" s="117"/>
    </row>
    <row r="7777" spans="1:15">
      <c r="A7777" s="536" t="s">
        <v>8</v>
      </c>
      <c r="B7777" s="570">
        <f>VLOOKUP(A7777,'Equip, Herr y Transp'!$B$2:$D$739,2,0)</f>
        <v>0</v>
      </c>
      <c r="C7777" s="570"/>
      <c r="D7777" s="95">
        <f>VLOOKUP(A7777,'Equip, Herr y Transp'!$B$2:$D$218,2,0)</f>
        <v>0</v>
      </c>
      <c r="E7777" s="95">
        <f>VLOOKUP(A7777,'Equip, Herr y Transp'!$B$2:$D$218,3,0)</f>
        <v>0</v>
      </c>
      <c r="F7777" s="96">
        <f>H7765</f>
        <v>2.7099999999999999E-2</v>
      </c>
      <c r="G7777" s="122">
        <f>F7777*E7777</f>
        <v>0</v>
      </c>
      <c r="H7777" s="117"/>
    </row>
    <row r="7778" spans="1:15">
      <c r="A7778" s="536" t="s">
        <v>8</v>
      </c>
      <c r="B7778" s="570">
        <f>VLOOKUP(A7778,'Equip, Herr y Transp'!$B$2:$D$739,2,0)</f>
        <v>0</v>
      </c>
      <c r="C7778" s="570"/>
      <c r="D7778" s="95">
        <f>VLOOKUP(A7778,'Equip, Herr y Transp'!$B$2:$D$218,2,0)</f>
        <v>0</v>
      </c>
      <c r="E7778" s="95">
        <f>VLOOKUP(A7778,'Equip, Herr y Transp'!$B$2:$D$218,3,0)</f>
        <v>0</v>
      </c>
      <c r="F7778" s="96">
        <f>H7765</f>
        <v>2.7099999999999999E-2</v>
      </c>
      <c r="G7778" s="122">
        <f>F7778*E7778</f>
        <v>0</v>
      </c>
      <c r="H7778" s="117"/>
    </row>
    <row r="7779" spans="1:15" ht="16.5">
      <c r="A7779" s="540" t="s">
        <v>4100</v>
      </c>
      <c r="B7779" s="541"/>
      <c r="C7779" s="541"/>
      <c r="D7779" s="541"/>
      <c r="E7779" s="541"/>
      <c r="F7779" s="541"/>
      <c r="G7779" s="541"/>
      <c r="H7779" s="97">
        <f>SUM(G7775:G7778)</f>
        <v>1105.74775</v>
      </c>
    </row>
    <row r="7780" spans="1:15" ht="16.5">
      <c r="A7780" s="571" t="s">
        <v>4230</v>
      </c>
      <c r="B7780" s="572"/>
      <c r="C7780" s="572"/>
      <c r="D7780" s="572"/>
      <c r="E7780" s="572"/>
      <c r="F7780" s="572"/>
      <c r="G7780" s="572"/>
      <c r="H7780" s="573"/>
      <c r="K7780" s="56"/>
      <c r="L7780" s="56"/>
      <c r="M7780" s="56"/>
      <c r="N7780" s="56"/>
      <c r="O7780" s="56"/>
    </row>
    <row r="7781" spans="1:15" ht="30" customHeight="1">
      <c r="A7781" s="574" t="s">
        <v>7</v>
      </c>
      <c r="B7781" s="575"/>
      <c r="C7781" s="109" t="s">
        <v>0</v>
      </c>
      <c r="D7781" s="110" t="s">
        <v>4098</v>
      </c>
      <c r="E7781" s="111" t="s">
        <v>1</v>
      </c>
      <c r="F7781" s="576" t="s">
        <v>4218</v>
      </c>
      <c r="G7781" s="576"/>
      <c r="H7781" s="215"/>
      <c r="K7781" s="56"/>
      <c r="L7781" s="56"/>
      <c r="M7781" s="56"/>
      <c r="N7781" s="56"/>
      <c r="O7781" s="56"/>
    </row>
    <row r="7782" spans="1:15">
      <c r="A7782" s="577" t="s">
        <v>4994</v>
      </c>
      <c r="B7782" s="578"/>
      <c r="C7782" s="98" t="str">
        <f>VLOOKUP(A7782,'Materiales '!$C$2:$F$1302,3,0)</f>
        <v>Ml</v>
      </c>
      <c r="D7782" s="99">
        <f>VLOOKUP(A7782,'Materiales '!$C$2:$F$1302,4,0)</f>
        <v>31416</v>
      </c>
      <c r="E7782" s="100">
        <v>1</v>
      </c>
      <c r="F7782" s="538">
        <f>E7782*D7782</f>
        <v>31416</v>
      </c>
      <c r="G7782" s="539"/>
      <c r="H7782" s="121"/>
      <c r="I7782">
        <f>E7782*G7772</f>
        <v>0</v>
      </c>
      <c r="J7782" s="67"/>
      <c r="K7782" s="56"/>
      <c r="L7782" s="56"/>
      <c r="M7782" s="56"/>
      <c r="N7782" s="56"/>
      <c r="O7782" s="56"/>
    </row>
    <row r="7783" spans="1:15">
      <c r="A7783" s="577" t="s">
        <v>4417</v>
      </c>
      <c r="B7783" s="578"/>
      <c r="C7783" s="98" t="str">
        <f>VLOOKUP(A7783,'Materiales '!$C$2:$F$1302,3,0)</f>
        <v>Und</v>
      </c>
      <c r="D7783" s="99">
        <f>VLOOKUP(A7783,'Materiales '!$C$2:$F$1302,4,0)</f>
        <v>3213</v>
      </c>
      <c r="E7783" s="100">
        <f>1/20</f>
        <v>0.05</v>
      </c>
      <c r="F7783" s="538">
        <f t="shared" ref="F7783:F7789" si="454">E7783*D7783</f>
        <v>160.65</v>
      </c>
      <c r="G7783" s="539"/>
      <c r="H7783" s="121"/>
      <c r="I7783">
        <f>E7783*G7772</f>
        <v>0</v>
      </c>
      <c r="J7783" s="67"/>
      <c r="K7783" s="56"/>
      <c r="L7783" s="56"/>
      <c r="M7783" s="56"/>
      <c r="N7783" s="56"/>
      <c r="O7783" s="56"/>
    </row>
    <row r="7784" spans="1:15">
      <c r="A7784" s="536" t="s">
        <v>4553</v>
      </c>
      <c r="B7784" s="537" t="str">
        <f>VLOOKUP(A7784,'Materiales '!$C$2:$F$1302,3,0)</f>
        <v>Und</v>
      </c>
      <c r="C7784" s="98" t="str">
        <f>VLOOKUP(A7784,'Materiales '!$C$2:$F$1302,3,0)</f>
        <v>Und</v>
      </c>
      <c r="D7784" s="99">
        <f>VLOOKUP(A7784,'Materiales '!$C$2:$F$1302,4,0)</f>
        <v>6428.4990000000007</v>
      </c>
      <c r="E7784" s="100">
        <f>1/20</f>
        <v>0.05</v>
      </c>
      <c r="F7784" s="538">
        <f t="shared" si="454"/>
        <v>321.42495000000008</v>
      </c>
      <c r="G7784" s="539"/>
      <c r="H7784" s="121"/>
      <c r="I7784">
        <f>E7784*G7772</f>
        <v>0</v>
      </c>
      <c r="J7784" s="68"/>
      <c r="K7784" s="56"/>
      <c r="L7784" s="56"/>
      <c r="M7784" s="56"/>
      <c r="N7784" s="56"/>
      <c r="O7784" s="56"/>
    </row>
    <row r="7785" spans="1:15">
      <c r="A7785" s="536" t="s">
        <v>8</v>
      </c>
      <c r="B7785" s="537" t="str">
        <f>VLOOKUP(A7785,'Materiales '!$C$2:$F$1302,3,0)</f>
        <v>-</v>
      </c>
      <c r="C7785" s="98" t="str">
        <f>VLOOKUP(A7785,'Materiales '!$C$2:$F$1302,3,0)</f>
        <v>-</v>
      </c>
      <c r="D7785" s="99">
        <f>VLOOKUP(A7785,'Materiales '!$C$2:$F$1302,4,0)</f>
        <v>0</v>
      </c>
      <c r="E7785" s="100"/>
      <c r="F7785" s="538">
        <f t="shared" si="454"/>
        <v>0</v>
      </c>
      <c r="G7785" s="539"/>
      <c r="H7785" s="121"/>
      <c r="I7785">
        <f>E7785*G7772</f>
        <v>0</v>
      </c>
      <c r="J7785" s="68"/>
      <c r="K7785" s="56"/>
      <c r="L7785" s="56"/>
      <c r="M7785" s="56"/>
      <c r="N7785" s="56"/>
      <c r="O7785" s="56"/>
    </row>
    <row r="7786" spans="1:15">
      <c r="A7786" s="536" t="s">
        <v>8</v>
      </c>
      <c r="B7786" s="537" t="str">
        <f>VLOOKUP(A7786,'Materiales '!$C$2:$F$1302,3,0)</f>
        <v>-</v>
      </c>
      <c r="C7786" s="98" t="str">
        <f>VLOOKUP(A7786,'Materiales '!$C$2:$F$1302,3,0)</f>
        <v>-</v>
      </c>
      <c r="D7786" s="99">
        <f>VLOOKUP(A7786,'Materiales '!$C$2:$F$1302,4,0)</f>
        <v>0</v>
      </c>
      <c r="E7786" s="100"/>
      <c r="F7786" s="538">
        <f t="shared" si="454"/>
        <v>0</v>
      </c>
      <c r="G7786" s="539"/>
      <c r="H7786" s="121"/>
      <c r="I7786">
        <f>E7786*G7772</f>
        <v>0</v>
      </c>
      <c r="J7786" s="68"/>
      <c r="K7786" s="56"/>
      <c r="L7786" s="56"/>
      <c r="M7786" s="56"/>
      <c r="N7786" s="56"/>
      <c r="O7786" s="56"/>
    </row>
    <row r="7787" spans="1:15">
      <c r="A7787" s="536" t="s">
        <v>8</v>
      </c>
      <c r="B7787" s="537" t="str">
        <f>VLOOKUP(A7787,'Materiales '!$C$2:$F$1302,3,0)</f>
        <v>-</v>
      </c>
      <c r="C7787" s="98" t="str">
        <f>VLOOKUP(A7787,'Materiales '!$C$2:$F$1302,3,0)</f>
        <v>-</v>
      </c>
      <c r="D7787" s="99">
        <f>VLOOKUP(A7787,'Materiales '!$C$2:$F$1302,4,0)</f>
        <v>0</v>
      </c>
      <c r="E7787" s="100"/>
      <c r="F7787" s="538">
        <f t="shared" si="454"/>
        <v>0</v>
      </c>
      <c r="G7787" s="539"/>
      <c r="H7787" s="121"/>
      <c r="I7787">
        <f>E7787*G7772</f>
        <v>0</v>
      </c>
      <c r="J7787" s="68"/>
      <c r="K7787" s="56"/>
      <c r="L7787" s="56"/>
      <c r="M7787" s="56"/>
      <c r="N7787" s="56"/>
      <c r="O7787" s="56"/>
    </row>
    <row r="7788" spans="1:15">
      <c r="A7788" s="536" t="s">
        <v>8</v>
      </c>
      <c r="B7788" s="537" t="str">
        <f>VLOOKUP(A7788,'Materiales '!$C$2:$F$1302,3,0)</f>
        <v>-</v>
      </c>
      <c r="C7788" s="98" t="str">
        <f>VLOOKUP(A7788,'Materiales '!$C$2:$F$1302,3,0)</f>
        <v>-</v>
      </c>
      <c r="D7788" s="99">
        <f>VLOOKUP(A7788,'Materiales '!$C$2:$F$1302,4,0)</f>
        <v>0</v>
      </c>
      <c r="E7788" s="100"/>
      <c r="F7788" s="538">
        <f t="shared" si="454"/>
        <v>0</v>
      </c>
      <c r="G7788" s="539"/>
      <c r="H7788" s="121"/>
      <c r="I7788">
        <f>E7788*G7772</f>
        <v>0</v>
      </c>
      <c r="J7788" s="68"/>
      <c r="K7788" s="56"/>
      <c r="L7788" s="56"/>
      <c r="M7788" s="56"/>
      <c r="N7788" s="56"/>
      <c r="O7788" s="56"/>
    </row>
    <row r="7789" spans="1:15" ht="21.75" customHeight="1">
      <c r="A7789" s="536" t="s">
        <v>8</v>
      </c>
      <c r="B7789" s="537" t="str">
        <f>VLOOKUP(A7789,'Materiales '!$C$2:$F$1302,3,0)</f>
        <v>-</v>
      </c>
      <c r="C7789" s="98" t="str">
        <f>VLOOKUP(A7789,'Materiales '!$C$2:$F$1302,3,0)</f>
        <v>-</v>
      </c>
      <c r="D7789" s="99">
        <f>VLOOKUP(A7789,'Materiales '!$C$2:$F$1302,4,0)</f>
        <v>0</v>
      </c>
      <c r="E7789" s="100"/>
      <c r="F7789" s="538">
        <f t="shared" si="454"/>
        <v>0</v>
      </c>
      <c r="G7789" s="539"/>
      <c r="H7789" s="121"/>
      <c r="I7789">
        <f>E7789*G7772</f>
        <v>0</v>
      </c>
      <c r="J7789" s="68"/>
      <c r="K7789" s="56"/>
      <c r="L7789" s="56"/>
      <c r="M7789" s="56"/>
      <c r="N7789" s="56"/>
      <c r="O7789" s="56"/>
    </row>
    <row r="7790" spans="1:15">
      <c r="A7790" s="536" t="s">
        <v>8</v>
      </c>
      <c r="B7790" s="537" t="str">
        <f>VLOOKUP(A7790,'Materiales '!$C$2:$F$1302,3,0)</f>
        <v>-</v>
      </c>
      <c r="C7790" s="98" t="str">
        <f>VLOOKUP(A7790,'Materiales '!$C$2:$F$1302,3,0)</f>
        <v>-</v>
      </c>
      <c r="D7790" s="99">
        <f>VLOOKUP(A7790,'Materiales '!$C$2:$F$1302,4,0)</f>
        <v>0</v>
      </c>
      <c r="E7790" s="100"/>
      <c r="F7790" s="538">
        <f>E7790*D7790</f>
        <v>0</v>
      </c>
      <c r="G7790" s="539"/>
      <c r="H7790" s="120"/>
      <c r="I7790">
        <f>E7790*G7772</f>
        <v>0</v>
      </c>
      <c r="J7790" s="68"/>
      <c r="K7790" s="56"/>
      <c r="L7790" s="56"/>
      <c r="M7790" s="56"/>
      <c r="N7790" s="56"/>
      <c r="O7790" s="56"/>
    </row>
    <row r="7791" spans="1:15">
      <c r="A7791" s="536" t="s">
        <v>8</v>
      </c>
      <c r="B7791" s="537" t="str">
        <f>VLOOKUP(A7791,'Materiales '!$C$2:$F$1302,3,0)</f>
        <v>-</v>
      </c>
      <c r="C7791" s="98" t="str">
        <f>VLOOKUP(A7791,'Materiales '!$C$2:$F$1302,3,0)</f>
        <v>-</v>
      </c>
      <c r="D7791" s="99">
        <f>VLOOKUP(A7791,'Materiales '!$C$2:$F$1302,4,0)</f>
        <v>0</v>
      </c>
      <c r="E7791" s="100"/>
      <c r="F7791" s="538">
        <f t="shared" ref="F7791:F7794" si="455">E7791*D7791</f>
        <v>0</v>
      </c>
      <c r="G7791" s="539"/>
      <c r="H7791" s="121"/>
      <c r="I7791">
        <f>E7791*G7772</f>
        <v>0</v>
      </c>
      <c r="J7791" s="68"/>
      <c r="K7791" s="56"/>
      <c r="L7791" s="56"/>
      <c r="M7791" s="56"/>
      <c r="N7791" s="56"/>
      <c r="O7791" s="56"/>
    </row>
    <row r="7792" spans="1:15">
      <c r="A7792" s="536" t="s">
        <v>8</v>
      </c>
      <c r="B7792" s="537" t="str">
        <f>VLOOKUP(A7792,'Materiales '!$C$2:$F$1302,3,0)</f>
        <v>-</v>
      </c>
      <c r="C7792" s="98" t="str">
        <f>VLOOKUP(A7792,'Materiales '!$C$2:$F$1302,3,0)</f>
        <v>-</v>
      </c>
      <c r="D7792" s="99">
        <f>VLOOKUP(A7792,'Materiales '!$C$2:$F$1302,4,0)</f>
        <v>0</v>
      </c>
      <c r="E7792" s="100"/>
      <c r="F7792" s="538">
        <f t="shared" si="455"/>
        <v>0</v>
      </c>
      <c r="G7792" s="539"/>
      <c r="H7792" s="121"/>
      <c r="I7792">
        <f>E7792*G7772</f>
        <v>0</v>
      </c>
      <c r="J7792" s="68"/>
      <c r="K7792" s="56"/>
      <c r="L7792" s="56"/>
      <c r="M7792" s="56"/>
      <c r="N7792" s="56"/>
      <c r="O7792" s="56"/>
    </row>
    <row r="7793" spans="1:15">
      <c r="A7793" s="536" t="s">
        <v>8</v>
      </c>
      <c r="B7793" s="537" t="str">
        <f>VLOOKUP(A7793,'Materiales '!$C$2:$F$1302,3,0)</f>
        <v>-</v>
      </c>
      <c r="C7793" s="98" t="str">
        <f>VLOOKUP(A7793,'Materiales '!$C$2:$F$1302,3,0)</f>
        <v>-</v>
      </c>
      <c r="D7793" s="99">
        <f>VLOOKUP(A7793,'Materiales '!$C$2:$F$1302,4,0)</f>
        <v>0</v>
      </c>
      <c r="E7793" s="100"/>
      <c r="F7793" s="538">
        <f t="shared" si="455"/>
        <v>0</v>
      </c>
      <c r="G7793" s="539"/>
      <c r="H7793" s="121"/>
      <c r="I7793">
        <f>E7793*G7772</f>
        <v>0</v>
      </c>
      <c r="J7793" s="68"/>
      <c r="K7793" s="56"/>
      <c r="L7793" s="56"/>
      <c r="M7793" s="56"/>
      <c r="N7793" s="56"/>
      <c r="O7793" s="56"/>
    </row>
    <row r="7794" spans="1:15">
      <c r="A7794" s="536" t="s">
        <v>8</v>
      </c>
      <c r="B7794" s="537" t="str">
        <f>VLOOKUP(A7794,'Materiales '!$C$2:$F$1302,3,0)</f>
        <v>-</v>
      </c>
      <c r="C7794" s="98" t="str">
        <f>VLOOKUP(A7794,'Materiales '!$C$2:$F$1302,3,0)</f>
        <v>-</v>
      </c>
      <c r="D7794" s="99">
        <f>VLOOKUP(A7794,'Materiales '!$C$2:$F$1302,4,0)</f>
        <v>0</v>
      </c>
      <c r="E7794" s="100"/>
      <c r="F7794" s="538">
        <f t="shared" si="455"/>
        <v>0</v>
      </c>
      <c r="G7794" s="539"/>
      <c r="H7794" s="121"/>
      <c r="I7794">
        <f>E7794*G7772</f>
        <v>0</v>
      </c>
      <c r="J7794" s="68"/>
      <c r="K7794" s="56"/>
      <c r="L7794" s="56"/>
      <c r="M7794" s="56"/>
      <c r="N7794" s="56"/>
      <c r="O7794" s="56"/>
    </row>
    <row r="7795" spans="1:15">
      <c r="A7795" s="536" t="s">
        <v>8</v>
      </c>
      <c r="B7795" s="537" t="str">
        <f>VLOOKUP(A7795,'Materiales '!$C$2:$F$1302,3,0)</f>
        <v>-</v>
      </c>
      <c r="C7795" s="98" t="str">
        <f>VLOOKUP(A7795,'Materiales '!$C$2:$F$1302,3,0)</f>
        <v>-</v>
      </c>
      <c r="D7795" s="99">
        <f>VLOOKUP(A7795,'Materiales '!$C$2:$F$1302,4,0)</f>
        <v>0</v>
      </c>
      <c r="E7795" s="100"/>
      <c r="F7795" s="538">
        <f>E7795*D7795</f>
        <v>0</v>
      </c>
      <c r="G7795" s="539"/>
      <c r="H7795" s="120"/>
      <c r="I7795">
        <f>E7795*G7772</f>
        <v>0</v>
      </c>
      <c r="J7795" s="68"/>
      <c r="K7795" s="56"/>
      <c r="L7795" s="56"/>
      <c r="M7795" s="56"/>
      <c r="N7795" s="56"/>
      <c r="O7795" s="56"/>
    </row>
    <row r="7796" spans="1:15" ht="16.5">
      <c r="A7796" s="540" t="s">
        <v>4099</v>
      </c>
      <c r="B7796" s="541"/>
      <c r="C7796" s="541"/>
      <c r="D7796" s="541"/>
      <c r="E7796" s="541"/>
      <c r="F7796" s="541"/>
      <c r="G7796" s="542"/>
      <c r="H7796" s="116">
        <f>SUM(F7782:F7795)</f>
        <v>31898.074950000002</v>
      </c>
      <c r="J7796" s="68"/>
      <c r="K7796" s="56"/>
      <c r="L7796" s="56"/>
      <c r="M7796" s="56"/>
      <c r="N7796" s="56"/>
      <c r="O7796" s="56"/>
    </row>
    <row r="7797" spans="1:15" ht="16.5">
      <c r="A7797" s="543" t="s">
        <v>4231</v>
      </c>
      <c r="B7797" s="544"/>
      <c r="C7797" s="544"/>
      <c r="D7797" s="544"/>
      <c r="E7797" s="545"/>
      <c r="F7797" s="544"/>
      <c r="G7797" s="544"/>
      <c r="H7797" s="546"/>
      <c r="J7797" s="68"/>
      <c r="K7797" s="56"/>
      <c r="L7797" s="56"/>
      <c r="M7797" s="56"/>
      <c r="N7797" s="56"/>
      <c r="O7797" s="56"/>
    </row>
    <row r="7798" spans="1:15">
      <c r="A7798" s="547" t="s">
        <v>7</v>
      </c>
      <c r="B7798" s="548"/>
      <c r="C7798" s="108" t="s">
        <v>4232</v>
      </c>
      <c r="D7798" s="107" t="s">
        <v>4233</v>
      </c>
      <c r="E7798" s="206" t="s">
        <v>4234</v>
      </c>
      <c r="F7798" s="549" t="s">
        <v>4218</v>
      </c>
      <c r="G7798" s="549"/>
      <c r="H7798" s="119"/>
      <c r="K7798" s="56"/>
      <c r="L7798" s="56"/>
      <c r="M7798" s="56"/>
      <c r="N7798" s="56"/>
      <c r="O7798" s="56"/>
    </row>
    <row r="7799" spans="1:15">
      <c r="A7799" s="550" t="s">
        <v>3928</v>
      </c>
      <c r="B7799" s="551"/>
      <c r="C7799" s="232">
        <v>1</v>
      </c>
      <c r="D7799" s="102">
        <v>5.0000000000000001E-3</v>
      </c>
      <c r="E7799" s="103">
        <f>VLOOKUP(A7799,'Equip, Herr y Transp'!$B$2:$D$218,3,0)</f>
        <v>160000</v>
      </c>
      <c r="F7799" s="552">
        <f>E7799*D7799*C7799</f>
        <v>800</v>
      </c>
      <c r="G7799" s="553"/>
      <c r="H7799" s="117"/>
      <c r="M7799" s="56"/>
    </row>
    <row r="7800" spans="1:15" ht="16.5">
      <c r="A7800" s="554" t="s">
        <v>4216</v>
      </c>
      <c r="B7800" s="555"/>
      <c r="C7800" s="555"/>
      <c r="D7800" s="555"/>
      <c r="E7800" s="555"/>
      <c r="F7800" s="555"/>
      <c r="G7800" s="555"/>
      <c r="H7800" s="105">
        <f>F7799</f>
        <v>800</v>
      </c>
    </row>
    <row r="7801" spans="1:15" ht="16.5">
      <c r="A7801" s="543" t="s">
        <v>4235</v>
      </c>
      <c r="B7801" s="544"/>
      <c r="C7801" s="544"/>
      <c r="D7801" s="544"/>
      <c r="E7801" s="544"/>
      <c r="F7801" s="544"/>
      <c r="G7801" s="544"/>
      <c r="H7801" s="546"/>
    </row>
    <row r="7802" spans="1:15">
      <c r="A7802" s="547" t="s">
        <v>7</v>
      </c>
      <c r="B7802" s="548"/>
      <c r="C7802" s="106" t="s">
        <v>1</v>
      </c>
      <c r="D7802" s="107" t="s">
        <v>4236</v>
      </c>
      <c r="E7802" s="108" t="s">
        <v>4215</v>
      </c>
      <c r="F7802" s="547" t="s">
        <v>5</v>
      </c>
      <c r="G7802" s="556"/>
      <c r="H7802" s="119"/>
    </row>
    <row r="7803" spans="1:15">
      <c r="A7803" s="550" t="s">
        <v>4196</v>
      </c>
      <c r="B7803" s="551"/>
      <c r="C7803" s="101">
        <v>1</v>
      </c>
      <c r="D7803" s="104">
        <f>VLOOKUP(A7803,'Mano Obra'!$B$2:$T$117,19,0)</f>
        <v>166624</v>
      </c>
      <c r="E7803" s="246">
        <f>H7765</f>
        <v>2.7099999999999999E-2</v>
      </c>
      <c r="F7803" s="538">
        <f>E7803*D7803*C7803</f>
        <v>4515.5104000000001</v>
      </c>
      <c r="G7803" s="557"/>
      <c r="H7803" s="121"/>
      <c r="I7803" s="69"/>
      <c r="J7803" s="136">
        <f>((('Mano Obra'!$M$4/30)*F7803)/D7803)*G7772</f>
        <v>0</v>
      </c>
    </row>
    <row r="7804" spans="1:15">
      <c r="A7804" s="558" t="s">
        <v>4197</v>
      </c>
      <c r="B7804" s="559">
        <f>VLOOKUP(A7804,'Mano Obra'!$B$3:$D$290,2,0)</f>
        <v>2090000.0000000002</v>
      </c>
      <c r="C7804" s="101">
        <v>1</v>
      </c>
      <c r="D7804" s="104">
        <f>VLOOKUP(A7804,'Mano Obra'!$B$2:$T$117,19,0)</f>
        <v>120456</v>
      </c>
      <c r="E7804" s="246">
        <f>H7765</f>
        <v>2.7099999999999999E-2</v>
      </c>
      <c r="F7804" s="538">
        <f t="shared" ref="F7804:F7805" si="456">E7804*D7804*C7804</f>
        <v>3264.3575999999998</v>
      </c>
      <c r="G7804" s="557"/>
      <c r="H7804" s="121"/>
      <c r="J7804" s="136">
        <f>((('Mano Obra'!$M$5/30)*F7804)/D7804)*G7772</f>
        <v>0</v>
      </c>
    </row>
    <row r="7805" spans="1:15">
      <c r="A7805" s="558" t="s">
        <v>4186</v>
      </c>
      <c r="B7805" s="559">
        <f>VLOOKUP(A7805,'Mano Obra'!$B$3:$D$290,2,0)</f>
        <v>1100000</v>
      </c>
      <c r="C7805" s="101">
        <v>1</v>
      </c>
      <c r="D7805" s="104">
        <f>VLOOKUP(A7805,'Mano Obra'!$B$2:$T$117,19,0)</f>
        <v>72664</v>
      </c>
      <c r="E7805" s="246">
        <f>H7765</f>
        <v>2.7099999999999999E-2</v>
      </c>
      <c r="F7805" s="538">
        <f t="shared" si="456"/>
        <v>1969.1943999999999</v>
      </c>
      <c r="G7805" s="557"/>
      <c r="H7805" s="120"/>
      <c r="J7805" s="136">
        <f>((('Mano Obra'!$M$6/30)*F7805)/D7805)*G7772</f>
        <v>0</v>
      </c>
    </row>
    <row r="7806" spans="1:15" ht="16.5">
      <c r="A7806" s="560" t="s">
        <v>4101</v>
      </c>
      <c r="B7806" s="560"/>
      <c r="C7806" s="560"/>
      <c r="D7806" s="560"/>
      <c r="E7806" s="560"/>
      <c r="F7806" s="560"/>
      <c r="G7806" s="560"/>
      <c r="H7806" s="105">
        <f>SUM(F7803:F7805)</f>
        <v>9749.0624000000007</v>
      </c>
      <c r="J7806" s="136"/>
    </row>
    <row r="7807" spans="1:15">
      <c r="A7807" s="227" t="s">
        <v>4237</v>
      </c>
      <c r="B7807" s="205"/>
      <c r="C7807" s="205"/>
      <c r="D7807" s="202"/>
      <c r="E7807" s="203"/>
      <c r="F7807" s="204"/>
      <c r="G7807" s="203"/>
      <c r="H7807" s="212"/>
    </row>
    <row r="7808" spans="1:15">
      <c r="A7808" s="561" t="s">
        <v>4224</v>
      </c>
      <c r="B7808" s="562"/>
      <c r="C7808" s="562"/>
      <c r="D7808" s="562"/>
      <c r="E7808" s="200"/>
      <c r="F7808" s="201" t="s">
        <v>4238</v>
      </c>
      <c r="G7808" s="200" t="s">
        <v>4239</v>
      </c>
      <c r="H7808" s="213"/>
    </row>
    <row r="7809" spans="1:14">
      <c r="A7809" s="223" t="s">
        <v>4097</v>
      </c>
      <c r="B7809" s="72"/>
      <c r="C7809" s="72"/>
      <c r="D7809" s="73"/>
      <c r="E7809" s="78"/>
      <c r="F7809" s="79">
        <v>0</v>
      </c>
      <c r="G7809" s="80">
        <f>F7809*H7773</f>
        <v>0</v>
      </c>
      <c r="H7809" s="212"/>
    </row>
    <row r="7810" spans="1:14">
      <c r="A7810" s="224" t="s">
        <v>4240</v>
      </c>
      <c r="B7810" s="81"/>
      <c r="C7810" s="81"/>
      <c r="D7810" s="82"/>
      <c r="E7810" s="78"/>
      <c r="F7810" s="79">
        <v>0</v>
      </c>
      <c r="G7810" s="80">
        <f>F7810*H7773</f>
        <v>0</v>
      </c>
      <c r="H7810" s="212"/>
    </row>
    <row r="7811" spans="1:14">
      <c r="A7811" s="224" t="s">
        <v>4</v>
      </c>
      <c r="B7811" s="81"/>
      <c r="C7811" s="81"/>
      <c r="D7811" s="82"/>
      <c r="E7811" s="78"/>
      <c r="F7811" s="79">
        <v>0</v>
      </c>
      <c r="G7811" s="80">
        <f>F7811*H7773</f>
        <v>0</v>
      </c>
      <c r="H7811" s="212"/>
    </row>
    <row r="7812" spans="1:14">
      <c r="A7812" s="225"/>
      <c r="B7812" s="83"/>
      <c r="C7812" s="75"/>
      <c r="D7812" s="84"/>
      <c r="E7812" s="85"/>
      <c r="F7812" s="86"/>
      <c r="G7812" s="87"/>
      <c r="H7812" s="214"/>
    </row>
    <row r="7813" spans="1:14">
      <c r="A7813" s="226"/>
      <c r="B7813" s="83"/>
      <c r="C7813" s="83"/>
      <c r="D7813" s="84"/>
      <c r="E7813" s="88"/>
      <c r="F7813" s="563" t="s">
        <v>4241</v>
      </c>
      <c r="G7813" s="564"/>
      <c r="H7813" s="233">
        <f>H7773+G7809+G7810+G7811</f>
        <v>43552.885100000007</v>
      </c>
    </row>
    <row r="7815" spans="1:14" ht="16.5">
      <c r="A7815" s="90"/>
      <c r="B7815" s="90"/>
      <c r="C7815" s="90"/>
      <c r="D7815" s="90"/>
      <c r="E7815" s="90"/>
      <c r="F7815" s="90"/>
      <c r="G7815" s="90"/>
      <c r="H7815" s="381"/>
    </row>
    <row r="7816" spans="1:14">
      <c r="A7816" s="579" t="s">
        <v>4225</v>
      </c>
      <c r="B7816" s="580"/>
      <c r="C7816" s="580"/>
      <c r="D7816" s="580"/>
      <c r="E7816" s="580"/>
      <c r="F7816" s="580"/>
      <c r="G7816" s="580"/>
      <c r="H7816" s="581"/>
    </row>
    <row r="7817" spans="1:14" ht="16.5">
      <c r="A7817" s="91"/>
      <c r="B7817" s="92"/>
      <c r="C7817" s="92"/>
      <c r="D7817" s="92"/>
      <c r="E7817" s="92"/>
      <c r="F7817" s="93"/>
      <c r="G7817" s="94"/>
      <c r="H7817" s="380">
        <f>ROUND((13/60)/8,4)</f>
        <v>2.7099999999999999E-2</v>
      </c>
      <c r="I7817" s="115"/>
    </row>
    <row r="7818" spans="1:14">
      <c r="A7818" s="582" t="s">
        <v>4220</v>
      </c>
      <c r="B7818" s="584" t="str">
        <f>COSTOS!$C$14</f>
        <v>MODERNIZACION A TECNOLOGIA LED</v>
      </c>
      <c r="C7818" s="584"/>
      <c r="D7818" s="584"/>
      <c r="E7818" s="584"/>
      <c r="F7818" s="584"/>
      <c r="G7818" s="584"/>
      <c r="H7818" s="585" t="s">
        <v>4221</v>
      </c>
    </row>
    <row r="7819" spans="1:14">
      <c r="A7819" s="583"/>
      <c r="B7819" s="584"/>
      <c r="C7819" s="584"/>
      <c r="D7819" s="584"/>
      <c r="E7819" s="584"/>
      <c r="F7819" s="584"/>
      <c r="G7819" s="584"/>
      <c r="H7819" s="585"/>
    </row>
    <row r="7820" spans="1:14">
      <c r="A7820" s="583"/>
      <c r="B7820" s="584"/>
      <c r="C7820" s="584"/>
      <c r="D7820" s="584"/>
      <c r="E7820" s="584"/>
      <c r="F7820" s="584"/>
      <c r="G7820" s="584"/>
      <c r="H7820" s="585"/>
    </row>
    <row r="7821" spans="1:14" ht="15" customHeight="1">
      <c r="A7821" s="583"/>
      <c r="B7821" s="584"/>
      <c r="C7821" s="584"/>
      <c r="D7821" s="584"/>
      <c r="E7821" s="584"/>
      <c r="F7821" s="584"/>
      <c r="G7821" s="584"/>
      <c r="H7821" s="216">
        <f ca="1">TODAY()</f>
        <v>44889</v>
      </c>
      <c r="K7821" t="s">
        <v>4391</v>
      </c>
      <c r="L7821" t="s">
        <v>4392</v>
      </c>
      <c r="M7821" t="s">
        <v>4393</v>
      </c>
      <c r="N7821" t="s">
        <v>4394</v>
      </c>
    </row>
    <row r="7822" spans="1:14" ht="60.75" customHeight="1">
      <c r="A7822" s="228" t="s">
        <v>4222</v>
      </c>
      <c r="B7822" s="565" t="str">
        <f>COSTOS!$D$16</f>
        <v>Luminarias</v>
      </c>
      <c r="C7822" s="565"/>
      <c r="D7822" s="565"/>
      <c r="E7822" s="565"/>
      <c r="F7822" s="565"/>
      <c r="G7822" s="70" t="s">
        <v>4223</v>
      </c>
      <c r="H7822" s="391">
        <v>3.37</v>
      </c>
      <c r="K7822" s="62">
        <f>H7848</f>
        <v>40466.074950000002</v>
      </c>
      <c r="L7822" s="62">
        <f>H7858</f>
        <v>9749.0624000000007</v>
      </c>
      <c r="M7822" s="62">
        <f>H7831</f>
        <v>1105.74775</v>
      </c>
      <c r="N7822" s="62">
        <f>H7852</f>
        <v>800</v>
      </c>
    </row>
    <row r="7823" spans="1:14" ht="43.15" customHeight="1">
      <c r="A7823" s="229" t="s">
        <v>4224</v>
      </c>
      <c r="B7823" s="566" t="str">
        <f>VLOOKUP(H7822,COSTOS!C:M,2,0)</f>
        <v>Red Aerea 3x2/0+2/0 AWG AL x 500m</v>
      </c>
      <c r="C7823" s="567"/>
      <c r="D7823" s="567"/>
      <c r="E7823" s="568"/>
      <c r="F7823" s="71" t="s">
        <v>0</v>
      </c>
      <c r="G7823" s="356" t="str">
        <f>VLOOKUP(H7822,COSTOS!C:M,8,0)</f>
        <v>Und</v>
      </c>
      <c r="H7823" s="276"/>
      <c r="I7823" s="306"/>
      <c r="J7823" s="308"/>
      <c r="K7823" s="308"/>
      <c r="L7823" s="308"/>
    </row>
    <row r="7824" spans="1:14">
      <c r="A7824" s="230"/>
      <c r="B7824" s="112"/>
      <c r="C7824" s="112"/>
      <c r="D7824" s="112"/>
      <c r="E7824" s="113"/>
      <c r="F7824" s="114" t="s">
        <v>1</v>
      </c>
      <c r="G7824" s="356">
        <f>VLOOKUP(H7822,COSTOS!C:M,9,0)</f>
        <v>0</v>
      </c>
      <c r="H7824" s="357"/>
      <c r="I7824" s="307"/>
    </row>
    <row r="7825" spans="1:15" ht="16.5">
      <c r="A7825" s="231" t="s">
        <v>4226</v>
      </c>
      <c r="B7825" s="75"/>
      <c r="C7825" s="75"/>
      <c r="D7825" s="76"/>
      <c r="E7825" s="209"/>
      <c r="F7825" s="210"/>
      <c r="G7825" s="211" t="s">
        <v>4227</v>
      </c>
      <c r="H7825" s="217">
        <f>H7831+H7848+H7852+H7858</f>
        <v>52120.885100000007</v>
      </c>
    </row>
    <row r="7826" spans="1:15" ht="39">
      <c r="A7826" s="569" t="s">
        <v>4224</v>
      </c>
      <c r="B7826" s="569"/>
      <c r="C7826" s="569"/>
      <c r="D7826" s="77" t="s">
        <v>0</v>
      </c>
      <c r="E7826" s="207" t="s">
        <v>4228</v>
      </c>
      <c r="F7826" s="208" t="s">
        <v>4215</v>
      </c>
      <c r="G7826" s="74" t="s">
        <v>2</v>
      </c>
      <c r="H7826" s="218" t="s">
        <v>4229</v>
      </c>
      <c r="K7826" s="309"/>
    </row>
    <row r="7827" spans="1:15">
      <c r="A7827" s="536" t="s">
        <v>3946</v>
      </c>
      <c r="B7827" s="570" t="str">
        <f>VLOOKUP(A7827,'Equip, Herr y Transp'!$B$2:$D$739,2,0)</f>
        <v>EQU</v>
      </c>
      <c r="C7827" s="570"/>
      <c r="D7827" s="95" t="str">
        <f>VLOOKUP(A7827,'Equip, Herr y Transp'!$B$2:$D$218,2,0)</f>
        <v>EQU</v>
      </c>
      <c r="E7827" s="95">
        <f>VLOOKUP(A7827,'Equip, Herr y Transp'!$B$2:$D$218,3,0)</f>
        <v>14130</v>
      </c>
      <c r="F7827" s="96">
        <f>H7817</f>
        <v>2.7099999999999999E-2</v>
      </c>
      <c r="G7827" s="122">
        <f>F7827*E7827</f>
        <v>382.923</v>
      </c>
      <c r="H7827" s="118"/>
    </row>
    <row r="7828" spans="1:15">
      <c r="A7828" s="536" t="s">
        <v>3904</v>
      </c>
      <c r="B7828" s="570" t="str">
        <f>VLOOKUP(A7828,'Equip, Herr y Transp'!$B$2:$D$739,2,0)</f>
        <v>EQU</v>
      </c>
      <c r="C7828" s="570"/>
      <c r="D7828" s="95" t="str">
        <f>VLOOKUP(A7828,'Equip, Herr y Transp'!$B$2:$D$218,2,0)</f>
        <v>EQU</v>
      </c>
      <c r="E7828" s="95">
        <f>VLOOKUP(A7828,'Equip, Herr y Transp'!$B$2:$D$218,3,0)</f>
        <v>26672.5</v>
      </c>
      <c r="F7828" s="96">
        <f>H7817</f>
        <v>2.7099999999999999E-2</v>
      </c>
      <c r="G7828" s="122">
        <f>F7828*E7828</f>
        <v>722.82474999999999</v>
      </c>
      <c r="H7828" s="117"/>
    </row>
    <row r="7829" spans="1:15">
      <c r="A7829" s="536" t="s">
        <v>8</v>
      </c>
      <c r="B7829" s="570">
        <f>VLOOKUP(A7829,'Equip, Herr y Transp'!$B$2:$D$739,2,0)</f>
        <v>0</v>
      </c>
      <c r="C7829" s="570"/>
      <c r="D7829" s="95">
        <f>VLOOKUP(A7829,'Equip, Herr y Transp'!$B$2:$D$218,2,0)</f>
        <v>0</v>
      </c>
      <c r="E7829" s="95">
        <f>VLOOKUP(A7829,'Equip, Herr y Transp'!$B$2:$D$218,3,0)</f>
        <v>0</v>
      </c>
      <c r="F7829" s="96">
        <f>H7817</f>
        <v>2.7099999999999999E-2</v>
      </c>
      <c r="G7829" s="122">
        <f>F7829*E7829</f>
        <v>0</v>
      </c>
      <c r="H7829" s="117"/>
    </row>
    <row r="7830" spans="1:15">
      <c r="A7830" s="536" t="s">
        <v>8</v>
      </c>
      <c r="B7830" s="570">
        <f>VLOOKUP(A7830,'Equip, Herr y Transp'!$B$2:$D$739,2,0)</f>
        <v>0</v>
      </c>
      <c r="C7830" s="570"/>
      <c r="D7830" s="95">
        <f>VLOOKUP(A7830,'Equip, Herr y Transp'!$B$2:$D$218,2,0)</f>
        <v>0</v>
      </c>
      <c r="E7830" s="95">
        <f>VLOOKUP(A7830,'Equip, Herr y Transp'!$B$2:$D$218,3,0)</f>
        <v>0</v>
      </c>
      <c r="F7830" s="96">
        <f>H7817</f>
        <v>2.7099999999999999E-2</v>
      </c>
      <c r="G7830" s="122">
        <f>F7830*E7830</f>
        <v>0</v>
      </c>
      <c r="H7830" s="117"/>
    </row>
    <row r="7831" spans="1:15" ht="16.5">
      <c r="A7831" s="540" t="s">
        <v>4100</v>
      </c>
      <c r="B7831" s="541"/>
      <c r="C7831" s="541"/>
      <c r="D7831" s="541"/>
      <c r="E7831" s="541"/>
      <c r="F7831" s="541"/>
      <c r="G7831" s="541"/>
      <c r="H7831" s="97">
        <f>SUM(G7827:G7830)</f>
        <v>1105.74775</v>
      </c>
    </row>
    <row r="7832" spans="1:15" ht="16.5">
      <c r="A7832" s="571" t="s">
        <v>4230</v>
      </c>
      <c r="B7832" s="572"/>
      <c r="C7832" s="572"/>
      <c r="D7832" s="572"/>
      <c r="E7832" s="572"/>
      <c r="F7832" s="572"/>
      <c r="G7832" s="572"/>
      <c r="H7832" s="573"/>
      <c r="K7832" s="56"/>
      <c r="L7832" s="56"/>
      <c r="M7832" s="56"/>
      <c r="N7832" s="56"/>
      <c r="O7832" s="56"/>
    </row>
    <row r="7833" spans="1:15" ht="30" customHeight="1">
      <c r="A7833" s="574" t="s">
        <v>7</v>
      </c>
      <c r="B7833" s="575"/>
      <c r="C7833" s="109" t="s">
        <v>0</v>
      </c>
      <c r="D7833" s="110" t="s">
        <v>4098</v>
      </c>
      <c r="E7833" s="111" t="s">
        <v>1</v>
      </c>
      <c r="F7833" s="576" t="s">
        <v>4218</v>
      </c>
      <c r="G7833" s="576"/>
      <c r="H7833" s="215"/>
      <c r="K7833" s="56"/>
      <c r="L7833" s="56"/>
      <c r="M7833" s="56"/>
      <c r="N7833" s="56"/>
      <c r="O7833" s="56"/>
    </row>
    <row r="7834" spans="1:15">
      <c r="A7834" s="577" t="s">
        <v>4996</v>
      </c>
      <c r="B7834" s="578"/>
      <c r="C7834" s="98" t="str">
        <f>VLOOKUP(A7834,'Materiales '!$C$2:$F$1302,3,0)</f>
        <v>Ml</v>
      </c>
      <c r="D7834" s="99">
        <f>VLOOKUP(A7834,'Materiales '!$C$2:$F$1302,4,0)</f>
        <v>39984</v>
      </c>
      <c r="E7834" s="100">
        <v>1</v>
      </c>
      <c r="F7834" s="538">
        <f>E7834*D7834</f>
        <v>39984</v>
      </c>
      <c r="G7834" s="539"/>
      <c r="H7834" s="121"/>
      <c r="I7834">
        <f>E7834*G7824</f>
        <v>0</v>
      </c>
      <c r="J7834" s="67"/>
      <c r="K7834" s="56"/>
      <c r="L7834" s="56"/>
      <c r="M7834" s="56"/>
      <c r="N7834" s="56"/>
      <c r="O7834" s="56"/>
    </row>
    <row r="7835" spans="1:15">
      <c r="A7835" s="577" t="s">
        <v>4417</v>
      </c>
      <c r="B7835" s="578"/>
      <c r="C7835" s="98" t="str">
        <f>VLOOKUP(A7835,'Materiales '!$C$2:$F$1302,3,0)</f>
        <v>Und</v>
      </c>
      <c r="D7835" s="99">
        <f>VLOOKUP(A7835,'Materiales '!$C$2:$F$1302,4,0)</f>
        <v>3213</v>
      </c>
      <c r="E7835" s="100">
        <f>1/20</f>
        <v>0.05</v>
      </c>
      <c r="F7835" s="538">
        <f t="shared" ref="F7835:F7841" si="457">E7835*D7835</f>
        <v>160.65</v>
      </c>
      <c r="G7835" s="539"/>
      <c r="H7835" s="121"/>
      <c r="I7835">
        <f>E7835*G7824</f>
        <v>0</v>
      </c>
      <c r="J7835" s="67"/>
      <c r="K7835" s="56"/>
      <c r="L7835" s="56"/>
      <c r="M7835" s="56"/>
      <c r="N7835" s="56"/>
      <c r="O7835" s="56"/>
    </row>
    <row r="7836" spans="1:15">
      <c r="A7836" s="536" t="s">
        <v>4553</v>
      </c>
      <c r="B7836" s="537" t="str">
        <f>VLOOKUP(A7836,'Materiales '!$C$2:$F$1302,3,0)</f>
        <v>Und</v>
      </c>
      <c r="C7836" s="98" t="str">
        <f>VLOOKUP(A7836,'Materiales '!$C$2:$F$1302,3,0)</f>
        <v>Und</v>
      </c>
      <c r="D7836" s="99">
        <f>VLOOKUP(A7836,'Materiales '!$C$2:$F$1302,4,0)</f>
        <v>6428.4990000000007</v>
      </c>
      <c r="E7836" s="100">
        <f>1/20</f>
        <v>0.05</v>
      </c>
      <c r="F7836" s="538">
        <f t="shared" si="457"/>
        <v>321.42495000000008</v>
      </c>
      <c r="G7836" s="539"/>
      <c r="H7836" s="121"/>
      <c r="I7836">
        <f>E7836*G7824</f>
        <v>0</v>
      </c>
      <c r="J7836" s="68"/>
      <c r="K7836" s="56"/>
      <c r="L7836" s="56"/>
      <c r="M7836" s="56"/>
      <c r="N7836" s="56"/>
      <c r="O7836" s="56"/>
    </row>
    <row r="7837" spans="1:15">
      <c r="A7837" s="536" t="s">
        <v>8</v>
      </c>
      <c r="B7837" s="537" t="str">
        <f>VLOOKUP(A7837,'Materiales '!$C$2:$F$1302,3,0)</f>
        <v>-</v>
      </c>
      <c r="C7837" s="98" t="str">
        <f>VLOOKUP(A7837,'Materiales '!$C$2:$F$1302,3,0)</f>
        <v>-</v>
      </c>
      <c r="D7837" s="99">
        <f>VLOOKUP(A7837,'Materiales '!$C$2:$F$1302,4,0)</f>
        <v>0</v>
      </c>
      <c r="E7837" s="100"/>
      <c r="F7837" s="538">
        <f t="shared" si="457"/>
        <v>0</v>
      </c>
      <c r="G7837" s="539"/>
      <c r="H7837" s="121"/>
      <c r="I7837">
        <f>E7837*G7824</f>
        <v>0</v>
      </c>
      <c r="J7837" s="68"/>
      <c r="K7837" s="56"/>
      <c r="L7837" s="56"/>
      <c r="M7837" s="56"/>
      <c r="N7837" s="56"/>
      <c r="O7837" s="56"/>
    </row>
    <row r="7838" spans="1:15">
      <c r="A7838" s="536" t="s">
        <v>8</v>
      </c>
      <c r="B7838" s="537" t="str">
        <f>VLOOKUP(A7838,'Materiales '!$C$2:$F$1302,3,0)</f>
        <v>-</v>
      </c>
      <c r="C7838" s="98" t="str">
        <f>VLOOKUP(A7838,'Materiales '!$C$2:$F$1302,3,0)</f>
        <v>-</v>
      </c>
      <c r="D7838" s="99">
        <f>VLOOKUP(A7838,'Materiales '!$C$2:$F$1302,4,0)</f>
        <v>0</v>
      </c>
      <c r="E7838" s="100"/>
      <c r="F7838" s="538">
        <f t="shared" si="457"/>
        <v>0</v>
      </c>
      <c r="G7838" s="539"/>
      <c r="H7838" s="121"/>
      <c r="I7838">
        <f>E7838*G7824</f>
        <v>0</v>
      </c>
      <c r="J7838" s="68"/>
      <c r="K7838" s="56"/>
      <c r="L7838" s="56"/>
      <c r="M7838" s="56"/>
      <c r="N7838" s="56"/>
      <c r="O7838" s="56"/>
    </row>
    <row r="7839" spans="1:15">
      <c r="A7839" s="536" t="s">
        <v>8</v>
      </c>
      <c r="B7839" s="537" t="str">
        <f>VLOOKUP(A7839,'Materiales '!$C$2:$F$1302,3,0)</f>
        <v>-</v>
      </c>
      <c r="C7839" s="98" t="str">
        <f>VLOOKUP(A7839,'Materiales '!$C$2:$F$1302,3,0)</f>
        <v>-</v>
      </c>
      <c r="D7839" s="99">
        <f>VLOOKUP(A7839,'Materiales '!$C$2:$F$1302,4,0)</f>
        <v>0</v>
      </c>
      <c r="E7839" s="100"/>
      <c r="F7839" s="538">
        <f t="shared" si="457"/>
        <v>0</v>
      </c>
      <c r="G7839" s="539"/>
      <c r="H7839" s="121"/>
      <c r="I7839">
        <f>E7839*G7824</f>
        <v>0</v>
      </c>
      <c r="J7839" s="68"/>
      <c r="K7839" s="56"/>
      <c r="L7839" s="56"/>
      <c r="M7839" s="56"/>
      <c r="N7839" s="56"/>
      <c r="O7839" s="56"/>
    </row>
    <row r="7840" spans="1:15">
      <c r="A7840" s="536" t="s">
        <v>8</v>
      </c>
      <c r="B7840" s="537" t="str">
        <f>VLOOKUP(A7840,'Materiales '!$C$2:$F$1302,3,0)</f>
        <v>-</v>
      </c>
      <c r="C7840" s="98" t="str">
        <f>VLOOKUP(A7840,'Materiales '!$C$2:$F$1302,3,0)</f>
        <v>-</v>
      </c>
      <c r="D7840" s="99">
        <f>VLOOKUP(A7840,'Materiales '!$C$2:$F$1302,4,0)</f>
        <v>0</v>
      </c>
      <c r="E7840" s="100"/>
      <c r="F7840" s="538">
        <f t="shared" si="457"/>
        <v>0</v>
      </c>
      <c r="G7840" s="539"/>
      <c r="H7840" s="121"/>
      <c r="I7840">
        <f>E7840*G7824</f>
        <v>0</v>
      </c>
      <c r="J7840" s="68"/>
      <c r="K7840" s="56"/>
      <c r="L7840" s="56"/>
      <c r="M7840" s="56"/>
      <c r="N7840" s="56"/>
      <c r="O7840" s="56"/>
    </row>
    <row r="7841" spans="1:15" ht="21.75" customHeight="1">
      <c r="A7841" s="536" t="s">
        <v>8</v>
      </c>
      <c r="B7841" s="537" t="str">
        <f>VLOOKUP(A7841,'Materiales '!$C$2:$F$1302,3,0)</f>
        <v>-</v>
      </c>
      <c r="C7841" s="98" t="str">
        <f>VLOOKUP(A7841,'Materiales '!$C$2:$F$1302,3,0)</f>
        <v>-</v>
      </c>
      <c r="D7841" s="99">
        <f>VLOOKUP(A7841,'Materiales '!$C$2:$F$1302,4,0)</f>
        <v>0</v>
      </c>
      <c r="E7841" s="100"/>
      <c r="F7841" s="538">
        <f t="shared" si="457"/>
        <v>0</v>
      </c>
      <c r="G7841" s="539"/>
      <c r="H7841" s="121"/>
      <c r="I7841">
        <f>E7841*G7824</f>
        <v>0</v>
      </c>
      <c r="J7841" s="68"/>
      <c r="K7841" s="56"/>
      <c r="L7841" s="56"/>
      <c r="M7841" s="56"/>
      <c r="N7841" s="56"/>
      <c r="O7841" s="56"/>
    </row>
    <row r="7842" spans="1:15">
      <c r="A7842" s="536" t="s">
        <v>8</v>
      </c>
      <c r="B7842" s="537" t="str">
        <f>VLOOKUP(A7842,'Materiales '!$C$2:$F$1302,3,0)</f>
        <v>-</v>
      </c>
      <c r="C7842" s="98" t="str">
        <f>VLOOKUP(A7842,'Materiales '!$C$2:$F$1302,3,0)</f>
        <v>-</v>
      </c>
      <c r="D7842" s="99">
        <f>VLOOKUP(A7842,'Materiales '!$C$2:$F$1302,4,0)</f>
        <v>0</v>
      </c>
      <c r="E7842" s="100"/>
      <c r="F7842" s="538">
        <f>E7842*D7842</f>
        <v>0</v>
      </c>
      <c r="G7842" s="539"/>
      <c r="H7842" s="120"/>
      <c r="I7842">
        <f>E7842*G7824</f>
        <v>0</v>
      </c>
      <c r="J7842" s="68"/>
      <c r="K7842" s="56"/>
      <c r="L7842" s="56"/>
      <c r="M7842" s="56"/>
      <c r="N7842" s="56"/>
      <c r="O7842" s="56"/>
    </row>
    <row r="7843" spans="1:15">
      <c r="A7843" s="536" t="s">
        <v>8</v>
      </c>
      <c r="B7843" s="537" t="str">
        <f>VLOOKUP(A7843,'Materiales '!$C$2:$F$1302,3,0)</f>
        <v>-</v>
      </c>
      <c r="C7843" s="98" t="str">
        <f>VLOOKUP(A7843,'Materiales '!$C$2:$F$1302,3,0)</f>
        <v>-</v>
      </c>
      <c r="D7843" s="99">
        <f>VLOOKUP(A7843,'Materiales '!$C$2:$F$1302,4,0)</f>
        <v>0</v>
      </c>
      <c r="E7843" s="100"/>
      <c r="F7843" s="538">
        <f t="shared" ref="F7843:F7846" si="458">E7843*D7843</f>
        <v>0</v>
      </c>
      <c r="G7843" s="539"/>
      <c r="H7843" s="121"/>
      <c r="I7843">
        <f>E7843*G7824</f>
        <v>0</v>
      </c>
      <c r="J7843" s="68"/>
      <c r="K7843" s="56"/>
      <c r="L7843" s="56"/>
      <c r="M7843" s="56"/>
      <c r="N7843" s="56"/>
      <c r="O7843" s="56"/>
    </row>
    <row r="7844" spans="1:15">
      <c r="A7844" s="536" t="s">
        <v>8</v>
      </c>
      <c r="B7844" s="537" t="str">
        <f>VLOOKUP(A7844,'Materiales '!$C$2:$F$1302,3,0)</f>
        <v>-</v>
      </c>
      <c r="C7844" s="98" t="str">
        <f>VLOOKUP(A7844,'Materiales '!$C$2:$F$1302,3,0)</f>
        <v>-</v>
      </c>
      <c r="D7844" s="99">
        <f>VLOOKUP(A7844,'Materiales '!$C$2:$F$1302,4,0)</f>
        <v>0</v>
      </c>
      <c r="E7844" s="100"/>
      <c r="F7844" s="538">
        <f t="shared" si="458"/>
        <v>0</v>
      </c>
      <c r="G7844" s="539"/>
      <c r="H7844" s="121"/>
      <c r="I7844">
        <f>E7844*G7824</f>
        <v>0</v>
      </c>
      <c r="J7844" s="68"/>
      <c r="K7844" s="56"/>
      <c r="L7844" s="56"/>
      <c r="M7844" s="56"/>
      <c r="N7844" s="56"/>
      <c r="O7844" s="56"/>
    </row>
    <row r="7845" spans="1:15">
      <c r="A7845" s="536" t="s">
        <v>8</v>
      </c>
      <c r="B7845" s="537" t="str">
        <f>VLOOKUP(A7845,'Materiales '!$C$2:$F$1302,3,0)</f>
        <v>-</v>
      </c>
      <c r="C7845" s="98" t="str">
        <f>VLOOKUP(A7845,'Materiales '!$C$2:$F$1302,3,0)</f>
        <v>-</v>
      </c>
      <c r="D7845" s="99">
        <f>VLOOKUP(A7845,'Materiales '!$C$2:$F$1302,4,0)</f>
        <v>0</v>
      </c>
      <c r="E7845" s="100"/>
      <c r="F7845" s="538">
        <f t="shared" si="458"/>
        <v>0</v>
      </c>
      <c r="G7845" s="539"/>
      <c r="H7845" s="121"/>
      <c r="I7845">
        <f>E7845*G7824</f>
        <v>0</v>
      </c>
      <c r="J7845" s="68"/>
      <c r="K7845" s="56"/>
      <c r="L7845" s="56"/>
      <c r="M7845" s="56"/>
      <c r="N7845" s="56"/>
      <c r="O7845" s="56"/>
    </row>
    <row r="7846" spans="1:15">
      <c r="A7846" s="536" t="s">
        <v>8</v>
      </c>
      <c r="B7846" s="537" t="str">
        <f>VLOOKUP(A7846,'Materiales '!$C$2:$F$1302,3,0)</f>
        <v>-</v>
      </c>
      <c r="C7846" s="98" t="str">
        <f>VLOOKUP(A7846,'Materiales '!$C$2:$F$1302,3,0)</f>
        <v>-</v>
      </c>
      <c r="D7846" s="99">
        <f>VLOOKUP(A7846,'Materiales '!$C$2:$F$1302,4,0)</f>
        <v>0</v>
      </c>
      <c r="E7846" s="100"/>
      <c r="F7846" s="538">
        <f t="shared" si="458"/>
        <v>0</v>
      </c>
      <c r="G7846" s="539"/>
      <c r="H7846" s="121"/>
      <c r="I7846">
        <f>E7846*G7824</f>
        <v>0</v>
      </c>
      <c r="J7846" s="68"/>
      <c r="K7846" s="56"/>
      <c r="L7846" s="56"/>
      <c r="M7846" s="56"/>
      <c r="N7846" s="56"/>
      <c r="O7846" s="56"/>
    </row>
    <row r="7847" spans="1:15">
      <c r="A7847" s="536" t="s">
        <v>8</v>
      </c>
      <c r="B7847" s="537" t="str">
        <f>VLOOKUP(A7847,'Materiales '!$C$2:$F$1302,3,0)</f>
        <v>-</v>
      </c>
      <c r="C7847" s="98" t="str">
        <f>VLOOKUP(A7847,'Materiales '!$C$2:$F$1302,3,0)</f>
        <v>-</v>
      </c>
      <c r="D7847" s="99">
        <f>VLOOKUP(A7847,'Materiales '!$C$2:$F$1302,4,0)</f>
        <v>0</v>
      </c>
      <c r="E7847" s="100"/>
      <c r="F7847" s="538">
        <f>E7847*D7847</f>
        <v>0</v>
      </c>
      <c r="G7847" s="539"/>
      <c r="H7847" s="120"/>
      <c r="I7847">
        <f>E7847*G7824</f>
        <v>0</v>
      </c>
      <c r="J7847" s="68"/>
      <c r="K7847" s="56"/>
      <c r="L7847" s="56"/>
      <c r="M7847" s="56"/>
      <c r="N7847" s="56"/>
      <c r="O7847" s="56"/>
    </row>
    <row r="7848" spans="1:15" ht="16.5">
      <c r="A7848" s="540" t="s">
        <v>4099</v>
      </c>
      <c r="B7848" s="541"/>
      <c r="C7848" s="541"/>
      <c r="D7848" s="541"/>
      <c r="E7848" s="541"/>
      <c r="F7848" s="541"/>
      <c r="G7848" s="542"/>
      <c r="H7848" s="116">
        <f>SUM(F7834:F7847)</f>
        <v>40466.074950000002</v>
      </c>
      <c r="J7848" s="68"/>
      <c r="K7848" s="56"/>
      <c r="L7848" s="56"/>
      <c r="M7848" s="56"/>
      <c r="N7848" s="56"/>
      <c r="O7848" s="56"/>
    </row>
    <row r="7849" spans="1:15" ht="16.5">
      <c r="A7849" s="543" t="s">
        <v>4231</v>
      </c>
      <c r="B7849" s="544"/>
      <c r="C7849" s="544"/>
      <c r="D7849" s="544"/>
      <c r="E7849" s="545"/>
      <c r="F7849" s="544"/>
      <c r="G7849" s="544"/>
      <c r="H7849" s="546"/>
      <c r="J7849" s="68"/>
      <c r="K7849" s="56"/>
      <c r="L7849" s="56"/>
      <c r="M7849" s="56"/>
      <c r="N7849" s="56"/>
      <c r="O7849" s="56"/>
    </row>
    <row r="7850" spans="1:15">
      <c r="A7850" s="547" t="s">
        <v>7</v>
      </c>
      <c r="B7850" s="548"/>
      <c r="C7850" s="108" t="s">
        <v>4232</v>
      </c>
      <c r="D7850" s="107" t="s">
        <v>4233</v>
      </c>
      <c r="E7850" s="206" t="s">
        <v>4234</v>
      </c>
      <c r="F7850" s="549" t="s">
        <v>4218</v>
      </c>
      <c r="G7850" s="549"/>
      <c r="H7850" s="119"/>
      <c r="K7850" s="56"/>
      <c r="L7850" s="56"/>
      <c r="M7850" s="56"/>
      <c r="N7850" s="56"/>
      <c r="O7850" s="56"/>
    </row>
    <row r="7851" spans="1:15">
      <c r="A7851" s="550" t="s">
        <v>3928</v>
      </c>
      <c r="B7851" s="551"/>
      <c r="C7851" s="232">
        <v>1</v>
      </c>
      <c r="D7851" s="102">
        <v>5.0000000000000001E-3</v>
      </c>
      <c r="E7851" s="103">
        <f>VLOOKUP(A7851,'Equip, Herr y Transp'!$B$2:$D$218,3,0)</f>
        <v>160000</v>
      </c>
      <c r="F7851" s="552">
        <f>E7851*D7851*C7851</f>
        <v>800</v>
      </c>
      <c r="G7851" s="553"/>
      <c r="H7851" s="117"/>
      <c r="M7851" s="56"/>
    </row>
    <row r="7852" spans="1:15" ht="16.5">
      <c r="A7852" s="554" t="s">
        <v>4216</v>
      </c>
      <c r="B7852" s="555"/>
      <c r="C7852" s="555"/>
      <c r="D7852" s="555"/>
      <c r="E7852" s="555"/>
      <c r="F7852" s="555"/>
      <c r="G7852" s="555"/>
      <c r="H7852" s="105">
        <f>F7851</f>
        <v>800</v>
      </c>
    </row>
    <row r="7853" spans="1:15" ht="16.5">
      <c r="A7853" s="543" t="s">
        <v>4235</v>
      </c>
      <c r="B7853" s="544"/>
      <c r="C7853" s="544"/>
      <c r="D7853" s="544"/>
      <c r="E7853" s="544"/>
      <c r="F7853" s="544"/>
      <c r="G7853" s="544"/>
      <c r="H7853" s="546"/>
    </row>
    <row r="7854" spans="1:15">
      <c r="A7854" s="547" t="s">
        <v>7</v>
      </c>
      <c r="B7854" s="548"/>
      <c r="C7854" s="106" t="s">
        <v>1</v>
      </c>
      <c r="D7854" s="107" t="s">
        <v>4236</v>
      </c>
      <c r="E7854" s="108" t="s">
        <v>4215</v>
      </c>
      <c r="F7854" s="547" t="s">
        <v>5</v>
      </c>
      <c r="G7854" s="556"/>
      <c r="H7854" s="119"/>
    </row>
    <row r="7855" spans="1:15">
      <c r="A7855" s="550" t="s">
        <v>4196</v>
      </c>
      <c r="B7855" s="551"/>
      <c r="C7855" s="101">
        <v>1</v>
      </c>
      <c r="D7855" s="104">
        <f>VLOOKUP(A7855,'Mano Obra'!$B$2:$T$117,19,0)</f>
        <v>166624</v>
      </c>
      <c r="E7855" s="246">
        <f>H7817</f>
        <v>2.7099999999999999E-2</v>
      </c>
      <c r="F7855" s="538">
        <f>E7855*D7855*C7855</f>
        <v>4515.5104000000001</v>
      </c>
      <c r="G7855" s="557"/>
      <c r="H7855" s="121"/>
      <c r="I7855" s="69"/>
      <c r="J7855" s="136">
        <f>((('Mano Obra'!$M$4/30)*F7855)/D7855)*G7824</f>
        <v>0</v>
      </c>
    </row>
    <row r="7856" spans="1:15">
      <c r="A7856" s="558" t="s">
        <v>4197</v>
      </c>
      <c r="B7856" s="559">
        <f>VLOOKUP(A7856,'Mano Obra'!$B$3:$D$290,2,0)</f>
        <v>2090000.0000000002</v>
      </c>
      <c r="C7856" s="101">
        <v>1</v>
      </c>
      <c r="D7856" s="104">
        <f>VLOOKUP(A7856,'Mano Obra'!$B$2:$T$117,19,0)</f>
        <v>120456</v>
      </c>
      <c r="E7856" s="246">
        <f>H7817</f>
        <v>2.7099999999999999E-2</v>
      </c>
      <c r="F7856" s="538">
        <f t="shared" ref="F7856:F7857" si="459">E7856*D7856*C7856</f>
        <v>3264.3575999999998</v>
      </c>
      <c r="G7856" s="557"/>
      <c r="H7856" s="121"/>
      <c r="J7856" s="136">
        <f>((('Mano Obra'!$M$5/30)*F7856)/D7856)*G7824</f>
        <v>0</v>
      </c>
    </row>
    <row r="7857" spans="1:10">
      <c r="A7857" s="558" t="s">
        <v>4186</v>
      </c>
      <c r="B7857" s="559">
        <f>VLOOKUP(A7857,'Mano Obra'!$B$3:$D$290,2,0)</f>
        <v>1100000</v>
      </c>
      <c r="C7857" s="101">
        <v>1</v>
      </c>
      <c r="D7857" s="104">
        <f>VLOOKUP(A7857,'Mano Obra'!$B$2:$T$117,19,0)</f>
        <v>72664</v>
      </c>
      <c r="E7857" s="246">
        <f>H7817</f>
        <v>2.7099999999999999E-2</v>
      </c>
      <c r="F7857" s="538">
        <f t="shared" si="459"/>
        <v>1969.1943999999999</v>
      </c>
      <c r="G7857" s="557"/>
      <c r="H7857" s="120"/>
      <c r="J7857" s="136">
        <f>((('Mano Obra'!$M$6/30)*F7857)/D7857)*G7824</f>
        <v>0</v>
      </c>
    </row>
    <row r="7858" spans="1:10" ht="16.5">
      <c r="A7858" s="560" t="s">
        <v>4101</v>
      </c>
      <c r="B7858" s="560"/>
      <c r="C7858" s="560"/>
      <c r="D7858" s="560"/>
      <c r="E7858" s="560"/>
      <c r="F7858" s="560"/>
      <c r="G7858" s="560"/>
      <c r="H7858" s="105">
        <f>SUM(F7855:F7857)</f>
        <v>9749.0624000000007</v>
      </c>
      <c r="J7858" s="136"/>
    </row>
    <row r="7859" spans="1:10">
      <c r="A7859" s="227" t="s">
        <v>4237</v>
      </c>
      <c r="B7859" s="205"/>
      <c r="C7859" s="205"/>
      <c r="D7859" s="202"/>
      <c r="E7859" s="203"/>
      <c r="F7859" s="204"/>
      <c r="G7859" s="203"/>
      <c r="H7859" s="212"/>
    </row>
    <row r="7860" spans="1:10">
      <c r="A7860" s="561" t="s">
        <v>4224</v>
      </c>
      <c r="B7860" s="562"/>
      <c r="C7860" s="562"/>
      <c r="D7860" s="562"/>
      <c r="E7860" s="200"/>
      <c r="F7860" s="201" t="s">
        <v>4238</v>
      </c>
      <c r="G7860" s="200" t="s">
        <v>4239</v>
      </c>
      <c r="H7860" s="213"/>
    </row>
    <row r="7861" spans="1:10">
      <c r="A7861" s="223" t="s">
        <v>4097</v>
      </c>
      <c r="B7861" s="72"/>
      <c r="C7861" s="72"/>
      <c r="D7861" s="73"/>
      <c r="E7861" s="78"/>
      <c r="F7861" s="79">
        <v>0</v>
      </c>
      <c r="G7861" s="80">
        <f>F7861*H7825</f>
        <v>0</v>
      </c>
      <c r="H7861" s="212"/>
    </row>
    <row r="7862" spans="1:10">
      <c r="A7862" s="224" t="s">
        <v>4240</v>
      </c>
      <c r="B7862" s="81"/>
      <c r="C7862" s="81"/>
      <c r="D7862" s="82"/>
      <c r="E7862" s="78"/>
      <c r="F7862" s="79">
        <v>0</v>
      </c>
      <c r="G7862" s="80">
        <f>F7862*H7825</f>
        <v>0</v>
      </c>
      <c r="H7862" s="212"/>
    </row>
    <row r="7863" spans="1:10">
      <c r="A7863" s="224" t="s">
        <v>4</v>
      </c>
      <c r="B7863" s="81"/>
      <c r="C7863" s="81"/>
      <c r="D7863" s="82"/>
      <c r="E7863" s="78"/>
      <c r="F7863" s="79">
        <v>0</v>
      </c>
      <c r="G7863" s="80">
        <f>F7863*H7825</f>
        <v>0</v>
      </c>
      <c r="H7863" s="212"/>
    </row>
    <row r="7864" spans="1:10">
      <c r="A7864" s="225"/>
      <c r="B7864" s="83"/>
      <c r="C7864" s="75"/>
      <c r="D7864" s="84"/>
      <c r="E7864" s="85"/>
      <c r="F7864" s="86"/>
      <c r="G7864" s="87"/>
      <c r="H7864" s="214"/>
    </row>
    <row r="7865" spans="1:10">
      <c r="A7865" s="226"/>
      <c r="B7865" s="83"/>
      <c r="C7865" s="83"/>
      <c r="D7865" s="84"/>
      <c r="E7865" s="88"/>
      <c r="F7865" s="563" t="s">
        <v>4241</v>
      </c>
      <c r="G7865" s="564"/>
      <c r="H7865" s="233">
        <f>H7825+G7861+G7862+G7863</f>
        <v>52120.885100000007</v>
      </c>
    </row>
    <row r="7867" spans="1:10" ht="16.5">
      <c r="A7867" s="90"/>
      <c r="B7867" s="90"/>
      <c r="C7867" s="90"/>
      <c r="D7867" s="90"/>
      <c r="E7867" s="90"/>
      <c r="F7867" s="90"/>
      <c r="G7867" s="90"/>
      <c r="H7867" s="381"/>
    </row>
    <row r="7868" spans="1:10">
      <c r="A7868" s="579" t="s">
        <v>4225</v>
      </c>
      <c r="B7868" s="580"/>
      <c r="C7868" s="580"/>
      <c r="D7868" s="580"/>
      <c r="E7868" s="580"/>
      <c r="F7868" s="580"/>
      <c r="G7868" s="580"/>
      <c r="H7868" s="581"/>
    </row>
    <row r="7869" spans="1:10" ht="16.5">
      <c r="A7869" s="91"/>
      <c r="B7869" s="92"/>
      <c r="C7869" s="92"/>
      <c r="D7869" s="92"/>
      <c r="E7869" s="92"/>
      <c r="F7869" s="93"/>
      <c r="G7869" s="94"/>
      <c r="H7869" s="380">
        <f>ROUND((13/60)/8,4)</f>
        <v>2.7099999999999999E-2</v>
      </c>
      <c r="I7869" s="115"/>
    </row>
    <row r="7870" spans="1:10">
      <c r="A7870" s="582" t="s">
        <v>4220</v>
      </c>
      <c r="B7870" s="584" t="str">
        <f>COSTOS!$C$14</f>
        <v>MODERNIZACION A TECNOLOGIA LED</v>
      </c>
      <c r="C7870" s="584"/>
      <c r="D7870" s="584"/>
      <c r="E7870" s="584"/>
      <c r="F7870" s="584"/>
      <c r="G7870" s="584"/>
      <c r="H7870" s="585" t="s">
        <v>4221</v>
      </c>
    </row>
    <row r="7871" spans="1:10">
      <c r="A7871" s="583"/>
      <c r="B7871" s="584"/>
      <c r="C7871" s="584"/>
      <c r="D7871" s="584"/>
      <c r="E7871" s="584"/>
      <c r="F7871" s="584"/>
      <c r="G7871" s="584"/>
      <c r="H7871" s="585"/>
    </row>
    <row r="7872" spans="1:10">
      <c r="A7872" s="583"/>
      <c r="B7872" s="584"/>
      <c r="C7872" s="584"/>
      <c r="D7872" s="584"/>
      <c r="E7872" s="584"/>
      <c r="F7872" s="584"/>
      <c r="G7872" s="584"/>
      <c r="H7872" s="585"/>
    </row>
    <row r="7873" spans="1:15" ht="15" customHeight="1">
      <c r="A7873" s="583"/>
      <c r="B7873" s="584"/>
      <c r="C7873" s="584"/>
      <c r="D7873" s="584"/>
      <c r="E7873" s="584"/>
      <c r="F7873" s="584"/>
      <c r="G7873" s="584"/>
      <c r="H7873" s="216">
        <f ca="1">TODAY()</f>
        <v>44889</v>
      </c>
      <c r="K7873" t="s">
        <v>4391</v>
      </c>
      <c r="L7873" t="s">
        <v>4392</v>
      </c>
      <c r="M7873" t="s">
        <v>4393</v>
      </c>
      <c r="N7873" t="s">
        <v>4394</v>
      </c>
    </row>
    <row r="7874" spans="1:15" ht="60.75" customHeight="1">
      <c r="A7874" s="228" t="s">
        <v>4222</v>
      </c>
      <c r="B7874" s="565" t="str">
        <f>COSTOS!$D$16</f>
        <v>Luminarias</v>
      </c>
      <c r="C7874" s="565"/>
      <c r="D7874" s="565"/>
      <c r="E7874" s="565"/>
      <c r="F7874" s="565"/>
      <c r="G7874" s="70" t="s">
        <v>4223</v>
      </c>
      <c r="H7874" s="391">
        <v>3.38</v>
      </c>
      <c r="K7874" s="62">
        <f>H7900</f>
        <v>51890.074950000002</v>
      </c>
      <c r="L7874" s="62">
        <f>H7910</f>
        <v>9749.0624000000007</v>
      </c>
      <c r="M7874" s="62">
        <f>H7883</f>
        <v>1105.74775</v>
      </c>
      <c r="N7874" s="62">
        <f>H7904</f>
        <v>800</v>
      </c>
    </row>
    <row r="7875" spans="1:15" ht="43.15" customHeight="1">
      <c r="A7875" s="229" t="s">
        <v>4224</v>
      </c>
      <c r="B7875" s="566" t="str">
        <f>VLOOKUP(H7874,COSTOS!C:M,2,0)</f>
        <v>Red Aerea 3x4/0+4/0 AWG AL x 500m</v>
      </c>
      <c r="C7875" s="567"/>
      <c r="D7875" s="567"/>
      <c r="E7875" s="568"/>
      <c r="F7875" s="71" t="s">
        <v>0</v>
      </c>
      <c r="G7875" s="356" t="str">
        <f>VLOOKUP(H7874,COSTOS!C:M,8,0)</f>
        <v>Und</v>
      </c>
      <c r="H7875" s="276"/>
      <c r="I7875" s="306"/>
      <c r="J7875" s="308"/>
      <c r="K7875" s="308"/>
      <c r="L7875" s="308"/>
    </row>
    <row r="7876" spans="1:15">
      <c r="A7876" s="230"/>
      <c r="B7876" s="112"/>
      <c r="C7876" s="112"/>
      <c r="D7876" s="112"/>
      <c r="E7876" s="113"/>
      <c r="F7876" s="114" t="s">
        <v>1</v>
      </c>
      <c r="G7876" s="356">
        <f>VLOOKUP(H7874,COSTOS!C:M,9,0)</f>
        <v>0</v>
      </c>
      <c r="H7876" s="357"/>
      <c r="I7876" s="307"/>
    </row>
    <row r="7877" spans="1:15" ht="16.5">
      <c r="A7877" s="231" t="s">
        <v>4226</v>
      </c>
      <c r="B7877" s="75"/>
      <c r="C7877" s="75"/>
      <c r="D7877" s="76"/>
      <c r="E7877" s="209"/>
      <c r="F7877" s="210"/>
      <c r="G7877" s="211" t="s">
        <v>4227</v>
      </c>
      <c r="H7877" s="217">
        <f>H7883+H7900+H7904+H7910</f>
        <v>63544.885100000007</v>
      </c>
    </row>
    <row r="7878" spans="1:15" ht="39">
      <c r="A7878" s="569" t="s">
        <v>4224</v>
      </c>
      <c r="B7878" s="569"/>
      <c r="C7878" s="569"/>
      <c r="D7878" s="77" t="s">
        <v>0</v>
      </c>
      <c r="E7878" s="207" t="s">
        <v>4228</v>
      </c>
      <c r="F7878" s="208" t="s">
        <v>4215</v>
      </c>
      <c r="G7878" s="74" t="s">
        <v>2</v>
      </c>
      <c r="H7878" s="218" t="s">
        <v>4229</v>
      </c>
      <c r="K7878" s="309"/>
    </row>
    <row r="7879" spans="1:15">
      <c r="A7879" s="536" t="s">
        <v>3946</v>
      </c>
      <c r="B7879" s="570" t="str">
        <f>VLOOKUP(A7879,'Equip, Herr y Transp'!$B$2:$D$739,2,0)</f>
        <v>EQU</v>
      </c>
      <c r="C7879" s="570"/>
      <c r="D7879" s="95" t="str">
        <f>VLOOKUP(A7879,'Equip, Herr y Transp'!$B$2:$D$218,2,0)</f>
        <v>EQU</v>
      </c>
      <c r="E7879" s="95">
        <f>VLOOKUP(A7879,'Equip, Herr y Transp'!$B$2:$D$218,3,0)</f>
        <v>14130</v>
      </c>
      <c r="F7879" s="96">
        <f>H7869</f>
        <v>2.7099999999999999E-2</v>
      </c>
      <c r="G7879" s="122">
        <f>F7879*E7879</f>
        <v>382.923</v>
      </c>
      <c r="H7879" s="118"/>
    </row>
    <row r="7880" spans="1:15">
      <c r="A7880" s="536" t="s">
        <v>3904</v>
      </c>
      <c r="B7880" s="570" t="str">
        <f>VLOOKUP(A7880,'Equip, Herr y Transp'!$B$2:$D$739,2,0)</f>
        <v>EQU</v>
      </c>
      <c r="C7880" s="570"/>
      <c r="D7880" s="95" t="str">
        <f>VLOOKUP(A7880,'Equip, Herr y Transp'!$B$2:$D$218,2,0)</f>
        <v>EQU</v>
      </c>
      <c r="E7880" s="95">
        <f>VLOOKUP(A7880,'Equip, Herr y Transp'!$B$2:$D$218,3,0)</f>
        <v>26672.5</v>
      </c>
      <c r="F7880" s="96">
        <f>H7869</f>
        <v>2.7099999999999999E-2</v>
      </c>
      <c r="G7880" s="122">
        <f>F7880*E7880</f>
        <v>722.82474999999999</v>
      </c>
      <c r="H7880" s="117"/>
    </row>
    <row r="7881" spans="1:15">
      <c r="A7881" s="536" t="s">
        <v>8</v>
      </c>
      <c r="B7881" s="570">
        <f>VLOOKUP(A7881,'Equip, Herr y Transp'!$B$2:$D$739,2,0)</f>
        <v>0</v>
      </c>
      <c r="C7881" s="570"/>
      <c r="D7881" s="95">
        <f>VLOOKUP(A7881,'Equip, Herr y Transp'!$B$2:$D$218,2,0)</f>
        <v>0</v>
      </c>
      <c r="E7881" s="95">
        <f>VLOOKUP(A7881,'Equip, Herr y Transp'!$B$2:$D$218,3,0)</f>
        <v>0</v>
      </c>
      <c r="F7881" s="96">
        <f>H7869</f>
        <v>2.7099999999999999E-2</v>
      </c>
      <c r="G7881" s="122">
        <f>F7881*E7881</f>
        <v>0</v>
      </c>
      <c r="H7881" s="117"/>
    </row>
    <row r="7882" spans="1:15">
      <c r="A7882" s="536" t="s">
        <v>8</v>
      </c>
      <c r="B7882" s="570">
        <f>VLOOKUP(A7882,'Equip, Herr y Transp'!$B$2:$D$739,2,0)</f>
        <v>0</v>
      </c>
      <c r="C7882" s="570"/>
      <c r="D7882" s="95">
        <f>VLOOKUP(A7882,'Equip, Herr y Transp'!$B$2:$D$218,2,0)</f>
        <v>0</v>
      </c>
      <c r="E7882" s="95">
        <f>VLOOKUP(A7882,'Equip, Herr y Transp'!$B$2:$D$218,3,0)</f>
        <v>0</v>
      </c>
      <c r="F7882" s="96">
        <f>H7869</f>
        <v>2.7099999999999999E-2</v>
      </c>
      <c r="G7882" s="122">
        <f>F7882*E7882</f>
        <v>0</v>
      </c>
      <c r="H7882" s="117"/>
    </row>
    <row r="7883" spans="1:15" ht="16.5">
      <c r="A7883" s="540" t="s">
        <v>4100</v>
      </c>
      <c r="B7883" s="541"/>
      <c r="C7883" s="541"/>
      <c r="D7883" s="541"/>
      <c r="E7883" s="541"/>
      <c r="F7883" s="541"/>
      <c r="G7883" s="541"/>
      <c r="H7883" s="97">
        <f>SUM(G7879:G7882)</f>
        <v>1105.74775</v>
      </c>
    </row>
    <row r="7884" spans="1:15" ht="16.5">
      <c r="A7884" s="571" t="s">
        <v>4230</v>
      </c>
      <c r="B7884" s="572"/>
      <c r="C7884" s="572"/>
      <c r="D7884" s="572"/>
      <c r="E7884" s="572"/>
      <c r="F7884" s="572"/>
      <c r="G7884" s="572"/>
      <c r="H7884" s="573"/>
      <c r="K7884" s="56"/>
      <c r="L7884" s="56"/>
      <c r="M7884" s="56"/>
      <c r="N7884" s="56"/>
      <c r="O7884" s="56"/>
    </row>
    <row r="7885" spans="1:15" ht="30" customHeight="1">
      <c r="A7885" s="574" t="s">
        <v>7</v>
      </c>
      <c r="B7885" s="575"/>
      <c r="C7885" s="109" t="s">
        <v>0</v>
      </c>
      <c r="D7885" s="110" t="s">
        <v>4098</v>
      </c>
      <c r="E7885" s="111" t="s">
        <v>1</v>
      </c>
      <c r="F7885" s="576" t="s">
        <v>4218</v>
      </c>
      <c r="G7885" s="576"/>
      <c r="H7885" s="215"/>
      <c r="K7885" s="56"/>
      <c r="L7885" s="56"/>
      <c r="M7885" s="56"/>
      <c r="N7885" s="56"/>
      <c r="O7885" s="56"/>
    </row>
    <row r="7886" spans="1:15">
      <c r="A7886" s="577" t="s">
        <v>4995</v>
      </c>
      <c r="B7886" s="578"/>
      <c r="C7886" s="98" t="str">
        <f>VLOOKUP(A7886,'Materiales '!$C$2:$F$1302,3,0)</f>
        <v>Ml</v>
      </c>
      <c r="D7886" s="99">
        <f>VLOOKUP(A7886,'Materiales '!$C$2:$F$1302,4,0)</f>
        <v>51408</v>
      </c>
      <c r="E7886" s="100">
        <v>1</v>
      </c>
      <c r="F7886" s="538">
        <f>E7886*D7886</f>
        <v>51408</v>
      </c>
      <c r="G7886" s="539"/>
      <c r="H7886" s="121"/>
      <c r="I7886">
        <f>E7886*G7876</f>
        <v>0</v>
      </c>
      <c r="J7886" s="67"/>
      <c r="K7886" s="56"/>
      <c r="L7886" s="56"/>
      <c r="M7886" s="56"/>
      <c r="N7886" s="56"/>
      <c r="O7886" s="56"/>
    </row>
    <row r="7887" spans="1:15">
      <c r="A7887" s="577" t="s">
        <v>4417</v>
      </c>
      <c r="B7887" s="578"/>
      <c r="C7887" s="98" t="str">
        <f>VLOOKUP(A7887,'Materiales '!$C$2:$F$1302,3,0)</f>
        <v>Und</v>
      </c>
      <c r="D7887" s="99">
        <f>VLOOKUP(A7887,'Materiales '!$C$2:$F$1302,4,0)</f>
        <v>3213</v>
      </c>
      <c r="E7887" s="100">
        <f>1/20</f>
        <v>0.05</v>
      </c>
      <c r="F7887" s="538">
        <f t="shared" ref="F7887:F7893" si="460">E7887*D7887</f>
        <v>160.65</v>
      </c>
      <c r="G7887" s="539"/>
      <c r="H7887" s="121"/>
      <c r="I7887">
        <f>E7887*G7876</f>
        <v>0</v>
      </c>
      <c r="J7887" s="67"/>
      <c r="K7887" s="56"/>
      <c r="L7887" s="56"/>
      <c r="M7887" s="56"/>
      <c r="N7887" s="56"/>
      <c r="O7887" s="56"/>
    </row>
    <row r="7888" spans="1:15">
      <c r="A7888" s="536" t="s">
        <v>4553</v>
      </c>
      <c r="B7888" s="537" t="str">
        <f>VLOOKUP(A7888,'Materiales '!$C$2:$F$1302,3,0)</f>
        <v>Und</v>
      </c>
      <c r="C7888" s="98" t="str">
        <f>VLOOKUP(A7888,'Materiales '!$C$2:$F$1302,3,0)</f>
        <v>Und</v>
      </c>
      <c r="D7888" s="99">
        <f>VLOOKUP(A7888,'Materiales '!$C$2:$F$1302,4,0)</f>
        <v>6428.4990000000007</v>
      </c>
      <c r="E7888" s="100">
        <f>1/20</f>
        <v>0.05</v>
      </c>
      <c r="F7888" s="538">
        <f t="shared" si="460"/>
        <v>321.42495000000008</v>
      </c>
      <c r="G7888" s="539"/>
      <c r="H7888" s="121"/>
      <c r="I7888">
        <f>E7888*G7876</f>
        <v>0</v>
      </c>
      <c r="J7888" s="68"/>
      <c r="K7888" s="56"/>
      <c r="L7888" s="56"/>
      <c r="M7888" s="56"/>
      <c r="N7888" s="56"/>
      <c r="O7888" s="56"/>
    </row>
    <row r="7889" spans="1:15">
      <c r="A7889" s="536" t="s">
        <v>8</v>
      </c>
      <c r="B7889" s="537" t="str">
        <f>VLOOKUP(A7889,'Materiales '!$C$2:$F$1302,3,0)</f>
        <v>-</v>
      </c>
      <c r="C7889" s="98" t="str">
        <f>VLOOKUP(A7889,'Materiales '!$C$2:$F$1302,3,0)</f>
        <v>-</v>
      </c>
      <c r="D7889" s="99">
        <f>VLOOKUP(A7889,'Materiales '!$C$2:$F$1302,4,0)</f>
        <v>0</v>
      </c>
      <c r="E7889" s="100"/>
      <c r="F7889" s="538">
        <f t="shared" si="460"/>
        <v>0</v>
      </c>
      <c r="G7889" s="539"/>
      <c r="H7889" s="121"/>
      <c r="I7889">
        <f>E7889*G7876</f>
        <v>0</v>
      </c>
      <c r="J7889" s="68"/>
      <c r="K7889" s="56"/>
      <c r="L7889" s="56"/>
      <c r="M7889" s="56"/>
      <c r="N7889" s="56"/>
      <c r="O7889" s="56"/>
    </row>
    <row r="7890" spans="1:15">
      <c r="A7890" s="536" t="s">
        <v>8</v>
      </c>
      <c r="B7890" s="537" t="str">
        <f>VLOOKUP(A7890,'Materiales '!$C$2:$F$1302,3,0)</f>
        <v>-</v>
      </c>
      <c r="C7890" s="98" t="str">
        <f>VLOOKUP(A7890,'Materiales '!$C$2:$F$1302,3,0)</f>
        <v>-</v>
      </c>
      <c r="D7890" s="99">
        <f>VLOOKUP(A7890,'Materiales '!$C$2:$F$1302,4,0)</f>
        <v>0</v>
      </c>
      <c r="E7890" s="100"/>
      <c r="F7890" s="538">
        <f t="shared" si="460"/>
        <v>0</v>
      </c>
      <c r="G7890" s="539"/>
      <c r="H7890" s="121"/>
      <c r="I7890">
        <f>E7890*G7876</f>
        <v>0</v>
      </c>
      <c r="J7890" s="68"/>
      <c r="K7890" s="56"/>
      <c r="L7890" s="56"/>
      <c r="M7890" s="56"/>
      <c r="N7890" s="56"/>
      <c r="O7890" s="56"/>
    </row>
    <row r="7891" spans="1:15">
      <c r="A7891" s="536" t="s">
        <v>8</v>
      </c>
      <c r="B7891" s="537" t="str">
        <f>VLOOKUP(A7891,'Materiales '!$C$2:$F$1302,3,0)</f>
        <v>-</v>
      </c>
      <c r="C7891" s="98" t="str">
        <f>VLOOKUP(A7891,'Materiales '!$C$2:$F$1302,3,0)</f>
        <v>-</v>
      </c>
      <c r="D7891" s="99">
        <f>VLOOKUP(A7891,'Materiales '!$C$2:$F$1302,4,0)</f>
        <v>0</v>
      </c>
      <c r="E7891" s="100"/>
      <c r="F7891" s="538">
        <f t="shared" si="460"/>
        <v>0</v>
      </c>
      <c r="G7891" s="539"/>
      <c r="H7891" s="121"/>
      <c r="I7891">
        <f>E7891*G7876</f>
        <v>0</v>
      </c>
      <c r="J7891" s="68"/>
      <c r="K7891" s="56"/>
      <c r="L7891" s="56"/>
      <c r="M7891" s="56"/>
      <c r="N7891" s="56"/>
      <c r="O7891" s="56"/>
    </row>
    <row r="7892" spans="1:15">
      <c r="A7892" s="536" t="s">
        <v>8</v>
      </c>
      <c r="B7892" s="537" t="str">
        <f>VLOOKUP(A7892,'Materiales '!$C$2:$F$1302,3,0)</f>
        <v>-</v>
      </c>
      <c r="C7892" s="98" t="str">
        <f>VLOOKUP(A7892,'Materiales '!$C$2:$F$1302,3,0)</f>
        <v>-</v>
      </c>
      <c r="D7892" s="99">
        <f>VLOOKUP(A7892,'Materiales '!$C$2:$F$1302,4,0)</f>
        <v>0</v>
      </c>
      <c r="E7892" s="100"/>
      <c r="F7892" s="538">
        <f t="shared" si="460"/>
        <v>0</v>
      </c>
      <c r="G7892" s="539"/>
      <c r="H7892" s="121"/>
      <c r="I7892">
        <f>E7892*G7876</f>
        <v>0</v>
      </c>
      <c r="J7892" s="68"/>
      <c r="K7892" s="56"/>
      <c r="L7892" s="56"/>
      <c r="M7892" s="56"/>
      <c r="N7892" s="56"/>
      <c r="O7892" s="56"/>
    </row>
    <row r="7893" spans="1:15" ht="21.75" customHeight="1">
      <c r="A7893" s="536" t="s">
        <v>8</v>
      </c>
      <c r="B7893" s="537" t="str">
        <f>VLOOKUP(A7893,'Materiales '!$C$2:$F$1302,3,0)</f>
        <v>-</v>
      </c>
      <c r="C7893" s="98" t="str">
        <f>VLOOKUP(A7893,'Materiales '!$C$2:$F$1302,3,0)</f>
        <v>-</v>
      </c>
      <c r="D7893" s="99">
        <f>VLOOKUP(A7893,'Materiales '!$C$2:$F$1302,4,0)</f>
        <v>0</v>
      </c>
      <c r="E7893" s="100"/>
      <c r="F7893" s="538">
        <f t="shared" si="460"/>
        <v>0</v>
      </c>
      <c r="G7893" s="539"/>
      <c r="H7893" s="121"/>
      <c r="I7893">
        <f>E7893*G7876</f>
        <v>0</v>
      </c>
      <c r="J7893" s="68"/>
      <c r="K7893" s="56"/>
      <c r="L7893" s="56"/>
      <c r="M7893" s="56"/>
      <c r="N7893" s="56"/>
      <c r="O7893" s="56"/>
    </row>
    <row r="7894" spans="1:15">
      <c r="A7894" s="536" t="s">
        <v>8</v>
      </c>
      <c r="B7894" s="537" t="str">
        <f>VLOOKUP(A7894,'Materiales '!$C$2:$F$1302,3,0)</f>
        <v>-</v>
      </c>
      <c r="C7894" s="98" t="str">
        <f>VLOOKUP(A7894,'Materiales '!$C$2:$F$1302,3,0)</f>
        <v>-</v>
      </c>
      <c r="D7894" s="99">
        <f>VLOOKUP(A7894,'Materiales '!$C$2:$F$1302,4,0)</f>
        <v>0</v>
      </c>
      <c r="E7894" s="100"/>
      <c r="F7894" s="538">
        <f>E7894*D7894</f>
        <v>0</v>
      </c>
      <c r="G7894" s="539"/>
      <c r="H7894" s="120"/>
      <c r="I7894">
        <f>E7894*G7876</f>
        <v>0</v>
      </c>
      <c r="J7894" s="68"/>
      <c r="K7894" s="56"/>
      <c r="L7894" s="56"/>
      <c r="M7894" s="56"/>
      <c r="N7894" s="56"/>
      <c r="O7894" s="56"/>
    </row>
    <row r="7895" spans="1:15">
      <c r="A7895" s="536" t="s">
        <v>8</v>
      </c>
      <c r="B7895" s="537" t="str">
        <f>VLOOKUP(A7895,'Materiales '!$C$2:$F$1302,3,0)</f>
        <v>-</v>
      </c>
      <c r="C7895" s="98" t="str">
        <f>VLOOKUP(A7895,'Materiales '!$C$2:$F$1302,3,0)</f>
        <v>-</v>
      </c>
      <c r="D7895" s="99">
        <f>VLOOKUP(A7895,'Materiales '!$C$2:$F$1302,4,0)</f>
        <v>0</v>
      </c>
      <c r="E7895" s="100"/>
      <c r="F7895" s="538">
        <f t="shared" ref="F7895:F7898" si="461">E7895*D7895</f>
        <v>0</v>
      </c>
      <c r="G7895" s="539"/>
      <c r="H7895" s="121"/>
      <c r="I7895">
        <f>E7895*G7876</f>
        <v>0</v>
      </c>
      <c r="J7895" s="68"/>
      <c r="K7895" s="56"/>
      <c r="L7895" s="56"/>
      <c r="M7895" s="56"/>
      <c r="N7895" s="56"/>
      <c r="O7895" s="56"/>
    </row>
    <row r="7896" spans="1:15">
      <c r="A7896" s="536" t="s">
        <v>8</v>
      </c>
      <c r="B7896" s="537" t="str">
        <f>VLOOKUP(A7896,'Materiales '!$C$2:$F$1302,3,0)</f>
        <v>-</v>
      </c>
      <c r="C7896" s="98" t="str">
        <f>VLOOKUP(A7896,'Materiales '!$C$2:$F$1302,3,0)</f>
        <v>-</v>
      </c>
      <c r="D7896" s="99">
        <f>VLOOKUP(A7896,'Materiales '!$C$2:$F$1302,4,0)</f>
        <v>0</v>
      </c>
      <c r="E7896" s="100"/>
      <c r="F7896" s="538">
        <f t="shared" si="461"/>
        <v>0</v>
      </c>
      <c r="G7896" s="539"/>
      <c r="H7896" s="121"/>
      <c r="I7896">
        <f>E7896*G7876</f>
        <v>0</v>
      </c>
      <c r="J7896" s="68"/>
      <c r="K7896" s="56"/>
      <c r="L7896" s="56"/>
      <c r="M7896" s="56"/>
      <c r="N7896" s="56"/>
      <c r="O7896" s="56"/>
    </row>
    <row r="7897" spans="1:15">
      <c r="A7897" s="536" t="s">
        <v>8</v>
      </c>
      <c r="B7897" s="537" t="str">
        <f>VLOOKUP(A7897,'Materiales '!$C$2:$F$1302,3,0)</f>
        <v>-</v>
      </c>
      <c r="C7897" s="98" t="str">
        <f>VLOOKUP(A7897,'Materiales '!$C$2:$F$1302,3,0)</f>
        <v>-</v>
      </c>
      <c r="D7897" s="99">
        <f>VLOOKUP(A7897,'Materiales '!$C$2:$F$1302,4,0)</f>
        <v>0</v>
      </c>
      <c r="E7897" s="100"/>
      <c r="F7897" s="538">
        <f t="shared" si="461"/>
        <v>0</v>
      </c>
      <c r="G7897" s="539"/>
      <c r="H7897" s="121"/>
      <c r="I7897">
        <f>E7897*G7876</f>
        <v>0</v>
      </c>
      <c r="J7897" s="68"/>
      <c r="K7897" s="56"/>
      <c r="L7897" s="56"/>
      <c r="M7897" s="56"/>
      <c r="N7897" s="56"/>
      <c r="O7897" s="56"/>
    </row>
    <row r="7898" spans="1:15">
      <c r="A7898" s="536" t="s">
        <v>8</v>
      </c>
      <c r="B7898" s="537" t="str">
        <f>VLOOKUP(A7898,'Materiales '!$C$2:$F$1302,3,0)</f>
        <v>-</v>
      </c>
      <c r="C7898" s="98" t="str">
        <f>VLOOKUP(A7898,'Materiales '!$C$2:$F$1302,3,0)</f>
        <v>-</v>
      </c>
      <c r="D7898" s="99">
        <f>VLOOKUP(A7898,'Materiales '!$C$2:$F$1302,4,0)</f>
        <v>0</v>
      </c>
      <c r="E7898" s="100"/>
      <c r="F7898" s="538">
        <f t="shared" si="461"/>
        <v>0</v>
      </c>
      <c r="G7898" s="539"/>
      <c r="H7898" s="121"/>
      <c r="I7898">
        <f>E7898*G7876</f>
        <v>0</v>
      </c>
      <c r="J7898" s="68"/>
      <c r="K7898" s="56"/>
      <c r="L7898" s="56"/>
      <c r="M7898" s="56"/>
      <c r="N7898" s="56"/>
      <c r="O7898" s="56"/>
    </row>
    <row r="7899" spans="1:15">
      <c r="A7899" s="536" t="s">
        <v>8</v>
      </c>
      <c r="B7899" s="537" t="str">
        <f>VLOOKUP(A7899,'Materiales '!$C$2:$F$1302,3,0)</f>
        <v>-</v>
      </c>
      <c r="C7899" s="98" t="str">
        <f>VLOOKUP(A7899,'Materiales '!$C$2:$F$1302,3,0)</f>
        <v>-</v>
      </c>
      <c r="D7899" s="99">
        <f>VLOOKUP(A7899,'Materiales '!$C$2:$F$1302,4,0)</f>
        <v>0</v>
      </c>
      <c r="E7899" s="100"/>
      <c r="F7899" s="538">
        <f>E7899*D7899</f>
        <v>0</v>
      </c>
      <c r="G7899" s="539"/>
      <c r="H7899" s="120"/>
      <c r="I7899">
        <f>E7899*G7876</f>
        <v>0</v>
      </c>
      <c r="J7899" s="68"/>
      <c r="K7899" s="56"/>
      <c r="L7899" s="56"/>
      <c r="M7899" s="56"/>
      <c r="N7899" s="56"/>
      <c r="O7899" s="56"/>
    </row>
    <row r="7900" spans="1:15" ht="16.5">
      <c r="A7900" s="540" t="s">
        <v>4099</v>
      </c>
      <c r="B7900" s="541"/>
      <c r="C7900" s="541"/>
      <c r="D7900" s="541"/>
      <c r="E7900" s="541"/>
      <c r="F7900" s="541"/>
      <c r="G7900" s="542"/>
      <c r="H7900" s="116">
        <f>SUM(F7886:F7899)</f>
        <v>51890.074950000002</v>
      </c>
      <c r="J7900" s="68"/>
      <c r="K7900" s="56"/>
      <c r="L7900" s="56"/>
      <c r="M7900" s="56"/>
      <c r="N7900" s="56"/>
      <c r="O7900" s="56"/>
    </row>
    <row r="7901" spans="1:15" ht="16.5">
      <c r="A7901" s="543" t="s">
        <v>4231</v>
      </c>
      <c r="B7901" s="544"/>
      <c r="C7901" s="544"/>
      <c r="D7901" s="544"/>
      <c r="E7901" s="545"/>
      <c r="F7901" s="544"/>
      <c r="G7901" s="544"/>
      <c r="H7901" s="546"/>
      <c r="J7901" s="68"/>
      <c r="K7901" s="56"/>
      <c r="L7901" s="56"/>
      <c r="M7901" s="56"/>
      <c r="N7901" s="56"/>
      <c r="O7901" s="56"/>
    </row>
    <row r="7902" spans="1:15">
      <c r="A7902" s="547" t="s">
        <v>7</v>
      </c>
      <c r="B7902" s="548"/>
      <c r="C7902" s="108" t="s">
        <v>4232</v>
      </c>
      <c r="D7902" s="107" t="s">
        <v>4233</v>
      </c>
      <c r="E7902" s="206" t="s">
        <v>4234</v>
      </c>
      <c r="F7902" s="549" t="s">
        <v>4218</v>
      </c>
      <c r="G7902" s="549"/>
      <c r="H7902" s="119"/>
      <c r="K7902" s="56"/>
      <c r="L7902" s="56"/>
      <c r="M7902" s="56"/>
      <c r="N7902" s="56"/>
      <c r="O7902" s="56"/>
    </row>
    <row r="7903" spans="1:15">
      <c r="A7903" s="550" t="s">
        <v>3928</v>
      </c>
      <c r="B7903" s="551"/>
      <c r="C7903" s="232">
        <v>1</v>
      </c>
      <c r="D7903" s="102">
        <v>5.0000000000000001E-3</v>
      </c>
      <c r="E7903" s="103">
        <f>VLOOKUP(A7903,'Equip, Herr y Transp'!$B$2:$D$218,3,0)</f>
        <v>160000</v>
      </c>
      <c r="F7903" s="552">
        <f>E7903*D7903*C7903</f>
        <v>800</v>
      </c>
      <c r="G7903" s="553"/>
      <c r="H7903" s="117"/>
      <c r="M7903" s="56"/>
    </row>
    <row r="7904" spans="1:15" ht="16.5">
      <c r="A7904" s="554" t="s">
        <v>4216</v>
      </c>
      <c r="B7904" s="555"/>
      <c r="C7904" s="555"/>
      <c r="D7904" s="555"/>
      <c r="E7904" s="555"/>
      <c r="F7904" s="555"/>
      <c r="G7904" s="555"/>
      <c r="H7904" s="105">
        <f>F7903</f>
        <v>800</v>
      </c>
    </row>
    <row r="7905" spans="1:10" ht="16.5">
      <c r="A7905" s="543" t="s">
        <v>4235</v>
      </c>
      <c r="B7905" s="544"/>
      <c r="C7905" s="544"/>
      <c r="D7905" s="544"/>
      <c r="E7905" s="544"/>
      <c r="F7905" s="544"/>
      <c r="G7905" s="544"/>
      <c r="H7905" s="546"/>
    </row>
    <row r="7906" spans="1:10">
      <c r="A7906" s="547" t="s">
        <v>7</v>
      </c>
      <c r="B7906" s="548"/>
      <c r="C7906" s="106" t="s">
        <v>1</v>
      </c>
      <c r="D7906" s="107" t="s">
        <v>4236</v>
      </c>
      <c r="E7906" s="108" t="s">
        <v>4215</v>
      </c>
      <c r="F7906" s="547" t="s">
        <v>5</v>
      </c>
      <c r="G7906" s="556"/>
      <c r="H7906" s="119"/>
    </row>
    <row r="7907" spans="1:10">
      <c r="A7907" s="550" t="s">
        <v>4196</v>
      </c>
      <c r="B7907" s="551"/>
      <c r="C7907" s="101">
        <v>1</v>
      </c>
      <c r="D7907" s="104">
        <f>VLOOKUP(A7907,'Mano Obra'!$B$2:$T$117,19,0)</f>
        <v>166624</v>
      </c>
      <c r="E7907" s="246">
        <f>H7869</f>
        <v>2.7099999999999999E-2</v>
      </c>
      <c r="F7907" s="538">
        <f>E7907*D7907*C7907</f>
        <v>4515.5104000000001</v>
      </c>
      <c r="G7907" s="557"/>
      <c r="H7907" s="121"/>
      <c r="I7907" s="69"/>
      <c r="J7907" s="136">
        <f>((('Mano Obra'!$M$4/30)*F7907)/D7907)*G7876</f>
        <v>0</v>
      </c>
    </row>
    <row r="7908" spans="1:10">
      <c r="A7908" s="558" t="s">
        <v>4197</v>
      </c>
      <c r="B7908" s="559">
        <f>VLOOKUP(A7908,'Mano Obra'!$B$3:$D$290,2,0)</f>
        <v>2090000.0000000002</v>
      </c>
      <c r="C7908" s="101">
        <v>1</v>
      </c>
      <c r="D7908" s="104">
        <f>VLOOKUP(A7908,'Mano Obra'!$B$2:$T$117,19,0)</f>
        <v>120456</v>
      </c>
      <c r="E7908" s="246">
        <f>H7869</f>
        <v>2.7099999999999999E-2</v>
      </c>
      <c r="F7908" s="538">
        <f t="shared" ref="F7908:F7909" si="462">E7908*D7908*C7908</f>
        <v>3264.3575999999998</v>
      </c>
      <c r="G7908" s="557"/>
      <c r="H7908" s="121"/>
      <c r="J7908" s="136">
        <f>((('Mano Obra'!$M$5/30)*F7908)/D7908)*G7876</f>
        <v>0</v>
      </c>
    </row>
    <row r="7909" spans="1:10">
      <c r="A7909" s="558" t="s">
        <v>4186</v>
      </c>
      <c r="B7909" s="559">
        <f>VLOOKUP(A7909,'Mano Obra'!$B$3:$D$290,2,0)</f>
        <v>1100000</v>
      </c>
      <c r="C7909" s="101">
        <v>1</v>
      </c>
      <c r="D7909" s="104">
        <f>VLOOKUP(A7909,'Mano Obra'!$B$2:$T$117,19,0)</f>
        <v>72664</v>
      </c>
      <c r="E7909" s="246">
        <f>H7869</f>
        <v>2.7099999999999999E-2</v>
      </c>
      <c r="F7909" s="538">
        <f t="shared" si="462"/>
        <v>1969.1943999999999</v>
      </c>
      <c r="G7909" s="557"/>
      <c r="H7909" s="120"/>
      <c r="J7909" s="136">
        <f>((('Mano Obra'!$M$6/30)*F7909)/D7909)*G7876</f>
        <v>0</v>
      </c>
    </row>
    <row r="7910" spans="1:10" ht="16.5">
      <c r="A7910" s="560" t="s">
        <v>4101</v>
      </c>
      <c r="B7910" s="560"/>
      <c r="C7910" s="560"/>
      <c r="D7910" s="560"/>
      <c r="E7910" s="560"/>
      <c r="F7910" s="560"/>
      <c r="G7910" s="560"/>
      <c r="H7910" s="105">
        <f>SUM(F7907:F7909)</f>
        <v>9749.0624000000007</v>
      </c>
      <c r="J7910" s="136"/>
    </row>
    <row r="7911" spans="1:10">
      <c r="A7911" s="227" t="s">
        <v>4237</v>
      </c>
      <c r="B7911" s="205"/>
      <c r="C7911" s="205"/>
      <c r="D7911" s="202"/>
      <c r="E7911" s="203"/>
      <c r="F7911" s="204"/>
      <c r="G7911" s="203"/>
      <c r="H7911" s="212"/>
    </row>
    <row r="7912" spans="1:10">
      <c r="A7912" s="561" t="s">
        <v>4224</v>
      </c>
      <c r="B7912" s="562"/>
      <c r="C7912" s="562"/>
      <c r="D7912" s="562"/>
      <c r="E7912" s="200"/>
      <c r="F7912" s="201" t="s">
        <v>4238</v>
      </c>
      <c r="G7912" s="200" t="s">
        <v>4239</v>
      </c>
      <c r="H7912" s="213"/>
    </row>
    <row r="7913" spans="1:10">
      <c r="A7913" s="223" t="s">
        <v>4097</v>
      </c>
      <c r="B7913" s="72"/>
      <c r="C7913" s="72"/>
      <c r="D7913" s="73"/>
      <c r="E7913" s="78"/>
      <c r="F7913" s="79">
        <v>0</v>
      </c>
      <c r="G7913" s="80">
        <f>F7913*H7877</f>
        <v>0</v>
      </c>
      <c r="H7913" s="212"/>
    </row>
    <row r="7914" spans="1:10">
      <c r="A7914" s="224" t="s">
        <v>4240</v>
      </c>
      <c r="B7914" s="81"/>
      <c r="C7914" s="81"/>
      <c r="D7914" s="82"/>
      <c r="E7914" s="78"/>
      <c r="F7914" s="79">
        <v>0</v>
      </c>
      <c r="G7914" s="80">
        <f>F7914*H7877</f>
        <v>0</v>
      </c>
      <c r="H7914" s="212"/>
    </row>
    <row r="7915" spans="1:10">
      <c r="A7915" s="224" t="s">
        <v>4</v>
      </c>
      <c r="B7915" s="81"/>
      <c r="C7915" s="81"/>
      <c r="D7915" s="82"/>
      <c r="E7915" s="78"/>
      <c r="F7915" s="79">
        <v>0</v>
      </c>
      <c r="G7915" s="80">
        <f>F7915*H7877</f>
        <v>0</v>
      </c>
      <c r="H7915" s="212"/>
    </row>
    <row r="7916" spans="1:10">
      <c r="A7916" s="225"/>
      <c r="B7916" s="83"/>
      <c r="C7916" s="75"/>
      <c r="D7916" s="84"/>
      <c r="E7916" s="85"/>
      <c r="F7916" s="86"/>
      <c r="G7916" s="87"/>
      <c r="H7916" s="214"/>
    </row>
    <row r="7917" spans="1:10">
      <c r="A7917" s="226"/>
      <c r="B7917" s="83"/>
      <c r="C7917" s="83"/>
      <c r="D7917" s="84"/>
      <c r="E7917" s="88"/>
      <c r="F7917" s="563" t="s">
        <v>4241</v>
      </c>
      <c r="G7917" s="564"/>
      <c r="H7917" s="233">
        <f>H7877+G7913+G7914+G7915</f>
        <v>63544.885100000007</v>
      </c>
    </row>
    <row r="7919" spans="1:10" ht="16.5">
      <c r="A7919" s="90"/>
      <c r="B7919" s="90"/>
      <c r="C7919" s="90"/>
      <c r="D7919" s="90"/>
      <c r="E7919" s="90"/>
      <c r="F7919" s="90"/>
      <c r="G7919" s="90"/>
      <c r="H7919" s="381"/>
    </row>
    <row r="7920" spans="1:10">
      <c r="A7920" s="579" t="s">
        <v>4225</v>
      </c>
      <c r="B7920" s="580"/>
      <c r="C7920" s="580"/>
      <c r="D7920" s="580"/>
      <c r="E7920" s="580"/>
      <c r="F7920" s="580"/>
      <c r="G7920" s="580"/>
      <c r="H7920" s="581"/>
    </row>
    <row r="7921" spans="1:15" ht="16.5">
      <c r="A7921" s="91"/>
      <c r="B7921" s="92"/>
      <c r="C7921" s="92"/>
      <c r="D7921" s="92"/>
      <c r="E7921" s="92"/>
      <c r="F7921" s="93"/>
      <c r="G7921" s="94"/>
      <c r="H7921" s="380">
        <f>ROUND((7/60)/8,4)</f>
        <v>1.46E-2</v>
      </c>
      <c r="I7921" s="115"/>
    </row>
    <row r="7922" spans="1:15">
      <c r="A7922" s="582" t="s">
        <v>4220</v>
      </c>
      <c r="B7922" s="584" t="str">
        <f>COSTOS!$C$14</f>
        <v>MODERNIZACION A TECNOLOGIA LED</v>
      </c>
      <c r="C7922" s="584"/>
      <c r="D7922" s="584"/>
      <c r="E7922" s="584"/>
      <c r="F7922" s="584"/>
      <c r="G7922" s="584"/>
      <c r="H7922" s="585" t="s">
        <v>4221</v>
      </c>
    </row>
    <row r="7923" spans="1:15">
      <c r="A7923" s="583"/>
      <c r="B7923" s="584"/>
      <c r="C7923" s="584"/>
      <c r="D7923" s="584"/>
      <c r="E7923" s="584"/>
      <c r="F7923" s="584"/>
      <c r="G7923" s="584"/>
      <c r="H7923" s="585"/>
    </row>
    <row r="7924" spans="1:15">
      <c r="A7924" s="583"/>
      <c r="B7924" s="584"/>
      <c r="C7924" s="584"/>
      <c r="D7924" s="584"/>
      <c r="E7924" s="584"/>
      <c r="F7924" s="584"/>
      <c r="G7924" s="584"/>
      <c r="H7924" s="585"/>
    </row>
    <row r="7925" spans="1:15" ht="15" customHeight="1">
      <c r="A7925" s="583"/>
      <c r="B7925" s="584"/>
      <c r="C7925" s="584"/>
      <c r="D7925" s="584"/>
      <c r="E7925" s="584"/>
      <c r="F7925" s="584"/>
      <c r="G7925" s="584"/>
      <c r="H7925" s="216">
        <f ca="1">TODAY()</f>
        <v>44889</v>
      </c>
      <c r="K7925" t="s">
        <v>4391</v>
      </c>
      <c r="L7925" t="s">
        <v>4392</v>
      </c>
      <c r="M7925" t="s">
        <v>4393</v>
      </c>
      <c r="N7925" t="s">
        <v>4394</v>
      </c>
    </row>
    <row r="7926" spans="1:15" ht="60.75" customHeight="1">
      <c r="A7926" s="228" t="s">
        <v>4222</v>
      </c>
      <c r="B7926" s="565" t="str">
        <f>COSTOS!$D$16</f>
        <v>Luminarias</v>
      </c>
      <c r="C7926" s="565"/>
      <c r="D7926" s="565"/>
      <c r="E7926" s="565"/>
      <c r="F7926" s="565"/>
      <c r="G7926" s="70" t="s">
        <v>4223</v>
      </c>
      <c r="H7926" s="391">
        <v>3.39</v>
      </c>
      <c r="K7926" s="62">
        <f>H7952</f>
        <v>9234.4</v>
      </c>
      <c r="L7926" s="62">
        <f>H7962</f>
        <v>5252.2624000000005</v>
      </c>
      <c r="M7926" s="62">
        <f>H7935</f>
        <v>595.7165</v>
      </c>
      <c r="N7926" s="62">
        <f>H7956</f>
        <v>800</v>
      </c>
    </row>
    <row r="7927" spans="1:15" ht="43.15" customHeight="1">
      <c r="A7927" s="229" t="s">
        <v>4224</v>
      </c>
      <c r="B7927" s="566" t="str">
        <f>VLOOKUP(H7926,COSTOS!C:M,2,0)</f>
        <v>Red subterránea con cable aislado de aluminio S8000 3 x 6AWG (2f+n) + 1 x 6AWG (t) x 500 MTS</v>
      </c>
      <c r="C7927" s="567"/>
      <c r="D7927" s="567"/>
      <c r="E7927" s="568"/>
      <c r="F7927" s="71" t="s">
        <v>0</v>
      </c>
      <c r="G7927" s="356" t="str">
        <f>VLOOKUP(H7926,COSTOS!C:M,8,0)</f>
        <v>Und</v>
      </c>
      <c r="H7927" s="276"/>
      <c r="I7927" s="306"/>
      <c r="J7927" s="308"/>
      <c r="K7927" s="308"/>
      <c r="L7927" s="308"/>
    </row>
    <row r="7928" spans="1:15">
      <c r="A7928" s="230"/>
      <c r="B7928" s="112"/>
      <c r="C7928" s="112"/>
      <c r="D7928" s="112"/>
      <c r="E7928" s="113"/>
      <c r="F7928" s="114" t="s">
        <v>1</v>
      </c>
      <c r="G7928" s="356">
        <f>VLOOKUP(H7926,COSTOS!C:M,9,0)</f>
        <v>0</v>
      </c>
      <c r="H7928" s="357"/>
      <c r="I7928" s="307"/>
    </row>
    <row r="7929" spans="1:15" ht="16.5">
      <c r="A7929" s="231" t="s">
        <v>4226</v>
      </c>
      <c r="B7929" s="75"/>
      <c r="C7929" s="75"/>
      <c r="D7929" s="76"/>
      <c r="E7929" s="209"/>
      <c r="F7929" s="210"/>
      <c r="G7929" s="211" t="s">
        <v>4227</v>
      </c>
      <c r="H7929" s="217">
        <f>H7935+H7952+H7956+H7962</f>
        <v>15882.3789</v>
      </c>
    </row>
    <row r="7930" spans="1:15" ht="39">
      <c r="A7930" s="569" t="s">
        <v>4224</v>
      </c>
      <c r="B7930" s="569"/>
      <c r="C7930" s="569"/>
      <c r="D7930" s="77" t="s">
        <v>0</v>
      </c>
      <c r="E7930" s="207" t="s">
        <v>4228</v>
      </c>
      <c r="F7930" s="208" t="s">
        <v>4215</v>
      </c>
      <c r="G7930" s="74" t="s">
        <v>2</v>
      </c>
      <c r="H7930" s="218" t="s">
        <v>4229</v>
      </c>
      <c r="K7930" s="309"/>
    </row>
    <row r="7931" spans="1:15">
      <c r="A7931" s="536" t="s">
        <v>3946</v>
      </c>
      <c r="B7931" s="570" t="str">
        <f>VLOOKUP(A7931,'Equip, Herr y Transp'!$B$2:$D$739,2,0)</f>
        <v>EQU</v>
      </c>
      <c r="C7931" s="570"/>
      <c r="D7931" s="95" t="str">
        <f>VLOOKUP(A7931,'Equip, Herr y Transp'!$B$2:$D$218,2,0)</f>
        <v>EQU</v>
      </c>
      <c r="E7931" s="95">
        <f>VLOOKUP(A7931,'Equip, Herr y Transp'!$B$2:$D$218,3,0)</f>
        <v>14130</v>
      </c>
      <c r="F7931" s="96">
        <f>H7921</f>
        <v>1.46E-2</v>
      </c>
      <c r="G7931" s="122">
        <f>F7931*E7931</f>
        <v>206.298</v>
      </c>
      <c r="H7931" s="118"/>
    </row>
    <row r="7932" spans="1:15">
      <c r="A7932" s="536" t="s">
        <v>3904</v>
      </c>
      <c r="B7932" s="570" t="str">
        <f>VLOOKUP(A7932,'Equip, Herr y Transp'!$B$2:$D$739,2,0)</f>
        <v>EQU</v>
      </c>
      <c r="C7932" s="570"/>
      <c r="D7932" s="95" t="str">
        <f>VLOOKUP(A7932,'Equip, Herr y Transp'!$B$2:$D$218,2,0)</f>
        <v>EQU</v>
      </c>
      <c r="E7932" s="95">
        <f>VLOOKUP(A7932,'Equip, Herr y Transp'!$B$2:$D$218,3,0)</f>
        <v>26672.5</v>
      </c>
      <c r="F7932" s="96">
        <f>H7921</f>
        <v>1.46E-2</v>
      </c>
      <c r="G7932" s="122">
        <f>F7932*E7932</f>
        <v>389.41849999999999</v>
      </c>
      <c r="H7932" s="117"/>
    </row>
    <row r="7933" spans="1:15">
      <c r="A7933" s="536" t="s">
        <v>8</v>
      </c>
      <c r="B7933" s="570">
        <f>VLOOKUP(A7933,'Equip, Herr y Transp'!$B$2:$D$739,2,0)</f>
        <v>0</v>
      </c>
      <c r="C7933" s="570"/>
      <c r="D7933" s="95">
        <f>VLOOKUP(A7933,'Equip, Herr y Transp'!$B$2:$D$218,2,0)</f>
        <v>0</v>
      </c>
      <c r="E7933" s="95">
        <f>VLOOKUP(A7933,'Equip, Herr y Transp'!$B$2:$D$218,3,0)</f>
        <v>0</v>
      </c>
      <c r="F7933" s="96">
        <f>H7921</f>
        <v>1.46E-2</v>
      </c>
      <c r="G7933" s="122">
        <f>F7933*E7933</f>
        <v>0</v>
      </c>
      <c r="H7933" s="117"/>
    </row>
    <row r="7934" spans="1:15">
      <c r="A7934" s="536" t="s">
        <v>8</v>
      </c>
      <c r="B7934" s="570">
        <f>VLOOKUP(A7934,'Equip, Herr y Transp'!$B$2:$D$739,2,0)</f>
        <v>0</v>
      </c>
      <c r="C7934" s="570"/>
      <c r="D7934" s="95">
        <f>VLOOKUP(A7934,'Equip, Herr y Transp'!$B$2:$D$218,2,0)</f>
        <v>0</v>
      </c>
      <c r="E7934" s="95">
        <f>VLOOKUP(A7934,'Equip, Herr y Transp'!$B$2:$D$218,3,0)</f>
        <v>0</v>
      </c>
      <c r="F7934" s="96">
        <f>H7921</f>
        <v>1.46E-2</v>
      </c>
      <c r="G7934" s="122">
        <f>F7934*E7934</f>
        <v>0</v>
      </c>
      <c r="H7934" s="117"/>
    </row>
    <row r="7935" spans="1:15" ht="16.5">
      <c r="A7935" s="540" t="s">
        <v>4100</v>
      </c>
      <c r="B7935" s="541"/>
      <c r="C7935" s="541"/>
      <c r="D7935" s="541"/>
      <c r="E7935" s="541"/>
      <c r="F7935" s="541"/>
      <c r="G7935" s="541"/>
      <c r="H7935" s="97">
        <f>SUM(G7931:G7934)</f>
        <v>595.7165</v>
      </c>
    </row>
    <row r="7936" spans="1:15" ht="16.5">
      <c r="A7936" s="571" t="s">
        <v>4230</v>
      </c>
      <c r="B7936" s="572"/>
      <c r="C7936" s="572"/>
      <c r="D7936" s="572"/>
      <c r="E7936" s="572"/>
      <c r="F7936" s="572"/>
      <c r="G7936" s="572"/>
      <c r="H7936" s="573"/>
      <c r="K7936" s="56"/>
      <c r="L7936" s="56"/>
      <c r="M7936" s="56"/>
      <c r="N7936" s="56"/>
      <c r="O7936" s="56"/>
    </row>
    <row r="7937" spans="1:15" ht="30" customHeight="1">
      <c r="A7937" s="574" t="s">
        <v>7</v>
      </c>
      <c r="B7937" s="575"/>
      <c r="C7937" s="109" t="s">
        <v>0</v>
      </c>
      <c r="D7937" s="110" t="s">
        <v>4098</v>
      </c>
      <c r="E7937" s="111" t="s">
        <v>1</v>
      </c>
      <c r="F7937" s="576" t="s">
        <v>4218</v>
      </c>
      <c r="G7937" s="576"/>
      <c r="H7937" s="215"/>
      <c r="K7937" s="56"/>
      <c r="L7937" s="56"/>
      <c r="M7937" s="56"/>
      <c r="N7937" s="56"/>
      <c r="O7937" s="56"/>
    </row>
    <row r="7938" spans="1:15">
      <c r="A7938" s="577" t="s">
        <v>4446</v>
      </c>
      <c r="B7938" s="578"/>
      <c r="C7938" s="98" t="str">
        <f>VLOOKUP(A7938,'Materiales '!$C$2:$F$1302,3,0)</f>
        <v>Ml</v>
      </c>
      <c r="D7938" s="99">
        <f>VLOOKUP(A7938,'Materiales '!$C$2:$F$1302,4,0)</f>
        <v>2856</v>
      </c>
      <c r="E7938" s="100">
        <v>3</v>
      </c>
      <c r="F7938" s="538">
        <f>E7938*D7938</f>
        <v>8568</v>
      </c>
      <c r="G7938" s="539"/>
      <c r="H7938" s="121"/>
      <c r="I7938">
        <f>E7938*G7928</f>
        <v>0</v>
      </c>
      <c r="J7938" s="67"/>
      <c r="K7938" s="56"/>
      <c r="L7938" s="56"/>
      <c r="M7938" s="56"/>
      <c r="N7938" s="56"/>
      <c r="O7938" s="56"/>
    </row>
    <row r="7939" spans="1:15">
      <c r="A7939" s="577" t="s">
        <v>4469</v>
      </c>
      <c r="B7939" s="578"/>
      <c r="C7939" s="98" t="str">
        <f>VLOOKUP(A7939,'Materiales '!$C$2:$F$1302,3,0)</f>
        <v>Rollo</v>
      </c>
      <c r="D7939" s="99">
        <f>VLOOKUP(A7939,'Materiales '!$C$2:$F$1302,4,0)</f>
        <v>19992</v>
      </c>
      <c r="E7939" s="100">
        <f>1/30</f>
        <v>3.3333333333333333E-2</v>
      </c>
      <c r="F7939" s="538">
        <f t="shared" ref="F7939:F7945" si="463">E7939*D7939</f>
        <v>666.4</v>
      </c>
      <c r="G7939" s="539"/>
      <c r="H7939" s="121"/>
      <c r="I7939">
        <f>E7939*G7928</f>
        <v>0</v>
      </c>
      <c r="J7939" s="67"/>
      <c r="K7939" s="56"/>
      <c r="L7939" s="56"/>
      <c r="M7939" s="56"/>
      <c r="N7939" s="56"/>
      <c r="O7939" s="56"/>
    </row>
    <row r="7940" spans="1:15">
      <c r="A7940" s="536" t="s">
        <v>8</v>
      </c>
      <c r="B7940" s="537" t="str">
        <f>VLOOKUP(A7940,'Materiales '!$C$2:$F$1302,3,0)</f>
        <v>-</v>
      </c>
      <c r="C7940" s="98" t="str">
        <f>VLOOKUP(A7940,'Materiales '!$C$2:$F$1302,3,0)</f>
        <v>-</v>
      </c>
      <c r="D7940" s="99">
        <f>VLOOKUP(A7940,'Materiales '!$C$2:$F$1302,4,0)</f>
        <v>0</v>
      </c>
      <c r="E7940" s="100">
        <f>3/25</f>
        <v>0.12</v>
      </c>
      <c r="F7940" s="538">
        <f t="shared" si="463"/>
        <v>0</v>
      </c>
      <c r="G7940" s="539"/>
      <c r="H7940" s="121"/>
      <c r="I7940">
        <f>E7940*G7928</f>
        <v>0</v>
      </c>
      <c r="J7940" s="68"/>
      <c r="K7940" s="56"/>
      <c r="L7940" s="56"/>
      <c r="M7940" s="56"/>
      <c r="N7940" s="56"/>
      <c r="O7940" s="56"/>
    </row>
    <row r="7941" spans="1:15">
      <c r="A7941" s="536" t="s">
        <v>8</v>
      </c>
      <c r="B7941" s="537" t="str">
        <f>VLOOKUP(A7941,'Materiales '!$C$2:$F$1302,3,0)</f>
        <v>-</v>
      </c>
      <c r="C7941" s="98" t="str">
        <f>VLOOKUP(A7941,'Materiales '!$C$2:$F$1302,3,0)</f>
        <v>-</v>
      </c>
      <c r="D7941" s="99">
        <f>VLOOKUP(A7941,'Materiales '!$C$2:$F$1302,4,0)</f>
        <v>0</v>
      </c>
      <c r="E7941" s="100"/>
      <c r="F7941" s="538">
        <f t="shared" si="463"/>
        <v>0</v>
      </c>
      <c r="G7941" s="539"/>
      <c r="H7941" s="121"/>
      <c r="I7941">
        <f>E7941*G7928</f>
        <v>0</v>
      </c>
      <c r="J7941" s="68"/>
      <c r="K7941" s="56"/>
      <c r="L7941" s="56"/>
      <c r="M7941" s="56"/>
      <c r="N7941" s="56"/>
      <c r="O7941" s="56"/>
    </row>
    <row r="7942" spans="1:15">
      <c r="A7942" s="536" t="s">
        <v>8</v>
      </c>
      <c r="B7942" s="537" t="str">
        <f>VLOOKUP(A7942,'Materiales '!$C$2:$F$1302,3,0)</f>
        <v>-</v>
      </c>
      <c r="C7942" s="98" t="str">
        <f>VLOOKUP(A7942,'Materiales '!$C$2:$F$1302,3,0)</f>
        <v>-</v>
      </c>
      <c r="D7942" s="99">
        <f>VLOOKUP(A7942,'Materiales '!$C$2:$F$1302,4,0)</f>
        <v>0</v>
      </c>
      <c r="E7942" s="100"/>
      <c r="F7942" s="538">
        <f t="shared" si="463"/>
        <v>0</v>
      </c>
      <c r="G7942" s="539"/>
      <c r="H7942" s="121"/>
      <c r="I7942">
        <f>E7942*G7928</f>
        <v>0</v>
      </c>
      <c r="J7942" s="68"/>
      <c r="K7942" s="56"/>
      <c r="L7942" s="56"/>
      <c r="M7942" s="56"/>
      <c r="N7942" s="56"/>
      <c r="O7942" s="56"/>
    </row>
    <row r="7943" spans="1:15">
      <c r="A7943" s="536" t="s">
        <v>8</v>
      </c>
      <c r="B7943" s="537" t="str">
        <f>VLOOKUP(A7943,'Materiales '!$C$2:$F$1302,3,0)</f>
        <v>-</v>
      </c>
      <c r="C7943" s="98" t="str">
        <f>VLOOKUP(A7943,'Materiales '!$C$2:$F$1302,3,0)</f>
        <v>-</v>
      </c>
      <c r="D7943" s="99">
        <f>VLOOKUP(A7943,'Materiales '!$C$2:$F$1302,4,0)</f>
        <v>0</v>
      </c>
      <c r="E7943" s="100"/>
      <c r="F7943" s="538">
        <f t="shared" si="463"/>
        <v>0</v>
      </c>
      <c r="G7943" s="539"/>
      <c r="H7943" s="121"/>
      <c r="I7943">
        <f>E7943*G7928</f>
        <v>0</v>
      </c>
      <c r="J7943" s="68"/>
      <c r="K7943" s="56"/>
      <c r="L7943" s="56"/>
      <c r="M7943" s="56"/>
      <c r="N7943" s="56"/>
      <c r="O7943" s="56"/>
    </row>
    <row r="7944" spans="1:15">
      <c r="A7944" s="536" t="s">
        <v>8</v>
      </c>
      <c r="B7944" s="537" t="str">
        <f>VLOOKUP(A7944,'Materiales '!$C$2:$F$1302,3,0)</f>
        <v>-</v>
      </c>
      <c r="C7944" s="98" t="str">
        <f>VLOOKUP(A7944,'Materiales '!$C$2:$F$1302,3,0)</f>
        <v>-</v>
      </c>
      <c r="D7944" s="99">
        <f>VLOOKUP(A7944,'Materiales '!$C$2:$F$1302,4,0)</f>
        <v>0</v>
      </c>
      <c r="E7944" s="100"/>
      <c r="F7944" s="538">
        <f t="shared" si="463"/>
        <v>0</v>
      </c>
      <c r="G7944" s="539"/>
      <c r="H7944" s="121"/>
      <c r="I7944">
        <f>E7944*G7928</f>
        <v>0</v>
      </c>
      <c r="J7944" s="68"/>
      <c r="K7944" s="56"/>
      <c r="L7944" s="56"/>
      <c r="M7944" s="56"/>
      <c r="N7944" s="56"/>
      <c r="O7944" s="56"/>
    </row>
    <row r="7945" spans="1:15" ht="21.75" customHeight="1">
      <c r="A7945" s="536" t="s">
        <v>8</v>
      </c>
      <c r="B7945" s="537" t="str">
        <f>VLOOKUP(A7945,'Materiales '!$C$2:$F$1302,3,0)</f>
        <v>-</v>
      </c>
      <c r="C7945" s="98" t="str">
        <f>VLOOKUP(A7945,'Materiales '!$C$2:$F$1302,3,0)</f>
        <v>-</v>
      </c>
      <c r="D7945" s="99">
        <f>VLOOKUP(A7945,'Materiales '!$C$2:$F$1302,4,0)</f>
        <v>0</v>
      </c>
      <c r="E7945" s="100"/>
      <c r="F7945" s="538">
        <f t="shared" si="463"/>
        <v>0</v>
      </c>
      <c r="G7945" s="539"/>
      <c r="H7945" s="121"/>
      <c r="I7945">
        <f>E7945*G7928</f>
        <v>0</v>
      </c>
      <c r="J7945" s="68"/>
      <c r="K7945" s="56"/>
      <c r="L7945" s="56"/>
      <c r="M7945" s="56"/>
      <c r="N7945" s="56"/>
      <c r="O7945" s="56"/>
    </row>
    <row r="7946" spans="1:15">
      <c r="A7946" s="536" t="s">
        <v>8</v>
      </c>
      <c r="B7946" s="537" t="str">
        <f>VLOOKUP(A7946,'Materiales '!$C$2:$F$1302,3,0)</f>
        <v>-</v>
      </c>
      <c r="C7946" s="98" t="str">
        <f>VLOOKUP(A7946,'Materiales '!$C$2:$F$1302,3,0)</f>
        <v>-</v>
      </c>
      <c r="D7946" s="99">
        <f>VLOOKUP(A7946,'Materiales '!$C$2:$F$1302,4,0)</f>
        <v>0</v>
      </c>
      <c r="E7946" s="100"/>
      <c r="F7946" s="538">
        <f>E7946*D7946</f>
        <v>0</v>
      </c>
      <c r="G7946" s="539"/>
      <c r="H7946" s="120"/>
      <c r="I7946">
        <f>E7946*G7928</f>
        <v>0</v>
      </c>
      <c r="J7946" s="68"/>
      <c r="K7946" s="56"/>
      <c r="L7946" s="56"/>
      <c r="M7946" s="56"/>
      <c r="N7946" s="56"/>
      <c r="O7946" s="56"/>
    </row>
    <row r="7947" spans="1:15">
      <c r="A7947" s="536" t="s">
        <v>8</v>
      </c>
      <c r="B7947" s="537" t="str">
        <f>VLOOKUP(A7947,'Materiales '!$C$2:$F$1302,3,0)</f>
        <v>-</v>
      </c>
      <c r="C7947" s="98" t="str">
        <f>VLOOKUP(A7947,'Materiales '!$C$2:$F$1302,3,0)</f>
        <v>-</v>
      </c>
      <c r="D7947" s="99">
        <f>VLOOKUP(A7947,'Materiales '!$C$2:$F$1302,4,0)</f>
        <v>0</v>
      </c>
      <c r="E7947" s="100"/>
      <c r="F7947" s="538">
        <f t="shared" ref="F7947:F7950" si="464">E7947*D7947</f>
        <v>0</v>
      </c>
      <c r="G7947" s="539"/>
      <c r="H7947" s="121"/>
      <c r="I7947">
        <f>E7947*G7928</f>
        <v>0</v>
      </c>
      <c r="J7947" s="68"/>
      <c r="K7947" s="56"/>
      <c r="L7947" s="56"/>
      <c r="M7947" s="56"/>
      <c r="N7947" s="56"/>
      <c r="O7947" s="56"/>
    </row>
    <row r="7948" spans="1:15">
      <c r="A7948" s="536" t="s">
        <v>8</v>
      </c>
      <c r="B7948" s="537" t="str">
        <f>VLOOKUP(A7948,'Materiales '!$C$2:$F$1302,3,0)</f>
        <v>-</v>
      </c>
      <c r="C7948" s="98" t="str">
        <f>VLOOKUP(A7948,'Materiales '!$C$2:$F$1302,3,0)</f>
        <v>-</v>
      </c>
      <c r="D7948" s="99">
        <f>VLOOKUP(A7948,'Materiales '!$C$2:$F$1302,4,0)</f>
        <v>0</v>
      </c>
      <c r="E7948" s="100"/>
      <c r="F7948" s="538">
        <f t="shared" si="464"/>
        <v>0</v>
      </c>
      <c r="G7948" s="539"/>
      <c r="H7948" s="121"/>
      <c r="I7948">
        <f>E7948*G7928</f>
        <v>0</v>
      </c>
      <c r="J7948" s="68"/>
      <c r="K7948" s="56"/>
      <c r="L7948" s="56"/>
      <c r="M7948" s="56"/>
      <c r="N7948" s="56"/>
      <c r="O7948" s="56"/>
    </row>
    <row r="7949" spans="1:15">
      <c r="A7949" s="536" t="s">
        <v>8</v>
      </c>
      <c r="B7949" s="537" t="str">
        <f>VLOOKUP(A7949,'Materiales '!$C$2:$F$1302,3,0)</f>
        <v>-</v>
      </c>
      <c r="C7949" s="98" t="str">
        <f>VLOOKUP(A7949,'Materiales '!$C$2:$F$1302,3,0)</f>
        <v>-</v>
      </c>
      <c r="D7949" s="99">
        <f>VLOOKUP(A7949,'Materiales '!$C$2:$F$1302,4,0)</f>
        <v>0</v>
      </c>
      <c r="E7949" s="100"/>
      <c r="F7949" s="538">
        <f t="shared" si="464"/>
        <v>0</v>
      </c>
      <c r="G7949" s="539"/>
      <c r="H7949" s="121"/>
      <c r="I7949">
        <f>E7949*G7928</f>
        <v>0</v>
      </c>
      <c r="J7949" s="68"/>
      <c r="K7949" s="56"/>
      <c r="L7949" s="56"/>
      <c r="M7949" s="56"/>
      <c r="N7949" s="56"/>
      <c r="O7949" s="56"/>
    </row>
    <row r="7950" spans="1:15">
      <c r="A7950" s="536" t="s">
        <v>8</v>
      </c>
      <c r="B7950" s="537" t="str">
        <f>VLOOKUP(A7950,'Materiales '!$C$2:$F$1302,3,0)</f>
        <v>-</v>
      </c>
      <c r="C7950" s="98" t="str">
        <f>VLOOKUP(A7950,'Materiales '!$C$2:$F$1302,3,0)</f>
        <v>-</v>
      </c>
      <c r="D7950" s="99">
        <f>VLOOKUP(A7950,'Materiales '!$C$2:$F$1302,4,0)</f>
        <v>0</v>
      </c>
      <c r="E7950" s="100"/>
      <c r="F7950" s="538">
        <f t="shared" si="464"/>
        <v>0</v>
      </c>
      <c r="G7950" s="539"/>
      <c r="H7950" s="121"/>
      <c r="I7950">
        <f>E7950*G7928</f>
        <v>0</v>
      </c>
      <c r="J7950" s="68"/>
      <c r="K7950" s="56"/>
      <c r="L7950" s="56"/>
      <c r="M7950" s="56"/>
      <c r="N7950" s="56"/>
      <c r="O7950" s="56"/>
    </row>
    <row r="7951" spans="1:15">
      <c r="A7951" s="536" t="s">
        <v>8</v>
      </c>
      <c r="B7951" s="537" t="str">
        <f>VLOOKUP(A7951,'Materiales '!$C$2:$F$1302,3,0)</f>
        <v>-</v>
      </c>
      <c r="C7951" s="98" t="str">
        <f>VLOOKUP(A7951,'Materiales '!$C$2:$F$1302,3,0)</f>
        <v>-</v>
      </c>
      <c r="D7951" s="99">
        <f>VLOOKUP(A7951,'Materiales '!$C$2:$F$1302,4,0)</f>
        <v>0</v>
      </c>
      <c r="E7951" s="100"/>
      <c r="F7951" s="538">
        <f>E7951*D7951</f>
        <v>0</v>
      </c>
      <c r="G7951" s="539"/>
      <c r="H7951" s="120"/>
      <c r="I7951">
        <f>E7951*G7928</f>
        <v>0</v>
      </c>
      <c r="J7951" s="68"/>
      <c r="K7951" s="56"/>
      <c r="L7951" s="56"/>
      <c r="M7951" s="56"/>
      <c r="N7951" s="56"/>
      <c r="O7951" s="56"/>
    </row>
    <row r="7952" spans="1:15" ht="16.5">
      <c r="A7952" s="540" t="s">
        <v>4099</v>
      </c>
      <c r="B7952" s="541"/>
      <c r="C7952" s="541"/>
      <c r="D7952" s="541"/>
      <c r="E7952" s="541"/>
      <c r="F7952" s="541"/>
      <c r="G7952" s="542"/>
      <c r="H7952" s="116">
        <f>SUM(F7938:F7951)</f>
        <v>9234.4</v>
      </c>
      <c r="J7952" s="68"/>
      <c r="K7952" s="56"/>
      <c r="L7952" s="56"/>
      <c r="M7952" s="56"/>
      <c r="N7952" s="56"/>
      <c r="O7952" s="56"/>
    </row>
    <row r="7953" spans="1:15" ht="16.5">
      <c r="A7953" s="543" t="s">
        <v>4231</v>
      </c>
      <c r="B7953" s="544"/>
      <c r="C7953" s="544"/>
      <c r="D7953" s="544"/>
      <c r="E7953" s="545"/>
      <c r="F7953" s="544"/>
      <c r="G7953" s="544"/>
      <c r="H7953" s="546"/>
      <c r="J7953" s="68"/>
      <c r="K7953" s="56"/>
      <c r="L7953" s="56"/>
      <c r="M7953" s="56"/>
      <c r="N7953" s="56"/>
      <c r="O7953" s="56"/>
    </row>
    <row r="7954" spans="1:15">
      <c r="A7954" s="547" t="s">
        <v>7</v>
      </c>
      <c r="B7954" s="548"/>
      <c r="C7954" s="108" t="s">
        <v>4232</v>
      </c>
      <c r="D7954" s="107" t="s">
        <v>4233</v>
      </c>
      <c r="E7954" s="206" t="s">
        <v>4234</v>
      </c>
      <c r="F7954" s="549" t="s">
        <v>4218</v>
      </c>
      <c r="G7954" s="549"/>
      <c r="H7954" s="119"/>
      <c r="K7954" s="56"/>
      <c r="L7954" s="56"/>
      <c r="M7954" s="56"/>
      <c r="N7954" s="56"/>
      <c r="O7954" s="56"/>
    </row>
    <row r="7955" spans="1:15">
      <c r="A7955" s="550" t="s">
        <v>3928</v>
      </c>
      <c r="B7955" s="551"/>
      <c r="C7955" s="232">
        <v>1</v>
      </c>
      <c r="D7955" s="102">
        <v>5.0000000000000001E-3</v>
      </c>
      <c r="E7955" s="103">
        <f>VLOOKUP(A7955,'Equip, Herr y Transp'!$B$2:$D$218,3,0)</f>
        <v>160000</v>
      </c>
      <c r="F7955" s="552">
        <f>E7955*D7955*C7955</f>
        <v>800</v>
      </c>
      <c r="G7955" s="553"/>
      <c r="H7955" s="117"/>
      <c r="M7955" s="56"/>
    </row>
    <row r="7956" spans="1:15" ht="16.5">
      <c r="A7956" s="554" t="s">
        <v>4216</v>
      </c>
      <c r="B7956" s="555"/>
      <c r="C7956" s="555"/>
      <c r="D7956" s="555"/>
      <c r="E7956" s="555"/>
      <c r="F7956" s="555"/>
      <c r="G7956" s="555"/>
      <c r="H7956" s="105">
        <f>F7955</f>
        <v>800</v>
      </c>
    </row>
    <row r="7957" spans="1:15" ht="16.5">
      <c r="A7957" s="543" t="s">
        <v>4235</v>
      </c>
      <c r="B7957" s="544"/>
      <c r="C7957" s="544"/>
      <c r="D7957" s="544"/>
      <c r="E7957" s="544"/>
      <c r="F7957" s="544"/>
      <c r="G7957" s="544"/>
      <c r="H7957" s="546"/>
    </row>
    <row r="7958" spans="1:15">
      <c r="A7958" s="547" t="s">
        <v>7</v>
      </c>
      <c r="B7958" s="548"/>
      <c r="C7958" s="106" t="s">
        <v>1</v>
      </c>
      <c r="D7958" s="107" t="s">
        <v>4236</v>
      </c>
      <c r="E7958" s="108" t="s">
        <v>4215</v>
      </c>
      <c r="F7958" s="547" t="s">
        <v>5</v>
      </c>
      <c r="G7958" s="556"/>
      <c r="H7958" s="119"/>
    </row>
    <row r="7959" spans="1:15">
      <c r="A7959" s="550" t="s">
        <v>4196</v>
      </c>
      <c r="B7959" s="551"/>
      <c r="C7959" s="101">
        <v>1</v>
      </c>
      <c r="D7959" s="104">
        <f>VLOOKUP(A7959,'Mano Obra'!$B$2:$T$117,19,0)</f>
        <v>166624</v>
      </c>
      <c r="E7959" s="246">
        <f>H7921</f>
        <v>1.46E-2</v>
      </c>
      <c r="F7959" s="538">
        <f>E7959*D7959*C7959</f>
        <v>2432.7103999999999</v>
      </c>
      <c r="G7959" s="557"/>
      <c r="H7959" s="121"/>
      <c r="I7959" s="69"/>
      <c r="J7959" s="136">
        <f>((('Mano Obra'!$M$4/30)*F7959)/D7959)*G7928</f>
        <v>0</v>
      </c>
    </row>
    <row r="7960" spans="1:15">
      <c r="A7960" s="558" t="s">
        <v>4197</v>
      </c>
      <c r="B7960" s="559">
        <f>VLOOKUP(A7960,'Mano Obra'!$B$3:$D$290,2,0)</f>
        <v>2090000.0000000002</v>
      </c>
      <c r="C7960" s="101">
        <v>1</v>
      </c>
      <c r="D7960" s="104">
        <f>VLOOKUP(A7960,'Mano Obra'!$B$2:$T$117,19,0)</f>
        <v>120456</v>
      </c>
      <c r="E7960" s="246">
        <f>H7921</f>
        <v>1.46E-2</v>
      </c>
      <c r="F7960" s="538">
        <f t="shared" ref="F7960:F7961" si="465">E7960*D7960*C7960</f>
        <v>1758.6576</v>
      </c>
      <c r="G7960" s="557"/>
      <c r="H7960" s="121"/>
      <c r="J7960" s="136">
        <f>((('Mano Obra'!$M$5/30)*F7960)/D7960)*G7928</f>
        <v>0</v>
      </c>
    </row>
    <row r="7961" spans="1:15">
      <c r="A7961" s="558" t="s">
        <v>4186</v>
      </c>
      <c r="B7961" s="559">
        <f>VLOOKUP(A7961,'Mano Obra'!$B$3:$D$290,2,0)</f>
        <v>1100000</v>
      </c>
      <c r="C7961" s="101">
        <v>1</v>
      </c>
      <c r="D7961" s="104">
        <f>VLOOKUP(A7961,'Mano Obra'!$B$2:$T$117,19,0)</f>
        <v>72664</v>
      </c>
      <c r="E7961" s="246">
        <f>H7921</f>
        <v>1.46E-2</v>
      </c>
      <c r="F7961" s="538">
        <f t="shared" si="465"/>
        <v>1060.8943999999999</v>
      </c>
      <c r="G7961" s="557"/>
      <c r="H7961" s="120"/>
      <c r="J7961" s="136">
        <f>((('Mano Obra'!$M$6/30)*F7961)/D7961)*G7928</f>
        <v>0</v>
      </c>
    </row>
    <row r="7962" spans="1:15" ht="16.5">
      <c r="A7962" s="560" t="s">
        <v>4101</v>
      </c>
      <c r="B7962" s="560"/>
      <c r="C7962" s="560"/>
      <c r="D7962" s="560"/>
      <c r="E7962" s="560"/>
      <c r="F7962" s="560"/>
      <c r="G7962" s="560"/>
      <c r="H7962" s="105">
        <f>SUM(F7959:F7961)</f>
        <v>5252.2624000000005</v>
      </c>
      <c r="J7962" s="136"/>
    </row>
    <row r="7963" spans="1:15">
      <c r="A7963" s="227" t="s">
        <v>4237</v>
      </c>
      <c r="B7963" s="205"/>
      <c r="C7963" s="205"/>
      <c r="D7963" s="202"/>
      <c r="E7963" s="203"/>
      <c r="F7963" s="204"/>
      <c r="G7963" s="203"/>
      <c r="H7963" s="212"/>
    </row>
    <row r="7964" spans="1:15">
      <c r="A7964" s="561" t="s">
        <v>4224</v>
      </c>
      <c r="B7964" s="562"/>
      <c r="C7964" s="562"/>
      <c r="D7964" s="562"/>
      <c r="E7964" s="200"/>
      <c r="F7964" s="201" t="s">
        <v>4238</v>
      </c>
      <c r="G7964" s="200" t="s">
        <v>4239</v>
      </c>
      <c r="H7964" s="213"/>
    </row>
    <row r="7965" spans="1:15">
      <c r="A7965" s="223" t="s">
        <v>4097</v>
      </c>
      <c r="B7965" s="72"/>
      <c r="C7965" s="72"/>
      <c r="D7965" s="73"/>
      <c r="E7965" s="78"/>
      <c r="F7965" s="79">
        <v>0</v>
      </c>
      <c r="G7965" s="80">
        <f>F7965*H7929</f>
        <v>0</v>
      </c>
      <c r="H7965" s="212"/>
    </row>
    <row r="7966" spans="1:15">
      <c r="A7966" s="224" t="s">
        <v>4240</v>
      </c>
      <c r="B7966" s="81"/>
      <c r="C7966" s="81"/>
      <c r="D7966" s="82"/>
      <c r="E7966" s="78"/>
      <c r="F7966" s="79">
        <v>0</v>
      </c>
      <c r="G7966" s="80">
        <f>F7966*H7929</f>
        <v>0</v>
      </c>
      <c r="H7966" s="212"/>
    </row>
    <row r="7967" spans="1:15">
      <c r="A7967" s="224" t="s">
        <v>4</v>
      </c>
      <c r="B7967" s="81"/>
      <c r="C7967" s="81"/>
      <c r="D7967" s="82"/>
      <c r="E7967" s="78"/>
      <c r="F7967" s="79">
        <v>0</v>
      </c>
      <c r="G7967" s="80">
        <f>F7967*H7929</f>
        <v>0</v>
      </c>
      <c r="H7967" s="212"/>
    </row>
    <row r="7968" spans="1:15">
      <c r="A7968" s="225"/>
      <c r="B7968" s="83"/>
      <c r="C7968" s="75"/>
      <c r="D7968" s="84"/>
      <c r="E7968" s="85"/>
      <c r="F7968" s="86"/>
      <c r="G7968" s="87"/>
      <c r="H7968" s="214"/>
    </row>
    <row r="7969" spans="1:14">
      <c r="A7969" s="226"/>
      <c r="B7969" s="83"/>
      <c r="C7969" s="83"/>
      <c r="D7969" s="84"/>
      <c r="E7969" s="88"/>
      <c r="F7969" s="563" t="s">
        <v>4241</v>
      </c>
      <c r="G7969" s="564"/>
      <c r="H7969" s="233">
        <f>H7929+G7965+G7966+G7967</f>
        <v>15882.3789</v>
      </c>
    </row>
    <row r="7971" spans="1:14" ht="16.5">
      <c r="A7971" s="90"/>
      <c r="B7971" s="90"/>
      <c r="C7971" s="90"/>
      <c r="D7971" s="90"/>
      <c r="E7971" s="90"/>
      <c r="F7971" s="90"/>
      <c r="G7971" s="90"/>
      <c r="H7971" s="381"/>
    </row>
    <row r="7972" spans="1:14">
      <c r="A7972" s="579" t="s">
        <v>4225</v>
      </c>
      <c r="B7972" s="580"/>
      <c r="C7972" s="580"/>
      <c r="D7972" s="580"/>
      <c r="E7972" s="580"/>
      <c r="F7972" s="580"/>
      <c r="G7972" s="580"/>
      <c r="H7972" s="581"/>
    </row>
    <row r="7973" spans="1:14" ht="16.5">
      <c r="A7973" s="91"/>
      <c r="B7973" s="92"/>
      <c r="C7973" s="92"/>
      <c r="D7973" s="92"/>
      <c r="E7973" s="92"/>
      <c r="F7973" s="93"/>
      <c r="G7973" s="94"/>
      <c r="H7973" s="380">
        <f>ROUND((7/60)/8,4)</f>
        <v>1.46E-2</v>
      </c>
      <c r="I7973" s="115"/>
    </row>
    <row r="7974" spans="1:14">
      <c r="A7974" s="582" t="s">
        <v>4220</v>
      </c>
      <c r="B7974" s="584" t="str">
        <f>COSTOS!$C$14</f>
        <v>MODERNIZACION A TECNOLOGIA LED</v>
      </c>
      <c r="C7974" s="584"/>
      <c r="D7974" s="584"/>
      <c r="E7974" s="584"/>
      <c r="F7974" s="584"/>
      <c r="G7974" s="584"/>
      <c r="H7974" s="585" t="s">
        <v>4221</v>
      </c>
    </row>
    <row r="7975" spans="1:14">
      <c r="A7975" s="583"/>
      <c r="B7975" s="584"/>
      <c r="C7975" s="584"/>
      <c r="D7975" s="584"/>
      <c r="E7975" s="584"/>
      <c r="F7975" s="584"/>
      <c r="G7975" s="584"/>
      <c r="H7975" s="585"/>
    </row>
    <row r="7976" spans="1:14">
      <c r="A7976" s="583"/>
      <c r="B7976" s="584"/>
      <c r="C7976" s="584"/>
      <c r="D7976" s="584"/>
      <c r="E7976" s="584"/>
      <c r="F7976" s="584"/>
      <c r="G7976" s="584"/>
      <c r="H7976" s="585"/>
    </row>
    <row r="7977" spans="1:14" ht="15" customHeight="1">
      <c r="A7977" s="583"/>
      <c r="B7977" s="584"/>
      <c r="C7977" s="584"/>
      <c r="D7977" s="584"/>
      <c r="E7977" s="584"/>
      <c r="F7977" s="584"/>
      <c r="G7977" s="584"/>
      <c r="H7977" s="216">
        <f ca="1">TODAY()</f>
        <v>44889</v>
      </c>
      <c r="K7977" t="s">
        <v>4391</v>
      </c>
      <c r="L7977" t="s">
        <v>4392</v>
      </c>
      <c r="M7977" t="s">
        <v>4393</v>
      </c>
      <c r="N7977" t="s">
        <v>4394</v>
      </c>
    </row>
    <row r="7978" spans="1:14" ht="60.75" customHeight="1">
      <c r="A7978" s="228" t="s">
        <v>4222</v>
      </c>
      <c r="B7978" s="565" t="str">
        <f>COSTOS!$D$16</f>
        <v>Luminarias</v>
      </c>
      <c r="C7978" s="565"/>
      <c r="D7978" s="565"/>
      <c r="E7978" s="565"/>
      <c r="F7978" s="565"/>
      <c r="G7978" s="70" t="s">
        <v>4223</v>
      </c>
      <c r="H7978" s="391" t="s">
        <v>4997</v>
      </c>
      <c r="K7978" s="62">
        <f>H8004</f>
        <v>13375.6</v>
      </c>
      <c r="L7978" s="62">
        <f>H8014</f>
        <v>5252.2624000000005</v>
      </c>
      <c r="M7978" s="62">
        <f>H7987</f>
        <v>595.7165</v>
      </c>
      <c r="N7978" s="62">
        <f>H8008</f>
        <v>800</v>
      </c>
    </row>
    <row r="7979" spans="1:14" ht="43.15" customHeight="1">
      <c r="A7979" s="229" t="s">
        <v>4224</v>
      </c>
      <c r="B7979" s="566" t="str">
        <f>VLOOKUP(H7978,COSTOS!C:M,2,0)</f>
        <v>Red subterránea de baja tensión con cable aislado de aluminio S8000 3 x 4AWG (2f+n) + 1 x 6AWG (t) x 500 MT</v>
      </c>
      <c r="C7979" s="567"/>
      <c r="D7979" s="567"/>
      <c r="E7979" s="568"/>
      <c r="F7979" s="71" t="s">
        <v>0</v>
      </c>
      <c r="G7979" s="356" t="str">
        <f>VLOOKUP(H7978,COSTOS!C:M,8,0)</f>
        <v>Und</v>
      </c>
      <c r="H7979" s="276"/>
      <c r="I7979" s="306"/>
      <c r="J7979" s="308"/>
      <c r="K7979" s="308"/>
      <c r="L7979" s="308"/>
    </row>
    <row r="7980" spans="1:14">
      <c r="A7980" s="230"/>
      <c r="B7980" s="112"/>
      <c r="C7980" s="112"/>
      <c r="D7980" s="112"/>
      <c r="E7980" s="113"/>
      <c r="F7980" s="114" t="s">
        <v>1</v>
      </c>
      <c r="G7980" s="356">
        <f>VLOOKUP(H7978,COSTOS!C:M,9,0)</f>
        <v>0</v>
      </c>
      <c r="H7980" s="357"/>
      <c r="I7980" s="307"/>
    </row>
    <row r="7981" spans="1:14" ht="16.5">
      <c r="A7981" s="231" t="s">
        <v>4226</v>
      </c>
      <c r="B7981" s="75"/>
      <c r="C7981" s="75"/>
      <c r="D7981" s="76"/>
      <c r="E7981" s="209"/>
      <c r="F7981" s="210"/>
      <c r="G7981" s="211" t="s">
        <v>4227</v>
      </c>
      <c r="H7981" s="217">
        <f>H7987+H8004+H8008+H8014</f>
        <v>20023.5789</v>
      </c>
    </row>
    <row r="7982" spans="1:14" ht="39">
      <c r="A7982" s="569" t="s">
        <v>4224</v>
      </c>
      <c r="B7982" s="569"/>
      <c r="C7982" s="569"/>
      <c r="D7982" s="77" t="s">
        <v>0</v>
      </c>
      <c r="E7982" s="207" t="s">
        <v>4228</v>
      </c>
      <c r="F7982" s="208" t="s">
        <v>4215</v>
      </c>
      <c r="G7982" s="74" t="s">
        <v>2</v>
      </c>
      <c r="H7982" s="218" t="s">
        <v>4229</v>
      </c>
      <c r="K7982" s="309"/>
    </row>
    <row r="7983" spans="1:14">
      <c r="A7983" s="536" t="s">
        <v>3946</v>
      </c>
      <c r="B7983" s="570" t="str">
        <f>VLOOKUP(A7983,'Equip, Herr y Transp'!$B$2:$D$739,2,0)</f>
        <v>EQU</v>
      </c>
      <c r="C7983" s="570"/>
      <c r="D7983" s="95" t="str">
        <f>VLOOKUP(A7983,'Equip, Herr y Transp'!$B$2:$D$218,2,0)</f>
        <v>EQU</v>
      </c>
      <c r="E7983" s="95">
        <f>VLOOKUP(A7983,'Equip, Herr y Transp'!$B$2:$D$218,3,0)</f>
        <v>14130</v>
      </c>
      <c r="F7983" s="96">
        <f>H7973</f>
        <v>1.46E-2</v>
      </c>
      <c r="G7983" s="122">
        <f>F7983*E7983</f>
        <v>206.298</v>
      </c>
      <c r="H7983" s="118"/>
    </row>
    <row r="7984" spans="1:14">
      <c r="A7984" s="536" t="s">
        <v>3904</v>
      </c>
      <c r="B7984" s="570" t="str">
        <f>VLOOKUP(A7984,'Equip, Herr y Transp'!$B$2:$D$739,2,0)</f>
        <v>EQU</v>
      </c>
      <c r="C7984" s="570"/>
      <c r="D7984" s="95" t="str">
        <f>VLOOKUP(A7984,'Equip, Herr y Transp'!$B$2:$D$218,2,0)</f>
        <v>EQU</v>
      </c>
      <c r="E7984" s="95">
        <f>VLOOKUP(A7984,'Equip, Herr y Transp'!$B$2:$D$218,3,0)</f>
        <v>26672.5</v>
      </c>
      <c r="F7984" s="96">
        <f>H7973</f>
        <v>1.46E-2</v>
      </c>
      <c r="G7984" s="122">
        <f>F7984*E7984</f>
        <v>389.41849999999999</v>
      </c>
      <c r="H7984" s="117"/>
    </row>
    <row r="7985" spans="1:15">
      <c r="A7985" s="536" t="s">
        <v>8</v>
      </c>
      <c r="B7985" s="570">
        <f>VLOOKUP(A7985,'Equip, Herr y Transp'!$B$2:$D$739,2,0)</f>
        <v>0</v>
      </c>
      <c r="C7985" s="570"/>
      <c r="D7985" s="95">
        <f>VLOOKUP(A7985,'Equip, Herr y Transp'!$B$2:$D$218,2,0)</f>
        <v>0</v>
      </c>
      <c r="E7985" s="95">
        <f>VLOOKUP(A7985,'Equip, Herr y Transp'!$B$2:$D$218,3,0)</f>
        <v>0</v>
      </c>
      <c r="F7985" s="96">
        <f>H7973</f>
        <v>1.46E-2</v>
      </c>
      <c r="G7985" s="122">
        <f>F7985*E7985</f>
        <v>0</v>
      </c>
      <c r="H7985" s="117"/>
    </row>
    <row r="7986" spans="1:15">
      <c r="A7986" s="536" t="s">
        <v>8</v>
      </c>
      <c r="B7986" s="570">
        <f>VLOOKUP(A7986,'Equip, Herr y Transp'!$B$2:$D$739,2,0)</f>
        <v>0</v>
      </c>
      <c r="C7986" s="570"/>
      <c r="D7986" s="95">
        <f>VLOOKUP(A7986,'Equip, Herr y Transp'!$B$2:$D$218,2,0)</f>
        <v>0</v>
      </c>
      <c r="E7986" s="95">
        <f>VLOOKUP(A7986,'Equip, Herr y Transp'!$B$2:$D$218,3,0)</f>
        <v>0</v>
      </c>
      <c r="F7986" s="96">
        <f>H7973</f>
        <v>1.46E-2</v>
      </c>
      <c r="G7986" s="122">
        <f>F7986*E7986</f>
        <v>0</v>
      </c>
      <c r="H7986" s="117"/>
    </row>
    <row r="7987" spans="1:15" ht="16.5">
      <c r="A7987" s="540" t="s">
        <v>4100</v>
      </c>
      <c r="B7987" s="541"/>
      <c r="C7987" s="541"/>
      <c r="D7987" s="541"/>
      <c r="E7987" s="541"/>
      <c r="F7987" s="541"/>
      <c r="G7987" s="541"/>
      <c r="H7987" s="97">
        <f>SUM(G7983:G7986)</f>
        <v>595.7165</v>
      </c>
    </row>
    <row r="7988" spans="1:15" ht="16.5">
      <c r="A7988" s="571" t="s">
        <v>4230</v>
      </c>
      <c r="B7988" s="572"/>
      <c r="C7988" s="572"/>
      <c r="D7988" s="572"/>
      <c r="E7988" s="572"/>
      <c r="F7988" s="572"/>
      <c r="G7988" s="572"/>
      <c r="H7988" s="573"/>
      <c r="K7988" s="56"/>
      <c r="L7988" s="56"/>
      <c r="M7988" s="56"/>
      <c r="N7988" s="56"/>
      <c r="O7988" s="56"/>
    </row>
    <row r="7989" spans="1:15" ht="30" customHeight="1">
      <c r="A7989" s="574" t="s">
        <v>7</v>
      </c>
      <c r="B7989" s="575"/>
      <c r="C7989" s="109" t="s">
        <v>0</v>
      </c>
      <c r="D7989" s="110" t="s">
        <v>4098</v>
      </c>
      <c r="E7989" s="111" t="s">
        <v>1</v>
      </c>
      <c r="F7989" s="576" t="s">
        <v>4218</v>
      </c>
      <c r="G7989" s="576"/>
      <c r="H7989" s="215"/>
      <c r="K7989" s="56"/>
      <c r="L7989" s="56"/>
      <c r="M7989" s="56"/>
      <c r="N7989" s="56"/>
      <c r="O7989" s="56"/>
    </row>
    <row r="7990" spans="1:15">
      <c r="A7990" s="577" t="s">
        <v>4446</v>
      </c>
      <c r="B7990" s="578"/>
      <c r="C7990" s="98" t="str">
        <f>VLOOKUP(A7990,'Materiales '!$C$2:$F$1302,3,0)</f>
        <v>Ml</v>
      </c>
      <c r="D7990" s="99">
        <f>VLOOKUP(A7990,'Materiales '!$C$2:$F$1302,4,0)</f>
        <v>2856</v>
      </c>
      <c r="E7990" s="100">
        <v>1</v>
      </c>
      <c r="F7990" s="538">
        <f>E7990*D7990</f>
        <v>2856</v>
      </c>
      <c r="G7990" s="539"/>
      <c r="H7990" s="121"/>
      <c r="I7990">
        <f>E7990*G7980</f>
        <v>0</v>
      </c>
      <c r="J7990" s="67"/>
      <c r="K7990" s="56"/>
      <c r="L7990" s="56"/>
      <c r="M7990" s="56"/>
      <c r="N7990" s="56"/>
      <c r="O7990" s="56"/>
    </row>
    <row r="7991" spans="1:15">
      <c r="A7991" s="577" t="s">
        <v>4469</v>
      </c>
      <c r="B7991" s="578"/>
      <c r="C7991" s="98" t="str">
        <f>VLOOKUP(A7991,'Materiales '!$C$2:$F$1302,3,0)</f>
        <v>Rollo</v>
      </c>
      <c r="D7991" s="99">
        <f>VLOOKUP(A7991,'Materiales '!$C$2:$F$1302,4,0)</f>
        <v>19992</v>
      </c>
      <c r="E7991" s="100">
        <f>1/30</f>
        <v>3.3333333333333333E-2</v>
      </c>
      <c r="F7991" s="538">
        <f t="shared" ref="F7991:F7997" si="466">E7991*D7991</f>
        <v>666.4</v>
      </c>
      <c r="G7991" s="539"/>
      <c r="H7991" s="121"/>
      <c r="I7991">
        <f>E7991*G7980</f>
        <v>0</v>
      </c>
      <c r="J7991" s="67"/>
      <c r="K7991" s="56"/>
      <c r="L7991" s="56"/>
      <c r="M7991" s="56"/>
      <c r="N7991" s="56"/>
      <c r="O7991" s="56"/>
    </row>
    <row r="7992" spans="1:15">
      <c r="A7992" s="536" t="s">
        <v>4444</v>
      </c>
      <c r="B7992" s="537" t="str">
        <f>VLOOKUP(A7992,'Materiales '!$C$2:$F$1302,3,0)</f>
        <v>Ml</v>
      </c>
      <c r="C7992" s="98" t="str">
        <f>VLOOKUP(A7992,'Materiales '!$C$2:$F$1302,3,0)</f>
        <v>Ml</v>
      </c>
      <c r="D7992" s="99">
        <f>VLOOKUP(A7992,'Materiales '!$C$2:$F$1302,4,0)</f>
        <v>3284.4</v>
      </c>
      <c r="E7992" s="100">
        <v>3</v>
      </c>
      <c r="F7992" s="538">
        <f t="shared" si="466"/>
        <v>9853.2000000000007</v>
      </c>
      <c r="G7992" s="539"/>
      <c r="H7992" s="121"/>
      <c r="I7992">
        <f>E7992*G7980</f>
        <v>0</v>
      </c>
      <c r="J7992" s="68"/>
      <c r="K7992" s="56"/>
      <c r="L7992" s="56"/>
      <c r="M7992" s="56"/>
      <c r="N7992" s="56"/>
      <c r="O7992" s="56"/>
    </row>
    <row r="7993" spans="1:15">
      <c r="A7993" s="536" t="s">
        <v>8</v>
      </c>
      <c r="B7993" s="537" t="str">
        <f>VLOOKUP(A7993,'Materiales '!$C$2:$F$1302,3,0)</f>
        <v>-</v>
      </c>
      <c r="C7993" s="98" t="str">
        <f>VLOOKUP(A7993,'Materiales '!$C$2:$F$1302,3,0)</f>
        <v>-</v>
      </c>
      <c r="D7993" s="99">
        <f>VLOOKUP(A7993,'Materiales '!$C$2:$F$1302,4,0)</f>
        <v>0</v>
      </c>
      <c r="E7993" s="100"/>
      <c r="F7993" s="538">
        <f t="shared" si="466"/>
        <v>0</v>
      </c>
      <c r="G7993" s="539"/>
      <c r="H7993" s="121"/>
      <c r="I7993">
        <f>E7993*G7980</f>
        <v>0</v>
      </c>
      <c r="J7993" s="68"/>
      <c r="K7993" s="56"/>
      <c r="L7993" s="56"/>
      <c r="M7993" s="56"/>
      <c r="N7993" s="56"/>
      <c r="O7993" s="56"/>
    </row>
    <row r="7994" spans="1:15">
      <c r="A7994" s="536" t="s">
        <v>8</v>
      </c>
      <c r="B7994" s="537" t="str">
        <f>VLOOKUP(A7994,'Materiales '!$C$2:$F$1302,3,0)</f>
        <v>-</v>
      </c>
      <c r="C7994" s="98" t="str">
        <f>VLOOKUP(A7994,'Materiales '!$C$2:$F$1302,3,0)</f>
        <v>-</v>
      </c>
      <c r="D7994" s="99">
        <f>VLOOKUP(A7994,'Materiales '!$C$2:$F$1302,4,0)</f>
        <v>0</v>
      </c>
      <c r="E7994" s="100"/>
      <c r="F7994" s="538">
        <f t="shared" si="466"/>
        <v>0</v>
      </c>
      <c r="G7994" s="539"/>
      <c r="H7994" s="121"/>
      <c r="I7994">
        <f>E7994*G7980</f>
        <v>0</v>
      </c>
      <c r="J7994" s="68"/>
      <c r="K7994" s="56"/>
      <c r="L7994" s="56"/>
      <c r="M7994" s="56"/>
      <c r="N7994" s="56"/>
      <c r="O7994" s="56"/>
    </row>
    <row r="7995" spans="1:15">
      <c r="A7995" s="536" t="s">
        <v>8</v>
      </c>
      <c r="B7995" s="537" t="str">
        <f>VLOOKUP(A7995,'Materiales '!$C$2:$F$1302,3,0)</f>
        <v>-</v>
      </c>
      <c r="C7995" s="98" t="str">
        <f>VLOOKUP(A7995,'Materiales '!$C$2:$F$1302,3,0)</f>
        <v>-</v>
      </c>
      <c r="D7995" s="99">
        <f>VLOOKUP(A7995,'Materiales '!$C$2:$F$1302,4,0)</f>
        <v>0</v>
      </c>
      <c r="E7995" s="100"/>
      <c r="F7995" s="538">
        <f t="shared" si="466"/>
        <v>0</v>
      </c>
      <c r="G7995" s="539"/>
      <c r="H7995" s="121"/>
      <c r="I7995">
        <f>E7995*G7980</f>
        <v>0</v>
      </c>
      <c r="J7995" s="68"/>
      <c r="K7995" s="56"/>
      <c r="L7995" s="56"/>
      <c r="M7995" s="56"/>
      <c r="N7995" s="56"/>
      <c r="O7995" s="56"/>
    </row>
    <row r="7996" spans="1:15">
      <c r="A7996" s="536" t="s">
        <v>8</v>
      </c>
      <c r="B7996" s="537" t="str">
        <f>VLOOKUP(A7996,'Materiales '!$C$2:$F$1302,3,0)</f>
        <v>-</v>
      </c>
      <c r="C7996" s="98" t="str">
        <f>VLOOKUP(A7996,'Materiales '!$C$2:$F$1302,3,0)</f>
        <v>-</v>
      </c>
      <c r="D7996" s="99">
        <f>VLOOKUP(A7996,'Materiales '!$C$2:$F$1302,4,0)</f>
        <v>0</v>
      </c>
      <c r="E7996" s="100"/>
      <c r="F7996" s="538">
        <f t="shared" si="466"/>
        <v>0</v>
      </c>
      <c r="G7996" s="539"/>
      <c r="H7996" s="121"/>
      <c r="I7996">
        <f>E7996*G7980</f>
        <v>0</v>
      </c>
      <c r="J7996" s="68"/>
      <c r="K7996" s="56"/>
      <c r="L7996" s="56"/>
      <c r="M7996" s="56"/>
      <c r="N7996" s="56"/>
      <c r="O7996" s="56"/>
    </row>
    <row r="7997" spans="1:15" ht="21.75" customHeight="1">
      <c r="A7997" s="536" t="s">
        <v>8</v>
      </c>
      <c r="B7997" s="537" t="str">
        <f>VLOOKUP(A7997,'Materiales '!$C$2:$F$1302,3,0)</f>
        <v>-</v>
      </c>
      <c r="C7997" s="98" t="str">
        <f>VLOOKUP(A7997,'Materiales '!$C$2:$F$1302,3,0)</f>
        <v>-</v>
      </c>
      <c r="D7997" s="99">
        <f>VLOOKUP(A7997,'Materiales '!$C$2:$F$1302,4,0)</f>
        <v>0</v>
      </c>
      <c r="E7997" s="100"/>
      <c r="F7997" s="538">
        <f t="shared" si="466"/>
        <v>0</v>
      </c>
      <c r="G7997" s="539"/>
      <c r="H7997" s="121"/>
      <c r="I7997">
        <f>E7997*G7980</f>
        <v>0</v>
      </c>
      <c r="J7997" s="68"/>
      <c r="K7997" s="56"/>
      <c r="L7997" s="56"/>
      <c r="M7997" s="56"/>
      <c r="N7997" s="56"/>
      <c r="O7997" s="56"/>
    </row>
    <row r="7998" spans="1:15">
      <c r="A7998" s="536" t="s">
        <v>8</v>
      </c>
      <c r="B7998" s="537" t="str">
        <f>VLOOKUP(A7998,'Materiales '!$C$2:$F$1302,3,0)</f>
        <v>-</v>
      </c>
      <c r="C7998" s="98" t="str">
        <f>VLOOKUP(A7998,'Materiales '!$C$2:$F$1302,3,0)</f>
        <v>-</v>
      </c>
      <c r="D7998" s="99">
        <f>VLOOKUP(A7998,'Materiales '!$C$2:$F$1302,4,0)</f>
        <v>0</v>
      </c>
      <c r="E7998" s="100"/>
      <c r="F7998" s="538">
        <f>E7998*D7998</f>
        <v>0</v>
      </c>
      <c r="G7998" s="539"/>
      <c r="H7998" s="120"/>
      <c r="I7998">
        <f>E7998*G7980</f>
        <v>0</v>
      </c>
      <c r="J7998" s="68"/>
      <c r="K7998" s="56"/>
      <c r="L7998" s="56"/>
      <c r="M7998" s="56"/>
      <c r="N7998" s="56"/>
      <c r="O7998" s="56"/>
    </row>
    <row r="7999" spans="1:15">
      <c r="A7999" s="536" t="s">
        <v>8</v>
      </c>
      <c r="B7999" s="537" t="str">
        <f>VLOOKUP(A7999,'Materiales '!$C$2:$F$1302,3,0)</f>
        <v>-</v>
      </c>
      <c r="C7999" s="98" t="str">
        <f>VLOOKUP(A7999,'Materiales '!$C$2:$F$1302,3,0)</f>
        <v>-</v>
      </c>
      <c r="D7999" s="99">
        <f>VLOOKUP(A7999,'Materiales '!$C$2:$F$1302,4,0)</f>
        <v>0</v>
      </c>
      <c r="E7999" s="100"/>
      <c r="F7999" s="538">
        <f t="shared" ref="F7999:F8002" si="467">E7999*D7999</f>
        <v>0</v>
      </c>
      <c r="G7999" s="539"/>
      <c r="H7999" s="121"/>
      <c r="I7999">
        <f>E7999*G7980</f>
        <v>0</v>
      </c>
      <c r="J7999" s="68"/>
      <c r="K7999" s="56"/>
      <c r="L7999" s="56"/>
      <c r="M7999" s="56"/>
      <c r="N7999" s="56"/>
      <c r="O7999" s="56"/>
    </row>
    <row r="8000" spans="1:15">
      <c r="A8000" s="536" t="s">
        <v>8</v>
      </c>
      <c r="B8000" s="537" t="str">
        <f>VLOOKUP(A8000,'Materiales '!$C$2:$F$1302,3,0)</f>
        <v>-</v>
      </c>
      <c r="C8000" s="98" t="str">
        <f>VLOOKUP(A8000,'Materiales '!$C$2:$F$1302,3,0)</f>
        <v>-</v>
      </c>
      <c r="D8000" s="99">
        <f>VLOOKUP(A8000,'Materiales '!$C$2:$F$1302,4,0)</f>
        <v>0</v>
      </c>
      <c r="E8000" s="100"/>
      <c r="F8000" s="538">
        <f t="shared" si="467"/>
        <v>0</v>
      </c>
      <c r="G8000" s="539"/>
      <c r="H8000" s="121"/>
      <c r="I8000">
        <f>E8000*G7980</f>
        <v>0</v>
      </c>
      <c r="J8000" s="68"/>
      <c r="K8000" s="56"/>
      <c r="L8000" s="56"/>
      <c r="M8000" s="56"/>
      <c r="N8000" s="56"/>
      <c r="O8000" s="56"/>
    </row>
    <row r="8001" spans="1:15">
      <c r="A8001" s="536" t="s">
        <v>8</v>
      </c>
      <c r="B8001" s="537" t="str">
        <f>VLOOKUP(A8001,'Materiales '!$C$2:$F$1302,3,0)</f>
        <v>-</v>
      </c>
      <c r="C8001" s="98" t="str">
        <f>VLOOKUP(A8001,'Materiales '!$C$2:$F$1302,3,0)</f>
        <v>-</v>
      </c>
      <c r="D8001" s="99">
        <f>VLOOKUP(A8001,'Materiales '!$C$2:$F$1302,4,0)</f>
        <v>0</v>
      </c>
      <c r="E8001" s="100"/>
      <c r="F8001" s="538">
        <f t="shared" si="467"/>
        <v>0</v>
      </c>
      <c r="G8001" s="539"/>
      <c r="H8001" s="121"/>
      <c r="I8001">
        <f>E8001*G7980</f>
        <v>0</v>
      </c>
      <c r="J8001" s="68"/>
      <c r="K8001" s="56"/>
      <c r="L8001" s="56"/>
      <c r="M8001" s="56"/>
      <c r="N8001" s="56"/>
      <c r="O8001" s="56"/>
    </row>
    <row r="8002" spans="1:15">
      <c r="A8002" s="536" t="s">
        <v>8</v>
      </c>
      <c r="B8002" s="537" t="str">
        <f>VLOOKUP(A8002,'Materiales '!$C$2:$F$1302,3,0)</f>
        <v>-</v>
      </c>
      <c r="C8002" s="98" t="str">
        <f>VLOOKUP(A8002,'Materiales '!$C$2:$F$1302,3,0)</f>
        <v>-</v>
      </c>
      <c r="D8002" s="99">
        <f>VLOOKUP(A8002,'Materiales '!$C$2:$F$1302,4,0)</f>
        <v>0</v>
      </c>
      <c r="E8002" s="100"/>
      <c r="F8002" s="538">
        <f t="shared" si="467"/>
        <v>0</v>
      </c>
      <c r="G8002" s="539"/>
      <c r="H8002" s="121"/>
      <c r="I8002">
        <f>E8002*G7980</f>
        <v>0</v>
      </c>
      <c r="J8002" s="68"/>
      <c r="K8002" s="56"/>
      <c r="L8002" s="56"/>
      <c r="M8002" s="56"/>
      <c r="N8002" s="56"/>
      <c r="O8002" s="56"/>
    </row>
    <row r="8003" spans="1:15">
      <c r="A8003" s="536" t="s">
        <v>8</v>
      </c>
      <c r="B8003" s="537" t="str">
        <f>VLOOKUP(A8003,'Materiales '!$C$2:$F$1302,3,0)</f>
        <v>-</v>
      </c>
      <c r="C8003" s="98" t="str">
        <f>VLOOKUP(A8003,'Materiales '!$C$2:$F$1302,3,0)</f>
        <v>-</v>
      </c>
      <c r="D8003" s="99">
        <f>VLOOKUP(A8003,'Materiales '!$C$2:$F$1302,4,0)</f>
        <v>0</v>
      </c>
      <c r="E8003" s="100"/>
      <c r="F8003" s="538">
        <f>E8003*D8003</f>
        <v>0</v>
      </c>
      <c r="G8003" s="539"/>
      <c r="H8003" s="120"/>
      <c r="I8003">
        <f>E8003*G7980</f>
        <v>0</v>
      </c>
      <c r="J8003" s="68"/>
      <c r="K8003" s="56"/>
      <c r="L8003" s="56"/>
      <c r="M8003" s="56"/>
      <c r="N8003" s="56"/>
      <c r="O8003" s="56"/>
    </row>
    <row r="8004" spans="1:15" ht="16.5">
      <c r="A8004" s="540" t="s">
        <v>4099</v>
      </c>
      <c r="B8004" s="541"/>
      <c r="C8004" s="541"/>
      <c r="D8004" s="541"/>
      <c r="E8004" s="541"/>
      <c r="F8004" s="541"/>
      <c r="G8004" s="542"/>
      <c r="H8004" s="116">
        <f>SUM(F7990:F8003)</f>
        <v>13375.6</v>
      </c>
      <c r="J8004" s="68"/>
      <c r="K8004" s="56"/>
      <c r="L8004" s="56"/>
      <c r="M8004" s="56"/>
      <c r="N8004" s="56"/>
      <c r="O8004" s="56"/>
    </row>
    <row r="8005" spans="1:15" ht="16.5">
      <c r="A8005" s="543" t="s">
        <v>4231</v>
      </c>
      <c r="B8005" s="544"/>
      <c r="C8005" s="544"/>
      <c r="D8005" s="544"/>
      <c r="E8005" s="545"/>
      <c r="F8005" s="544"/>
      <c r="G8005" s="544"/>
      <c r="H8005" s="546"/>
      <c r="J8005" s="68"/>
      <c r="K8005" s="56"/>
      <c r="L8005" s="56"/>
      <c r="M8005" s="56"/>
      <c r="N8005" s="56"/>
      <c r="O8005" s="56"/>
    </row>
    <row r="8006" spans="1:15">
      <c r="A8006" s="547" t="s">
        <v>7</v>
      </c>
      <c r="B8006" s="548"/>
      <c r="C8006" s="108" t="s">
        <v>4232</v>
      </c>
      <c r="D8006" s="107" t="s">
        <v>4233</v>
      </c>
      <c r="E8006" s="206" t="s">
        <v>4234</v>
      </c>
      <c r="F8006" s="549" t="s">
        <v>4218</v>
      </c>
      <c r="G8006" s="549"/>
      <c r="H8006" s="119"/>
      <c r="K8006" s="56"/>
      <c r="L8006" s="56"/>
      <c r="M8006" s="56"/>
      <c r="N8006" s="56"/>
      <c r="O8006" s="56"/>
    </row>
    <row r="8007" spans="1:15">
      <c r="A8007" s="550" t="s">
        <v>3928</v>
      </c>
      <c r="B8007" s="551"/>
      <c r="C8007" s="232">
        <v>1</v>
      </c>
      <c r="D8007" s="102">
        <v>5.0000000000000001E-3</v>
      </c>
      <c r="E8007" s="103">
        <f>VLOOKUP(A8007,'Equip, Herr y Transp'!$B$2:$D$218,3,0)</f>
        <v>160000</v>
      </c>
      <c r="F8007" s="552">
        <f>E8007*D8007*C8007</f>
        <v>800</v>
      </c>
      <c r="G8007" s="553"/>
      <c r="H8007" s="117"/>
      <c r="M8007" s="56"/>
    </row>
    <row r="8008" spans="1:15" ht="16.5">
      <c r="A8008" s="554" t="s">
        <v>4216</v>
      </c>
      <c r="B8008" s="555"/>
      <c r="C8008" s="555"/>
      <c r="D8008" s="555"/>
      <c r="E8008" s="555"/>
      <c r="F8008" s="555"/>
      <c r="G8008" s="555"/>
      <c r="H8008" s="105">
        <f>F8007</f>
        <v>800</v>
      </c>
    </row>
    <row r="8009" spans="1:15" ht="16.5">
      <c r="A8009" s="543" t="s">
        <v>4235</v>
      </c>
      <c r="B8009" s="544"/>
      <c r="C8009" s="544"/>
      <c r="D8009" s="544"/>
      <c r="E8009" s="544"/>
      <c r="F8009" s="544"/>
      <c r="G8009" s="544"/>
      <c r="H8009" s="546"/>
    </row>
    <row r="8010" spans="1:15">
      <c r="A8010" s="547" t="s">
        <v>7</v>
      </c>
      <c r="B8010" s="548"/>
      <c r="C8010" s="106" t="s">
        <v>1</v>
      </c>
      <c r="D8010" s="107" t="s">
        <v>4236</v>
      </c>
      <c r="E8010" s="108" t="s">
        <v>4215</v>
      </c>
      <c r="F8010" s="547" t="s">
        <v>5</v>
      </c>
      <c r="G8010" s="556"/>
      <c r="H8010" s="119"/>
    </row>
    <row r="8011" spans="1:15">
      <c r="A8011" s="550" t="s">
        <v>4196</v>
      </c>
      <c r="B8011" s="551"/>
      <c r="C8011" s="101">
        <v>1</v>
      </c>
      <c r="D8011" s="104">
        <f>VLOOKUP(A8011,'Mano Obra'!$B$2:$T$117,19,0)</f>
        <v>166624</v>
      </c>
      <c r="E8011" s="246">
        <f>H7973</f>
        <v>1.46E-2</v>
      </c>
      <c r="F8011" s="538">
        <f>E8011*D8011*C8011</f>
        <v>2432.7103999999999</v>
      </c>
      <c r="G8011" s="557"/>
      <c r="H8011" s="121"/>
      <c r="I8011" s="69"/>
      <c r="J8011" s="136">
        <f>((('Mano Obra'!$M$4/30)*F8011)/D8011)*G7980</f>
        <v>0</v>
      </c>
    </row>
    <row r="8012" spans="1:15">
      <c r="A8012" s="558" t="s">
        <v>4197</v>
      </c>
      <c r="B8012" s="559">
        <f>VLOOKUP(A8012,'Mano Obra'!$B$3:$D$290,2,0)</f>
        <v>2090000.0000000002</v>
      </c>
      <c r="C8012" s="101">
        <v>1</v>
      </c>
      <c r="D8012" s="104">
        <f>VLOOKUP(A8012,'Mano Obra'!$B$2:$T$117,19,0)</f>
        <v>120456</v>
      </c>
      <c r="E8012" s="246">
        <f>H7973</f>
        <v>1.46E-2</v>
      </c>
      <c r="F8012" s="538">
        <f t="shared" ref="F8012:F8013" si="468">E8012*D8012*C8012</f>
        <v>1758.6576</v>
      </c>
      <c r="G8012" s="557"/>
      <c r="H8012" s="121"/>
      <c r="J8012" s="136">
        <f>((('Mano Obra'!$M$5/30)*F8012)/D8012)*G7980</f>
        <v>0</v>
      </c>
    </row>
    <row r="8013" spans="1:15">
      <c r="A8013" s="558" t="s">
        <v>4186</v>
      </c>
      <c r="B8013" s="559">
        <f>VLOOKUP(A8013,'Mano Obra'!$B$3:$D$290,2,0)</f>
        <v>1100000</v>
      </c>
      <c r="C8013" s="101">
        <v>1</v>
      </c>
      <c r="D8013" s="104">
        <f>VLOOKUP(A8013,'Mano Obra'!$B$2:$T$117,19,0)</f>
        <v>72664</v>
      </c>
      <c r="E8013" s="246">
        <f>H7973</f>
        <v>1.46E-2</v>
      </c>
      <c r="F8013" s="538">
        <f t="shared" si="468"/>
        <v>1060.8943999999999</v>
      </c>
      <c r="G8013" s="557"/>
      <c r="H8013" s="120"/>
      <c r="J8013" s="136">
        <f>((('Mano Obra'!$M$6/30)*F8013)/D8013)*G7980</f>
        <v>0</v>
      </c>
    </row>
    <row r="8014" spans="1:15" ht="16.5">
      <c r="A8014" s="560" t="s">
        <v>4101</v>
      </c>
      <c r="B8014" s="560"/>
      <c r="C8014" s="560"/>
      <c r="D8014" s="560"/>
      <c r="E8014" s="560"/>
      <c r="F8014" s="560"/>
      <c r="G8014" s="560"/>
      <c r="H8014" s="105">
        <f>SUM(F8011:F8013)</f>
        <v>5252.2624000000005</v>
      </c>
      <c r="J8014" s="136"/>
    </row>
    <row r="8015" spans="1:15">
      <c r="A8015" s="227" t="s">
        <v>4237</v>
      </c>
      <c r="B8015" s="205"/>
      <c r="C8015" s="205"/>
      <c r="D8015" s="202"/>
      <c r="E8015" s="203"/>
      <c r="F8015" s="204"/>
      <c r="G8015" s="203"/>
      <c r="H8015" s="212"/>
    </row>
    <row r="8016" spans="1:15">
      <c r="A8016" s="561" t="s">
        <v>4224</v>
      </c>
      <c r="B8016" s="562"/>
      <c r="C8016" s="562"/>
      <c r="D8016" s="562"/>
      <c r="E8016" s="200"/>
      <c r="F8016" s="201" t="s">
        <v>4238</v>
      </c>
      <c r="G8016" s="200" t="s">
        <v>4239</v>
      </c>
      <c r="H8016" s="213"/>
    </row>
    <row r="8017" spans="1:14">
      <c r="A8017" s="223" t="s">
        <v>4097</v>
      </c>
      <c r="B8017" s="72"/>
      <c r="C8017" s="72"/>
      <c r="D8017" s="73"/>
      <c r="E8017" s="78"/>
      <c r="F8017" s="79">
        <v>0</v>
      </c>
      <c r="G8017" s="80">
        <f>F8017*H7981</f>
        <v>0</v>
      </c>
      <c r="H8017" s="212"/>
    </row>
    <row r="8018" spans="1:14">
      <c r="A8018" s="224" t="s">
        <v>4240</v>
      </c>
      <c r="B8018" s="81"/>
      <c r="C8018" s="81"/>
      <c r="D8018" s="82"/>
      <c r="E8018" s="78"/>
      <c r="F8018" s="79">
        <v>0</v>
      </c>
      <c r="G8018" s="80">
        <f>F8018*H7981</f>
        <v>0</v>
      </c>
      <c r="H8018" s="212"/>
    </row>
    <row r="8019" spans="1:14">
      <c r="A8019" s="224" t="s">
        <v>4</v>
      </c>
      <c r="B8019" s="81"/>
      <c r="C8019" s="81"/>
      <c r="D8019" s="82"/>
      <c r="E8019" s="78"/>
      <c r="F8019" s="79">
        <v>0</v>
      </c>
      <c r="G8019" s="80">
        <f>F8019*H7981</f>
        <v>0</v>
      </c>
      <c r="H8019" s="212"/>
    </row>
    <row r="8020" spans="1:14">
      <c r="A8020" s="225"/>
      <c r="B8020" s="83"/>
      <c r="C8020" s="75"/>
      <c r="D8020" s="84"/>
      <c r="E8020" s="85"/>
      <c r="F8020" s="86"/>
      <c r="G8020" s="87"/>
      <c r="H8020" s="214"/>
    </row>
    <row r="8021" spans="1:14">
      <c r="A8021" s="226"/>
      <c r="B8021" s="83"/>
      <c r="C8021" s="83"/>
      <c r="D8021" s="84"/>
      <c r="E8021" s="88"/>
      <c r="F8021" s="563" t="s">
        <v>4241</v>
      </c>
      <c r="G8021" s="564"/>
      <c r="H8021" s="233">
        <f>H7981+G8017+G8018+G8019</f>
        <v>20023.5789</v>
      </c>
    </row>
    <row r="8023" spans="1:14" ht="16.5">
      <c r="A8023" s="90"/>
      <c r="B8023" s="90"/>
      <c r="C8023" s="90"/>
      <c r="D8023" s="90"/>
      <c r="E8023" s="90"/>
      <c r="F8023" s="90"/>
      <c r="G8023" s="90"/>
      <c r="H8023" s="381"/>
    </row>
    <row r="8024" spans="1:14">
      <c r="A8024" s="579" t="s">
        <v>4225</v>
      </c>
      <c r="B8024" s="580"/>
      <c r="C8024" s="580"/>
      <c r="D8024" s="580"/>
      <c r="E8024" s="580"/>
      <c r="F8024" s="580"/>
      <c r="G8024" s="580"/>
      <c r="H8024" s="581"/>
    </row>
    <row r="8025" spans="1:14" ht="16.5">
      <c r="A8025" s="91"/>
      <c r="B8025" s="92"/>
      <c r="C8025" s="92"/>
      <c r="D8025" s="92"/>
      <c r="E8025" s="92"/>
      <c r="F8025" s="93"/>
      <c r="G8025" s="94"/>
      <c r="H8025" s="380">
        <f>ROUND((9/60)/8,4)</f>
        <v>1.8800000000000001E-2</v>
      </c>
      <c r="I8025" s="115"/>
    </row>
    <row r="8026" spans="1:14">
      <c r="A8026" s="582" t="s">
        <v>4220</v>
      </c>
      <c r="B8026" s="584" t="str">
        <f>COSTOS!$C$14</f>
        <v>MODERNIZACION A TECNOLOGIA LED</v>
      </c>
      <c r="C8026" s="584"/>
      <c r="D8026" s="584"/>
      <c r="E8026" s="584"/>
      <c r="F8026" s="584"/>
      <c r="G8026" s="584"/>
      <c r="H8026" s="585" t="s">
        <v>4221</v>
      </c>
    </row>
    <row r="8027" spans="1:14">
      <c r="A8027" s="583"/>
      <c r="B8027" s="584"/>
      <c r="C8027" s="584"/>
      <c r="D8027" s="584"/>
      <c r="E8027" s="584"/>
      <c r="F8027" s="584"/>
      <c r="G8027" s="584"/>
      <c r="H8027" s="585"/>
    </row>
    <row r="8028" spans="1:14">
      <c r="A8028" s="583"/>
      <c r="B8028" s="584"/>
      <c r="C8028" s="584"/>
      <c r="D8028" s="584"/>
      <c r="E8028" s="584"/>
      <c r="F8028" s="584"/>
      <c r="G8028" s="584"/>
      <c r="H8028" s="585"/>
    </row>
    <row r="8029" spans="1:14" ht="15" customHeight="1">
      <c r="A8029" s="583"/>
      <c r="B8029" s="584"/>
      <c r="C8029" s="584"/>
      <c r="D8029" s="584"/>
      <c r="E8029" s="584"/>
      <c r="F8029" s="584"/>
      <c r="G8029" s="584"/>
      <c r="H8029" s="216">
        <f ca="1">TODAY()</f>
        <v>44889</v>
      </c>
      <c r="K8029" t="s">
        <v>4391</v>
      </c>
      <c r="L8029" t="s">
        <v>4392</v>
      </c>
      <c r="M8029" t="s">
        <v>4393</v>
      </c>
      <c r="N8029" t="s">
        <v>4394</v>
      </c>
    </row>
    <row r="8030" spans="1:14" ht="60.75" customHeight="1">
      <c r="A8030" s="228" t="s">
        <v>4222</v>
      </c>
      <c r="B8030" s="565" t="str">
        <f>COSTOS!$D$16</f>
        <v>Luminarias</v>
      </c>
      <c r="C8030" s="565"/>
      <c r="D8030" s="565"/>
      <c r="E8030" s="565"/>
      <c r="F8030" s="565"/>
      <c r="G8030" s="70" t="s">
        <v>4223</v>
      </c>
      <c r="H8030" s="391">
        <v>3.41</v>
      </c>
      <c r="K8030" s="62">
        <f>H8056</f>
        <v>33938.800000000003</v>
      </c>
      <c r="L8030" s="62">
        <f>H8066</f>
        <v>6763.1871999999994</v>
      </c>
      <c r="M8030" s="62">
        <f>H8039</f>
        <v>767.08699999999999</v>
      </c>
      <c r="N8030" s="62">
        <f>H8060</f>
        <v>800</v>
      </c>
    </row>
    <row r="8031" spans="1:14" ht="43.15" customHeight="1">
      <c r="A8031" s="229" t="s">
        <v>4224</v>
      </c>
      <c r="B8031" s="566" t="str">
        <f>VLOOKUP(H8030,COSTOS!C:M,2,0)</f>
        <v>Red subterránea de baja tensión con cable aislado de aluminio S8000 3 x 1/0AWG (2f+n) + 1 x 4AWG (t) x 500 MTS</v>
      </c>
      <c r="C8031" s="567"/>
      <c r="D8031" s="567"/>
      <c r="E8031" s="568"/>
      <c r="F8031" s="71" t="s">
        <v>0</v>
      </c>
      <c r="G8031" s="356" t="str">
        <f>VLOOKUP(H8030,COSTOS!C:M,8,0)</f>
        <v>Und</v>
      </c>
      <c r="H8031" s="276"/>
      <c r="I8031" s="306"/>
      <c r="J8031" s="308"/>
      <c r="K8031" s="308"/>
      <c r="L8031" s="308"/>
    </row>
    <row r="8032" spans="1:14">
      <c r="A8032" s="230"/>
      <c r="B8032" s="112"/>
      <c r="C8032" s="112"/>
      <c r="D8032" s="112"/>
      <c r="E8032" s="113"/>
      <c r="F8032" s="114" t="s">
        <v>1</v>
      </c>
      <c r="G8032" s="356">
        <f>VLOOKUP(H8030,COSTOS!C:M,9,0)</f>
        <v>0</v>
      </c>
      <c r="H8032" s="357"/>
      <c r="I8032" s="307"/>
    </row>
    <row r="8033" spans="1:15" ht="16.5">
      <c r="A8033" s="231" t="s">
        <v>4226</v>
      </c>
      <c r="B8033" s="75"/>
      <c r="C8033" s="75"/>
      <c r="D8033" s="76"/>
      <c r="E8033" s="209"/>
      <c r="F8033" s="210"/>
      <c r="G8033" s="211" t="s">
        <v>4227</v>
      </c>
      <c r="H8033" s="217">
        <f>H8039+H8056+H8060+H8066</f>
        <v>42269.074200000003</v>
      </c>
    </row>
    <row r="8034" spans="1:15" ht="39">
      <c r="A8034" s="569" t="s">
        <v>4224</v>
      </c>
      <c r="B8034" s="569"/>
      <c r="C8034" s="569"/>
      <c r="D8034" s="77" t="s">
        <v>0</v>
      </c>
      <c r="E8034" s="207" t="s">
        <v>4228</v>
      </c>
      <c r="F8034" s="208" t="s">
        <v>4215</v>
      </c>
      <c r="G8034" s="74" t="s">
        <v>2</v>
      </c>
      <c r="H8034" s="218" t="s">
        <v>4229</v>
      </c>
      <c r="K8034" s="309"/>
    </row>
    <row r="8035" spans="1:15">
      <c r="A8035" s="536" t="s">
        <v>3946</v>
      </c>
      <c r="B8035" s="570" t="str">
        <f>VLOOKUP(A8035,'Equip, Herr y Transp'!$B$2:$D$739,2,0)</f>
        <v>EQU</v>
      </c>
      <c r="C8035" s="570"/>
      <c r="D8035" s="95" t="str">
        <f>VLOOKUP(A8035,'Equip, Herr y Transp'!$B$2:$D$218,2,0)</f>
        <v>EQU</v>
      </c>
      <c r="E8035" s="95">
        <f>VLOOKUP(A8035,'Equip, Herr y Transp'!$B$2:$D$218,3,0)</f>
        <v>14130</v>
      </c>
      <c r="F8035" s="96">
        <f>H8025</f>
        <v>1.8800000000000001E-2</v>
      </c>
      <c r="G8035" s="122">
        <f>F8035*E8035</f>
        <v>265.64400000000001</v>
      </c>
      <c r="H8035" s="118"/>
    </row>
    <row r="8036" spans="1:15">
      <c r="A8036" s="536" t="s">
        <v>3904</v>
      </c>
      <c r="B8036" s="570" t="str">
        <f>VLOOKUP(A8036,'Equip, Herr y Transp'!$B$2:$D$739,2,0)</f>
        <v>EQU</v>
      </c>
      <c r="C8036" s="570"/>
      <c r="D8036" s="95" t="str">
        <f>VLOOKUP(A8036,'Equip, Herr y Transp'!$B$2:$D$218,2,0)</f>
        <v>EQU</v>
      </c>
      <c r="E8036" s="95">
        <f>VLOOKUP(A8036,'Equip, Herr y Transp'!$B$2:$D$218,3,0)</f>
        <v>26672.5</v>
      </c>
      <c r="F8036" s="96">
        <f>H8025</f>
        <v>1.8800000000000001E-2</v>
      </c>
      <c r="G8036" s="122">
        <f>F8036*E8036</f>
        <v>501.44300000000004</v>
      </c>
      <c r="H8036" s="117"/>
    </row>
    <row r="8037" spans="1:15">
      <c r="A8037" s="536" t="s">
        <v>8</v>
      </c>
      <c r="B8037" s="570">
        <f>VLOOKUP(A8037,'Equip, Herr y Transp'!$B$2:$D$739,2,0)</f>
        <v>0</v>
      </c>
      <c r="C8037" s="570"/>
      <c r="D8037" s="95">
        <f>VLOOKUP(A8037,'Equip, Herr y Transp'!$B$2:$D$218,2,0)</f>
        <v>0</v>
      </c>
      <c r="E8037" s="95">
        <f>VLOOKUP(A8037,'Equip, Herr y Transp'!$B$2:$D$218,3,0)</f>
        <v>0</v>
      </c>
      <c r="F8037" s="96">
        <f>H8025</f>
        <v>1.8800000000000001E-2</v>
      </c>
      <c r="G8037" s="122">
        <f>F8037*E8037</f>
        <v>0</v>
      </c>
      <c r="H8037" s="117"/>
    </row>
    <row r="8038" spans="1:15">
      <c r="A8038" s="536" t="s">
        <v>8</v>
      </c>
      <c r="B8038" s="570">
        <f>VLOOKUP(A8038,'Equip, Herr y Transp'!$B$2:$D$739,2,0)</f>
        <v>0</v>
      </c>
      <c r="C8038" s="570"/>
      <c r="D8038" s="95">
        <f>VLOOKUP(A8038,'Equip, Herr y Transp'!$B$2:$D$218,2,0)</f>
        <v>0</v>
      </c>
      <c r="E8038" s="95">
        <f>VLOOKUP(A8038,'Equip, Herr y Transp'!$B$2:$D$218,3,0)</f>
        <v>0</v>
      </c>
      <c r="F8038" s="96">
        <f>H8025</f>
        <v>1.8800000000000001E-2</v>
      </c>
      <c r="G8038" s="122">
        <f>F8038*E8038</f>
        <v>0</v>
      </c>
      <c r="H8038" s="117"/>
    </row>
    <row r="8039" spans="1:15" ht="16.5">
      <c r="A8039" s="540" t="s">
        <v>4100</v>
      </c>
      <c r="B8039" s="541"/>
      <c r="C8039" s="541"/>
      <c r="D8039" s="541"/>
      <c r="E8039" s="541"/>
      <c r="F8039" s="541"/>
      <c r="G8039" s="541"/>
      <c r="H8039" s="97">
        <f>SUM(G8035:G8038)</f>
        <v>767.08699999999999</v>
      </c>
    </row>
    <row r="8040" spans="1:15" ht="16.5">
      <c r="A8040" s="571" t="s">
        <v>4230</v>
      </c>
      <c r="B8040" s="572"/>
      <c r="C8040" s="572"/>
      <c r="D8040" s="572"/>
      <c r="E8040" s="572"/>
      <c r="F8040" s="572"/>
      <c r="G8040" s="572"/>
      <c r="H8040" s="573"/>
      <c r="K8040" s="56"/>
      <c r="L8040" s="56"/>
      <c r="M8040" s="56"/>
      <c r="N8040" s="56"/>
      <c r="O8040" s="56"/>
    </row>
    <row r="8041" spans="1:15" ht="30" customHeight="1">
      <c r="A8041" s="574" t="s">
        <v>7</v>
      </c>
      <c r="B8041" s="575"/>
      <c r="C8041" s="109" t="s">
        <v>0</v>
      </c>
      <c r="D8041" s="110" t="s">
        <v>4098</v>
      </c>
      <c r="E8041" s="111" t="s">
        <v>1</v>
      </c>
      <c r="F8041" s="576" t="s">
        <v>4218</v>
      </c>
      <c r="G8041" s="576"/>
      <c r="H8041" s="215"/>
      <c r="K8041" s="56"/>
      <c r="L8041" s="56"/>
      <c r="M8041" s="56"/>
      <c r="N8041" s="56"/>
      <c r="O8041" s="56"/>
    </row>
    <row r="8042" spans="1:15">
      <c r="A8042" s="577" t="s">
        <v>4805</v>
      </c>
      <c r="B8042" s="578"/>
      <c r="C8042" s="98" t="str">
        <f>VLOOKUP(A8042,'Materiales '!$C$2:$F$1302,3,0)</f>
        <v>Ml</v>
      </c>
      <c r="D8042" s="99">
        <f>VLOOKUP(A8042,'Materiales '!$C$2:$F$1302,4,0)</f>
        <v>9996</v>
      </c>
      <c r="E8042" s="100">
        <v>3</v>
      </c>
      <c r="F8042" s="538">
        <f>E8042*D8042</f>
        <v>29988</v>
      </c>
      <c r="G8042" s="539"/>
      <c r="H8042" s="121"/>
      <c r="I8042">
        <f>E8042*G8032</f>
        <v>0</v>
      </c>
      <c r="J8042" s="67"/>
      <c r="K8042" s="56"/>
      <c r="L8042" s="56"/>
      <c r="M8042" s="56"/>
      <c r="N8042" s="56"/>
      <c r="O8042" s="56"/>
    </row>
    <row r="8043" spans="1:15">
      <c r="A8043" s="577" t="s">
        <v>4469</v>
      </c>
      <c r="B8043" s="578"/>
      <c r="C8043" s="98" t="str">
        <f>VLOOKUP(A8043,'Materiales '!$C$2:$F$1302,3,0)</f>
        <v>Rollo</v>
      </c>
      <c r="D8043" s="99">
        <f>VLOOKUP(A8043,'Materiales '!$C$2:$F$1302,4,0)</f>
        <v>19992</v>
      </c>
      <c r="E8043" s="100">
        <f>1/30</f>
        <v>3.3333333333333333E-2</v>
      </c>
      <c r="F8043" s="538">
        <f t="shared" ref="F8043:F8049" si="469">E8043*D8043</f>
        <v>666.4</v>
      </c>
      <c r="G8043" s="539"/>
      <c r="H8043" s="121"/>
      <c r="I8043">
        <f>E8043*G8032</f>
        <v>0</v>
      </c>
      <c r="J8043" s="67"/>
      <c r="K8043" s="56"/>
      <c r="L8043" s="56"/>
      <c r="M8043" s="56"/>
      <c r="N8043" s="56"/>
      <c r="O8043" s="56"/>
    </row>
    <row r="8044" spans="1:15">
      <c r="A8044" s="536" t="s">
        <v>4444</v>
      </c>
      <c r="B8044" s="537" t="str">
        <f>VLOOKUP(A8044,'Materiales '!$C$2:$F$1302,3,0)</f>
        <v>Ml</v>
      </c>
      <c r="C8044" s="98" t="str">
        <f>VLOOKUP(A8044,'Materiales '!$C$2:$F$1302,3,0)</f>
        <v>Ml</v>
      </c>
      <c r="D8044" s="99">
        <f>VLOOKUP(A8044,'Materiales '!$C$2:$F$1302,4,0)</f>
        <v>3284.4</v>
      </c>
      <c r="E8044" s="100">
        <v>1</v>
      </c>
      <c r="F8044" s="538">
        <f t="shared" si="469"/>
        <v>3284.4</v>
      </c>
      <c r="G8044" s="539"/>
      <c r="H8044" s="121"/>
      <c r="I8044">
        <f>E8044*G8032</f>
        <v>0</v>
      </c>
      <c r="J8044" s="68"/>
      <c r="K8044" s="56"/>
      <c r="L8044" s="56"/>
      <c r="M8044" s="56"/>
      <c r="N8044" s="56"/>
      <c r="O8044" s="56"/>
    </row>
    <row r="8045" spans="1:15">
      <c r="A8045" s="536" t="s">
        <v>8</v>
      </c>
      <c r="B8045" s="537" t="str">
        <f>VLOOKUP(A8045,'Materiales '!$C$2:$F$1302,3,0)</f>
        <v>-</v>
      </c>
      <c r="C8045" s="98" t="str">
        <f>VLOOKUP(A8045,'Materiales '!$C$2:$F$1302,3,0)</f>
        <v>-</v>
      </c>
      <c r="D8045" s="99">
        <f>VLOOKUP(A8045,'Materiales '!$C$2:$F$1302,4,0)</f>
        <v>0</v>
      </c>
      <c r="E8045" s="100"/>
      <c r="F8045" s="538">
        <f t="shared" si="469"/>
        <v>0</v>
      </c>
      <c r="G8045" s="539"/>
      <c r="H8045" s="121"/>
      <c r="I8045">
        <f>E8045*G8032</f>
        <v>0</v>
      </c>
      <c r="J8045" s="68"/>
      <c r="K8045" s="56"/>
      <c r="L8045" s="56"/>
      <c r="M8045" s="56"/>
      <c r="N8045" s="56"/>
      <c r="O8045" s="56"/>
    </row>
    <row r="8046" spans="1:15">
      <c r="A8046" s="536" t="s">
        <v>8</v>
      </c>
      <c r="B8046" s="537" t="str">
        <f>VLOOKUP(A8046,'Materiales '!$C$2:$F$1302,3,0)</f>
        <v>-</v>
      </c>
      <c r="C8046" s="98" t="str">
        <f>VLOOKUP(A8046,'Materiales '!$C$2:$F$1302,3,0)</f>
        <v>-</v>
      </c>
      <c r="D8046" s="99">
        <f>VLOOKUP(A8046,'Materiales '!$C$2:$F$1302,4,0)</f>
        <v>0</v>
      </c>
      <c r="E8046" s="100"/>
      <c r="F8046" s="538">
        <f t="shared" si="469"/>
        <v>0</v>
      </c>
      <c r="G8046" s="539"/>
      <c r="H8046" s="121"/>
      <c r="I8046">
        <f>E8046*G8032</f>
        <v>0</v>
      </c>
      <c r="J8046" s="68"/>
      <c r="K8046" s="56"/>
      <c r="L8046" s="56"/>
      <c r="M8046" s="56"/>
      <c r="N8046" s="56"/>
      <c r="O8046" s="56"/>
    </row>
    <row r="8047" spans="1:15">
      <c r="A8047" s="536" t="s">
        <v>8</v>
      </c>
      <c r="B8047" s="537" t="str">
        <f>VLOOKUP(A8047,'Materiales '!$C$2:$F$1302,3,0)</f>
        <v>-</v>
      </c>
      <c r="C8047" s="98" t="str">
        <f>VLOOKUP(A8047,'Materiales '!$C$2:$F$1302,3,0)</f>
        <v>-</v>
      </c>
      <c r="D8047" s="99">
        <f>VLOOKUP(A8047,'Materiales '!$C$2:$F$1302,4,0)</f>
        <v>0</v>
      </c>
      <c r="E8047" s="100"/>
      <c r="F8047" s="538">
        <f t="shared" si="469"/>
        <v>0</v>
      </c>
      <c r="G8047" s="539"/>
      <c r="H8047" s="121"/>
      <c r="I8047">
        <f>E8047*G8032</f>
        <v>0</v>
      </c>
      <c r="J8047" s="68"/>
      <c r="K8047" s="56"/>
      <c r="L8047" s="56"/>
      <c r="M8047" s="56"/>
      <c r="N8047" s="56"/>
      <c r="O8047" s="56"/>
    </row>
    <row r="8048" spans="1:15">
      <c r="A8048" s="536" t="s">
        <v>8</v>
      </c>
      <c r="B8048" s="537" t="str">
        <f>VLOOKUP(A8048,'Materiales '!$C$2:$F$1302,3,0)</f>
        <v>-</v>
      </c>
      <c r="C8048" s="98" t="str">
        <f>VLOOKUP(A8048,'Materiales '!$C$2:$F$1302,3,0)</f>
        <v>-</v>
      </c>
      <c r="D8048" s="99">
        <f>VLOOKUP(A8048,'Materiales '!$C$2:$F$1302,4,0)</f>
        <v>0</v>
      </c>
      <c r="E8048" s="100"/>
      <c r="F8048" s="538">
        <f t="shared" si="469"/>
        <v>0</v>
      </c>
      <c r="G8048" s="539"/>
      <c r="H8048" s="121"/>
      <c r="I8048">
        <f>E8048*G8032</f>
        <v>0</v>
      </c>
      <c r="J8048" s="68"/>
      <c r="K8048" s="56"/>
      <c r="L8048" s="56"/>
      <c r="M8048" s="56"/>
      <c r="N8048" s="56"/>
      <c r="O8048" s="56"/>
    </row>
    <row r="8049" spans="1:15" ht="21.75" customHeight="1">
      <c r="A8049" s="536" t="s">
        <v>8</v>
      </c>
      <c r="B8049" s="537" t="str">
        <f>VLOOKUP(A8049,'Materiales '!$C$2:$F$1302,3,0)</f>
        <v>-</v>
      </c>
      <c r="C8049" s="98" t="str">
        <f>VLOOKUP(A8049,'Materiales '!$C$2:$F$1302,3,0)</f>
        <v>-</v>
      </c>
      <c r="D8049" s="99">
        <f>VLOOKUP(A8049,'Materiales '!$C$2:$F$1302,4,0)</f>
        <v>0</v>
      </c>
      <c r="E8049" s="100"/>
      <c r="F8049" s="538">
        <f t="shared" si="469"/>
        <v>0</v>
      </c>
      <c r="G8049" s="539"/>
      <c r="H8049" s="121"/>
      <c r="I8049">
        <f>E8049*G8032</f>
        <v>0</v>
      </c>
      <c r="J8049" s="68"/>
      <c r="K8049" s="56"/>
      <c r="L8049" s="56"/>
      <c r="M8049" s="56"/>
      <c r="N8049" s="56"/>
      <c r="O8049" s="56"/>
    </row>
    <row r="8050" spans="1:15">
      <c r="A8050" s="536" t="s">
        <v>8</v>
      </c>
      <c r="B8050" s="537" t="str">
        <f>VLOOKUP(A8050,'Materiales '!$C$2:$F$1302,3,0)</f>
        <v>-</v>
      </c>
      <c r="C8050" s="98" t="str">
        <f>VLOOKUP(A8050,'Materiales '!$C$2:$F$1302,3,0)</f>
        <v>-</v>
      </c>
      <c r="D8050" s="99">
        <f>VLOOKUP(A8050,'Materiales '!$C$2:$F$1302,4,0)</f>
        <v>0</v>
      </c>
      <c r="E8050" s="100"/>
      <c r="F8050" s="538">
        <f>E8050*D8050</f>
        <v>0</v>
      </c>
      <c r="G8050" s="539"/>
      <c r="H8050" s="120"/>
      <c r="I8050">
        <f>E8050*G8032</f>
        <v>0</v>
      </c>
      <c r="J8050" s="68"/>
      <c r="K8050" s="56"/>
      <c r="L8050" s="56"/>
      <c r="M8050" s="56"/>
      <c r="N8050" s="56"/>
      <c r="O8050" s="56"/>
    </row>
    <row r="8051" spans="1:15">
      <c r="A8051" s="536" t="s">
        <v>8</v>
      </c>
      <c r="B8051" s="537" t="str">
        <f>VLOOKUP(A8051,'Materiales '!$C$2:$F$1302,3,0)</f>
        <v>-</v>
      </c>
      <c r="C8051" s="98" t="str">
        <f>VLOOKUP(A8051,'Materiales '!$C$2:$F$1302,3,0)</f>
        <v>-</v>
      </c>
      <c r="D8051" s="99">
        <f>VLOOKUP(A8051,'Materiales '!$C$2:$F$1302,4,0)</f>
        <v>0</v>
      </c>
      <c r="E8051" s="100"/>
      <c r="F8051" s="538">
        <f t="shared" ref="F8051:F8054" si="470">E8051*D8051</f>
        <v>0</v>
      </c>
      <c r="G8051" s="539"/>
      <c r="H8051" s="121"/>
      <c r="I8051">
        <f>E8051*G8032</f>
        <v>0</v>
      </c>
      <c r="J8051" s="68"/>
      <c r="K8051" s="56"/>
      <c r="L8051" s="56"/>
      <c r="M8051" s="56"/>
      <c r="N8051" s="56"/>
      <c r="O8051" s="56"/>
    </row>
    <row r="8052" spans="1:15">
      <c r="A8052" s="536" t="s">
        <v>8</v>
      </c>
      <c r="B8052" s="537" t="str">
        <f>VLOOKUP(A8052,'Materiales '!$C$2:$F$1302,3,0)</f>
        <v>-</v>
      </c>
      <c r="C8052" s="98" t="str">
        <f>VLOOKUP(A8052,'Materiales '!$C$2:$F$1302,3,0)</f>
        <v>-</v>
      </c>
      <c r="D8052" s="99">
        <f>VLOOKUP(A8052,'Materiales '!$C$2:$F$1302,4,0)</f>
        <v>0</v>
      </c>
      <c r="E8052" s="100"/>
      <c r="F8052" s="538">
        <f t="shared" si="470"/>
        <v>0</v>
      </c>
      <c r="G8052" s="539"/>
      <c r="H8052" s="121"/>
      <c r="I8052">
        <f>E8052*G8032</f>
        <v>0</v>
      </c>
      <c r="J8052" s="68"/>
      <c r="K8052" s="56"/>
      <c r="L8052" s="56"/>
      <c r="M8052" s="56"/>
      <c r="N8052" s="56"/>
      <c r="O8052" s="56"/>
    </row>
    <row r="8053" spans="1:15">
      <c r="A8053" s="536" t="s">
        <v>8</v>
      </c>
      <c r="B8053" s="537" t="str">
        <f>VLOOKUP(A8053,'Materiales '!$C$2:$F$1302,3,0)</f>
        <v>-</v>
      </c>
      <c r="C8053" s="98" t="str">
        <f>VLOOKUP(A8053,'Materiales '!$C$2:$F$1302,3,0)</f>
        <v>-</v>
      </c>
      <c r="D8053" s="99">
        <f>VLOOKUP(A8053,'Materiales '!$C$2:$F$1302,4,0)</f>
        <v>0</v>
      </c>
      <c r="E8053" s="100"/>
      <c r="F8053" s="538">
        <f t="shared" si="470"/>
        <v>0</v>
      </c>
      <c r="G8053" s="539"/>
      <c r="H8053" s="121"/>
      <c r="I8053">
        <f>E8053*G8032</f>
        <v>0</v>
      </c>
      <c r="J8053" s="68"/>
      <c r="K8053" s="56"/>
      <c r="L8053" s="56"/>
      <c r="M8053" s="56"/>
      <c r="N8053" s="56"/>
      <c r="O8053" s="56"/>
    </row>
    <row r="8054" spans="1:15">
      <c r="A8054" s="536" t="s">
        <v>8</v>
      </c>
      <c r="B8054" s="537" t="str">
        <f>VLOOKUP(A8054,'Materiales '!$C$2:$F$1302,3,0)</f>
        <v>-</v>
      </c>
      <c r="C8054" s="98" t="str">
        <f>VLOOKUP(A8054,'Materiales '!$C$2:$F$1302,3,0)</f>
        <v>-</v>
      </c>
      <c r="D8054" s="99">
        <f>VLOOKUP(A8054,'Materiales '!$C$2:$F$1302,4,0)</f>
        <v>0</v>
      </c>
      <c r="E8054" s="100"/>
      <c r="F8054" s="538">
        <f t="shared" si="470"/>
        <v>0</v>
      </c>
      <c r="G8054" s="539"/>
      <c r="H8054" s="121"/>
      <c r="I8054">
        <f>E8054*G8032</f>
        <v>0</v>
      </c>
      <c r="J8054" s="68"/>
      <c r="K8054" s="56"/>
      <c r="L8054" s="56"/>
      <c r="M8054" s="56"/>
      <c r="N8054" s="56"/>
      <c r="O8054" s="56"/>
    </row>
    <row r="8055" spans="1:15">
      <c r="A8055" s="536" t="s">
        <v>8</v>
      </c>
      <c r="B8055" s="537" t="str">
        <f>VLOOKUP(A8055,'Materiales '!$C$2:$F$1302,3,0)</f>
        <v>-</v>
      </c>
      <c r="C8055" s="98" t="str">
        <f>VLOOKUP(A8055,'Materiales '!$C$2:$F$1302,3,0)</f>
        <v>-</v>
      </c>
      <c r="D8055" s="99">
        <f>VLOOKUP(A8055,'Materiales '!$C$2:$F$1302,4,0)</f>
        <v>0</v>
      </c>
      <c r="E8055" s="100"/>
      <c r="F8055" s="538">
        <f>E8055*D8055</f>
        <v>0</v>
      </c>
      <c r="G8055" s="539"/>
      <c r="H8055" s="120"/>
      <c r="I8055">
        <f>E8055*G8032</f>
        <v>0</v>
      </c>
      <c r="J8055" s="68"/>
      <c r="K8055" s="56"/>
      <c r="L8055" s="56"/>
      <c r="M8055" s="56"/>
      <c r="N8055" s="56"/>
      <c r="O8055" s="56"/>
    </row>
    <row r="8056" spans="1:15" ht="16.5">
      <c r="A8056" s="540" t="s">
        <v>4099</v>
      </c>
      <c r="B8056" s="541"/>
      <c r="C8056" s="541"/>
      <c r="D8056" s="541"/>
      <c r="E8056" s="541"/>
      <c r="F8056" s="541"/>
      <c r="G8056" s="542"/>
      <c r="H8056" s="116">
        <f>SUM(F8042:F8055)</f>
        <v>33938.800000000003</v>
      </c>
      <c r="J8056" s="68"/>
      <c r="K8056" s="56"/>
      <c r="L8056" s="56"/>
      <c r="M8056" s="56"/>
      <c r="N8056" s="56"/>
      <c r="O8056" s="56"/>
    </row>
    <row r="8057" spans="1:15" ht="16.5">
      <c r="A8057" s="543" t="s">
        <v>4231</v>
      </c>
      <c r="B8057" s="544"/>
      <c r="C8057" s="544"/>
      <c r="D8057" s="544"/>
      <c r="E8057" s="545"/>
      <c r="F8057" s="544"/>
      <c r="G8057" s="544"/>
      <c r="H8057" s="546"/>
      <c r="J8057" s="68"/>
      <c r="K8057" s="56"/>
      <c r="L8057" s="56"/>
      <c r="M8057" s="56"/>
      <c r="N8057" s="56"/>
      <c r="O8057" s="56"/>
    </row>
    <row r="8058" spans="1:15">
      <c r="A8058" s="547" t="s">
        <v>7</v>
      </c>
      <c r="B8058" s="548"/>
      <c r="C8058" s="108" t="s">
        <v>4232</v>
      </c>
      <c r="D8058" s="107" t="s">
        <v>4233</v>
      </c>
      <c r="E8058" s="206" t="s">
        <v>4234</v>
      </c>
      <c r="F8058" s="549" t="s">
        <v>4218</v>
      </c>
      <c r="G8058" s="549"/>
      <c r="H8058" s="119"/>
      <c r="K8058" s="56"/>
      <c r="L8058" s="56"/>
      <c r="M8058" s="56"/>
      <c r="N8058" s="56"/>
      <c r="O8058" s="56"/>
    </row>
    <row r="8059" spans="1:15">
      <c r="A8059" s="550" t="s">
        <v>3928</v>
      </c>
      <c r="B8059" s="551"/>
      <c r="C8059" s="232">
        <v>1</v>
      </c>
      <c r="D8059" s="102">
        <v>5.0000000000000001E-3</v>
      </c>
      <c r="E8059" s="103">
        <f>VLOOKUP(A8059,'Equip, Herr y Transp'!$B$2:$D$218,3,0)</f>
        <v>160000</v>
      </c>
      <c r="F8059" s="552">
        <f>E8059*D8059*C8059</f>
        <v>800</v>
      </c>
      <c r="G8059" s="553"/>
      <c r="H8059" s="117"/>
      <c r="M8059" s="56"/>
    </row>
    <row r="8060" spans="1:15" ht="16.5">
      <c r="A8060" s="554" t="s">
        <v>4216</v>
      </c>
      <c r="B8060" s="555"/>
      <c r="C8060" s="555"/>
      <c r="D8060" s="555"/>
      <c r="E8060" s="555"/>
      <c r="F8060" s="555"/>
      <c r="G8060" s="555"/>
      <c r="H8060" s="105">
        <f>F8059</f>
        <v>800</v>
      </c>
    </row>
    <row r="8061" spans="1:15" ht="16.5">
      <c r="A8061" s="543" t="s">
        <v>4235</v>
      </c>
      <c r="B8061" s="544"/>
      <c r="C8061" s="544"/>
      <c r="D8061" s="544"/>
      <c r="E8061" s="544"/>
      <c r="F8061" s="544"/>
      <c r="G8061" s="544"/>
      <c r="H8061" s="546"/>
    </row>
    <row r="8062" spans="1:15">
      <c r="A8062" s="547" t="s">
        <v>7</v>
      </c>
      <c r="B8062" s="548"/>
      <c r="C8062" s="106" t="s">
        <v>1</v>
      </c>
      <c r="D8062" s="107" t="s">
        <v>4236</v>
      </c>
      <c r="E8062" s="108" t="s">
        <v>4215</v>
      </c>
      <c r="F8062" s="547" t="s">
        <v>5</v>
      </c>
      <c r="G8062" s="556"/>
      <c r="H8062" s="119"/>
    </row>
    <row r="8063" spans="1:15">
      <c r="A8063" s="550" t="s">
        <v>4196</v>
      </c>
      <c r="B8063" s="551"/>
      <c r="C8063" s="101">
        <v>1</v>
      </c>
      <c r="D8063" s="104">
        <f>VLOOKUP(A8063,'Mano Obra'!$B$2:$T$117,19,0)</f>
        <v>166624</v>
      </c>
      <c r="E8063" s="246">
        <f>H8025</f>
        <v>1.8800000000000001E-2</v>
      </c>
      <c r="F8063" s="538">
        <f>E8063*D8063*C8063</f>
        <v>3132.5311999999999</v>
      </c>
      <c r="G8063" s="557"/>
      <c r="H8063" s="121"/>
      <c r="I8063" s="69"/>
      <c r="J8063" s="136">
        <f>((('Mano Obra'!$M$4/30)*F8063)/D8063)*G8032</f>
        <v>0</v>
      </c>
    </row>
    <row r="8064" spans="1:15">
      <c r="A8064" s="558" t="s">
        <v>4197</v>
      </c>
      <c r="B8064" s="559">
        <f>VLOOKUP(A8064,'Mano Obra'!$B$3:$D$290,2,0)</f>
        <v>2090000.0000000002</v>
      </c>
      <c r="C8064" s="101">
        <v>1</v>
      </c>
      <c r="D8064" s="104">
        <f>VLOOKUP(A8064,'Mano Obra'!$B$2:$T$117,19,0)</f>
        <v>120456</v>
      </c>
      <c r="E8064" s="246">
        <f>H8025</f>
        <v>1.8800000000000001E-2</v>
      </c>
      <c r="F8064" s="538">
        <f t="shared" ref="F8064:F8065" si="471">E8064*D8064*C8064</f>
        <v>2264.5727999999999</v>
      </c>
      <c r="G8064" s="557"/>
      <c r="H8064" s="121"/>
      <c r="J8064" s="136">
        <f>((('Mano Obra'!$M$5/30)*F8064)/D8064)*G8032</f>
        <v>0</v>
      </c>
    </row>
    <row r="8065" spans="1:10">
      <c r="A8065" s="558" t="s">
        <v>4186</v>
      </c>
      <c r="B8065" s="559">
        <f>VLOOKUP(A8065,'Mano Obra'!$B$3:$D$290,2,0)</f>
        <v>1100000</v>
      </c>
      <c r="C8065" s="101">
        <v>1</v>
      </c>
      <c r="D8065" s="104">
        <f>VLOOKUP(A8065,'Mano Obra'!$B$2:$T$117,19,0)</f>
        <v>72664</v>
      </c>
      <c r="E8065" s="246">
        <f>H8025</f>
        <v>1.8800000000000001E-2</v>
      </c>
      <c r="F8065" s="538">
        <f t="shared" si="471"/>
        <v>1366.0832</v>
      </c>
      <c r="G8065" s="557"/>
      <c r="H8065" s="120"/>
      <c r="J8065" s="136">
        <f>((('Mano Obra'!$M$6/30)*F8065)/D8065)*G8032</f>
        <v>0</v>
      </c>
    </row>
    <row r="8066" spans="1:10" ht="16.5">
      <c r="A8066" s="560" t="s">
        <v>4101</v>
      </c>
      <c r="B8066" s="560"/>
      <c r="C8066" s="560"/>
      <c r="D8066" s="560"/>
      <c r="E8066" s="560"/>
      <c r="F8066" s="560"/>
      <c r="G8066" s="560"/>
      <c r="H8066" s="105">
        <f>SUM(F8063:F8065)</f>
        <v>6763.1871999999994</v>
      </c>
      <c r="J8066" s="136"/>
    </row>
    <row r="8067" spans="1:10">
      <c r="A8067" s="227" t="s">
        <v>4237</v>
      </c>
      <c r="B8067" s="205"/>
      <c r="C8067" s="205"/>
      <c r="D8067" s="202"/>
      <c r="E8067" s="203"/>
      <c r="F8067" s="204"/>
      <c r="G8067" s="203"/>
      <c r="H8067" s="212"/>
    </row>
    <row r="8068" spans="1:10">
      <c r="A8068" s="561" t="s">
        <v>4224</v>
      </c>
      <c r="B8068" s="562"/>
      <c r="C8068" s="562"/>
      <c r="D8068" s="562"/>
      <c r="E8068" s="200"/>
      <c r="F8068" s="201" t="s">
        <v>4238</v>
      </c>
      <c r="G8068" s="200" t="s">
        <v>4239</v>
      </c>
      <c r="H8068" s="213"/>
    </row>
    <row r="8069" spans="1:10">
      <c r="A8069" s="223" t="s">
        <v>4097</v>
      </c>
      <c r="B8069" s="72"/>
      <c r="C8069" s="72"/>
      <c r="D8069" s="73"/>
      <c r="E8069" s="78"/>
      <c r="F8069" s="79">
        <v>0</v>
      </c>
      <c r="G8069" s="80">
        <f>F8069*H8033</f>
        <v>0</v>
      </c>
      <c r="H8069" s="212"/>
    </row>
    <row r="8070" spans="1:10">
      <c r="A8070" s="224" t="s">
        <v>4240</v>
      </c>
      <c r="B8070" s="81"/>
      <c r="C8070" s="81"/>
      <c r="D8070" s="82"/>
      <c r="E8070" s="78"/>
      <c r="F8070" s="79">
        <v>0</v>
      </c>
      <c r="G8070" s="80">
        <f>F8070*H8033</f>
        <v>0</v>
      </c>
      <c r="H8070" s="212"/>
    </row>
    <row r="8071" spans="1:10">
      <c r="A8071" s="224" t="s">
        <v>4</v>
      </c>
      <c r="B8071" s="81"/>
      <c r="C8071" s="81"/>
      <c r="D8071" s="82"/>
      <c r="E8071" s="78"/>
      <c r="F8071" s="79">
        <v>0</v>
      </c>
      <c r="G8071" s="80">
        <f>F8071*H8033</f>
        <v>0</v>
      </c>
      <c r="H8071" s="212"/>
    </row>
    <row r="8072" spans="1:10">
      <c r="A8072" s="225"/>
      <c r="B8072" s="83"/>
      <c r="C8072" s="75"/>
      <c r="D8072" s="84"/>
      <c r="E8072" s="85"/>
      <c r="F8072" s="86"/>
      <c r="G8072" s="87"/>
      <c r="H8072" s="214"/>
    </row>
    <row r="8073" spans="1:10">
      <c r="A8073" s="226"/>
      <c r="B8073" s="83"/>
      <c r="C8073" s="83"/>
      <c r="D8073" s="84"/>
      <c r="E8073" s="88"/>
      <c r="F8073" s="563" t="s">
        <v>4241</v>
      </c>
      <c r="G8073" s="564"/>
      <c r="H8073" s="233">
        <f>H8033+G8069+G8070+G8071</f>
        <v>42269.074200000003</v>
      </c>
    </row>
    <row r="8075" spans="1:10" ht="16.5">
      <c r="A8075" s="90"/>
      <c r="B8075" s="90"/>
      <c r="C8075" s="90"/>
      <c r="D8075" s="90"/>
      <c r="E8075" s="90"/>
      <c r="F8075" s="90"/>
      <c r="G8075" s="90"/>
      <c r="H8075" s="381"/>
    </row>
    <row r="8076" spans="1:10">
      <c r="A8076" s="579" t="s">
        <v>4225</v>
      </c>
      <c r="B8076" s="580"/>
      <c r="C8076" s="580"/>
      <c r="D8076" s="580"/>
      <c r="E8076" s="580"/>
      <c r="F8076" s="580"/>
      <c r="G8076" s="580"/>
      <c r="H8076" s="581"/>
    </row>
    <row r="8077" spans="1:10" ht="16.5">
      <c r="A8077" s="91"/>
      <c r="B8077" s="92"/>
      <c r="C8077" s="92"/>
      <c r="D8077" s="92"/>
      <c r="E8077" s="92"/>
      <c r="F8077" s="93"/>
      <c r="G8077" s="94"/>
      <c r="H8077" s="380">
        <f>ROUND((11/60)/8,4)</f>
        <v>2.29E-2</v>
      </c>
      <c r="I8077" s="115"/>
    </row>
    <row r="8078" spans="1:10">
      <c r="A8078" s="582" t="s">
        <v>4220</v>
      </c>
      <c r="B8078" s="584" t="str">
        <f>COSTOS!$C$14</f>
        <v>MODERNIZACION A TECNOLOGIA LED</v>
      </c>
      <c r="C8078" s="584"/>
      <c r="D8078" s="584"/>
      <c r="E8078" s="584"/>
      <c r="F8078" s="584"/>
      <c r="G8078" s="584"/>
      <c r="H8078" s="585" t="s">
        <v>4221</v>
      </c>
    </row>
    <row r="8079" spans="1:10">
      <c r="A8079" s="583"/>
      <c r="B8079" s="584"/>
      <c r="C8079" s="584"/>
      <c r="D8079" s="584"/>
      <c r="E8079" s="584"/>
      <c r="F8079" s="584"/>
      <c r="G8079" s="584"/>
      <c r="H8079" s="585"/>
    </row>
    <row r="8080" spans="1:10">
      <c r="A8080" s="583"/>
      <c r="B8080" s="584"/>
      <c r="C8080" s="584"/>
      <c r="D8080" s="584"/>
      <c r="E8080" s="584"/>
      <c r="F8080" s="584"/>
      <c r="G8080" s="584"/>
      <c r="H8080" s="585"/>
    </row>
    <row r="8081" spans="1:15" ht="15" customHeight="1">
      <c r="A8081" s="583"/>
      <c r="B8081" s="584"/>
      <c r="C8081" s="584"/>
      <c r="D8081" s="584"/>
      <c r="E8081" s="584"/>
      <c r="F8081" s="584"/>
      <c r="G8081" s="584"/>
      <c r="H8081" s="216">
        <f ca="1">TODAY()</f>
        <v>44889</v>
      </c>
      <c r="K8081" t="s">
        <v>4391</v>
      </c>
      <c r="L8081" t="s">
        <v>4392</v>
      </c>
      <c r="M8081" t="s">
        <v>4393</v>
      </c>
      <c r="N8081" t="s">
        <v>4394</v>
      </c>
    </row>
    <row r="8082" spans="1:15" ht="60.75" customHeight="1">
      <c r="A8082" s="228" t="s">
        <v>4222</v>
      </c>
      <c r="B8082" s="565" t="str">
        <f>COSTOS!$D$16</f>
        <v>Luminarias</v>
      </c>
      <c r="C8082" s="565"/>
      <c r="D8082" s="565"/>
      <c r="E8082" s="565"/>
      <c r="F8082" s="565"/>
      <c r="G8082" s="70" t="s">
        <v>4223</v>
      </c>
      <c r="H8082" s="391">
        <v>3.42</v>
      </c>
      <c r="K8082" s="62">
        <f>H8108</f>
        <v>60785.200000000004</v>
      </c>
      <c r="L8082" s="62">
        <f>H8118</f>
        <v>8238.1376</v>
      </c>
      <c r="M8082" s="62">
        <f>H8091</f>
        <v>934.37725</v>
      </c>
      <c r="N8082" s="62">
        <f>H8112</f>
        <v>800</v>
      </c>
    </row>
    <row r="8083" spans="1:15" ht="43.15" customHeight="1">
      <c r="A8083" s="229" t="s">
        <v>4224</v>
      </c>
      <c r="B8083" s="566" t="str">
        <f>VLOOKUP(H8082,COSTOS!C:M,2,0)</f>
        <v>Red subterránea de baja tensión con cable aislado de aluminio S8000 3 x 4/0AWG (2f+n) + 1 x 2AWG (t) x 500 MTS</v>
      </c>
      <c r="C8083" s="567"/>
      <c r="D8083" s="567"/>
      <c r="E8083" s="568"/>
      <c r="F8083" s="71" t="s">
        <v>0</v>
      </c>
      <c r="G8083" s="356" t="str">
        <f>VLOOKUP(H8082,COSTOS!C:M,8,0)</f>
        <v>Und</v>
      </c>
      <c r="H8083" s="276"/>
      <c r="I8083" s="306"/>
      <c r="J8083" s="308"/>
      <c r="K8083" s="308"/>
      <c r="L8083" s="308"/>
    </row>
    <row r="8084" spans="1:15">
      <c r="A8084" s="230"/>
      <c r="B8084" s="112"/>
      <c r="C8084" s="112"/>
      <c r="D8084" s="112"/>
      <c r="E8084" s="113"/>
      <c r="F8084" s="114" t="s">
        <v>1</v>
      </c>
      <c r="G8084" s="356">
        <f>VLOOKUP(H8082,COSTOS!C:M,9,0)</f>
        <v>0</v>
      </c>
      <c r="H8084" s="357"/>
      <c r="I8084" s="307"/>
    </row>
    <row r="8085" spans="1:15" ht="16.5">
      <c r="A8085" s="231" t="s">
        <v>4226</v>
      </c>
      <c r="B8085" s="75"/>
      <c r="C8085" s="75"/>
      <c r="D8085" s="76"/>
      <c r="E8085" s="209"/>
      <c r="F8085" s="210"/>
      <c r="G8085" s="211" t="s">
        <v>4227</v>
      </c>
      <c r="H8085" s="217">
        <f>H8091+H8108+H8112+H8118</f>
        <v>70757.714850000004</v>
      </c>
    </row>
    <row r="8086" spans="1:15" ht="39">
      <c r="A8086" s="569" t="s">
        <v>4224</v>
      </c>
      <c r="B8086" s="569"/>
      <c r="C8086" s="569"/>
      <c r="D8086" s="77" t="s">
        <v>0</v>
      </c>
      <c r="E8086" s="207" t="s">
        <v>4228</v>
      </c>
      <c r="F8086" s="208" t="s">
        <v>4215</v>
      </c>
      <c r="G8086" s="74" t="s">
        <v>2</v>
      </c>
      <c r="H8086" s="218" t="s">
        <v>4229</v>
      </c>
      <c r="K8086" s="309"/>
    </row>
    <row r="8087" spans="1:15">
      <c r="A8087" s="536" t="s">
        <v>3946</v>
      </c>
      <c r="B8087" s="570" t="str">
        <f>VLOOKUP(A8087,'Equip, Herr y Transp'!$B$2:$D$739,2,0)</f>
        <v>EQU</v>
      </c>
      <c r="C8087" s="570"/>
      <c r="D8087" s="95" t="str">
        <f>VLOOKUP(A8087,'Equip, Herr y Transp'!$B$2:$D$218,2,0)</f>
        <v>EQU</v>
      </c>
      <c r="E8087" s="95">
        <f>VLOOKUP(A8087,'Equip, Herr y Transp'!$B$2:$D$218,3,0)</f>
        <v>14130</v>
      </c>
      <c r="F8087" s="96">
        <f>H8077</f>
        <v>2.29E-2</v>
      </c>
      <c r="G8087" s="122">
        <f>F8087*E8087</f>
        <v>323.577</v>
      </c>
      <c r="H8087" s="118"/>
    </row>
    <row r="8088" spans="1:15">
      <c r="A8088" s="536" t="s">
        <v>3904</v>
      </c>
      <c r="B8088" s="570" t="str">
        <f>VLOOKUP(A8088,'Equip, Herr y Transp'!$B$2:$D$739,2,0)</f>
        <v>EQU</v>
      </c>
      <c r="C8088" s="570"/>
      <c r="D8088" s="95" t="str">
        <f>VLOOKUP(A8088,'Equip, Herr y Transp'!$B$2:$D$218,2,0)</f>
        <v>EQU</v>
      </c>
      <c r="E8088" s="95">
        <f>VLOOKUP(A8088,'Equip, Herr y Transp'!$B$2:$D$218,3,0)</f>
        <v>26672.5</v>
      </c>
      <c r="F8088" s="96">
        <f>H8077</f>
        <v>2.29E-2</v>
      </c>
      <c r="G8088" s="122">
        <f>F8088*E8088</f>
        <v>610.80025000000001</v>
      </c>
      <c r="H8088" s="117"/>
    </row>
    <row r="8089" spans="1:15">
      <c r="A8089" s="536" t="s">
        <v>8</v>
      </c>
      <c r="B8089" s="570">
        <f>VLOOKUP(A8089,'Equip, Herr y Transp'!$B$2:$D$739,2,0)</f>
        <v>0</v>
      </c>
      <c r="C8089" s="570"/>
      <c r="D8089" s="95">
        <f>VLOOKUP(A8089,'Equip, Herr y Transp'!$B$2:$D$218,2,0)</f>
        <v>0</v>
      </c>
      <c r="E8089" s="95">
        <f>VLOOKUP(A8089,'Equip, Herr y Transp'!$B$2:$D$218,3,0)</f>
        <v>0</v>
      </c>
      <c r="F8089" s="96">
        <f>H8077</f>
        <v>2.29E-2</v>
      </c>
      <c r="G8089" s="122">
        <f>F8089*E8089</f>
        <v>0</v>
      </c>
      <c r="H8089" s="117"/>
    </row>
    <row r="8090" spans="1:15">
      <c r="A8090" s="536" t="s">
        <v>8</v>
      </c>
      <c r="B8090" s="570">
        <f>VLOOKUP(A8090,'Equip, Herr y Transp'!$B$2:$D$739,2,0)</f>
        <v>0</v>
      </c>
      <c r="C8090" s="570"/>
      <c r="D8090" s="95">
        <f>VLOOKUP(A8090,'Equip, Herr y Transp'!$B$2:$D$218,2,0)</f>
        <v>0</v>
      </c>
      <c r="E8090" s="95">
        <f>VLOOKUP(A8090,'Equip, Herr y Transp'!$B$2:$D$218,3,0)</f>
        <v>0</v>
      </c>
      <c r="F8090" s="96">
        <f>H8077</f>
        <v>2.29E-2</v>
      </c>
      <c r="G8090" s="122">
        <f>F8090*E8090</f>
        <v>0</v>
      </c>
      <c r="H8090" s="117"/>
    </row>
    <row r="8091" spans="1:15" ht="16.5">
      <c r="A8091" s="540" t="s">
        <v>4100</v>
      </c>
      <c r="B8091" s="541"/>
      <c r="C8091" s="541"/>
      <c r="D8091" s="541"/>
      <c r="E8091" s="541"/>
      <c r="F8091" s="541"/>
      <c r="G8091" s="541"/>
      <c r="H8091" s="97">
        <f>SUM(G8087:G8090)</f>
        <v>934.37725</v>
      </c>
    </row>
    <row r="8092" spans="1:15" ht="16.5">
      <c r="A8092" s="571" t="s">
        <v>4230</v>
      </c>
      <c r="B8092" s="572"/>
      <c r="C8092" s="572"/>
      <c r="D8092" s="572"/>
      <c r="E8092" s="572"/>
      <c r="F8092" s="572"/>
      <c r="G8092" s="572"/>
      <c r="H8092" s="573"/>
      <c r="K8092" s="56"/>
      <c r="L8092" s="56"/>
      <c r="M8092" s="56"/>
      <c r="N8092" s="56"/>
      <c r="O8092" s="56"/>
    </row>
    <row r="8093" spans="1:15" ht="30" customHeight="1">
      <c r="A8093" s="574" t="s">
        <v>7</v>
      </c>
      <c r="B8093" s="575"/>
      <c r="C8093" s="109" t="s">
        <v>0</v>
      </c>
      <c r="D8093" s="110" t="s">
        <v>4098</v>
      </c>
      <c r="E8093" s="111" t="s">
        <v>1</v>
      </c>
      <c r="F8093" s="576" t="s">
        <v>4218</v>
      </c>
      <c r="G8093" s="576"/>
      <c r="H8093" s="215"/>
      <c r="K8093" s="56"/>
      <c r="L8093" s="56"/>
      <c r="M8093" s="56"/>
      <c r="N8093" s="56"/>
      <c r="O8093" s="56"/>
    </row>
    <row r="8094" spans="1:15">
      <c r="A8094" s="577" t="s">
        <v>5002</v>
      </c>
      <c r="B8094" s="578"/>
      <c r="C8094" s="98" t="str">
        <f>VLOOKUP(A8094,'Materiales '!$C$2:$F$1302,3,0)</f>
        <v>Ml</v>
      </c>
      <c r="D8094" s="99">
        <f>VLOOKUP(A8094,'Materiales '!$C$2:$F$1302,4,0)</f>
        <v>18564</v>
      </c>
      <c r="E8094" s="100">
        <v>3</v>
      </c>
      <c r="F8094" s="538">
        <f>E8094*D8094</f>
        <v>55692</v>
      </c>
      <c r="G8094" s="539"/>
      <c r="H8094" s="121"/>
      <c r="I8094">
        <f>E8094*G8084</f>
        <v>0</v>
      </c>
      <c r="J8094" s="67"/>
      <c r="K8094" s="56"/>
      <c r="L8094" s="56"/>
      <c r="M8094" s="56"/>
      <c r="N8094" s="56"/>
      <c r="O8094" s="56"/>
    </row>
    <row r="8095" spans="1:15">
      <c r="A8095" s="577" t="s">
        <v>4469</v>
      </c>
      <c r="B8095" s="578"/>
      <c r="C8095" s="98" t="str">
        <f>VLOOKUP(A8095,'Materiales '!$C$2:$F$1302,3,0)</f>
        <v>Rollo</v>
      </c>
      <c r="D8095" s="99">
        <f>VLOOKUP(A8095,'Materiales '!$C$2:$F$1302,4,0)</f>
        <v>19992</v>
      </c>
      <c r="E8095" s="100">
        <f>1/30</f>
        <v>3.3333333333333333E-2</v>
      </c>
      <c r="F8095" s="538">
        <f t="shared" ref="F8095:F8101" si="472">E8095*D8095</f>
        <v>666.4</v>
      </c>
      <c r="G8095" s="539"/>
      <c r="H8095" s="121"/>
      <c r="I8095">
        <f>E8095*G8084</f>
        <v>0</v>
      </c>
      <c r="J8095" s="67"/>
      <c r="K8095" s="56"/>
      <c r="L8095" s="56"/>
      <c r="M8095" s="56"/>
      <c r="N8095" s="56"/>
      <c r="O8095" s="56"/>
    </row>
    <row r="8096" spans="1:15">
      <c r="A8096" s="536" t="s">
        <v>4445</v>
      </c>
      <c r="B8096" s="537" t="str">
        <f>VLOOKUP(A8096,'Materiales '!$C$2:$F$1302,3,0)</f>
        <v>Ml</v>
      </c>
      <c r="C8096" s="98" t="str">
        <f>VLOOKUP(A8096,'Materiales '!$C$2:$F$1302,3,0)</f>
        <v>Ml</v>
      </c>
      <c r="D8096" s="99">
        <f>VLOOKUP(A8096,'Materiales '!$C$2:$F$1302,4,0)</f>
        <v>4426.8</v>
      </c>
      <c r="E8096" s="100">
        <v>1</v>
      </c>
      <c r="F8096" s="538">
        <f t="shared" si="472"/>
        <v>4426.8</v>
      </c>
      <c r="G8096" s="539"/>
      <c r="H8096" s="121"/>
      <c r="I8096">
        <f>E8096*G8084</f>
        <v>0</v>
      </c>
      <c r="J8096" s="68"/>
      <c r="K8096" s="56"/>
      <c r="L8096" s="56"/>
      <c r="M8096" s="56"/>
      <c r="N8096" s="56"/>
      <c r="O8096" s="56"/>
    </row>
    <row r="8097" spans="1:15">
      <c r="A8097" s="536" t="s">
        <v>8</v>
      </c>
      <c r="B8097" s="537" t="str">
        <f>VLOOKUP(A8097,'Materiales '!$C$2:$F$1302,3,0)</f>
        <v>-</v>
      </c>
      <c r="C8097" s="98" t="str">
        <f>VLOOKUP(A8097,'Materiales '!$C$2:$F$1302,3,0)</f>
        <v>-</v>
      </c>
      <c r="D8097" s="99">
        <f>VLOOKUP(A8097,'Materiales '!$C$2:$F$1302,4,0)</f>
        <v>0</v>
      </c>
      <c r="E8097" s="100"/>
      <c r="F8097" s="538">
        <f t="shared" si="472"/>
        <v>0</v>
      </c>
      <c r="G8097" s="539"/>
      <c r="H8097" s="121"/>
      <c r="I8097">
        <f>E8097*G8084</f>
        <v>0</v>
      </c>
      <c r="J8097" s="68"/>
      <c r="K8097" s="56"/>
      <c r="L8097" s="56"/>
      <c r="M8097" s="56"/>
      <c r="N8097" s="56"/>
      <c r="O8097" s="56"/>
    </row>
    <row r="8098" spans="1:15">
      <c r="A8098" s="536" t="s">
        <v>8</v>
      </c>
      <c r="B8098" s="537" t="str">
        <f>VLOOKUP(A8098,'Materiales '!$C$2:$F$1302,3,0)</f>
        <v>-</v>
      </c>
      <c r="C8098" s="98" t="str">
        <f>VLOOKUP(A8098,'Materiales '!$C$2:$F$1302,3,0)</f>
        <v>-</v>
      </c>
      <c r="D8098" s="99">
        <f>VLOOKUP(A8098,'Materiales '!$C$2:$F$1302,4,0)</f>
        <v>0</v>
      </c>
      <c r="E8098" s="100"/>
      <c r="F8098" s="538">
        <f t="shared" si="472"/>
        <v>0</v>
      </c>
      <c r="G8098" s="539"/>
      <c r="H8098" s="121"/>
      <c r="I8098">
        <f>E8098*G8084</f>
        <v>0</v>
      </c>
      <c r="J8098" s="68"/>
      <c r="K8098" s="56"/>
      <c r="L8098" s="56"/>
      <c r="M8098" s="56"/>
      <c r="N8098" s="56"/>
      <c r="O8098" s="56"/>
    </row>
    <row r="8099" spans="1:15">
      <c r="A8099" s="536" t="s">
        <v>8</v>
      </c>
      <c r="B8099" s="537" t="str">
        <f>VLOOKUP(A8099,'Materiales '!$C$2:$F$1302,3,0)</f>
        <v>-</v>
      </c>
      <c r="C8099" s="98" t="str">
        <f>VLOOKUP(A8099,'Materiales '!$C$2:$F$1302,3,0)</f>
        <v>-</v>
      </c>
      <c r="D8099" s="99">
        <f>VLOOKUP(A8099,'Materiales '!$C$2:$F$1302,4,0)</f>
        <v>0</v>
      </c>
      <c r="E8099" s="100"/>
      <c r="F8099" s="538">
        <f t="shared" si="472"/>
        <v>0</v>
      </c>
      <c r="G8099" s="539"/>
      <c r="H8099" s="121"/>
      <c r="I8099">
        <f>E8099*G8084</f>
        <v>0</v>
      </c>
      <c r="J8099" s="68"/>
      <c r="K8099" s="56"/>
      <c r="L8099" s="56"/>
      <c r="M8099" s="56"/>
      <c r="N8099" s="56"/>
      <c r="O8099" s="56"/>
    </row>
    <row r="8100" spans="1:15">
      <c r="A8100" s="536" t="s">
        <v>8</v>
      </c>
      <c r="B8100" s="537" t="str">
        <f>VLOOKUP(A8100,'Materiales '!$C$2:$F$1302,3,0)</f>
        <v>-</v>
      </c>
      <c r="C8100" s="98" t="str">
        <f>VLOOKUP(A8100,'Materiales '!$C$2:$F$1302,3,0)</f>
        <v>-</v>
      </c>
      <c r="D8100" s="99">
        <f>VLOOKUP(A8100,'Materiales '!$C$2:$F$1302,4,0)</f>
        <v>0</v>
      </c>
      <c r="E8100" s="100"/>
      <c r="F8100" s="538">
        <f t="shared" si="472"/>
        <v>0</v>
      </c>
      <c r="G8100" s="539"/>
      <c r="H8100" s="121"/>
      <c r="I8100">
        <f>E8100*G8084</f>
        <v>0</v>
      </c>
      <c r="J8100" s="68"/>
      <c r="K8100" s="56"/>
      <c r="L8100" s="56"/>
      <c r="M8100" s="56"/>
      <c r="N8100" s="56"/>
      <c r="O8100" s="56"/>
    </row>
    <row r="8101" spans="1:15" ht="21.75" customHeight="1">
      <c r="A8101" s="536" t="s">
        <v>8</v>
      </c>
      <c r="B8101" s="537" t="str">
        <f>VLOOKUP(A8101,'Materiales '!$C$2:$F$1302,3,0)</f>
        <v>-</v>
      </c>
      <c r="C8101" s="98" t="str">
        <f>VLOOKUP(A8101,'Materiales '!$C$2:$F$1302,3,0)</f>
        <v>-</v>
      </c>
      <c r="D8101" s="99">
        <f>VLOOKUP(A8101,'Materiales '!$C$2:$F$1302,4,0)</f>
        <v>0</v>
      </c>
      <c r="E8101" s="100"/>
      <c r="F8101" s="538">
        <f t="shared" si="472"/>
        <v>0</v>
      </c>
      <c r="G8101" s="539"/>
      <c r="H8101" s="121"/>
      <c r="I8101">
        <f>E8101*G8084</f>
        <v>0</v>
      </c>
      <c r="J8101" s="68"/>
      <c r="K8101" s="56"/>
      <c r="L8101" s="56"/>
      <c r="M8101" s="56"/>
      <c r="N8101" s="56"/>
      <c r="O8101" s="56"/>
    </row>
    <row r="8102" spans="1:15">
      <c r="A8102" s="536" t="s">
        <v>8</v>
      </c>
      <c r="B8102" s="537" t="str">
        <f>VLOOKUP(A8102,'Materiales '!$C$2:$F$1302,3,0)</f>
        <v>-</v>
      </c>
      <c r="C8102" s="98" t="str">
        <f>VLOOKUP(A8102,'Materiales '!$C$2:$F$1302,3,0)</f>
        <v>-</v>
      </c>
      <c r="D8102" s="99">
        <f>VLOOKUP(A8102,'Materiales '!$C$2:$F$1302,4,0)</f>
        <v>0</v>
      </c>
      <c r="E8102" s="100"/>
      <c r="F8102" s="538">
        <f>E8102*D8102</f>
        <v>0</v>
      </c>
      <c r="G8102" s="539"/>
      <c r="H8102" s="120"/>
      <c r="I8102">
        <f>E8102*G8084</f>
        <v>0</v>
      </c>
      <c r="J8102" s="68"/>
      <c r="K8102" s="56"/>
      <c r="L8102" s="56"/>
      <c r="M8102" s="56"/>
      <c r="N8102" s="56"/>
      <c r="O8102" s="56"/>
    </row>
    <row r="8103" spans="1:15">
      <c r="A8103" s="536" t="s">
        <v>8</v>
      </c>
      <c r="B8103" s="537" t="str">
        <f>VLOOKUP(A8103,'Materiales '!$C$2:$F$1302,3,0)</f>
        <v>-</v>
      </c>
      <c r="C8103" s="98" t="str">
        <f>VLOOKUP(A8103,'Materiales '!$C$2:$F$1302,3,0)</f>
        <v>-</v>
      </c>
      <c r="D8103" s="99">
        <f>VLOOKUP(A8103,'Materiales '!$C$2:$F$1302,4,0)</f>
        <v>0</v>
      </c>
      <c r="E8103" s="100"/>
      <c r="F8103" s="538">
        <f t="shared" ref="F8103:F8106" si="473">E8103*D8103</f>
        <v>0</v>
      </c>
      <c r="G8103" s="539"/>
      <c r="H8103" s="121"/>
      <c r="I8103">
        <f>E8103*G8084</f>
        <v>0</v>
      </c>
      <c r="J8103" s="68"/>
      <c r="K8103" s="56"/>
      <c r="L8103" s="56"/>
      <c r="M8103" s="56"/>
      <c r="N8103" s="56"/>
      <c r="O8103" s="56"/>
    </row>
    <row r="8104" spans="1:15">
      <c r="A8104" s="536" t="s">
        <v>8</v>
      </c>
      <c r="B8104" s="537" t="str">
        <f>VLOOKUP(A8104,'Materiales '!$C$2:$F$1302,3,0)</f>
        <v>-</v>
      </c>
      <c r="C8104" s="98" t="str">
        <f>VLOOKUP(A8104,'Materiales '!$C$2:$F$1302,3,0)</f>
        <v>-</v>
      </c>
      <c r="D8104" s="99">
        <f>VLOOKUP(A8104,'Materiales '!$C$2:$F$1302,4,0)</f>
        <v>0</v>
      </c>
      <c r="E8104" s="100"/>
      <c r="F8104" s="538">
        <f t="shared" si="473"/>
        <v>0</v>
      </c>
      <c r="G8104" s="539"/>
      <c r="H8104" s="121"/>
      <c r="I8104">
        <f>E8104*G8084</f>
        <v>0</v>
      </c>
      <c r="J8104" s="68"/>
      <c r="K8104" s="56"/>
      <c r="L8104" s="56"/>
      <c r="M8104" s="56"/>
      <c r="N8104" s="56"/>
      <c r="O8104" s="56"/>
    </row>
    <row r="8105" spans="1:15">
      <c r="A8105" s="536" t="s">
        <v>8</v>
      </c>
      <c r="B8105" s="537" t="str">
        <f>VLOOKUP(A8105,'Materiales '!$C$2:$F$1302,3,0)</f>
        <v>-</v>
      </c>
      <c r="C8105" s="98" t="str">
        <f>VLOOKUP(A8105,'Materiales '!$C$2:$F$1302,3,0)</f>
        <v>-</v>
      </c>
      <c r="D8105" s="99">
        <f>VLOOKUP(A8105,'Materiales '!$C$2:$F$1302,4,0)</f>
        <v>0</v>
      </c>
      <c r="E8105" s="100"/>
      <c r="F8105" s="538">
        <f t="shared" si="473"/>
        <v>0</v>
      </c>
      <c r="G8105" s="539"/>
      <c r="H8105" s="121"/>
      <c r="I8105">
        <f>E8105*G8084</f>
        <v>0</v>
      </c>
      <c r="J8105" s="68"/>
      <c r="K8105" s="56"/>
      <c r="L8105" s="56"/>
      <c r="M8105" s="56"/>
      <c r="N8105" s="56"/>
      <c r="O8105" s="56"/>
    </row>
    <row r="8106" spans="1:15">
      <c r="A8106" s="536" t="s">
        <v>8</v>
      </c>
      <c r="B8106" s="537" t="str">
        <f>VLOOKUP(A8106,'Materiales '!$C$2:$F$1302,3,0)</f>
        <v>-</v>
      </c>
      <c r="C8106" s="98" t="str">
        <f>VLOOKUP(A8106,'Materiales '!$C$2:$F$1302,3,0)</f>
        <v>-</v>
      </c>
      <c r="D8106" s="99">
        <f>VLOOKUP(A8106,'Materiales '!$C$2:$F$1302,4,0)</f>
        <v>0</v>
      </c>
      <c r="E8106" s="100"/>
      <c r="F8106" s="538">
        <f t="shared" si="473"/>
        <v>0</v>
      </c>
      <c r="G8106" s="539"/>
      <c r="H8106" s="121"/>
      <c r="I8106">
        <f>E8106*G8084</f>
        <v>0</v>
      </c>
      <c r="J8106" s="68"/>
      <c r="K8106" s="56"/>
      <c r="L8106" s="56"/>
      <c r="M8106" s="56"/>
      <c r="N8106" s="56"/>
      <c r="O8106" s="56"/>
    </row>
    <row r="8107" spans="1:15">
      <c r="A8107" s="536" t="s">
        <v>8</v>
      </c>
      <c r="B8107" s="537" t="str">
        <f>VLOOKUP(A8107,'Materiales '!$C$2:$F$1302,3,0)</f>
        <v>-</v>
      </c>
      <c r="C8107" s="98" t="str">
        <f>VLOOKUP(A8107,'Materiales '!$C$2:$F$1302,3,0)</f>
        <v>-</v>
      </c>
      <c r="D8107" s="99">
        <f>VLOOKUP(A8107,'Materiales '!$C$2:$F$1302,4,0)</f>
        <v>0</v>
      </c>
      <c r="E8107" s="100"/>
      <c r="F8107" s="538">
        <f>E8107*D8107</f>
        <v>0</v>
      </c>
      <c r="G8107" s="539"/>
      <c r="H8107" s="120"/>
      <c r="I8107">
        <f>E8107*G8084</f>
        <v>0</v>
      </c>
      <c r="J8107" s="68"/>
      <c r="K8107" s="56"/>
      <c r="L8107" s="56"/>
      <c r="M8107" s="56"/>
      <c r="N8107" s="56"/>
      <c r="O8107" s="56"/>
    </row>
    <row r="8108" spans="1:15" ht="16.5">
      <c r="A8108" s="540" t="s">
        <v>4099</v>
      </c>
      <c r="B8108" s="541"/>
      <c r="C8108" s="541"/>
      <c r="D8108" s="541"/>
      <c r="E8108" s="541"/>
      <c r="F8108" s="541"/>
      <c r="G8108" s="542"/>
      <c r="H8108" s="116">
        <f>SUM(F8094:F8107)</f>
        <v>60785.200000000004</v>
      </c>
      <c r="J8108" s="68"/>
      <c r="K8108" s="56"/>
      <c r="L8108" s="56"/>
      <c r="M8108" s="56"/>
      <c r="N8108" s="56"/>
      <c r="O8108" s="56"/>
    </row>
    <row r="8109" spans="1:15" ht="16.5">
      <c r="A8109" s="543" t="s">
        <v>4231</v>
      </c>
      <c r="B8109" s="544"/>
      <c r="C8109" s="544"/>
      <c r="D8109" s="544"/>
      <c r="E8109" s="545"/>
      <c r="F8109" s="544"/>
      <c r="G8109" s="544"/>
      <c r="H8109" s="546"/>
      <c r="J8109" s="68"/>
      <c r="K8109" s="56"/>
      <c r="L8109" s="56"/>
      <c r="M8109" s="56"/>
      <c r="N8109" s="56"/>
      <c r="O8109" s="56"/>
    </row>
    <row r="8110" spans="1:15">
      <c r="A8110" s="547" t="s">
        <v>7</v>
      </c>
      <c r="B8110" s="548"/>
      <c r="C8110" s="108" t="s">
        <v>4232</v>
      </c>
      <c r="D8110" s="107" t="s">
        <v>4233</v>
      </c>
      <c r="E8110" s="206" t="s">
        <v>4234</v>
      </c>
      <c r="F8110" s="549" t="s">
        <v>4218</v>
      </c>
      <c r="G8110" s="549"/>
      <c r="H8110" s="119"/>
      <c r="K8110" s="56"/>
      <c r="L8110" s="56"/>
      <c r="M8110" s="56"/>
      <c r="N8110" s="56"/>
      <c r="O8110" s="56"/>
    </row>
    <row r="8111" spans="1:15">
      <c r="A8111" s="550" t="s">
        <v>3928</v>
      </c>
      <c r="B8111" s="551"/>
      <c r="C8111" s="232">
        <v>1</v>
      </c>
      <c r="D8111" s="102">
        <v>5.0000000000000001E-3</v>
      </c>
      <c r="E8111" s="103">
        <f>VLOOKUP(A8111,'Equip, Herr y Transp'!$B$2:$D$218,3,0)</f>
        <v>160000</v>
      </c>
      <c r="F8111" s="552">
        <f>E8111*D8111*C8111</f>
        <v>800</v>
      </c>
      <c r="G8111" s="553"/>
      <c r="H8111" s="117"/>
      <c r="M8111" s="56"/>
    </row>
    <row r="8112" spans="1:15" ht="16.5">
      <c r="A8112" s="554" t="s">
        <v>4216</v>
      </c>
      <c r="B8112" s="555"/>
      <c r="C8112" s="555"/>
      <c r="D8112" s="555"/>
      <c r="E8112" s="555"/>
      <c r="F8112" s="555"/>
      <c r="G8112" s="555"/>
      <c r="H8112" s="105">
        <f>F8111</f>
        <v>800</v>
      </c>
    </row>
    <row r="8113" spans="1:10" ht="16.5">
      <c r="A8113" s="543" t="s">
        <v>4235</v>
      </c>
      <c r="B8113" s="544"/>
      <c r="C8113" s="544"/>
      <c r="D8113" s="544"/>
      <c r="E8113" s="544"/>
      <c r="F8113" s="544"/>
      <c r="G8113" s="544"/>
      <c r="H8113" s="546"/>
    </row>
    <row r="8114" spans="1:10">
      <c r="A8114" s="547" t="s">
        <v>7</v>
      </c>
      <c r="B8114" s="548"/>
      <c r="C8114" s="106" t="s">
        <v>1</v>
      </c>
      <c r="D8114" s="107" t="s">
        <v>4236</v>
      </c>
      <c r="E8114" s="108" t="s">
        <v>4215</v>
      </c>
      <c r="F8114" s="547" t="s">
        <v>5</v>
      </c>
      <c r="G8114" s="556"/>
      <c r="H8114" s="119"/>
    </row>
    <row r="8115" spans="1:10">
      <c r="A8115" s="550" t="s">
        <v>4196</v>
      </c>
      <c r="B8115" s="551"/>
      <c r="C8115" s="101">
        <v>1</v>
      </c>
      <c r="D8115" s="104">
        <f>VLOOKUP(A8115,'Mano Obra'!$B$2:$T$117,19,0)</f>
        <v>166624</v>
      </c>
      <c r="E8115" s="246">
        <f>H8077</f>
        <v>2.29E-2</v>
      </c>
      <c r="F8115" s="538">
        <f>E8115*D8115*C8115</f>
        <v>3815.6896000000002</v>
      </c>
      <c r="G8115" s="557"/>
      <c r="H8115" s="121"/>
      <c r="I8115" s="69"/>
      <c r="J8115" s="136">
        <f>((('Mano Obra'!$M$4/30)*F8115)/D8115)*G8084</f>
        <v>0</v>
      </c>
    </row>
    <row r="8116" spans="1:10">
      <c r="A8116" s="558" t="s">
        <v>4197</v>
      </c>
      <c r="B8116" s="559">
        <f>VLOOKUP(A8116,'Mano Obra'!$B$3:$D$290,2,0)</f>
        <v>2090000.0000000002</v>
      </c>
      <c r="C8116" s="101">
        <v>1</v>
      </c>
      <c r="D8116" s="104">
        <f>VLOOKUP(A8116,'Mano Obra'!$B$2:$T$117,19,0)</f>
        <v>120456</v>
      </c>
      <c r="E8116" s="246">
        <f>H8077</f>
        <v>2.29E-2</v>
      </c>
      <c r="F8116" s="538">
        <f t="shared" ref="F8116:F8117" si="474">E8116*D8116*C8116</f>
        <v>2758.4423999999999</v>
      </c>
      <c r="G8116" s="557"/>
      <c r="H8116" s="121"/>
      <c r="J8116" s="136">
        <f>((('Mano Obra'!$M$5/30)*F8116)/D8116)*G8084</f>
        <v>0</v>
      </c>
    </row>
    <row r="8117" spans="1:10">
      <c r="A8117" s="558" t="s">
        <v>4186</v>
      </c>
      <c r="B8117" s="559">
        <f>VLOOKUP(A8117,'Mano Obra'!$B$3:$D$290,2,0)</f>
        <v>1100000</v>
      </c>
      <c r="C8117" s="101">
        <v>1</v>
      </c>
      <c r="D8117" s="104">
        <f>VLOOKUP(A8117,'Mano Obra'!$B$2:$T$117,19,0)</f>
        <v>72664</v>
      </c>
      <c r="E8117" s="246">
        <f>H8077</f>
        <v>2.29E-2</v>
      </c>
      <c r="F8117" s="538">
        <f t="shared" si="474"/>
        <v>1664.0056</v>
      </c>
      <c r="G8117" s="557"/>
      <c r="H8117" s="120"/>
      <c r="J8117" s="136">
        <f>((('Mano Obra'!$M$6/30)*F8117)/D8117)*G8084</f>
        <v>0</v>
      </c>
    </row>
    <row r="8118" spans="1:10" ht="16.5">
      <c r="A8118" s="560" t="s">
        <v>4101</v>
      </c>
      <c r="B8118" s="560"/>
      <c r="C8118" s="560"/>
      <c r="D8118" s="560"/>
      <c r="E8118" s="560"/>
      <c r="F8118" s="560"/>
      <c r="G8118" s="560"/>
      <c r="H8118" s="105">
        <f>SUM(F8115:F8117)</f>
        <v>8238.1376</v>
      </c>
      <c r="J8118" s="136"/>
    </row>
    <row r="8119" spans="1:10">
      <c r="A8119" s="227" t="s">
        <v>4237</v>
      </c>
      <c r="B8119" s="205"/>
      <c r="C8119" s="205"/>
      <c r="D8119" s="202"/>
      <c r="E8119" s="203"/>
      <c r="F8119" s="204"/>
      <c r="G8119" s="203"/>
      <c r="H8119" s="212"/>
    </row>
    <row r="8120" spans="1:10">
      <c r="A8120" s="561" t="s">
        <v>4224</v>
      </c>
      <c r="B8120" s="562"/>
      <c r="C8120" s="562"/>
      <c r="D8120" s="562"/>
      <c r="E8120" s="200"/>
      <c r="F8120" s="201" t="s">
        <v>4238</v>
      </c>
      <c r="G8120" s="200" t="s">
        <v>4239</v>
      </c>
      <c r="H8120" s="213"/>
    </row>
    <row r="8121" spans="1:10">
      <c r="A8121" s="223" t="s">
        <v>4097</v>
      </c>
      <c r="B8121" s="72"/>
      <c r="C8121" s="72"/>
      <c r="D8121" s="73"/>
      <c r="E8121" s="78"/>
      <c r="F8121" s="79">
        <v>0</v>
      </c>
      <c r="G8121" s="80">
        <f>F8121*H8085</f>
        <v>0</v>
      </c>
      <c r="H8121" s="212"/>
    </row>
    <row r="8122" spans="1:10">
      <c r="A8122" s="224" t="s">
        <v>4240</v>
      </c>
      <c r="B8122" s="81"/>
      <c r="C8122" s="81"/>
      <c r="D8122" s="82"/>
      <c r="E8122" s="78"/>
      <c r="F8122" s="79">
        <v>0</v>
      </c>
      <c r="G8122" s="80">
        <f>F8122*H8085</f>
        <v>0</v>
      </c>
      <c r="H8122" s="212"/>
    </row>
    <row r="8123" spans="1:10">
      <c r="A8123" s="224" t="s">
        <v>4</v>
      </c>
      <c r="B8123" s="81"/>
      <c r="C8123" s="81"/>
      <c r="D8123" s="82"/>
      <c r="E8123" s="78"/>
      <c r="F8123" s="79">
        <v>0</v>
      </c>
      <c r="G8123" s="80">
        <f>F8123*H8085</f>
        <v>0</v>
      </c>
      <c r="H8123" s="212"/>
    </row>
    <row r="8124" spans="1:10">
      <c r="A8124" s="225"/>
      <c r="B8124" s="83"/>
      <c r="C8124" s="75"/>
      <c r="D8124" s="84"/>
      <c r="E8124" s="85"/>
      <c r="F8124" s="86"/>
      <c r="G8124" s="87"/>
      <c r="H8124" s="214"/>
    </row>
    <row r="8125" spans="1:10">
      <c r="A8125" s="226"/>
      <c r="B8125" s="83"/>
      <c r="C8125" s="83"/>
      <c r="D8125" s="84"/>
      <c r="E8125" s="88"/>
      <c r="F8125" s="563" t="s">
        <v>4241</v>
      </c>
      <c r="G8125" s="564"/>
      <c r="H8125" s="233">
        <f>H8085+G8121+G8122+G8123</f>
        <v>70757.714850000004</v>
      </c>
    </row>
    <row r="8127" spans="1:10" ht="16.5">
      <c r="A8127" s="90"/>
      <c r="B8127" s="90"/>
      <c r="C8127" s="90"/>
      <c r="D8127" s="90"/>
      <c r="E8127" s="90"/>
      <c r="F8127" s="90"/>
      <c r="G8127" s="90"/>
      <c r="H8127" s="381"/>
    </row>
    <row r="8128" spans="1:10">
      <c r="A8128" s="579" t="s">
        <v>4225</v>
      </c>
      <c r="B8128" s="580"/>
      <c r="C8128" s="580"/>
      <c r="D8128" s="580"/>
      <c r="E8128" s="580"/>
      <c r="F8128" s="580"/>
      <c r="G8128" s="580"/>
      <c r="H8128" s="581"/>
    </row>
    <row r="8129" spans="1:15" ht="16.5">
      <c r="A8129" s="91"/>
      <c r="B8129" s="92"/>
      <c r="C8129" s="92"/>
      <c r="D8129" s="92"/>
      <c r="E8129" s="92"/>
      <c r="F8129" s="93"/>
      <c r="G8129" s="94"/>
      <c r="H8129" s="380">
        <f>ROUND((4/60)/8,4)</f>
        <v>8.3000000000000001E-3</v>
      </c>
      <c r="I8129" s="115"/>
    </row>
    <row r="8130" spans="1:15">
      <c r="A8130" s="582" t="s">
        <v>4220</v>
      </c>
      <c r="B8130" s="584" t="str">
        <f>COSTOS!$C$14</f>
        <v>MODERNIZACION A TECNOLOGIA LED</v>
      </c>
      <c r="C8130" s="584"/>
      <c r="D8130" s="584"/>
      <c r="E8130" s="584"/>
      <c r="F8130" s="584"/>
      <c r="G8130" s="584"/>
      <c r="H8130" s="585" t="s">
        <v>4221</v>
      </c>
    </row>
    <row r="8131" spans="1:15">
      <c r="A8131" s="583"/>
      <c r="B8131" s="584"/>
      <c r="C8131" s="584"/>
      <c r="D8131" s="584"/>
      <c r="E8131" s="584"/>
      <c r="F8131" s="584"/>
      <c r="G8131" s="584"/>
      <c r="H8131" s="585"/>
    </row>
    <row r="8132" spans="1:15">
      <c r="A8132" s="583"/>
      <c r="B8132" s="584"/>
      <c r="C8132" s="584"/>
      <c r="D8132" s="584"/>
      <c r="E8132" s="584"/>
      <c r="F8132" s="584"/>
      <c r="G8132" s="584"/>
      <c r="H8132" s="585"/>
    </row>
    <row r="8133" spans="1:15" ht="15" customHeight="1">
      <c r="A8133" s="583"/>
      <c r="B8133" s="584"/>
      <c r="C8133" s="584"/>
      <c r="D8133" s="584"/>
      <c r="E8133" s="584"/>
      <c r="F8133" s="584"/>
      <c r="G8133" s="584"/>
      <c r="H8133" s="216">
        <f ca="1">TODAY()</f>
        <v>44889</v>
      </c>
      <c r="K8133" t="s">
        <v>4391</v>
      </c>
      <c r="L8133" t="s">
        <v>4392</v>
      </c>
      <c r="M8133" t="s">
        <v>4393</v>
      </c>
      <c r="N8133" t="s">
        <v>4394</v>
      </c>
    </row>
    <row r="8134" spans="1:15" ht="60.75" customHeight="1">
      <c r="A8134" s="228" t="s">
        <v>4222</v>
      </c>
      <c r="B8134" s="565" t="str">
        <f>COSTOS!$D$16</f>
        <v>Luminarias</v>
      </c>
      <c r="C8134" s="565"/>
      <c r="D8134" s="565"/>
      <c r="E8134" s="565"/>
      <c r="F8134" s="565"/>
      <c r="G8134" s="70" t="s">
        <v>4223</v>
      </c>
      <c r="H8134" s="391">
        <v>3.43</v>
      </c>
      <c r="K8134" s="62">
        <f>H8160</f>
        <v>6791.5679999999993</v>
      </c>
      <c r="L8134" s="62">
        <f>H8170</f>
        <v>2985.8752000000004</v>
      </c>
      <c r="M8134" s="62">
        <f>H8143</f>
        <v>338.66075000000001</v>
      </c>
      <c r="N8134" s="62">
        <f>H8164</f>
        <v>800</v>
      </c>
    </row>
    <row r="8135" spans="1:15" ht="43.15" customHeight="1">
      <c r="A8135" s="229" t="s">
        <v>4224</v>
      </c>
      <c r="B8135" s="566" t="str">
        <f>VLOOKUP(H8134,COSTOS!C:M,2,0)</f>
        <v>Cable encauchetado 3 x 14AWG  x 500 MT</v>
      </c>
      <c r="C8135" s="567"/>
      <c r="D8135" s="567"/>
      <c r="E8135" s="568"/>
      <c r="F8135" s="71" t="s">
        <v>0</v>
      </c>
      <c r="G8135" s="356" t="str">
        <f>VLOOKUP(H8134,COSTOS!C:M,8,0)</f>
        <v>Und</v>
      </c>
      <c r="H8135" s="276"/>
      <c r="I8135" s="306"/>
      <c r="J8135" s="308"/>
      <c r="K8135" s="308"/>
      <c r="L8135" s="308"/>
    </row>
    <row r="8136" spans="1:15">
      <c r="A8136" s="230"/>
      <c r="B8136" s="112"/>
      <c r="C8136" s="112"/>
      <c r="D8136" s="112"/>
      <c r="E8136" s="113"/>
      <c r="F8136" s="114" t="s">
        <v>1</v>
      </c>
      <c r="G8136" s="356">
        <f>VLOOKUP(H8134,COSTOS!C:M,9,0)</f>
        <v>0</v>
      </c>
      <c r="H8136" s="357"/>
      <c r="I8136" s="307"/>
    </row>
    <row r="8137" spans="1:15" ht="16.5">
      <c r="A8137" s="231" t="s">
        <v>4226</v>
      </c>
      <c r="B8137" s="75"/>
      <c r="C8137" s="75"/>
      <c r="D8137" s="76"/>
      <c r="E8137" s="209"/>
      <c r="F8137" s="210"/>
      <c r="G8137" s="211" t="s">
        <v>4227</v>
      </c>
      <c r="H8137" s="217">
        <f>H8143+H8160+H8164+H8170</f>
        <v>10916.103950000001</v>
      </c>
    </row>
    <row r="8138" spans="1:15" ht="39">
      <c r="A8138" s="569" t="s">
        <v>4224</v>
      </c>
      <c r="B8138" s="569"/>
      <c r="C8138" s="569"/>
      <c r="D8138" s="77" t="s">
        <v>0</v>
      </c>
      <c r="E8138" s="207" t="s">
        <v>4228</v>
      </c>
      <c r="F8138" s="208" t="s">
        <v>4215</v>
      </c>
      <c r="G8138" s="74" t="s">
        <v>2</v>
      </c>
      <c r="H8138" s="218" t="s">
        <v>4229</v>
      </c>
      <c r="K8138" s="309"/>
    </row>
    <row r="8139" spans="1:15">
      <c r="A8139" s="536" t="s">
        <v>3946</v>
      </c>
      <c r="B8139" s="570" t="str">
        <f>VLOOKUP(A8139,'Equip, Herr y Transp'!$B$2:$D$739,2,0)</f>
        <v>EQU</v>
      </c>
      <c r="C8139" s="570"/>
      <c r="D8139" s="95" t="str">
        <f>VLOOKUP(A8139,'Equip, Herr y Transp'!$B$2:$D$218,2,0)</f>
        <v>EQU</v>
      </c>
      <c r="E8139" s="95">
        <f>VLOOKUP(A8139,'Equip, Herr y Transp'!$B$2:$D$218,3,0)</f>
        <v>14130</v>
      </c>
      <c r="F8139" s="96">
        <f>H8129</f>
        <v>8.3000000000000001E-3</v>
      </c>
      <c r="G8139" s="122">
        <f>F8139*E8139</f>
        <v>117.279</v>
      </c>
      <c r="H8139" s="118"/>
    </row>
    <row r="8140" spans="1:15">
      <c r="A8140" s="536" t="s">
        <v>3904</v>
      </c>
      <c r="B8140" s="570" t="str">
        <f>VLOOKUP(A8140,'Equip, Herr y Transp'!$B$2:$D$739,2,0)</f>
        <v>EQU</v>
      </c>
      <c r="C8140" s="570"/>
      <c r="D8140" s="95" t="str">
        <f>VLOOKUP(A8140,'Equip, Herr y Transp'!$B$2:$D$218,2,0)</f>
        <v>EQU</v>
      </c>
      <c r="E8140" s="95">
        <f>VLOOKUP(A8140,'Equip, Herr y Transp'!$B$2:$D$218,3,0)</f>
        <v>26672.5</v>
      </c>
      <c r="F8140" s="96">
        <f>H8129</f>
        <v>8.3000000000000001E-3</v>
      </c>
      <c r="G8140" s="122">
        <f>F8140*E8140</f>
        <v>221.38175000000001</v>
      </c>
      <c r="H8140" s="117"/>
    </row>
    <row r="8141" spans="1:15">
      <c r="A8141" s="536" t="s">
        <v>8</v>
      </c>
      <c r="B8141" s="570">
        <f>VLOOKUP(A8141,'Equip, Herr y Transp'!$B$2:$D$739,2,0)</f>
        <v>0</v>
      </c>
      <c r="C8141" s="570"/>
      <c r="D8141" s="95">
        <f>VLOOKUP(A8141,'Equip, Herr y Transp'!$B$2:$D$218,2,0)</f>
        <v>0</v>
      </c>
      <c r="E8141" s="95">
        <f>VLOOKUP(A8141,'Equip, Herr y Transp'!$B$2:$D$218,3,0)</f>
        <v>0</v>
      </c>
      <c r="F8141" s="96">
        <f>H8129</f>
        <v>8.3000000000000001E-3</v>
      </c>
      <c r="G8141" s="122">
        <f>F8141*E8141</f>
        <v>0</v>
      </c>
      <c r="H8141" s="117"/>
    </row>
    <row r="8142" spans="1:15">
      <c r="A8142" s="536" t="s">
        <v>8</v>
      </c>
      <c r="B8142" s="570">
        <f>VLOOKUP(A8142,'Equip, Herr y Transp'!$B$2:$D$739,2,0)</f>
        <v>0</v>
      </c>
      <c r="C8142" s="570"/>
      <c r="D8142" s="95">
        <f>VLOOKUP(A8142,'Equip, Herr y Transp'!$B$2:$D$218,2,0)</f>
        <v>0</v>
      </c>
      <c r="E8142" s="95">
        <f>VLOOKUP(A8142,'Equip, Herr y Transp'!$B$2:$D$218,3,0)</f>
        <v>0</v>
      </c>
      <c r="F8142" s="96">
        <f>H8129</f>
        <v>8.3000000000000001E-3</v>
      </c>
      <c r="G8142" s="122">
        <f>F8142*E8142</f>
        <v>0</v>
      </c>
      <c r="H8142" s="117"/>
    </row>
    <row r="8143" spans="1:15" ht="16.5">
      <c r="A8143" s="540" t="s">
        <v>4100</v>
      </c>
      <c r="B8143" s="541"/>
      <c r="C8143" s="541"/>
      <c r="D8143" s="541"/>
      <c r="E8143" s="541"/>
      <c r="F8143" s="541"/>
      <c r="G8143" s="541"/>
      <c r="H8143" s="97">
        <f>SUM(G8139:G8142)</f>
        <v>338.66075000000001</v>
      </c>
    </row>
    <row r="8144" spans="1:15" ht="16.5">
      <c r="A8144" s="571" t="s">
        <v>4230</v>
      </c>
      <c r="B8144" s="572"/>
      <c r="C8144" s="572"/>
      <c r="D8144" s="572"/>
      <c r="E8144" s="572"/>
      <c r="F8144" s="572"/>
      <c r="G8144" s="572"/>
      <c r="H8144" s="573"/>
      <c r="K8144" s="56"/>
      <c r="L8144" s="56"/>
      <c r="M8144" s="56"/>
      <c r="N8144" s="56"/>
      <c r="O8144" s="56"/>
    </row>
    <row r="8145" spans="1:15" ht="30" customHeight="1">
      <c r="A8145" s="574" t="s">
        <v>7</v>
      </c>
      <c r="B8145" s="575"/>
      <c r="C8145" s="109" t="s">
        <v>0</v>
      </c>
      <c r="D8145" s="110" t="s">
        <v>4098</v>
      </c>
      <c r="E8145" s="111" t="s">
        <v>1</v>
      </c>
      <c r="F8145" s="576" t="s">
        <v>4218</v>
      </c>
      <c r="G8145" s="576"/>
      <c r="H8145" s="215"/>
      <c r="K8145" s="56"/>
      <c r="L8145" s="56"/>
      <c r="M8145" s="56"/>
      <c r="N8145" s="56"/>
      <c r="O8145" s="56"/>
    </row>
    <row r="8146" spans="1:15">
      <c r="A8146" s="577" t="s">
        <v>4450</v>
      </c>
      <c r="B8146" s="578"/>
      <c r="C8146" s="98" t="str">
        <f>VLOOKUP(A8146,'Materiales '!$C$2:$F$1302,3,0)</f>
        <v>Ml</v>
      </c>
      <c r="D8146" s="99">
        <f>VLOOKUP(A8146,'Materiales '!$C$2:$F$1302,4,0)</f>
        <v>6791.5679999999993</v>
      </c>
      <c r="E8146" s="100">
        <v>1</v>
      </c>
      <c r="F8146" s="538">
        <f>E8146*D8146</f>
        <v>6791.5679999999993</v>
      </c>
      <c r="G8146" s="539"/>
      <c r="H8146" s="121"/>
      <c r="I8146">
        <f>E8146*G8136</f>
        <v>0</v>
      </c>
      <c r="J8146" s="67"/>
      <c r="K8146" s="56"/>
      <c r="L8146" s="56"/>
      <c r="M8146" s="56"/>
      <c r="N8146" s="56"/>
      <c r="O8146" s="56"/>
    </row>
    <row r="8147" spans="1:15">
      <c r="A8147" s="577" t="s">
        <v>8</v>
      </c>
      <c r="B8147" s="578"/>
      <c r="C8147" s="98" t="str">
        <f>VLOOKUP(A8147,'Materiales '!$C$2:$F$1302,3,0)</f>
        <v>-</v>
      </c>
      <c r="D8147" s="99">
        <f>VLOOKUP(A8147,'Materiales '!$C$2:$F$1302,4,0)</f>
        <v>0</v>
      </c>
      <c r="E8147" s="100">
        <f>3/25</f>
        <v>0.12</v>
      </c>
      <c r="F8147" s="538">
        <f t="shared" ref="F8147:F8153" si="475">E8147*D8147</f>
        <v>0</v>
      </c>
      <c r="G8147" s="539"/>
      <c r="H8147" s="121"/>
      <c r="I8147">
        <f>E8147*G8136</f>
        <v>0</v>
      </c>
      <c r="J8147" s="67"/>
      <c r="K8147" s="56"/>
      <c r="L8147" s="56"/>
      <c r="M8147" s="56"/>
      <c r="N8147" s="56"/>
      <c r="O8147" s="56"/>
    </row>
    <row r="8148" spans="1:15">
      <c r="A8148" s="536" t="s">
        <v>8</v>
      </c>
      <c r="B8148" s="537" t="str">
        <f>VLOOKUP(A8148,'Materiales '!$C$2:$F$1302,3,0)</f>
        <v>-</v>
      </c>
      <c r="C8148" s="98" t="str">
        <f>VLOOKUP(A8148,'Materiales '!$C$2:$F$1302,3,0)</f>
        <v>-</v>
      </c>
      <c r="D8148" s="99">
        <f>VLOOKUP(A8148,'Materiales '!$C$2:$F$1302,4,0)</f>
        <v>0</v>
      </c>
      <c r="E8148" s="100">
        <f>3/25</f>
        <v>0.12</v>
      </c>
      <c r="F8148" s="538">
        <f t="shared" si="475"/>
        <v>0</v>
      </c>
      <c r="G8148" s="539"/>
      <c r="H8148" s="121"/>
      <c r="I8148">
        <f>E8148*G8136</f>
        <v>0</v>
      </c>
      <c r="J8148" s="68"/>
      <c r="K8148" s="56"/>
      <c r="L8148" s="56"/>
      <c r="M8148" s="56"/>
      <c r="N8148" s="56"/>
      <c r="O8148" s="56"/>
    </row>
    <row r="8149" spans="1:15">
      <c r="A8149" s="536" t="s">
        <v>8</v>
      </c>
      <c r="B8149" s="537" t="str">
        <f>VLOOKUP(A8149,'Materiales '!$C$2:$F$1302,3,0)</f>
        <v>-</v>
      </c>
      <c r="C8149" s="98" t="str">
        <f>VLOOKUP(A8149,'Materiales '!$C$2:$F$1302,3,0)</f>
        <v>-</v>
      </c>
      <c r="D8149" s="99">
        <f>VLOOKUP(A8149,'Materiales '!$C$2:$F$1302,4,0)</f>
        <v>0</v>
      </c>
      <c r="E8149" s="100"/>
      <c r="F8149" s="538">
        <f t="shared" si="475"/>
        <v>0</v>
      </c>
      <c r="G8149" s="539"/>
      <c r="H8149" s="121"/>
      <c r="I8149">
        <f>E8149*G8136</f>
        <v>0</v>
      </c>
      <c r="J8149" s="68"/>
      <c r="K8149" s="56"/>
      <c r="L8149" s="56"/>
      <c r="M8149" s="56"/>
      <c r="N8149" s="56"/>
      <c r="O8149" s="56"/>
    </row>
    <row r="8150" spans="1:15">
      <c r="A8150" s="536" t="s">
        <v>8</v>
      </c>
      <c r="B8150" s="537" t="str">
        <f>VLOOKUP(A8150,'Materiales '!$C$2:$F$1302,3,0)</f>
        <v>-</v>
      </c>
      <c r="C8150" s="98" t="str">
        <f>VLOOKUP(A8150,'Materiales '!$C$2:$F$1302,3,0)</f>
        <v>-</v>
      </c>
      <c r="D8150" s="99">
        <f>VLOOKUP(A8150,'Materiales '!$C$2:$F$1302,4,0)</f>
        <v>0</v>
      </c>
      <c r="E8150" s="100"/>
      <c r="F8150" s="538">
        <f t="shared" si="475"/>
        <v>0</v>
      </c>
      <c r="G8150" s="539"/>
      <c r="H8150" s="121"/>
      <c r="I8150">
        <f>E8150*G8136</f>
        <v>0</v>
      </c>
      <c r="J8150" s="68"/>
      <c r="K8150" s="56"/>
      <c r="L8150" s="56"/>
      <c r="M8150" s="56"/>
      <c r="N8150" s="56"/>
      <c r="O8150" s="56"/>
    </row>
    <row r="8151" spans="1:15">
      <c r="A8151" s="536" t="s">
        <v>8</v>
      </c>
      <c r="B8151" s="537" t="str">
        <f>VLOOKUP(A8151,'Materiales '!$C$2:$F$1302,3,0)</f>
        <v>-</v>
      </c>
      <c r="C8151" s="98" t="str">
        <f>VLOOKUP(A8151,'Materiales '!$C$2:$F$1302,3,0)</f>
        <v>-</v>
      </c>
      <c r="D8151" s="99">
        <f>VLOOKUP(A8151,'Materiales '!$C$2:$F$1302,4,0)</f>
        <v>0</v>
      </c>
      <c r="E8151" s="100"/>
      <c r="F8151" s="538">
        <f t="shared" si="475"/>
        <v>0</v>
      </c>
      <c r="G8151" s="539"/>
      <c r="H8151" s="121"/>
      <c r="I8151">
        <f>E8151*G8136</f>
        <v>0</v>
      </c>
      <c r="J8151" s="68"/>
      <c r="K8151" s="56"/>
      <c r="L8151" s="56"/>
      <c r="M8151" s="56"/>
      <c r="N8151" s="56"/>
      <c r="O8151" s="56"/>
    </row>
    <row r="8152" spans="1:15">
      <c r="A8152" s="536" t="s">
        <v>8</v>
      </c>
      <c r="B8152" s="537" t="str">
        <f>VLOOKUP(A8152,'Materiales '!$C$2:$F$1302,3,0)</f>
        <v>-</v>
      </c>
      <c r="C8152" s="98" t="str">
        <f>VLOOKUP(A8152,'Materiales '!$C$2:$F$1302,3,0)</f>
        <v>-</v>
      </c>
      <c r="D8152" s="99">
        <f>VLOOKUP(A8152,'Materiales '!$C$2:$F$1302,4,0)</f>
        <v>0</v>
      </c>
      <c r="E8152" s="100"/>
      <c r="F8152" s="538">
        <f t="shared" si="475"/>
        <v>0</v>
      </c>
      <c r="G8152" s="539"/>
      <c r="H8152" s="121"/>
      <c r="I8152">
        <f>E8152*G8136</f>
        <v>0</v>
      </c>
      <c r="J8152" s="68"/>
      <c r="K8152" s="56"/>
      <c r="L8152" s="56"/>
      <c r="M8152" s="56"/>
      <c r="N8152" s="56"/>
      <c r="O8152" s="56"/>
    </row>
    <row r="8153" spans="1:15" ht="21.75" customHeight="1">
      <c r="A8153" s="536" t="s">
        <v>8</v>
      </c>
      <c r="B8153" s="537" t="str">
        <f>VLOOKUP(A8153,'Materiales '!$C$2:$F$1302,3,0)</f>
        <v>-</v>
      </c>
      <c r="C8153" s="98" t="str">
        <f>VLOOKUP(A8153,'Materiales '!$C$2:$F$1302,3,0)</f>
        <v>-</v>
      </c>
      <c r="D8153" s="99">
        <f>VLOOKUP(A8153,'Materiales '!$C$2:$F$1302,4,0)</f>
        <v>0</v>
      </c>
      <c r="E8153" s="100"/>
      <c r="F8153" s="538">
        <f t="shared" si="475"/>
        <v>0</v>
      </c>
      <c r="G8153" s="539"/>
      <c r="H8153" s="121"/>
      <c r="I8153">
        <f>E8153*G8136</f>
        <v>0</v>
      </c>
      <c r="J8153" s="68"/>
      <c r="K8153" s="56"/>
      <c r="L8153" s="56"/>
      <c r="M8153" s="56"/>
      <c r="N8153" s="56"/>
      <c r="O8153" s="56"/>
    </row>
    <row r="8154" spans="1:15">
      <c r="A8154" s="536" t="s">
        <v>8</v>
      </c>
      <c r="B8154" s="537" t="str">
        <f>VLOOKUP(A8154,'Materiales '!$C$2:$F$1302,3,0)</f>
        <v>-</v>
      </c>
      <c r="C8154" s="98" t="str">
        <f>VLOOKUP(A8154,'Materiales '!$C$2:$F$1302,3,0)</f>
        <v>-</v>
      </c>
      <c r="D8154" s="99">
        <f>VLOOKUP(A8154,'Materiales '!$C$2:$F$1302,4,0)</f>
        <v>0</v>
      </c>
      <c r="E8154" s="100"/>
      <c r="F8154" s="538">
        <f>E8154*D8154</f>
        <v>0</v>
      </c>
      <c r="G8154" s="539"/>
      <c r="H8154" s="120"/>
      <c r="I8154">
        <f>E8154*G8136</f>
        <v>0</v>
      </c>
      <c r="J8154" s="68"/>
      <c r="K8154" s="56"/>
      <c r="L8154" s="56"/>
      <c r="M8154" s="56"/>
      <c r="N8154" s="56"/>
      <c r="O8154" s="56"/>
    </row>
    <row r="8155" spans="1:15">
      <c r="A8155" s="536" t="s">
        <v>8</v>
      </c>
      <c r="B8155" s="537" t="str">
        <f>VLOOKUP(A8155,'Materiales '!$C$2:$F$1302,3,0)</f>
        <v>-</v>
      </c>
      <c r="C8155" s="98" t="str">
        <f>VLOOKUP(A8155,'Materiales '!$C$2:$F$1302,3,0)</f>
        <v>-</v>
      </c>
      <c r="D8155" s="99">
        <f>VLOOKUP(A8155,'Materiales '!$C$2:$F$1302,4,0)</f>
        <v>0</v>
      </c>
      <c r="E8155" s="100"/>
      <c r="F8155" s="538">
        <f t="shared" ref="F8155:F8158" si="476">E8155*D8155</f>
        <v>0</v>
      </c>
      <c r="G8155" s="539"/>
      <c r="H8155" s="121"/>
      <c r="I8155">
        <f>E8155*G8136</f>
        <v>0</v>
      </c>
      <c r="J8155" s="68"/>
      <c r="K8155" s="56"/>
      <c r="L8155" s="56"/>
      <c r="M8155" s="56"/>
      <c r="N8155" s="56"/>
      <c r="O8155" s="56"/>
    </row>
    <row r="8156" spans="1:15">
      <c r="A8156" s="536" t="s">
        <v>8</v>
      </c>
      <c r="B8156" s="537" t="str">
        <f>VLOOKUP(A8156,'Materiales '!$C$2:$F$1302,3,0)</f>
        <v>-</v>
      </c>
      <c r="C8156" s="98" t="str">
        <f>VLOOKUP(A8156,'Materiales '!$C$2:$F$1302,3,0)</f>
        <v>-</v>
      </c>
      <c r="D8156" s="99">
        <f>VLOOKUP(A8156,'Materiales '!$C$2:$F$1302,4,0)</f>
        <v>0</v>
      </c>
      <c r="E8156" s="100"/>
      <c r="F8156" s="538">
        <f t="shared" si="476"/>
        <v>0</v>
      </c>
      <c r="G8156" s="539"/>
      <c r="H8156" s="121"/>
      <c r="I8156">
        <f>E8156*G8136</f>
        <v>0</v>
      </c>
      <c r="J8156" s="68"/>
      <c r="K8156" s="56"/>
      <c r="L8156" s="56"/>
      <c r="M8156" s="56"/>
      <c r="N8156" s="56"/>
      <c r="O8156" s="56"/>
    </row>
    <row r="8157" spans="1:15">
      <c r="A8157" s="536" t="s">
        <v>8</v>
      </c>
      <c r="B8157" s="537" t="str">
        <f>VLOOKUP(A8157,'Materiales '!$C$2:$F$1302,3,0)</f>
        <v>-</v>
      </c>
      <c r="C8157" s="98" t="str">
        <f>VLOOKUP(A8157,'Materiales '!$C$2:$F$1302,3,0)</f>
        <v>-</v>
      </c>
      <c r="D8157" s="99">
        <f>VLOOKUP(A8157,'Materiales '!$C$2:$F$1302,4,0)</f>
        <v>0</v>
      </c>
      <c r="E8157" s="100"/>
      <c r="F8157" s="538">
        <f t="shared" si="476"/>
        <v>0</v>
      </c>
      <c r="G8157" s="539"/>
      <c r="H8157" s="121"/>
      <c r="I8157">
        <f>E8157*G8136</f>
        <v>0</v>
      </c>
      <c r="J8157" s="68"/>
      <c r="K8157" s="56"/>
      <c r="L8157" s="56"/>
      <c r="M8157" s="56"/>
      <c r="N8157" s="56"/>
      <c r="O8157" s="56"/>
    </row>
    <row r="8158" spans="1:15">
      <c r="A8158" s="536" t="s">
        <v>8</v>
      </c>
      <c r="B8158" s="537" t="str">
        <f>VLOOKUP(A8158,'Materiales '!$C$2:$F$1302,3,0)</f>
        <v>-</v>
      </c>
      <c r="C8158" s="98" t="str">
        <f>VLOOKUP(A8158,'Materiales '!$C$2:$F$1302,3,0)</f>
        <v>-</v>
      </c>
      <c r="D8158" s="99">
        <f>VLOOKUP(A8158,'Materiales '!$C$2:$F$1302,4,0)</f>
        <v>0</v>
      </c>
      <c r="E8158" s="100"/>
      <c r="F8158" s="538">
        <f t="shared" si="476"/>
        <v>0</v>
      </c>
      <c r="G8158" s="539"/>
      <c r="H8158" s="121"/>
      <c r="I8158">
        <f>E8158*G8136</f>
        <v>0</v>
      </c>
      <c r="J8158" s="68"/>
      <c r="K8158" s="56"/>
      <c r="L8158" s="56"/>
      <c r="M8158" s="56"/>
      <c r="N8158" s="56"/>
      <c r="O8158" s="56"/>
    </row>
    <row r="8159" spans="1:15">
      <c r="A8159" s="536" t="s">
        <v>8</v>
      </c>
      <c r="B8159" s="537" t="str">
        <f>VLOOKUP(A8159,'Materiales '!$C$2:$F$1302,3,0)</f>
        <v>-</v>
      </c>
      <c r="C8159" s="98" t="str">
        <f>VLOOKUP(A8159,'Materiales '!$C$2:$F$1302,3,0)</f>
        <v>-</v>
      </c>
      <c r="D8159" s="99">
        <f>VLOOKUP(A8159,'Materiales '!$C$2:$F$1302,4,0)</f>
        <v>0</v>
      </c>
      <c r="E8159" s="100"/>
      <c r="F8159" s="538">
        <f>E8159*D8159</f>
        <v>0</v>
      </c>
      <c r="G8159" s="539"/>
      <c r="H8159" s="120"/>
      <c r="I8159">
        <f>E8159*G8136</f>
        <v>0</v>
      </c>
      <c r="J8159" s="68"/>
      <c r="K8159" s="56"/>
      <c r="L8159" s="56"/>
      <c r="M8159" s="56"/>
      <c r="N8159" s="56"/>
      <c r="O8159" s="56"/>
    </row>
    <row r="8160" spans="1:15" ht="16.5">
      <c r="A8160" s="540" t="s">
        <v>4099</v>
      </c>
      <c r="B8160" s="541"/>
      <c r="C8160" s="541"/>
      <c r="D8160" s="541"/>
      <c r="E8160" s="541"/>
      <c r="F8160" s="541"/>
      <c r="G8160" s="542"/>
      <c r="H8160" s="116">
        <f>SUM(F8146:F8159)</f>
        <v>6791.5679999999993</v>
      </c>
      <c r="J8160" s="68"/>
      <c r="K8160" s="56"/>
      <c r="L8160" s="56"/>
      <c r="M8160" s="56"/>
      <c r="N8160" s="56"/>
      <c r="O8160" s="56"/>
    </row>
    <row r="8161" spans="1:15" ht="16.5">
      <c r="A8161" s="543" t="s">
        <v>4231</v>
      </c>
      <c r="B8161" s="544"/>
      <c r="C8161" s="544"/>
      <c r="D8161" s="544"/>
      <c r="E8161" s="545"/>
      <c r="F8161" s="544"/>
      <c r="G8161" s="544"/>
      <c r="H8161" s="546"/>
      <c r="J8161" s="68"/>
      <c r="K8161" s="56"/>
      <c r="L8161" s="56"/>
      <c r="M8161" s="56"/>
      <c r="N8161" s="56"/>
      <c r="O8161" s="56"/>
    </row>
    <row r="8162" spans="1:15">
      <c r="A8162" s="547" t="s">
        <v>7</v>
      </c>
      <c r="B8162" s="548"/>
      <c r="C8162" s="108" t="s">
        <v>4232</v>
      </c>
      <c r="D8162" s="107" t="s">
        <v>4233</v>
      </c>
      <c r="E8162" s="206" t="s">
        <v>4234</v>
      </c>
      <c r="F8162" s="549" t="s">
        <v>4218</v>
      </c>
      <c r="G8162" s="549"/>
      <c r="H8162" s="119"/>
      <c r="K8162" s="56"/>
      <c r="L8162" s="56"/>
      <c r="M8162" s="56"/>
      <c r="N8162" s="56"/>
      <c r="O8162" s="56"/>
    </row>
    <row r="8163" spans="1:15">
      <c r="A8163" s="550" t="s">
        <v>3928</v>
      </c>
      <c r="B8163" s="551"/>
      <c r="C8163" s="232">
        <v>1</v>
      </c>
      <c r="D8163" s="102">
        <v>5.0000000000000001E-3</v>
      </c>
      <c r="E8163" s="103">
        <f>VLOOKUP(A8163,'Equip, Herr y Transp'!$B$2:$D$218,3,0)</f>
        <v>160000</v>
      </c>
      <c r="F8163" s="552">
        <f>E8163*D8163*C8163</f>
        <v>800</v>
      </c>
      <c r="G8163" s="553"/>
      <c r="H8163" s="117"/>
      <c r="M8163" s="56"/>
    </row>
    <row r="8164" spans="1:15" ht="16.5">
      <c r="A8164" s="554" t="s">
        <v>4216</v>
      </c>
      <c r="B8164" s="555"/>
      <c r="C8164" s="555"/>
      <c r="D8164" s="555"/>
      <c r="E8164" s="555"/>
      <c r="F8164" s="555"/>
      <c r="G8164" s="555"/>
      <c r="H8164" s="105">
        <f>F8163</f>
        <v>800</v>
      </c>
    </row>
    <row r="8165" spans="1:15" ht="16.5">
      <c r="A8165" s="543" t="s">
        <v>4235</v>
      </c>
      <c r="B8165" s="544"/>
      <c r="C8165" s="544"/>
      <c r="D8165" s="544"/>
      <c r="E8165" s="544"/>
      <c r="F8165" s="544"/>
      <c r="G8165" s="544"/>
      <c r="H8165" s="546"/>
    </row>
    <row r="8166" spans="1:15">
      <c r="A8166" s="547" t="s">
        <v>7</v>
      </c>
      <c r="B8166" s="548"/>
      <c r="C8166" s="106" t="s">
        <v>1</v>
      </c>
      <c r="D8166" s="107" t="s">
        <v>4236</v>
      </c>
      <c r="E8166" s="108" t="s">
        <v>4215</v>
      </c>
      <c r="F8166" s="547" t="s">
        <v>5</v>
      </c>
      <c r="G8166" s="556"/>
      <c r="H8166" s="119"/>
    </row>
    <row r="8167" spans="1:15">
      <c r="A8167" s="550" t="s">
        <v>4196</v>
      </c>
      <c r="B8167" s="551"/>
      <c r="C8167" s="101">
        <v>1</v>
      </c>
      <c r="D8167" s="104">
        <f>VLOOKUP(A8167,'Mano Obra'!$B$2:$T$117,19,0)</f>
        <v>166624</v>
      </c>
      <c r="E8167" s="246">
        <f>H8129</f>
        <v>8.3000000000000001E-3</v>
      </c>
      <c r="F8167" s="538">
        <f>E8167*D8167*C8167</f>
        <v>1382.9792</v>
      </c>
      <c r="G8167" s="557"/>
      <c r="H8167" s="121"/>
      <c r="I8167" s="69"/>
      <c r="J8167" s="136">
        <f>((('Mano Obra'!$M$4/30)*F8167)/D8167)*G8136</f>
        <v>0</v>
      </c>
    </row>
    <row r="8168" spans="1:15">
      <c r="A8168" s="558" t="s">
        <v>4197</v>
      </c>
      <c r="B8168" s="559">
        <f>VLOOKUP(A8168,'Mano Obra'!$B$3:$D$290,2,0)</f>
        <v>2090000.0000000002</v>
      </c>
      <c r="C8168" s="101">
        <v>1</v>
      </c>
      <c r="D8168" s="104">
        <f>VLOOKUP(A8168,'Mano Obra'!$B$2:$T$117,19,0)</f>
        <v>120456</v>
      </c>
      <c r="E8168" s="246">
        <f>H8129</f>
        <v>8.3000000000000001E-3</v>
      </c>
      <c r="F8168" s="538">
        <f t="shared" ref="F8168:F8169" si="477">E8168*D8168*C8168</f>
        <v>999.78480000000002</v>
      </c>
      <c r="G8168" s="557"/>
      <c r="H8168" s="121"/>
      <c r="J8168" s="136">
        <f>((('Mano Obra'!$M$5/30)*F8168)/D8168)*G8136</f>
        <v>0</v>
      </c>
    </row>
    <row r="8169" spans="1:15">
      <c r="A8169" s="558" t="s">
        <v>4186</v>
      </c>
      <c r="B8169" s="559">
        <f>VLOOKUP(A8169,'Mano Obra'!$B$3:$D$290,2,0)</f>
        <v>1100000</v>
      </c>
      <c r="C8169" s="101">
        <v>1</v>
      </c>
      <c r="D8169" s="104">
        <f>VLOOKUP(A8169,'Mano Obra'!$B$2:$T$117,19,0)</f>
        <v>72664</v>
      </c>
      <c r="E8169" s="246">
        <f>H8129</f>
        <v>8.3000000000000001E-3</v>
      </c>
      <c r="F8169" s="538">
        <f t="shared" si="477"/>
        <v>603.11120000000005</v>
      </c>
      <c r="G8169" s="557"/>
      <c r="H8169" s="120"/>
      <c r="J8169" s="136">
        <f>((('Mano Obra'!$M$6/30)*F8169)/D8169)*G8136</f>
        <v>0</v>
      </c>
    </row>
    <row r="8170" spans="1:15" ht="16.5">
      <c r="A8170" s="560" t="s">
        <v>4101</v>
      </c>
      <c r="B8170" s="560"/>
      <c r="C8170" s="560"/>
      <c r="D8170" s="560"/>
      <c r="E8170" s="560"/>
      <c r="F8170" s="560"/>
      <c r="G8170" s="560"/>
      <c r="H8170" s="105">
        <f>SUM(F8167:F8169)</f>
        <v>2985.8752000000004</v>
      </c>
      <c r="J8170" s="136"/>
    </row>
    <row r="8171" spans="1:15">
      <c r="A8171" s="227" t="s">
        <v>4237</v>
      </c>
      <c r="B8171" s="205"/>
      <c r="C8171" s="205"/>
      <c r="D8171" s="202"/>
      <c r="E8171" s="203"/>
      <c r="F8171" s="204"/>
      <c r="G8171" s="203"/>
      <c r="H8171" s="212"/>
    </row>
    <row r="8172" spans="1:15">
      <c r="A8172" s="561" t="s">
        <v>4224</v>
      </c>
      <c r="B8172" s="562"/>
      <c r="C8172" s="562"/>
      <c r="D8172" s="562"/>
      <c r="E8172" s="200"/>
      <c r="F8172" s="201" t="s">
        <v>4238</v>
      </c>
      <c r="G8172" s="200" t="s">
        <v>4239</v>
      </c>
      <c r="H8172" s="213"/>
    </row>
    <row r="8173" spans="1:15">
      <c r="A8173" s="223" t="s">
        <v>4097</v>
      </c>
      <c r="B8173" s="72"/>
      <c r="C8173" s="72"/>
      <c r="D8173" s="73"/>
      <c r="E8173" s="78"/>
      <c r="F8173" s="79">
        <v>0</v>
      </c>
      <c r="G8173" s="80">
        <f>F8173*H8137</f>
        <v>0</v>
      </c>
      <c r="H8173" s="212"/>
    </row>
    <row r="8174" spans="1:15">
      <c r="A8174" s="224" t="s">
        <v>4240</v>
      </c>
      <c r="B8174" s="81"/>
      <c r="C8174" s="81"/>
      <c r="D8174" s="82"/>
      <c r="E8174" s="78"/>
      <c r="F8174" s="79">
        <v>0</v>
      </c>
      <c r="G8174" s="80">
        <f>F8174*H8137</f>
        <v>0</v>
      </c>
      <c r="H8174" s="212"/>
    </row>
    <row r="8175" spans="1:15">
      <c r="A8175" s="224" t="s">
        <v>4</v>
      </c>
      <c r="B8175" s="81"/>
      <c r="C8175" s="81"/>
      <c r="D8175" s="82"/>
      <c r="E8175" s="78"/>
      <c r="F8175" s="79">
        <v>0</v>
      </c>
      <c r="G8175" s="80">
        <f>F8175*H8137</f>
        <v>0</v>
      </c>
      <c r="H8175" s="212"/>
    </row>
    <row r="8176" spans="1:15">
      <c r="A8176" s="225"/>
      <c r="B8176" s="83"/>
      <c r="C8176" s="75"/>
      <c r="D8176" s="84"/>
      <c r="E8176" s="85"/>
      <c r="F8176" s="86"/>
      <c r="G8176" s="87"/>
      <c r="H8176" s="214"/>
    </row>
    <row r="8177" spans="1:14">
      <c r="A8177" s="226"/>
      <c r="B8177" s="83"/>
      <c r="C8177" s="83"/>
      <c r="D8177" s="84"/>
      <c r="E8177" s="88"/>
      <c r="F8177" s="563" t="s">
        <v>4241</v>
      </c>
      <c r="G8177" s="564"/>
      <c r="H8177" s="233">
        <f>H8137+G8173+G8174+G8175</f>
        <v>10916.103950000001</v>
      </c>
    </row>
    <row r="8179" spans="1:14" ht="16.5">
      <c r="A8179" s="90"/>
      <c r="B8179" s="90"/>
      <c r="C8179" s="90"/>
      <c r="D8179" s="90"/>
      <c r="E8179" s="90"/>
      <c r="F8179" s="90"/>
      <c r="G8179" s="90"/>
      <c r="H8179" s="381"/>
    </row>
    <row r="8180" spans="1:14">
      <c r="A8180" s="579" t="s">
        <v>4225</v>
      </c>
      <c r="B8180" s="580"/>
      <c r="C8180" s="580"/>
      <c r="D8180" s="580"/>
      <c r="E8180" s="580"/>
      <c r="F8180" s="580"/>
      <c r="G8180" s="580"/>
      <c r="H8180" s="581"/>
    </row>
    <row r="8181" spans="1:14" ht="16.5">
      <c r="A8181" s="91"/>
      <c r="B8181" s="92"/>
      <c r="C8181" s="92"/>
      <c r="D8181" s="92"/>
      <c r="E8181" s="92"/>
      <c r="F8181" s="93"/>
      <c r="G8181" s="94"/>
      <c r="H8181" s="380">
        <f>ROUND((10/60)/8,4)</f>
        <v>2.0799999999999999E-2</v>
      </c>
      <c r="I8181" s="115"/>
    </row>
    <row r="8182" spans="1:14">
      <c r="A8182" s="582" t="s">
        <v>4220</v>
      </c>
      <c r="B8182" s="584" t="str">
        <f>COSTOS!$C$14</f>
        <v>MODERNIZACION A TECNOLOGIA LED</v>
      </c>
      <c r="C8182" s="584"/>
      <c r="D8182" s="584"/>
      <c r="E8182" s="584"/>
      <c r="F8182" s="584"/>
      <c r="G8182" s="584"/>
      <c r="H8182" s="585" t="s">
        <v>4221</v>
      </c>
    </row>
    <row r="8183" spans="1:14">
      <c r="A8183" s="583"/>
      <c r="B8183" s="584"/>
      <c r="C8183" s="584"/>
      <c r="D8183" s="584"/>
      <c r="E8183" s="584"/>
      <c r="F8183" s="584"/>
      <c r="G8183" s="584"/>
      <c r="H8183" s="585"/>
    </row>
    <row r="8184" spans="1:14">
      <c r="A8184" s="583"/>
      <c r="B8184" s="584"/>
      <c r="C8184" s="584"/>
      <c r="D8184" s="584"/>
      <c r="E8184" s="584"/>
      <c r="F8184" s="584"/>
      <c r="G8184" s="584"/>
      <c r="H8184" s="585"/>
    </row>
    <row r="8185" spans="1:14" ht="15" customHeight="1">
      <c r="A8185" s="583"/>
      <c r="B8185" s="584"/>
      <c r="C8185" s="584"/>
      <c r="D8185" s="584"/>
      <c r="E8185" s="584"/>
      <c r="F8185" s="584"/>
      <c r="G8185" s="584"/>
      <c r="H8185" s="216">
        <f ca="1">TODAY()</f>
        <v>44889</v>
      </c>
      <c r="K8185" t="s">
        <v>4391</v>
      </c>
      <c r="L8185" t="s">
        <v>4392</v>
      </c>
      <c r="M8185" t="s">
        <v>4393</v>
      </c>
      <c r="N8185" t="s">
        <v>4394</v>
      </c>
    </row>
    <row r="8186" spans="1:14" ht="60.75" customHeight="1">
      <c r="A8186" s="228" t="s">
        <v>4222</v>
      </c>
      <c r="B8186" s="565" t="str">
        <f>COSTOS!$D$16</f>
        <v>Luminarias</v>
      </c>
      <c r="C8186" s="565"/>
      <c r="D8186" s="565"/>
      <c r="E8186" s="565"/>
      <c r="F8186" s="565"/>
      <c r="G8186" s="70" t="s">
        <v>4223</v>
      </c>
      <c r="H8186" s="387">
        <v>3.44</v>
      </c>
      <c r="K8186" s="62">
        <f>H8212</f>
        <v>12651.5802</v>
      </c>
      <c r="L8186" s="62">
        <f>H8222</f>
        <v>7482.6751999999997</v>
      </c>
      <c r="M8186" s="62">
        <f>H8195</f>
        <v>848.69200000000001</v>
      </c>
      <c r="N8186" s="62">
        <f>H8216</f>
        <v>800</v>
      </c>
    </row>
    <row r="8187" spans="1:14" ht="43.15" customHeight="1">
      <c r="A8187" s="229" t="s">
        <v>4224</v>
      </c>
      <c r="B8187" s="566" t="str">
        <f>VLOOKUP(H8186,COSTOS!C:M,2,0)</f>
        <v>Red aérea de media tensión con cable AAAC 3 x 1/0 AWG x 500 MTS</v>
      </c>
      <c r="C8187" s="567"/>
      <c r="D8187" s="567"/>
      <c r="E8187" s="568"/>
      <c r="F8187" s="71" t="s">
        <v>0</v>
      </c>
      <c r="G8187" s="356" t="str">
        <f>VLOOKUP(H8186,COSTOS!C:M,8,0)</f>
        <v>Und</v>
      </c>
      <c r="H8187" s="276"/>
      <c r="I8187" s="306"/>
      <c r="J8187" s="308"/>
      <c r="K8187" s="308"/>
      <c r="L8187" s="308"/>
    </row>
    <row r="8188" spans="1:14">
      <c r="A8188" s="230"/>
      <c r="B8188" s="112"/>
      <c r="C8188" s="112"/>
      <c r="D8188" s="112"/>
      <c r="E8188" s="113"/>
      <c r="F8188" s="114" t="s">
        <v>1</v>
      </c>
      <c r="G8188" s="356">
        <f>VLOOKUP(H8186,COSTOS!C:M,9,0)</f>
        <v>0</v>
      </c>
      <c r="H8188" s="357"/>
      <c r="I8188" s="307"/>
    </row>
    <row r="8189" spans="1:14" ht="16.5">
      <c r="A8189" s="231" t="s">
        <v>4226</v>
      </c>
      <c r="B8189" s="75"/>
      <c r="C8189" s="75"/>
      <c r="D8189" s="76"/>
      <c r="E8189" s="209"/>
      <c r="F8189" s="210"/>
      <c r="G8189" s="211" t="s">
        <v>4227</v>
      </c>
      <c r="H8189" s="217">
        <f>H8195+H8212+H8216+H8222</f>
        <v>21782.947399999997</v>
      </c>
    </row>
    <row r="8190" spans="1:14" ht="39">
      <c r="A8190" s="569" t="s">
        <v>4224</v>
      </c>
      <c r="B8190" s="569"/>
      <c r="C8190" s="569"/>
      <c r="D8190" s="77" t="s">
        <v>0</v>
      </c>
      <c r="E8190" s="207" t="s">
        <v>4228</v>
      </c>
      <c r="F8190" s="208" t="s">
        <v>4215</v>
      </c>
      <c r="G8190" s="74" t="s">
        <v>2</v>
      </c>
      <c r="H8190" s="218" t="s">
        <v>4229</v>
      </c>
      <c r="K8190" s="309"/>
    </row>
    <row r="8191" spans="1:14">
      <c r="A8191" s="536" t="s">
        <v>3946</v>
      </c>
      <c r="B8191" s="570" t="str">
        <f>VLOOKUP(A8191,'Equip, Herr y Transp'!$B$2:$D$739,2,0)</f>
        <v>EQU</v>
      </c>
      <c r="C8191" s="570"/>
      <c r="D8191" s="95" t="str">
        <f>VLOOKUP(A8191,'Equip, Herr y Transp'!$B$2:$D$218,2,0)</f>
        <v>EQU</v>
      </c>
      <c r="E8191" s="95">
        <f>VLOOKUP(A8191,'Equip, Herr y Transp'!$B$2:$D$218,3,0)</f>
        <v>14130</v>
      </c>
      <c r="F8191" s="96">
        <f>H8181</f>
        <v>2.0799999999999999E-2</v>
      </c>
      <c r="G8191" s="122">
        <f>F8191*E8191</f>
        <v>293.904</v>
      </c>
      <c r="H8191" s="118"/>
    </row>
    <row r="8192" spans="1:14">
      <c r="A8192" s="536" t="s">
        <v>3904</v>
      </c>
      <c r="B8192" s="570" t="str">
        <f>VLOOKUP(A8192,'Equip, Herr y Transp'!$B$2:$D$739,2,0)</f>
        <v>EQU</v>
      </c>
      <c r="C8192" s="570"/>
      <c r="D8192" s="95" t="str">
        <f>VLOOKUP(A8192,'Equip, Herr y Transp'!$B$2:$D$218,2,0)</f>
        <v>EQU</v>
      </c>
      <c r="E8192" s="95">
        <f>VLOOKUP(A8192,'Equip, Herr y Transp'!$B$2:$D$218,3,0)</f>
        <v>26672.5</v>
      </c>
      <c r="F8192" s="96">
        <f>H8181</f>
        <v>2.0799999999999999E-2</v>
      </c>
      <c r="G8192" s="122">
        <f>F8192*E8192</f>
        <v>554.78800000000001</v>
      </c>
      <c r="H8192" s="117"/>
    </row>
    <row r="8193" spans="1:15">
      <c r="A8193" s="536" t="s">
        <v>8</v>
      </c>
      <c r="B8193" s="570">
        <f>VLOOKUP(A8193,'Equip, Herr y Transp'!$B$2:$D$739,2,0)</f>
        <v>0</v>
      </c>
      <c r="C8193" s="570"/>
      <c r="D8193" s="95">
        <f>VLOOKUP(A8193,'Equip, Herr y Transp'!$B$2:$D$218,2,0)</f>
        <v>0</v>
      </c>
      <c r="E8193" s="95">
        <f>VLOOKUP(A8193,'Equip, Herr y Transp'!$B$2:$D$218,3,0)</f>
        <v>0</v>
      </c>
      <c r="F8193" s="96">
        <f>H8181</f>
        <v>2.0799999999999999E-2</v>
      </c>
      <c r="G8193" s="122">
        <f>F8193*E8193</f>
        <v>0</v>
      </c>
      <c r="H8193" s="117"/>
    </row>
    <row r="8194" spans="1:15">
      <c r="A8194" s="536" t="s">
        <v>8</v>
      </c>
      <c r="B8194" s="570">
        <f>VLOOKUP(A8194,'Equip, Herr y Transp'!$B$2:$D$739,2,0)</f>
        <v>0</v>
      </c>
      <c r="C8194" s="570"/>
      <c r="D8194" s="95">
        <f>VLOOKUP(A8194,'Equip, Herr y Transp'!$B$2:$D$218,2,0)</f>
        <v>0</v>
      </c>
      <c r="E8194" s="95">
        <f>VLOOKUP(A8194,'Equip, Herr y Transp'!$B$2:$D$218,3,0)</f>
        <v>0</v>
      </c>
      <c r="F8194" s="96">
        <f>H8181</f>
        <v>2.0799999999999999E-2</v>
      </c>
      <c r="G8194" s="122">
        <f>F8194*E8194</f>
        <v>0</v>
      </c>
      <c r="H8194" s="117"/>
    </row>
    <row r="8195" spans="1:15" ht="16.5">
      <c r="A8195" s="540" t="s">
        <v>4100</v>
      </c>
      <c r="B8195" s="541"/>
      <c r="C8195" s="541"/>
      <c r="D8195" s="541"/>
      <c r="E8195" s="541"/>
      <c r="F8195" s="541"/>
      <c r="G8195" s="541"/>
      <c r="H8195" s="97">
        <f>SUM(G8191:G8194)</f>
        <v>848.69200000000001</v>
      </c>
    </row>
    <row r="8196" spans="1:15" ht="16.5">
      <c r="A8196" s="571" t="s">
        <v>4230</v>
      </c>
      <c r="B8196" s="572"/>
      <c r="C8196" s="572"/>
      <c r="D8196" s="572"/>
      <c r="E8196" s="572"/>
      <c r="F8196" s="572"/>
      <c r="G8196" s="572"/>
      <c r="H8196" s="573"/>
      <c r="K8196" s="56"/>
      <c r="L8196" s="56"/>
      <c r="M8196" s="56"/>
      <c r="N8196" s="56"/>
      <c r="O8196" s="56"/>
    </row>
    <row r="8197" spans="1:15" ht="30" customHeight="1">
      <c r="A8197" s="574" t="s">
        <v>7</v>
      </c>
      <c r="B8197" s="575"/>
      <c r="C8197" s="109" t="s">
        <v>0</v>
      </c>
      <c r="D8197" s="110" t="s">
        <v>4098</v>
      </c>
      <c r="E8197" s="111" t="s">
        <v>1</v>
      </c>
      <c r="F8197" s="576" t="s">
        <v>4218</v>
      </c>
      <c r="G8197" s="576"/>
      <c r="H8197" s="215"/>
      <c r="K8197" s="56"/>
      <c r="L8197" s="56"/>
      <c r="M8197" s="56"/>
      <c r="N8197" s="56"/>
      <c r="O8197" s="56"/>
    </row>
    <row r="8198" spans="1:15">
      <c r="A8198" s="577" t="s">
        <v>4442</v>
      </c>
      <c r="B8198" s="578"/>
      <c r="C8198" s="98" t="str">
        <f>VLOOKUP(A8198,'Materiales '!$C$2:$F$1302,3,0)</f>
        <v>Ml</v>
      </c>
      <c r="D8198" s="99">
        <f>VLOOKUP(A8198,'Materiales '!$C$2:$F$1302,4,0)</f>
        <v>3960.0867599999997</v>
      </c>
      <c r="E8198" s="100">
        <v>3</v>
      </c>
      <c r="F8198" s="538">
        <f>E8198*D8198</f>
        <v>11880.260279999999</v>
      </c>
      <c r="G8198" s="539"/>
      <c r="H8198" s="121"/>
      <c r="I8198">
        <f>E8198*G8188</f>
        <v>0</v>
      </c>
      <c r="J8198" s="67"/>
      <c r="K8198" s="56"/>
      <c r="L8198" s="56"/>
      <c r="M8198" s="56"/>
      <c r="N8198" s="56"/>
      <c r="O8198" s="56"/>
    </row>
    <row r="8199" spans="1:15">
      <c r="A8199" s="577" t="s">
        <v>4417</v>
      </c>
      <c r="B8199" s="578"/>
      <c r="C8199" s="98" t="str">
        <f>VLOOKUP(A8199,'Materiales '!$C$2:$F$1302,3,0)</f>
        <v>Und</v>
      </c>
      <c r="D8199" s="99">
        <f>VLOOKUP(A8199,'Materiales '!$C$2:$F$1302,4,0)</f>
        <v>3213</v>
      </c>
      <c r="E8199" s="100">
        <f>2/25</f>
        <v>0.08</v>
      </c>
      <c r="F8199" s="538">
        <f t="shared" ref="F8199:F8205" si="478">E8199*D8199</f>
        <v>257.04000000000002</v>
      </c>
      <c r="G8199" s="539"/>
      <c r="H8199" s="121"/>
      <c r="I8199">
        <f>E8199*G8188</f>
        <v>0</v>
      </c>
      <c r="J8199" s="67"/>
      <c r="K8199" s="56"/>
      <c r="L8199" s="56"/>
      <c r="M8199" s="56"/>
      <c r="N8199" s="56"/>
      <c r="O8199" s="56"/>
    </row>
    <row r="8200" spans="1:15">
      <c r="A8200" s="536" t="s">
        <v>4553</v>
      </c>
      <c r="B8200" s="537" t="str">
        <f>VLOOKUP(A8200,'Materiales '!$C$2:$F$1302,3,0)</f>
        <v>Und</v>
      </c>
      <c r="C8200" s="98" t="str">
        <f>VLOOKUP(A8200,'Materiales '!$C$2:$F$1302,3,0)</f>
        <v>Und</v>
      </c>
      <c r="D8200" s="99">
        <f>VLOOKUP(A8200,'Materiales '!$C$2:$F$1302,4,0)</f>
        <v>6428.4990000000007</v>
      </c>
      <c r="E8200" s="100">
        <f>2/25</f>
        <v>0.08</v>
      </c>
      <c r="F8200" s="538">
        <f t="shared" si="478"/>
        <v>514.27992000000006</v>
      </c>
      <c r="G8200" s="539"/>
      <c r="H8200" s="121"/>
      <c r="I8200">
        <f>E8200*G8188</f>
        <v>0</v>
      </c>
      <c r="J8200" s="68"/>
      <c r="K8200" s="56"/>
      <c r="L8200" s="56"/>
      <c r="M8200" s="56"/>
      <c r="N8200" s="56"/>
      <c r="O8200" s="56"/>
    </row>
    <row r="8201" spans="1:15">
      <c r="A8201" s="536" t="s">
        <v>8</v>
      </c>
      <c r="B8201" s="537" t="str">
        <f>VLOOKUP(A8201,'Materiales '!$C$2:$F$1302,3,0)</f>
        <v>-</v>
      </c>
      <c r="C8201" s="98" t="str">
        <f>VLOOKUP(A8201,'Materiales '!$C$2:$F$1302,3,0)</f>
        <v>-</v>
      </c>
      <c r="D8201" s="99">
        <f>VLOOKUP(A8201,'Materiales '!$C$2:$F$1302,4,0)</f>
        <v>0</v>
      </c>
      <c r="E8201" s="100"/>
      <c r="F8201" s="538">
        <f t="shared" si="478"/>
        <v>0</v>
      </c>
      <c r="G8201" s="539"/>
      <c r="H8201" s="121"/>
      <c r="I8201">
        <f>E8201*G8188</f>
        <v>0</v>
      </c>
      <c r="J8201" s="68"/>
      <c r="K8201" s="56"/>
      <c r="L8201" s="56"/>
      <c r="M8201" s="56"/>
      <c r="N8201" s="56"/>
      <c r="O8201" s="56"/>
    </row>
    <row r="8202" spans="1:15">
      <c r="A8202" s="536" t="s">
        <v>8</v>
      </c>
      <c r="B8202" s="537" t="str">
        <f>VLOOKUP(A8202,'Materiales '!$C$2:$F$1302,3,0)</f>
        <v>-</v>
      </c>
      <c r="C8202" s="98" t="str">
        <f>VLOOKUP(A8202,'Materiales '!$C$2:$F$1302,3,0)</f>
        <v>-</v>
      </c>
      <c r="D8202" s="99">
        <f>VLOOKUP(A8202,'Materiales '!$C$2:$F$1302,4,0)</f>
        <v>0</v>
      </c>
      <c r="E8202" s="100"/>
      <c r="F8202" s="538">
        <f t="shared" si="478"/>
        <v>0</v>
      </c>
      <c r="G8202" s="539"/>
      <c r="H8202" s="121"/>
      <c r="I8202">
        <f>E8202*G8188</f>
        <v>0</v>
      </c>
      <c r="J8202" s="68"/>
      <c r="K8202" s="56"/>
      <c r="L8202" s="56"/>
      <c r="M8202" s="56"/>
      <c r="N8202" s="56"/>
      <c r="O8202" s="56"/>
    </row>
    <row r="8203" spans="1:15">
      <c r="A8203" s="536" t="s">
        <v>8</v>
      </c>
      <c r="B8203" s="537" t="str">
        <f>VLOOKUP(A8203,'Materiales '!$C$2:$F$1302,3,0)</f>
        <v>-</v>
      </c>
      <c r="C8203" s="98" t="str">
        <f>VLOOKUP(A8203,'Materiales '!$C$2:$F$1302,3,0)</f>
        <v>-</v>
      </c>
      <c r="D8203" s="99">
        <f>VLOOKUP(A8203,'Materiales '!$C$2:$F$1302,4,0)</f>
        <v>0</v>
      </c>
      <c r="E8203" s="100"/>
      <c r="F8203" s="538">
        <f t="shared" si="478"/>
        <v>0</v>
      </c>
      <c r="G8203" s="539"/>
      <c r="H8203" s="121"/>
      <c r="I8203">
        <f>E8203*G8188</f>
        <v>0</v>
      </c>
      <c r="J8203" s="68"/>
      <c r="K8203" s="56"/>
      <c r="L8203" s="56"/>
      <c r="M8203" s="56"/>
      <c r="N8203" s="56"/>
      <c r="O8203" s="56"/>
    </row>
    <row r="8204" spans="1:15">
      <c r="A8204" s="536" t="s">
        <v>8</v>
      </c>
      <c r="B8204" s="537" t="str">
        <f>VLOOKUP(A8204,'Materiales '!$C$2:$F$1302,3,0)</f>
        <v>-</v>
      </c>
      <c r="C8204" s="98" t="str">
        <f>VLOOKUP(A8204,'Materiales '!$C$2:$F$1302,3,0)</f>
        <v>-</v>
      </c>
      <c r="D8204" s="99">
        <f>VLOOKUP(A8204,'Materiales '!$C$2:$F$1302,4,0)</f>
        <v>0</v>
      </c>
      <c r="E8204" s="100"/>
      <c r="F8204" s="538">
        <f t="shared" si="478"/>
        <v>0</v>
      </c>
      <c r="G8204" s="539"/>
      <c r="H8204" s="121"/>
      <c r="I8204">
        <f>E8204*G8188</f>
        <v>0</v>
      </c>
      <c r="J8204" s="68"/>
      <c r="K8204" s="56"/>
      <c r="L8204" s="56"/>
      <c r="M8204" s="56"/>
      <c r="N8204" s="56"/>
      <c r="O8204" s="56"/>
    </row>
    <row r="8205" spans="1:15" ht="21.75" customHeight="1">
      <c r="A8205" s="536" t="s">
        <v>8</v>
      </c>
      <c r="B8205" s="537" t="str">
        <f>VLOOKUP(A8205,'Materiales '!$C$2:$F$1302,3,0)</f>
        <v>-</v>
      </c>
      <c r="C8205" s="98" t="str">
        <f>VLOOKUP(A8205,'Materiales '!$C$2:$F$1302,3,0)</f>
        <v>-</v>
      </c>
      <c r="D8205" s="99">
        <f>VLOOKUP(A8205,'Materiales '!$C$2:$F$1302,4,0)</f>
        <v>0</v>
      </c>
      <c r="E8205" s="100"/>
      <c r="F8205" s="538">
        <f t="shared" si="478"/>
        <v>0</v>
      </c>
      <c r="G8205" s="539"/>
      <c r="H8205" s="121"/>
      <c r="I8205">
        <f>E8205*G8188</f>
        <v>0</v>
      </c>
      <c r="J8205" s="68"/>
      <c r="K8205" s="56"/>
      <c r="L8205" s="56"/>
      <c r="M8205" s="56"/>
      <c r="N8205" s="56"/>
      <c r="O8205" s="56"/>
    </row>
    <row r="8206" spans="1:15">
      <c r="A8206" s="536" t="s">
        <v>8</v>
      </c>
      <c r="B8206" s="537" t="str">
        <f>VLOOKUP(A8206,'Materiales '!$C$2:$F$1302,3,0)</f>
        <v>-</v>
      </c>
      <c r="C8206" s="98" t="str">
        <f>VLOOKUP(A8206,'Materiales '!$C$2:$F$1302,3,0)</f>
        <v>-</v>
      </c>
      <c r="D8206" s="99">
        <f>VLOOKUP(A8206,'Materiales '!$C$2:$F$1302,4,0)</f>
        <v>0</v>
      </c>
      <c r="E8206" s="100"/>
      <c r="F8206" s="538">
        <f>E8206*D8206</f>
        <v>0</v>
      </c>
      <c r="G8206" s="539"/>
      <c r="H8206" s="120"/>
      <c r="I8206">
        <f>E8206*G8188</f>
        <v>0</v>
      </c>
      <c r="J8206" s="68"/>
      <c r="K8206" s="56"/>
      <c r="L8206" s="56"/>
      <c r="M8206" s="56"/>
      <c r="N8206" s="56"/>
      <c r="O8206" s="56"/>
    </row>
    <row r="8207" spans="1:15">
      <c r="A8207" s="536" t="s">
        <v>8</v>
      </c>
      <c r="B8207" s="537" t="str">
        <f>VLOOKUP(A8207,'Materiales '!$C$2:$F$1302,3,0)</f>
        <v>-</v>
      </c>
      <c r="C8207" s="98" t="str">
        <f>VLOOKUP(A8207,'Materiales '!$C$2:$F$1302,3,0)</f>
        <v>-</v>
      </c>
      <c r="D8207" s="99">
        <f>VLOOKUP(A8207,'Materiales '!$C$2:$F$1302,4,0)</f>
        <v>0</v>
      </c>
      <c r="E8207" s="100"/>
      <c r="F8207" s="538">
        <f t="shared" ref="F8207:F8210" si="479">E8207*D8207</f>
        <v>0</v>
      </c>
      <c r="G8207" s="539"/>
      <c r="H8207" s="121"/>
      <c r="I8207">
        <f>E8207*G8188</f>
        <v>0</v>
      </c>
      <c r="J8207" s="68"/>
      <c r="K8207" s="56"/>
      <c r="L8207" s="56"/>
      <c r="M8207" s="56"/>
      <c r="N8207" s="56"/>
      <c r="O8207" s="56"/>
    </row>
    <row r="8208" spans="1:15">
      <c r="A8208" s="536" t="s">
        <v>8</v>
      </c>
      <c r="B8208" s="537" t="str">
        <f>VLOOKUP(A8208,'Materiales '!$C$2:$F$1302,3,0)</f>
        <v>-</v>
      </c>
      <c r="C8208" s="98" t="str">
        <f>VLOOKUP(A8208,'Materiales '!$C$2:$F$1302,3,0)</f>
        <v>-</v>
      </c>
      <c r="D8208" s="99">
        <f>VLOOKUP(A8208,'Materiales '!$C$2:$F$1302,4,0)</f>
        <v>0</v>
      </c>
      <c r="E8208" s="100"/>
      <c r="F8208" s="538">
        <f t="shared" si="479"/>
        <v>0</v>
      </c>
      <c r="G8208" s="539"/>
      <c r="H8208" s="121"/>
      <c r="I8208">
        <f>E8208*G8188</f>
        <v>0</v>
      </c>
      <c r="J8208" s="68"/>
      <c r="K8208" s="56"/>
      <c r="L8208" s="56"/>
      <c r="M8208" s="56"/>
      <c r="N8208" s="56"/>
      <c r="O8208" s="56"/>
    </row>
    <row r="8209" spans="1:15">
      <c r="A8209" s="536" t="s">
        <v>8</v>
      </c>
      <c r="B8209" s="537" t="str">
        <f>VLOOKUP(A8209,'Materiales '!$C$2:$F$1302,3,0)</f>
        <v>-</v>
      </c>
      <c r="C8209" s="98" t="str">
        <f>VLOOKUP(A8209,'Materiales '!$C$2:$F$1302,3,0)</f>
        <v>-</v>
      </c>
      <c r="D8209" s="99">
        <f>VLOOKUP(A8209,'Materiales '!$C$2:$F$1302,4,0)</f>
        <v>0</v>
      </c>
      <c r="E8209" s="100"/>
      <c r="F8209" s="538">
        <f t="shared" si="479"/>
        <v>0</v>
      </c>
      <c r="G8209" s="539"/>
      <c r="H8209" s="121"/>
      <c r="I8209">
        <f>E8209*G8188</f>
        <v>0</v>
      </c>
      <c r="J8209" s="68"/>
      <c r="K8209" s="56"/>
      <c r="L8209" s="56"/>
      <c r="M8209" s="56"/>
      <c r="N8209" s="56"/>
      <c r="O8209" s="56"/>
    </row>
    <row r="8210" spans="1:15">
      <c r="A8210" s="536" t="s">
        <v>8</v>
      </c>
      <c r="B8210" s="537" t="str">
        <f>VLOOKUP(A8210,'Materiales '!$C$2:$F$1302,3,0)</f>
        <v>-</v>
      </c>
      <c r="C8210" s="98" t="str">
        <f>VLOOKUP(A8210,'Materiales '!$C$2:$F$1302,3,0)</f>
        <v>-</v>
      </c>
      <c r="D8210" s="99">
        <f>VLOOKUP(A8210,'Materiales '!$C$2:$F$1302,4,0)</f>
        <v>0</v>
      </c>
      <c r="E8210" s="100"/>
      <c r="F8210" s="538">
        <f t="shared" si="479"/>
        <v>0</v>
      </c>
      <c r="G8210" s="539"/>
      <c r="H8210" s="121"/>
      <c r="I8210">
        <f>E8210*G8188</f>
        <v>0</v>
      </c>
      <c r="J8210" s="68"/>
      <c r="K8210" s="56"/>
      <c r="L8210" s="56"/>
      <c r="M8210" s="56"/>
      <c r="N8210" s="56"/>
      <c r="O8210" s="56"/>
    </row>
    <row r="8211" spans="1:15">
      <c r="A8211" s="536" t="s">
        <v>8</v>
      </c>
      <c r="B8211" s="537" t="str">
        <f>VLOOKUP(A8211,'Materiales '!$C$2:$F$1302,3,0)</f>
        <v>-</v>
      </c>
      <c r="C8211" s="98" t="str">
        <f>VLOOKUP(A8211,'Materiales '!$C$2:$F$1302,3,0)</f>
        <v>-</v>
      </c>
      <c r="D8211" s="99">
        <f>VLOOKUP(A8211,'Materiales '!$C$2:$F$1302,4,0)</f>
        <v>0</v>
      </c>
      <c r="E8211" s="100"/>
      <c r="F8211" s="538">
        <f>E8211*D8211</f>
        <v>0</v>
      </c>
      <c r="G8211" s="539"/>
      <c r="H8211" s="120"/>
      <c r="I8211">
        <f>E8211*G8188</f>
        <v>0</v>
      </c>
      <c r="J8211" s="68"/>
      <c r="K8211" s="56"/>
      <c r="L8211" s="56"/>
      <c r="M8211" s="56"/>
      <c r="N8211" s="56"/>
      <c r="O8211" s="56"/>
    </row>
    <row r="8212" spans="1:15" ht="16.5">
      <c r="A8212" s="540" t="s">
        <v>4099</v>
      </c>
      <c r="B8212" s="541"/>
      <c r="C8212" s="541"/>
      <c r="D8212" s="541"/>
      <c r="E8212" s="541"/>
      <c r="F8212" s="541"/>
      <c r="G8212" s="542"/>
      <c r="H8212" s="116">
        <f>SUM(F8198:F8211)</f>
        <v>12651.5802</v>
      </c>
      <c r="J8212" s="68"/>
      <c r="K8212" s="56"/>
      <c r="L8212" s="56"/>
      <c r="M8212" s="56"/>
      <c r="N8212" s="56"/>
      <c r="O8212" s="56"/>
    </row>
    <row r="8213" spans="1:15" ht="16.5">
      <c r="A8213" s="543" t="s">
        <v>4231</v>
      </c>
      <c r="B8213" s="544"/>
      <c r="C8213" s="544"/>
      <c r="D8213" s="544"/>
      <c r="E8213" s="545"/>
      <c r="F8213" s="544"/>
      <c r="G8213" s="544"/>
      <c r="H8213" s="546"/>
      <c r="J8213" s="68"/>
      <c r="K8213" s="56"/>
      <c r="L8213" s="56"/>
      <c r="M8213" s="56"/>
      <c r="N8213" s="56"/>
      <c r="O8213" s="56"/>
    </row>
    <row r="8214" spans="1:15">
      <c r="A8214" s="547" t="s">
        <v>7</v>
      </c>
      <c r="B8214" s="548"/>
      <c r="C8214" s="108" t="s">
        <v>4232</v>
      </c>
      <c r="D8214" s="107" t="s">
        <v>4233</v>
      </c>
      <c r="E8214" s="206" t="s">
        <v>4234</v>
      </c>
      <c r="F8214" s="549" t="s">
        <v>4218</v>
      </c>
      <c r="G8214" s="549"/>
      <c r="H8214" s="119"/>
      <c r="K8214" s="56"/>
      <c r="L8214" s="56"/>
      <c r="M8214" s="56"/>
      <c r="N8214" s="56"/>
      <c r="O8214" s="56"/>
    </row>
    <row r="8215" spans="1:15">
      <c r="A8215" s="550" t="s">
        <v>3928</v>
      </c>
      <c r="B8215" s="551"/>
      <c r="C8215" s="232">
        <v>1</v>
      </c>
      <c r="D8215" s="102">
        <v>5.0000000000000001E-3</v>
      </c>
      <c r="E8215" s="103">
        <f>VLOOKUP(A8215,'Equip, Herr y Transp'!$B$2:$D$218,3,0)</f>
        <v>160000</v>
      </c>
      <c r="F8215" s="552">
        <f>E8215*D8215*C8215</f>
        <v>800</v>
      </c>
      <c r="G8215" s="553"/>
      <c r="H8215" s="117"/>
      <c r="M8215" s="56"/>
    </row>
    <row r="8216" spans="1:15" ht="16.5">
      <c r="A8216" s="554" t="s">
        <v>4216</v>
      </c>
      <c r="B8216" s="555"/>
      <c r="C8216" s="555"/>
      <c r="D8216" s="555"/>
      <c r="E8216" s="555"/>
      <c r="F8216" s="555"/>
      <c r="G8216" s="555"/>
      <c r="H8216" s="105">
        <f>F8215</f>
        <v>800</v>
      </c>
    </row>
    <row r="8217" spans="1:15" ht="16.5">
      <c r="A8217" s="543" t="s">
        <v>4235</v>
      </c>
      <c r="B8217" s="544"/>
      <c r="C8217" s="544"/>
      <c r="D8217" s="544"/>
      <c r="E8217" s="544"/>
      <c r="F8217" s="544"/>
      <c r="G8217" s="544"/>
      <c r="H8217" s="546"/>
    </row>
    <row r="8218" spans="1:15">
      <c r="A8218" s="547" t="s">
        <v>7</v>
      </c>
      <c r="B8218" s="548"/>
      <c r="C8218" s="106" t="s">
        <v>1</v>
      </c>
      <c r="D8218" s="107" t="s">
        <v>4236</v>
      </c>
      <c r="E8218" s="108" t="s">
        <v>4215</v>
      </c>
      <c r="F8218" s="547" t="s">
        <v>5</v>
      </c>
      <c r="G8218" s="556"/>
      <c r="H8218" s="119"/>
    </row>
    <row r="8219" spans="1:15">
      <c r="A8219" s="550" t="s">
        <v>4196</v>
      </c>
      <c r="B8219" s="551"/>
      <c r="C8219" s="101">
        <v>1</v>
      </c>
      <c r="D8219" s="104">
        <f>VLOOKUP(A8219,'Mano Obra'!$B$2:$T$117,19,0)</f>
        <v>166624</v>
      </c>
      <c r="E8219" s="246">
        <f>H8181</f>
        <v>2.0799999999999999E-2</v>
      </c>
      <c r="F8219" s="538">
        <f>E8219*D8219*C8219</f>
        <v>3465.7791999999999</v>
      </c>
      <c r="G8219" s="557"/>
      <c r="H8219" s="121"/>
      <c r="I8219" s="69"/>
      <c r="J8219" s="136">
        <f>((('Mano Obra'!$M$4/30)*F8219)/D8219)*G8188</f>
        <v>0</v>
      </c>
    </row>
    <row r="8220" spans="1:15">
      <c r="A8220" s="558" t="s">
        <v>4197</v>
      </c>
      <c r="B8220" s="559">
        <f>VLOOKUP(A8220,'Mano Obra'!$B$3:$D$290,2,0)</f>
        <v>2090000.0000000002</v>
      </c>
      <c r="C8220" s="101">
        <v>1</v>
      </c>
      <c r="D8220" s="104">
        <f>VLOOKUP(A8220,'Mano Obra'!$B$2:$T$117,19,0)</f>
        <v>120456</v>
      </c>
      <c r="E8220" s="246">
        <f>H8181</f>
        <v>2.0799999999999999E-2</v>
      </c>
      <c r="F8220" s="538">
        <f t="shared" ref="F8220:F8221" si="480">E8220*D8220*C8220</f>
        <v>2505.4847999999997</v>
      </c>
      <c r="G8220" s="557"/>
      <c r="H8220" s="121"/>
      <c r="J8220" s="136">
        <f>((('Mano Obra'!$M$5/30)*F8220)/D8220)*G8188</f>
        <v>0</v>
      </c>
    </row>
    <row r="8221" spans="1:15">
      <c r="A8221" s="558" t="s">
        <v>4186</v>
      </c>
      <c r="B8221" s="559">
        <f>VLOOKUP(A8221,'Mano Obra'!$B$3:$D$290,2,0)</f>
        <v>1100000</v>
      </c>
      <c r="C8221" s="101">
        <v>1</v>
      </c>
      <c r="D8221" s="104">
        <f>VLOOKUP(A8221,'Mano Obra'!$B$2:$T$117,19,0)</f>
        <v>72664</v>
      </c>
      <c r="E8221" s="246">
        <f>H8181</f>
        <v>2.0799999999999999E-2</v>
      </c>
      <c r="F8221" s="538">
        <f t="shared" si="480"/>
        <v>1511.4112</v>
      </c>
      <c r="G8221" s="557"/>
      <c r="H8221" s="120"/>
      <c r="J8221" s="136">
        <f>((('Mano Obra'!$M$6/30)*F8221)/D8221)*G8188</f>
        <v>0</v>
      </c>
    </row>
    <row r="8222" spans="1:15" ht="16.5">
      <c r="A8222" s="560" t="s">
        <v>4101</v>
      </c>
      <c r="B8222" s="560"/>
      <c r="C8222" s="560"/>
      <c r="D8222" s="560"/>
      <c r="E8222" s="560"/>
      <c r="F8222" s="560"/>
      <c r="G8222" s="560"/>
      <c r="H8222" s="105">
        <f>SUM(F8219:F8221)</f>
        <v>7482.6751999999997</v>
      </c>
      <c r="J8222" s="136"/>
    </row>
    <row r="8223" spans="1:15">
      <c r="A8223" s="227" t="s">
        <v>4237</v>
      </c>
      <c r="B8223" s="205"/>
      <c r="C8223" s="205"/>
      <c r="D8223" s="202"/>
      <c r="E8223" s="203"/>
      <c r="F8223" s="204"/>
      <c r="G8223" s="203"/>
      <c r="H8223" s="212"/>
    </row>
    <row r="8224" spans="1:15">
      <c r="A8224" s="561" t="s">
        <v>4224</v>
      </c>
      <c r="B8224" s="562"/>
      <c r="C8224" s="562"/>
      <c r="D8224" s="562"/>
      <c r="E8224" s="200"/>
      <c r="F8224" s="201" t="s">
        <v>4238</v>
      </c>
      <c r="G8224" s="200" t="s">
        <v>4239</v>
      </c>
      <c r="H8224" s="213"/>
    </row>
    <row r="8225" spans="1:14">
      <c r="A8225" s="223" t="s">
        <v>4097</v>
      </c>
      <c r="B8225" s="72"/>
      <c r="C8225" s="72"/>
      <c r="D8225" s="73"/>
      <c r="E8225" s="78"/>
      <c r="F8225" s="79">
        <v>0</v>
      </c>
      <c r="G8225" s="80">
        <f>F8225*H8189</f>
        <v>0</v>
      </c>
      <c r="H8225" s="212"/>
    </row>
    <row r="8226" spans="1:14">
      <c r="A8226" s="224" t="s">
        <v>4240</v>
      </c>
      <c r="B8226" s="81"/>
      <c r="C8226" s="81"/>
      <c r="D8226" s="82"/>
      <c r="E8226" s="78"/>
      <c r="F8226" s="79">
        <v>0</v>
      </c>
      <c r="G8226" s="80">
        <f>F8226*H8189</f>
        <v>0</v>
      </c>
      <c r="H8226" s="212"/>
    </row>
    <row r="8227" spans="1:14">
      <c r="A8227" s="224" t="s">
        <v>4</v>
      </c>
      <c r="B8227" s="81"/>
      <c r="C8227" s="81"/>
      <c r="D8227" s="82"/>
      <c r="E8227" s="78"/>
      <c r="F8227" s="79">
        <v>0</v>
      </c>
      <c r="G8227" s="80">
        <f>F8227*H8189</f>
        <v>0</v>
      </c>
      <c r="H8227" s="212"/>
    </row>
    <row r="8228" spans="1:14">
      <c r="A8228" s="225"/>
      <c r="B8228" s="83"/>
      <c r="C8228" s="75"/>
      <c r="D8228" s="84"/>
      <c r="E8228" s="85"/>
      <c r="F8228" s="86"/>
      <c r="G8228" s="87"/>
      <c r="H8228" s="214"/>
    </row>
    <row r="8229" spans="1:14">
      <c r="A8229" s="226"/>
      <c r="B8229" s="83"/>
      <c r="C8229" s="83"/>
      <c r="D8229" s="84"/>
      <c r="E8229" s="88"/>
      <c r="F8229" s="563" t="s">
        <v>4241</v>
      </c>
      <c r="G8229" s="564"/>
      <c r="H8229" s="233">
        <f>H8189+G8225+G8226+G8227</f>
        <v>21782.947399999997</v>
      </c>
    </row>
    <row r="8230" spans="1:14">
      <c r="A8230" s="83"/>
      <c r="B8230" s="83"/>
      <c r="C8230" s="83"/>
      <c r="D8230" s="84"/>
      <c r="E8230" s="388"/>
      <c r="F8230" s="389"/>
      <c r="G8230" s="389"/>
      <c r="H8230" s="390"/>
    </row>
    <row r="8231" spans="1:14" ht="16.5">
      <c r="A8231" s="90"/>
      <c r="B8231" s="90"/>
      <c r="C8231" s="90"/>
      <c r="D8231" s="90"/>
      <c r="E8231" s="90"/>
      <c r="F8231" s="90"/>
      <c r="G8231" s="90"/>
      <c r="H8231" s="381"/>
    </row>
    <row r="8232" spans="1:14">
      <c r="A8232" s="579" t="s">
        <v>4225</v>
      </c>
      <c r="B8232" s="580"/>
      <c r="C8232" s="580"/>
      <c r="D8232" s="580"/>
      <c r="E8232" s="580"/>
      <c r="F8232" s="580"/>
      <c r="G8232" s="580"/>
      <c r="H8232" s="581"/>
    </row>
    <row r="8233" spans="1:14" ht="16.5">
      <c r="A8233" s="91"/>
      <c r="B8233" s="92"/>
      <c r="C8233" s="92"/>
      <c r="D8233" s="92"/>
      <c r="E8233" s="92"/>
      <c r="F8233" s="93"/>
      <c r="G8233" s="94"/>
      <c r="H8233" s="380">
        <f>ROUND((10/60)/8,4)</f>
        <v>2.0799999999999999E-2</v>
      </c>
      <c r="I8233" s="115"/>
    </row>
    <row r="8234" spans="1:14">
      <c r="A8234" s="582" t="s">
        <v>4220</v>
      </c>
      <c r="B8234" s="584" t="str">
        <f>COSTOS!$C$14</f>
        <v>MODERNIZACION A TECNOLOGIA LED</v>
      </c>
      <c r="C8234" s="584"/>
      <c r="D8234" s="584"/>
      <c r="E8234" s="584"/>
      <c r="F8234" s="584"/>
      <c r="G8234" s="584"/>
      <c r="H8234" s="585" t="s">
        <v>4221</v>
      </c>
    </row>
    <row r="8235" spans="1:14">
      <c r="A8235" s="583"/>
      <c r="B8235" s="584"/>
      <c r="C8235" s="584"/>
      <c r="D8235" s="584"/>
      <c r="E8235" s="584"/>
      <c r="F8235" s="584"/>
      <c r="G8235" s="584"/>
      <c r="H8235" s="585"/>
    </row>
    <row r="8236" spans="1:14">
      <c r="A8236" s="583"/>
      <c r="B8236" s="584"/>
      <c r="C8236" s="584"/>
      <c r="D8236" s="584"/>
      <c r="E8236" s="584"/>
      <c r="F8236" s="584"/>
      <c r="G8236" s="584"/>
      <c r="H8236" s="585"/>
    </row>
    <row r="8237" spans="1:14" ht="15" customHeight="1">
      <c r="A8237" s="583"/>
      <c r="B8237" s="584"/>
      <c r="C8237" s="584"/>
      <c r="D8237" s="584"/>
      <c r="E8237" s="584"/>
      <c r="F8237" s="584"/>
      <c r="G8237" s="584"/>
      <c r="H8237" s="216">
        <f ca="1">TODAY()</f>
        <v>44889</v>
      </c>
      <c r="K8237" t="s">
        <v>4391</v>
      </c>
      <c r="L8237" t="s">
        <v>4392</v>
      </c>
      <c r="M8237" t="s">
        <v>4393</v>
      </c>
      <c r="N8237" t="s">
        <v>4394</v>
      </c>
    </row>
    <row r="8238" spans="1:14" ht="60.75" customHeight="1">
      <c r="A8238" s="228" t="s">
        <v>4222</v>
      </c>
      <c r="B8238" s="565" t="str">
        <f>COSTOS!$D$16</f>
        <v>Luminarias</v>
      </c>
      <c r="C8238" s="565"/>
      <c r="D8238" s="565"/>
      <c r="E8238" s="565"/>
      <c r="F8238" s="565"/>
      <c r="G8238" s="70" t="s">
        <v>4223</v>
      </c>
      <c r="H8238" s="391">
        <v>3.45</v>
      </c>
      <c r="K8238" s="62">
        <f>H8264</f>
        <v>13702.688159999998</v>
      </c>
      <c r="L8238" s="62">
        <f>H8274</f>
        <v>7482.6751999999997</v>
      </c>
      <c r="M8238" s="62">
        <f>H8247</f>
        <v>848.69200000000001</v>
      </c>
      <c r="N8238" s="62">
        <f>H8268</f>
        <v>800</v>
      </c>
    </row>
    <row r="8239" spans="1:14" ht="43.15" customHeight="1">
      <c r="A8239" s="229" t="s">
        <v>4224</v>
      </c>
      <c r="B8239" s="566" t="str">
        <f>VLOOKUP(H8238,COSTOS!C:M,2,0)</f>
        <v>CABLE ENCAUCHETADO 3 X 12AWG (CANALIZACIÓN INCLUIDA) x 500 MTS</v>
      </c>
      <c r="C8239" s="567"/>
      <c r="D8239" s="567"/>
      <c r="E8239" s="568"/>
      <c r="F8239" s="71" t="s">
        <v>0</v>
      </c>
      <c r="G8239" s="356" t="str">
        <f>VLOOKUP(H8238,COSTOS!C:M,8,0)</f>
        <v>Und</v>
      </c>
      <c r="H8239" s="276"/>
      <c r="I8239" s="306"/>
      <c r="J8239" s="308"/>
      <c r="K8239" s="308"/>
      <c r="L8239" s="308"/>
    </row>
    <row r="8240" spans="1:14">
      <c r="A8240" s="230"/>
      <c r="B8240" s="112"/>
      <c r="C8240" s="112"/>
      <c r="D8240" s="112"/>
      <c r="E8240" s="113"/>
      <c r="F8240" s="114" t="s">
        <v>1</v>
      </c>
      <c r="G8240" s="356">
        <f>VLOOKUP(H8238,COSTOS!C:M,9,0)</f>
        <v>0</v>
      </c>
      <c r="H8240" s="357"/>
      <c r="I8240" s="307"/>
    </row>
    <row r="8241" spans="1:15" ht="16.5">
      <c r="A8241" s="231" t="s">
        <v>4226</v>
      </c>
      <c r="B8241" s="75"/>
      <c r="C8241" s="75"/>
      <c r="D8241" s="76"/>
      <c r="E8241" s="209"/>
      <c r="F8241" s="210"/>
      <c r="G8241" s="211" t="s">
        <v>4227</v>
      </c>
      <c r="H8241" s="217">
        <f>H8247+H8264+H8268+H8274</f>
        <v>22834.055359999998</v>
      </c>
    </row>
    <row r="8242" spans="1:15" ht="39">
      <c r="A8242" s="569" t="s">
        <v>4224</v>
      </c>
      <c r="B8242" s="569"/>
      <c r="C8242" s="569"/>
      <c r="D8242" s="77" t="s">
        <v>0</v>
      </c>
      <c r="E8242" s="207" t="s">
        <v>4228</v>
      </c>
      <c r="F8242" s="208" t="s">
        <v>4215</v>
      </c>
      <c r="G8242" s="74" t="s">
        <v>2</v>
      </c>
      <c r="H8242" s="218" t="s">
        <v>4229</v>
      </c>
      <c r="K8242" s="309"/>
    </row>
    <row r="8243" spans="1:15">
      <c r="A8243" s="536" t="s">
        <v>3946</v>
      </c>
      <c r="B8243" s="570" t="str">
        <f>VLOOKUP(A8243,'Equip, Herr y Transp'!$B$2:$D$739,2,0)</f>
        <v>EQU</v>
      </c>
      <c r="C8243" s="570"/>
      <c r="D8243" s="95" t="str">
        <f>VLOOKUP(A8243,'Equip, Herr y Transp'!$B$2:$D$218,2,0)</f>
        <v>EQU</v>
      </c>
      <c r="E8243" s="95">
        <f>VLOOKUP(A8243,'Equip, Herr y Transp'!$B$2:$D$218,3,0)</f>
        <v>14130</v>
      </c>
      <c r="F8243" s="96">
        <f>H8233</f>
        <v>2.0799999999999999E-2</v>
      </c>
      <c r="G8243" s="122">
        <f>F8243*E8243</f>
        <v>293.904</v>
      </c>
      <c r="H8243" s="118"/>
    </row>
    <row r="8244" spans="1:15">
      <c r="A8244" s="536" t="s">
        <v>3904</v>
      </c>
      <c r="B8244" s="570" t="str">
        <f>VLOOKUP(A8244,'Equip, Herr y Transp'!$B$2:$D$739,2,0)</f>
        <v>EQU</v>
      </c>
      <c r="C8244" s="570"/>
      <c r="D8244" s="95" t="str">
        <f>VLOOKUP(A8244,'Equip, Herr y Transp'!$B$2:$D$218,2,0)</f>
        <v>EQU</v>
      </c>
      <c r="E8244" s="95">
        <f>VLOOKUP(A8244,'Equip, Herr y Transp'!$B$2:$D$218,3,0)</f>
        <v>26672.5</v>
      </c>
      <c r="F8244" s="96">
        <f>H8233</f>
        <v>2.0799999999999999E-2</v>
      </c>
      <c r="G8244" s="122">
        <f>F8244*E8244</f>
        <v>554.78800000000001</v>
      </c>
      <c r="H8244" s="117"/>
    </row>
    <row r="8245" spans="1:15">
      <c r="A8245" s="536" t="s">
        <v>8</v>
      </c>
      <c r="B8245" s="570">
        <f>VLOOKUP(A8245,'Equip, Herr y Transp'!$B$2:$D$739,2,0)</f>
        <v>0</v>
      </c>
      <c r="C8245" s="570"/>
      <c r="D8245" s="95">
        <f>VLOOKUP(A8245,'Equip, Herr y Transp'!$B$2:$D$218,2,0)</f>
        <v>0</v>
      </c>
      <c r="E8245" s="95">
        <f>VLOOKUP(A8245,'Equip, Herr y Transp'!$B$2:$D$218,3,0)</f>
        <v>0</v>
      </c>
      <c r="F8245" s="96">
        <f>H8233</f>
        <v>2.0799999999999999E-2</v>
      </c>
      <c r="G8245" s="122">
        <f>F8245*E8245</f>
        <v>0</v>
      </c>
      <c r="H8245" s="117"/>
    </row>
    <row r="8246" spans="1:15">
      <c r="A8246" s="536" t="s">
        <v>8</v>
      </c>
      <c r="B8246" s="570">
        <f>VLOOKUP(A8246,'Equip, Herr y Transp'!$B$2:$D$739,2,0)</f>
        <v>0</v>
      </c>
      <c r="C8246" s="570"/>
      <c r="D8246" s="95">
        <f>VLOOKUP(A8246,'Equip, Herr y Transp'!$B$2:$D$218,2,0)</f>
        <v>0</v>
      </c>
      <c r="E8246" s="95">
        <f>VLOOKUP(A8246,'Equip, Herr y Transp'!$B$2:$D$218,3,0)</f>
        <v>0</v>
      </c>
      <c r="F8246" s="96">
        <f>H8233</f>
        <v>2.0799999999999999E-2</v>
      </c>
      <c r="G8246" s="122">
        <f>F8246*E8246</f>
        <v>0</v>
      </c>
      <c r="H8246" s="117"/>
    </row>
    <row r="8247" spans="1:15" ht="16.5">
      <c r="A8247" s="540" t="s">
        <v>4100</v>
      </c>
      <c r="B8247" s="541"/>
      <c r="C8247" s="541"/>
      <c r="D8247" s="541"/>
      <c r="E8247" s="541"/>
      <c r="F8247" s="541"/>
      <c r="G8247" s="541"/>
      <c r="H8247" s="97">
        <f>SUM(G8243:G8246)</f>
        <v>848.69200000000001</v>
      </c>
    </row>
    <row r="8248" spans="1:15" ht="16.5">
      <c r="A8248" s="571" t="s">
        <v>4230</v>
      </c>
      <c r="B8248" s="572"/>
      <c r="C8248" s="572"/>
      <c r="D8248" s="572"/>
      <c r="E8248" s="572"/>
      <c r="F8248" s="572"/>
      <c r="G8248" s="572"/>
      <c r="H8248" s="573"/>
      <c r="K8248" s="56"/>
      <c r="L8248" s="56"/>
      <c r="M8248" s="56"/>
      <c r="N8248" s="56"/>
      <c r="O8248" s="56"/>
    </row>
    <row r="8249" spans="1:15" ht="30" customHeight="1">
      <c r="A8249" s="574" t="s">
        <v>7</v>
      </c>
      <c r="B8249" s="575"/>
      <c r="C8249" s="109" t="s">
        <v>0</v>
      </c>
      <c r="D8249" s="110" t="s">
        <v>4098</v>
      </c>
      <c r="E8249" s="111" t="s">
        <v>1</v>
      </c>
      <c r="F8249" s="576" t="s">
        <v>4218</v>
      </c>
      <c r="G8249" s="576"/>
      <c r="H8249" s="215"/>
      <c r="K8249" s="56"/>
      <c r="L8249" s="56"/>
      <c r="M8249" s="56"/>
      <c r="N8249" s="56"/>
      <c r="O8249" s="56"/>
    </row>
    <row r="8250" spans="1:15">
      <c r="A8250" s="577" t="s">
        <v>4449</v>
      </c>
      <c r="B8250" s="578"/>
      <c r="C8250" s="98" t="str">
        <f>VLOOKUP(A8250,'Materiales '!$C$2:$F$1302,3,0)</f>
        <v>Ml</v>
      </c>
      <c r="D8250" s="99">
        <f>VLOOKUP(A8250,'Materiales '!$C$2:$F$1302,4,0)</f>
        <v>9584.735999999999</v>
      </c>
      <c r="E8250" s="100">
        <v>1</v>
      </c>
      <c r="F8250" s="538">
        <f>E8250*D8250</f>
        <v>9584.735999999999</v>
      </c>
      <c r="G8250" s="539"/>
      <c r="H8250" s="121"/>
      <c r="I8250">
        <f>E8250*G8240</f>
        <v>0</v>
      </c>
      <c r="J8250" s="67"/>
      <c r="K8250" s="56"/>
      <c r="L8250" s="56"/>
      <c r="M8250" s="56"/>
      <c r="N8250" s="56"/>
      <c r="O8250" s="56"/>
    </row>
    <row r="8251" spans="1:15">
      <c r="A8251" s="577" t="s">
        <v>4599</v>
      </c>
      <c r="B8251" s="578"/>
      <c r="C8251" s="98" t="str">
        <f>VLOOKUP(A8251,'Materiales '!$C$2:$F$1302,3,0)</f>
        <v>Und</v>
      </c>
      <c r="D8251" s="99">
        <f>VLOOKUP(A8251,'Materiales '!$C$2:$F$1302,4,0)</f>
        <v>9330.5519999999997</v>
      </c>
      <c r="E8251" s="100">
        <v>0.33</v>
      </c>
      <c r="F8251" s="538">
        <f t="shared" ref="F8251:F8257" si="481">E8251*D8251</f>
        <v>3079.0821599999999</v>
      </c>
      <c r="G8251" s="539"/>
      <c r="H8251" s="121"/>
      <c r="I8251">
        <f>E8251*G8240</f>
        <v>0</v>
      </c>
      <c r="J8251" s="67"/>
      <c r="K8251" s="56"/>
      <c r="L8251" s="56"/>
      <c r="M8251" s="56"/>
      <c r="N8251" s="56"/>
      <c r="O8251" s="56"/>
    </row>
    <row r="8252" spans="1:15">
      <c r="A8252" s="536" t="s">
        <v>4581</v>
      </c>
      <c r="B8252" s="537" t="str">
        <f>VLOOKUP(A8252,'Materiales '!$C$2:$F$1302,3,0)</f>
        <v>Und</v>
      </c>
      <c r="C8252" s="98" t="str">
        <f>VLOOKUP(A8252,'Materiales '!$C$2:$F$1302,3,0)</f>
        <v>Und</v>
      </c>
      <c r="D8252" s="99">
        <f>VLOOKUP(A8252,'Materiales '!$C$2:$F$1302,4,0)</f>
        <v>34629</v>
      </c>
      <c r="E8252" s="100">
        <v>0.03</v>
      </c>
      <c r="F8252" s="538">
        <f t="shared" si="481"/>
        <v>1038.8699999999999</v>
      </c>
      <c r="G8252" s="539"/>
      <c r="H8252" s="121"/>
      <c r="I8252">
        <f>E8252*G8240</f>
        <v>0</v>
      </c>
      <c r="J8252" s="68"/>
      <c r="K8252" s="56"/>
      <c r="L8252" s="56"/>
      <c r="M8252" s="56"/>
      <c r="N8252" s="56"/>
      <c r="O8252" s="56"/>
    </row>
    <row r="8253" spans="1:15">
      <c r="A8253" s="536" t="s">
        <v>8</v>
      </c>
      <c r="B8253" s="537" t="str">
        <f>VLOOKUP(A8253,'Materiales '!$C$2:$F$1302,3,0)</f>
        <v>-</v>
      </c>
      <c r="C8253" s="98" t="str">
        <f>VLOOKUP(A8253,'Materiales '!$C$2:$F$1302,3,0)</f>
        <v>-</v>
      </c>
      <c r="D8253" s="99">
        <f>VLOOKUP(A8253,'Materiales '!$C$2:$F$1302,4,0)</f>
        <v>0</v>
      </c>
      <c r="E8253" s="100"/>
      <c r="F8253" s="538">
        <f t="shared" si="481"/>
        <v>0</v>
      </c>
      <c r="G8253" s="539"/>
      <c r="H8253" s="121"/>
      <c r="I8253">
        <f>E8253*G8240</f>
        <v>0</v>
      </c>
      <c r="J8253" s="68"/>
      <c r="K8253" s="56"/>
      <c r="L8253" s="56"/>
      <c r="M8253" s="56"/>
      <c r="N8253" s="56"/>
      <c r="O8253" s="56"/>
    </row>
    <row r="8254" spans="1:15">
      <c r="A8254" s="536" t="s">
        <v>8</v>
      </c>
      <c r="B8254" s="537" t="str">
        <f>VLOOKUP(A8254,'Materiales '!$C$2:$F$1302,3,0)</f>
        <v>-</v>
      </c>
      <c r="C8254" s="98" t="str">
        <f>VLOOKUP(A8254,'Materiales '!$C$2:$F$1302,3,0)</f>
        <v>-</v>
      </c>
      <c r="D8254" s="99">
        <f>VLOOKUP(A8254,'Materiales '!$C$2:$F$1302,4,0)</f>
        <v>0</v>
      </c>
      <c r="E8254" s="100"/>
      <c r="F8254" s="538">
        <f t="shared" si="481"/>
        <v>0</v>
      </c>
      <c r="G8254" s="539"/>
      <c r="H8254" s="121"/>
      <c r="I8254">
        <f>E8254*G8240</f>
        <v>0</v>
      </c>
      <c r="J8254" s="68"/>
      <c r="K8254" s="56"/>
      <c r="L8254" s="56"/>
      <c r="M8254" s="56"/>
      <c r="N8254" s="56"/>
      <c r="O8254" s="56"/>
    </row>
    <row r="8255" spans="1:15">
      <c r="A8255" s="536" t="s">
        <v>8</v>
      </c>
      <c r="B8255" s="537" t="str">
        <f>VLOOKUP(A8255,'Materiales '!$C$2:$F$1302,3,0)</f>
        <v>-</v>
      </c>
      <c r="C8255" s="98" t="str">
        <f>VLOOKUP(A8255,'Materiales '!$C$2:$F$1302,3,0)</f>
        <v>-</v>
      </c>
      <c r="D8255" s="99">
        <f>VLOOKUP(A8255,'Materiales '!$C$2:$F$1302,4,0)</f>
        <v>0</v>
      </c>
      <c r="E8255" s="100"/>
      <c r="F8255" s="538">
        <f t="shared" si="481"/>
        <v>0</v>
      </c>
      <c r="G8255" s="539"/>
      <c r="H8255" s="121"/>
      <c r="I8255">
        <f>E8255*G8240</f>
        <v>0</v>
      </c>
      <c r="J8255" s="68"/>
      <c r="K8255" s="56"/>
      <c r="L8255" s="56"/>
      <c r="M8255" s="56"/>
      <c r="N8255" s="56"/>
      <c r="O8255" s="56"/>
    </row>
    <row r="8256" spans="1:15">
      <c r="A8256" s="536" t="s">
        <v>8</v>
      </c>
      <c r="B8256" s="537" t="str">
        <f>VLOOKUP(A8256,'Materiales '!$C$2:$F$1302,3,0)</f>
        <v>-</v>
      </c>
      <c r="C8256" s="98" t="str">
        <f>VLOOKUP(A8256,'Materiales '!$C$2:$F$1302,3,0)</f>
        <v>-</v>
      </c>
      <c r="D8256" s="99">
        <f>VLOOKUP(A8256,'Materiales '!$C$2:$F$1302,4,0)</f>
        <v>0</v>
      </c>
      <c r="E8256" s="100"/>
      <c r="F8256" s="538">
        <f t="shared" si="481"/>
        <v>0</v>
      </c>
      <c r="G8256" s="539"/>
      <c r="H8256" s="121"/>
      <c r="I8256">
        <f>E8256*G8240</f>
        <v>0</v>
      </c>
      <c r="J8256" s="68"/>
      <c r="K8256" s="56"/>
      <c r="L8256" s="56"/>
      <c r="M8256" s="56"/>
      <c r="N8256" s="56"/>
      <c r="O8256" s="56"/>
    </row>
    <row r="8257" spans="1:15" ht="21.75" customHeight="1">
      <c r="A8257" s="536" t="s">
        <v>8</v>
      </c>
      <c r="B8257" s="537" t="str">
        <f>VLOOKUP(A8257,'Materiales '!$C$2:$F$1302,3,0)</f>
        <v>-</v>
      </c>
      <c r="C8257" s="98" t="str">
        <f>VLOOKUP(A8257,'Materiales '!$C$2:$F$1302,3,0)</f>
        <v>-</v>
      </c>
      <c r="D8257" s="99">
        <f>VLOOKUP(A8257,'Materiales '!$C$2:$F$1302,4,0)</f>
        <v>0</v>
      </c>
      <c r="E8257" s="100"/>
      <c r="F8257" s="538">
        <f t="shared" si="481"/>
        <v>0</v>
      </c>
      <c r="G8257" s="539"/>
      <c r="H8257" s="121"/>
      <c r="I8257">
        <f>E8257*G8240</f>
        <v>0</v>
      </c>
      <c r="J8257" s="68"/>
      <c r="K8257" s="56"/>
      <c r="L8257" s="56"/>
      <c r="M8257" s="56"/>
      <c r="N8257" s="56"/>
      <c r="O8257" s="56"/>
    </row>
    <row r="8258" spans="1:15">
      <c r="A8258" s="536" t="s">
        <v>8</v>
      </c>
      <c r="B8258" s="537" t="str">
        <f>VLOOKUP(A8258,'Materiales '!$C$2:$F$1302,3,0)</f>
        <v>-</v>
      </c>
      <c r="C8258" s="98" t="str">
        <f>VLOOKUP(A8258,'Materiales '!$C$2:$F$1302,3,0)</f>
        <v>-</v>
      </c>
      <c r="D8258" s="99">
        <f>VLOOKUP(A8258,'Materiales '!$C$2:$F$1302,4,0)</f>
        <v>0</v>
      </c>
      <c r="E8258" s="100"/>
      <c r="F8258" s="538">
        <f>E8258*D8258</f>
        <v>0</v>
      </c>
      <c r="G8258" s="539"/>
      <c r="H8258" s="120"/>
      <c r="I8258">
        <f>E8258*G8240</f>
        <v>0</v>
      </c>
      <c r="J8258" s="68"/>
      <c r="K8258" s="56"/>
      <c r="L8258" s="56"/>
      <c r="M8258" s="56"/>
      <c r="N8258" s="56"/>
      <c r="O8258" s="56"/>
    </row>
    <row r="8259" spans="1:15">
      <c r="A8259" s="536" t="s">
        <v>8</v>
      </c>
      <c r="B8259" s="537" t="str">
        <f>VLOOKUP(A8259,'Materiales '!$C$2:$F$1302,3,0)</f>
        <v>-</v>
      </c>
      <c r="C8259" s="98" t="str">
        <f>VLOOKUP(A8259,'Materiales '!$C$2:$F$1302,3,0)</f>
        <v>-</v>
      </c>
      <c r="D8259" s="99">
        <f>VLOOKUP(A8259,'Materiales '!$C$2:$F$1302,4,0)</f>
        <v>0</v>
      </c>
      <c r="E8259" s="100"/>
      <c r="F8259" s="538">
        <f t="shared" ref="F8259:F8262" si="482">E8259*D8259</f>
        <v>0</v>
      </c>
      <c r="G8259" s="539"/>
      <c r="H8259" s="121"/>
      <c r="I8259">
        <f>E8259*G8240</f>
        <v>0</v>
      </c>
      <c r="J8259" s="68"/>
      <c r="K8259" s="56"/>
      <c r="L8259" s="56"/>
      <c r="M8259" s="56"/>
      <c r="N8259" s="56"/>
      <c r="O8259" s="56"/>
    </row>
    <row r="8260" spans="1:15">
      <c r="A8260" s="536" t="s">
        <v>8</v>
      </c>
      <c r="B8260" s="537" t="str">
        <f>VLOOKUP(A8260,'Materiales '!$C$2:$F$1302,3,0)</f>
        <v>-</v>
      </c>
      <c r="C8260" s="98" t="str">
        <f>VLOOKUP(A8260,'Materiales '!$C$2:$F$1302,3,0)</f>
        <v>-</v>
      </c>
      <c r="D8260" s="99">
        <f>VLOOKUP(A8260,'Materiales '!$C$2:$F$1302,4,0)</f>
        <v>0</v>
      </c>
      <c r="E8260" s="100"/>
      <c r="F8260" s="538">
        <f t="shared" si="482"/>
        <v>0</v>
      </c>
      <c r="G8260" s="539"/>
      <c r="H8260" s="121"/>
      <c r="I8260">
        <f>E8260*G8240</f>
        <v>0</v>
      </c>
      <c r="J8260" s="68"/>
      <c r="K8260" s="56"/>
      <c r="L8260" s="56"/>
      <c r="M8260" s="56"/>
      <c r="N8260" s="56"/>
      <c r="O8260" s="56"/>
    </row>
    <row r="8261" spans="1:15">
      <c r="A8261" s="536" t="s">
        <v>8</v>
      </c>
      <c r="B8261" s="537" t="str">
        <f>VLOOKUP(A8261,'Materiales '!$C$2:$F$1302,3,0)</f>
        <v>-</v>
      </c>
      <c r="C8261" s="98" t="str">
        <f>VLOOKUP(A8261,'Materiales '!$C$2:$F$1302,3,0)</f>
        <v>-</v>
      </c>
      <c r="D8261" s="99">
        <f>VLOOKUP(A8261,'Materiales '!$C$2:$F$1302,4,0)</f>
        <v>0</v>
      </c>
      <c r="E8261" s="100"/>
      <c r="F8261" s="538">
        <f t="shared" si="482"/>
        <v>0</v>
      </c>
      <c r="G8261" s="539"/>
      <c r="H8261" s="121"/>
      <c r="I8261">
        <f>E8261*G8240</f>
        <v>0</v>
      </c>
      <c r="J8261" s="68"/>
      <c r="K8261" s="56"/>
      <c r="L8261" s="56"/>
      <c r="M8261" s="56"/>
      <c r="N8261" s="56"/>
      <c r="O8261" s="56"/>
    </row>
    <row r="8262" spans="1:15">
      <c r="A8262" s="536" t="s">
        <v>8</v>
      </c>
      <c r="B8262" s="537" t="str">
        <f>VLOOKUP(A8262,'Materiales '!$C$2:$F$1302,3,0)</f>
        <v>-</v>
      </c>
      <c r="C8262" s="98" t="str">
        <f>VLOOKUP(A8262,'Materiales '!$C$2:$F$1302,3,0)</f>
        <v>-</v>
      </c>
      <c r="D8262" s="99">
        <f>VLOOKUP(A8262,'Materiales '!$C$2:$F$1302,4,0)</f>
        <v>0</v>
      </c>
      <c r="E8262" s="100"/>
      <c r="F8262" s="538">
        <f t="shared" si="482"/>
        <v>0</v>
      </c>
      <c r="G8262" s="539"/>
      <c r="H8262" s="121"/>
      <c r="I8262">
        <f>E8262*G8240</f>
        <v>0</v>
      </c>
      <c r="J8262" s="68"/>
      <c r="K8262" s="56"/>
      <c r="L8262" s="56"/>
      <c r="M8262" s="56"/>
      <c r="N8262" s="56"/>
      <c r="O8262" s="56"/>
    </row>
    <row r="8263" spans="1:15">
      <c r="A8263" s="536" t="s">
        <v>8</v>
      </c>
      <c r="B8263" s="537" t="str">
        <f>VLOOKUP(A8263,'Materiales '!$C$2:$F$1302,3,0)</f>
        <v>-</v>
      </c>
      <c r="C8263" s="98" t="str">
        <f>VLOOKUP(A8263,'Materiales '!$C$2:$F$1302,3,0)</f>
        <v>-</v>
      </c>
      <c r="D8263" s="99">
        <f>VLOOKUP(A8263,'Materiales '!$C$2:$F$1302,4,0)</f>
        <v>0</v>
      </c>
      <c r="E8263" s="100"/>
      <c r="F8263" s="538">
        <f>E8263*D8263</f>
        <v>0</v>
      </c>
      <c r="G8263" s="539"/>
      <c r="H8263" s="120"/>
      <c r="I8263">
        <f>E8263*G8240</f>
        <v>0</v>
      </c>
      <c r="J8263" s="68"/>
      <c r="K8263" s="56"/>
      <c r="L8263" s="56"/>
      <c r="M8263" s="56"/>
      <c r="N8263" s="56"/>
      <c r="O8263" s="56"/>
    </row>
    <row r="8264" spans="1:15" ht="16.5">
      <c r="A8264" s="540" t="s">
        <v>4099</v>
      </c>
      <c r="B8264" s="541"/>
      <c r="C8264" s="541"/>
      <c r="D8264" s="541"/>
      <c r="E8264" s="541"/>
      <c r="F8264" s="541"/>
      <c r="G8264" s="542"/>
      <c r="H8264" s="116">
        <f>SUM(F8250:F8263)</f>
        <v>13702.688159999998</v>
      </c>
      <c r="J8264" s="68"/>
      <c r="K8264" s="56"/>
      <c r="L8264" s="56"/>
      <c r="M8264" s="56"/>
      <c r="N8264" s="56"/>
      <c r="O8264" s="56"/>
    </row>
    <row r="8265" spans="1:15" ht="16.5">
      <c r="A8265" s="543" t="s">
        <v>4231</v>
      </c>
      <c r="B8265" s="544"/>
      <c r="C8265" s="544"/>
      <c r="D8265" s="544"/>
      <c r="E8265" s="545"/>
      <c r="F8265" s="544"/>
      <c r="G8265" s="544"/>
      <c r="H8265" s="546"/>
      <c r="J8265" s="68"/>
      <c r="K8265" s="56"/>
      <c r="L8265" s="56"/>
      <c r="M8265" s="56"/>
      <c r="N8265" s="56"/>
      <c r="O8265" s="56"/>
    </row>
    <row r="8266" spans="1:15">
      <c r="A8266" s="547" t="s">
        <v>7</v>
      </c>
      <c r="B8266" s="548"/>
      <c r="C8266" s="108" t="s">
        <v>4232</v>
      </c>
      <c r="D8266" s="107" t="s">
        <v>4233</v>
      </c>
      <c r="E8266" s="206" t="s">
        <v>4234</v>
      </c>
      <c r="F8266" s="549" t="s">
        <v>4218</v>
      </c>
      <c r="G8266" s="549"/>
      <c r="H8266" s="119"/>
      <c r="K8266" s="56"/>
      <c r="L8266" s="56"/>
      <c r="M8266" s="56"/>
      <c r="N8266" s="56"/>
      <c r="O8266" s="56"/>
    </row>
    <row r="8267" spans="1:15">
      <c r="A8267" s="550" t="s">
        <v>3928</v>
      </c>
      <c r="B8267" s="551"/>
      <c r="C8267" s="232">
        <v>1</v>
      </c>
      <c r="D8267" s="102">
        <v>5.0000000000000001E-3</v>
      </c>
      <c r="E8267" s="103">
        <f>VLOOKUP(A8267,'Equip, Herr y Transp'!$B$2:$D$218,3,0)</f>
        <v>160000</v>
      </c>
      <c r="F8267" s="552">
        <f>E8267*D8267*C8267</f>
        <v>800</v>
      </c>
      <c r="G8267" s="553"/>
      <c r="H8267" s="117"/>
      <c r="M8267" s="56"/>
    </row>
    <row r="8268" spans="1:15" ht="16.5">
      <c r="A8268" s="554" t="s">
        <v>4216</v>
      </c>
      <c r="B8268" s="555"/>
      <c r="C8268" s="555"/>
      <c r="D8268" s="555"/>
      <c r="E8268" s="555"/>
      <c r="F8268" s="555"/>
      <c r="G8268" s="555"/>
      <c r="H8268" s="105">
        <f>F8267</f>
        <v>800</v>
      </c>
    </row>
    <row r="8269" spans="1:15" ht="16.5">
      <c r="A8269" s="543" t="s">
        <v>4235</v>
      </c>
      <c r="B8269" s="544"/>
      <c r="C8269" s="544"/>
      <c r="D8269" s="544"/>
      <c r="E8269" s="544"/>
      <c r="F8269" s="544"/>
      <c r="G8269" s="544"/>
      <c r="H8269" s="546"/>
    </row>
    <row r="8270" spans="1:15">
      <c r="A8270" s="547" t="s">
        <v>7</v>
      </c>
      <c r="B8270" s="548"/>
      <c r="C8270" s="106" t="s">
        <v>1</v>
      </c>
      <c r="D8270" s="107" t="s">
        <v>4236</v>
      </c>
      <c r="E8270" s="108" t="s">
        <v>4215</v>
      </c>
      <c r="F8270" s="547" t="s">
        <v>5</v>
      </c>
      <c r="G8270" s="556"/>
      <c r="H8270" s="119"/>
    </row>
    <row r="8271" spans="1:15">
      <c r="A8271" s="550" t="s">
        <v>4196</v>
      </c>
      <c r="B8271" s="551"/>
      <c r="C8271" s="101">
        <v>1</v>
      </c>
      <c r="D8271" s="104">
        <f>VLOOKUP(A8271,'Mano Obra'!$B$2:$T$117,19,0)</f>
        <v>166624</v>
      </c>
      <c r="E8271" s="246">
        <f>H8233</f>
        <v>2.0799999999999999E-2</v>
      </c>
      <c r="F8271" s="538">
        <f>E8271*D8271*C8271</f>
        <v>3465.7791999999999</v>
      </c>
      <c r="G8271" s="557"/>
      <c r="H8271" s="121"/>
      <c r="I8271" s="69"/>
      <c r="J8271" s="136">
        <f>((('Mano Obra'!$M$4/30)*F8271)/D8271)*G8240</f>
        <v>0</v>
      </c>
    </row>
    <row r="8272" spans="1:15">
      <c r="A8272" s="558" t="s">
        <v>4197</v>
      </c>
      <c r="B8272" s="559">
        <f>VLOOKUP(A8272,'Mano Obra'!$B$3:$D$290,2,0)</f>
        <v>2090000.0000000002</v>
      </c>
      <c r="C8272" s="101">
        <v>1</v>
      </c>
      <c r="D8272" s="104">
        <f>VLOOKUP(A8272,'Mano Obra'!$B$2:$T$117,19,0)</f>
        <v>120456</v>
      </c>
      <c r="E8272" s="246">
        <f>H8233</f>
        <v>2.0799999999999999E-2</v>
      </c>
      <c r="F8272" s="538">
        <f t="shared" ref="F8272:F8273" si="483">E8272*D8272*C8272</f>
        <v>2505.4847999999997</v>
      </c>
      <c r="G8272" s="557"/>
      <c r="H8272" s="121"/>
      <c r="J8272" s="136">
        <f>((('Mano Obra'!$M$5/30)*F8272)/D8272)*G8240</f>
        <v>0</v>
      </c>
    </row>
    <row r="8273" spans="1:10">
      <c r="A8273" s="558" t="s">
        <v>4186</v>
      </c>
      <c r="B8273" s="559">
        <f>VLOOKUP(A8273,'Mano Obra'!$B$3:$D$290,2,0)</f>
        <v>1100000</v>
      </c>
      <c r="C8273" s="101">
        <v>1</v>
      </c>
      <c r="D8273" s="104">
        <f>VLOOKUP(A8273,'Mano Obra'!$B$2:$T$117,19,0)</f>
        <v>72664</v>
      </c>
      <c r="E8273" s="246">
        <f>H8233</f>
        <v>2.0799999999999999E-2</v>
      </c>
      <c r="F8273" s="538">
        <f t="shared" si="483"/>
        <v>1511.4112</v>
      </c>
      <c r="G8273" s="557"/>
      <c r="H8273" s="120"/>
      <c r="J8273" s="136">
        <f>((('Mano Obra'!$M$6/30)*F8273)/D8273)*G8240</f>
        <v>0</v>
      </c>
    </row>
    <row r="8274" spans="1:10" ht="16.5">
      <c r="A8274" s="560" t="s">
        <v>4101</v>
      </c>
      <c r="B8274" s="560"/>
      <c r="C8274" s="560"/>
      <c r="D8274" s="560"/>
      <c r="E8274" s="560"/>
      <c r="F8274" s="560"/>
      <c r="G8274" s="560"/>
      <c r="H8274" s="105">
        <f>SUM(F8271:F8273)</f>
        <v>7482.6751999999997</v>
      </c>
      <c r="J8274" s="136"/>
    </row>
    <row r="8275" spans="1:10">
      <c r="A8275" s="227" t="s">
        <v>4237</v>
      </c>
      <c r="B8275" s="205"/>
      <c r="C8275" s="205"/>
      <c r="D8275" s="202"/>
      <c r="E8275" s="203"/>
      <c r="F8275" s="204"/>
      <c r="G8275" s="203"/>
      <c r="H8275" s="212"/>
    </row>
    <row r="8276" spans="1:10">
      <c r="A8276" s="561" t="s">
        <v>4224</v>
      </c>
      <c r="B8276" s="562"/>
      <c r="C8276" s="562"/>
      <c r="D8276" s="562"/>
      <c r="E8276" s="200"/>
      <c r="F8276" s="201" t="s">
        <v>4238</v>
      </c>
      <c r="G8276" s="200" t="s">
        <v>4239</v>
      </c>
      <c r="H8276" s="213"/>
    </row>
    <row r="8277" spans="1:10">
      <c r="A8277" s="223" t="s">
        <v>4097</v>
      </c>
      <c r="B8277" s="72"/>
      <c r="C8277" s="72"/>
      <c r="D8277" s="73"/>
      <c r="E8277" s="78"/>
      <c r="F8277" s="79">
        <v>0</v>
      </c>
      <c r="G8277" s="80">
        <f>F8277*H8241</f>
        <v>0</v>
      </c>
      <c r="H8277" s="212"/>
    </row>
    <row r="8278" spans="1:10">
      <c r="A8278" s="224" t="s">
        <v>4240</v>
      </c>
      <c r="B8278" s="81"/>
      <c r="C8278" s="81"/>
      <c r="D8278" s="82"/>
      <c r="E8278" s="78"/>
      <c r="F8278" s="79">
        <v>0</v>
      </c>
      <c r="G8278" s="80">
        <f>F8278*H8241</f>
        <v>0</v>
      </c>
      <c r="H8278" s="212"/>
    </row>
    <row r="8279" spans="1:10">
      <c r="A8279" s="224" t="s">
        <v>4</v>
      </c>
      <c r="B8279" s="81"/>
      <c r="C8279" s="81"/>
      <c r="D8279" s="82"/>
      <c r="E8279" s="78"/>
      <c r="F8279" s="79">
        <v>0</v>
      </c>
      <c r="G8279" s="80">
        <f>F8279*H8241</f>
        <v>0</v>
      </c>
      <c r="H8279" s="212"/>
    </row>
    <row r="8280" spans="1:10">
      <c r="A8280" s="225"/>
      <c r="B8280" s="83"/>
      <c r="C8280" s="75"/>
      <c r="D8280" s="84"/>
      <c r="E8280" s="85"/>
      <c r="F8280" s="86"/>
      <c r="G8280" s="87"/>
      <c r="H8280" s="214"/>
    </row>
    <row r="8281" spans="1:10">
      <c r="A8281" s="226"/>
      <c r="B8281" s="83"/>
      <c r="C8281" s="83"/>
      <c r="D8281" s="84"/>
      <c r="E8281" s="88"/>
      <c r="F8281" s="563" t="s">
        <v>4241</v>
      </c>
      <c r="G8281" s="564"/>
      <c r="H8281" s="233">
        <f>H8241+G8277+G8278+G8279</f>
        <v>22834.055359999998</v>
      </c>
    </row>
    <row r="8282" spans="1:10">
      <c r="A8282" s="83"/>
      <c r="B8282" s="83"/>
      <c r="C8282" s="83"/>
      <c r="D8282" s="84"/>
      <c r="E8282" s="388"/>
      <c r="F8282" s="389"/>
      <c r="G8282" s="389"/>
      <c r="H8282" s="390"/>
    </row>
    <row r="8283" spans="1:10" ht="16.5">
      <c r="A8283" s="90"/>
      <c r="B8283" s="90"/>
      <c r="C8283" s="90"/>
      <c r="D8283" s="90"/>
      <c r="E8283" s="90"/>
      <c r="F8283" s="90"/>
      <c r="G8283" s="90"/>
      <c r="H8283" s="381"/>
    </row>
    <row r="8284" spans="1:10">
      <c r="A8284" s="579" t="s">
        <v>4225</v>
      </c>
      <c r="B8284" s="580"/>
      <c r="C8284" s="580"/>
      <c r="D8284" s="580"/>
      <c r="E8284" s="580"/>
      <c r="F8284" s="580"/>
      <c r="G8284" s="580"/>
      <c r="H8284" s="581"/>
    </row>
    <row r="8285" spans="1:10" ht="16.5">
      <c r="A8285" s="91"/>
      <c r="B8285" s="92"/>
      <c r="C8285" s="92"/>
      <c r="D8285" s="92"/>
      <c r="E8285" s="92"/>
      <c r="F8285" s="93"/>
      <c r="G8285" s="94"/>
      <c r="H8285" s="380">
        <f>ROUND((10/60)/8,4)</f>
        <v>2.0799999999999999E-2</v>
      </c>
      <c r="I8285" s="115"/>
    </row>
    <row r="8286" spans="1:10">
      <c r="A8286" s="582" t="s">
        <v>4220</v>
      </c>
      <c r="B8286" s="584" t="str">
        <f>COSTOS!$C$14</f>
        <v>MODERNIZACION A TECNOLOGIA LED</v>
      </c>
      <c r="C8286" s="584"/>
      <c r="D8286" s="584"/>
      <c r="E8286" s="584"/>
      <c r="F8286" s="584"/>
      <c r="G8286" s="584"/>
      <c r="H8286" s="585" t="s">
        <v>4221</v>
      </c>
    </row>
    <row r="8287" spans="1:10">
      <c r="A8287" s="583"/>
      <c r="B8287" s="584"/>
      <c r="C8287" s="584"/>
      <c r="D8287" s="584"/>
      <c r="E8287" s="584"/>
      <c r="F8287" s="584"/>
      <c r="G8287" s="584"/>
      <c r="H8287" s="585"/>
    </row>
    <row r="8288" spans="1:10">
      <c r="A8288" s="583"/>
      <c r="B8288" s="584"/>
      <c r="C8288" s="584"/>
      <c r="D8288" s="584"/>
      <c r="E8288" s="584"/>
      <c r="F8288" s="584"/>
      <c r="G8288" s="584"/>
      <c r="H8288" s="585"/>
    </row>
    <row r="8289" spans="1:15" ht="15" customHeight="1">
      <c r="A8289" s="583"/>
      <c r="B8289" s="584"/>
      <c r="C8289" s="584"/>
      <c r="D8289" s="584"/>
      <c r="E8289" s="584"/>
      <c r="F8289" s="584"/>
      <c r="G8289" s="584"/>
      <c r="H8289" s="216">
        <f ca="1">TODAY()</f>
        <v>44889</v>
      </c>
      <c r="K8289" t="s">
        <v>4391</v>
      </c>
      <c r="L8289" t="s">
        <v>4392</v>
      </c>
      <c r="M8289" t="s">
        <v>4393</v>
      </c>
      <c r="N8289" t="s">
        <v>4394</v>
      </c>
    </row>
    <row r="8290" spans="1:15" ht="60.75" customHeight="1">
      <c r="A8290" s="228" t="s">
        <v>4222</v>
      </c>
      <c r="B8290" s="565" t="str">
        <f>COSTOS!$D$16</f>
        <v>Luminarias</v>
      </c>
      <c r="C8290" s="565"/>
      <c r="D8290" s="565"/>
      <c r="E8290" s="565"/>
      <c r="F8290" s="565"/>
      <c r="G8290" s="70" t="s">
        <v>4223</v>
      </c>
      <c r="H8290" s="391">
        <v>3.46</v>
      </c>
      <c r="K8290" s="62">
        <f>H8316</f>
        <v>9906.1192999999985</v>
      </c>
      <c r="L8290" s="62">
        <f>H8326</f>
        <v>7482.6751999999997</v>
      </c>
      <c r="M8290" s="62">
        <f>H8299</f>
        <v>848.69200000000001</v>
      </c>
      <c r="N8290" s="62">
        <f>H8320</f>
        <v>800</v>
      </c>
    </row>
    <row r="8291" spans="1:15" ht="43.15" customHeight="1">
      <c r="A8291" s="229" t="s">
        <v>4224</v>
      </c>
      <c r="B8291" s="566" t="str">
        <f>VLOOKUP(H8290,COSTOS!C:M,2,0)</f>
        <v>Cable encauchetado 3 x 12AWG  x 500 MT</v>
      </c>
      <c r="C8291" s="567"/>
      <c r="D8291" s="567"/>
      <c r="E8291" s="568"/>
      <c r="F8291" s="71" t="s">
        <v>0</v>
      </c>
      <c r="G8291" s="356" t="str">
        <f>VLOOKUP(H8290,COSTOS!C:M,8,0)</f>
        <v>Und</v>
      </c>
      <c r="H8291" s="276"/>
      <c r="I8291" s="306"/>
      <c r="J8291" s="308"/>
      <c r="K8291" s="308"/>
      <c r="L8291" s="308"/>
    </row>
    <row r="8292" spans="1:15">
      <c r="A8292" s="230"/>
      <c r="B8292" s="112"/>
      <c r="C8292" s="112"/>
      <c r="D8292" s="112"/>
      <c r="E8292" s="113"/>
      <c r="F8292" s="114" t="s">
        <v>1</v>
      </c>
      <c r="G8292" s="356">
        <f>VLOOKUP(H8290,COSTOS!C:M,9,0)</f>
        <v>0</v>
      </c>
      <c r="H8292" s="357"/>
      <c r="I8292" s="307"/>
    </row>
    <row r="8293" spans="1:15" ht="16.5">
      <c r="A8293" s="231" t="s">
        <v>4226</v>
      </c>
      <c r="B8293" s="75"/>
      <c r="C8293" s="75"/>
      <c r="D8293" s="76"/>
      <c r="E8293" s="209"/>
      <c r="F8293" s="210"/>
      <c r="G8293" s="211" t="s">
        <v>4227</v>
      </c>
      <c r="H8293" s="217">
        <f>H8299+H8316+H8320+H8326</f>
        <v>19037.486499999999</v>
      </c>
    </row>
    <row r="8294" spans="1:15" ht="39">
      <c r="A8294" s="569" t="s">
        <v>4224</v>
      </c>
      <c r="B8294" s="569"/>
      <c r="C8294" s="569"/>
      <c r="D8294" s="77" t="s">
        <v>0</v>
      </c>
      <c r="E8294" s="207" t="s">
        <v>4228</v>
      </c>
      <c r="F8294" s="208" t="s">
        <v>4215</v>
      </c>
      <c r="G8294" s="74" t="s">
        <v>2</v>
      </c>
      <c r="H8294" s="218" t="s">
        <v>4229</v>
      </c>
      <c r="K8294" s="309"/>
    </row>
    <row r="8295" spans="1:15">
      <c r="A8295" s="536" t="s">
        <v>3946</v>
      </c>
      <c r="B8295" s="570" t="str">
        <f>VLOOKUP(A8295,'Equip, Herr y Transp'!$B$2:$D$739,2,0)</f>
        <v>EQU</v>
      </c>
      <c r="C8295" s="570"/>
      <c r="D8295" s="95" t="str">
        <f>VLOOKUP(A8295,'Equip, Herr y Transp'!$B$2:$D$218,2,0)</f>
        <v>EQU</v>
      </c>
      <c r="E8295" s="95">
        <f>VLOOKUP(A8295,'Equip, Herr y Transp'!$B$2:$D$218,3,0)</f>
        <v>14130</v>
      </c>
      <c r="F8295" s="96">
        <f>H8285</f>
        <v>2.0799999999999999E-2</v>
      </c>
      <c r="G8295" s="122">
        <f>F8295*E8295</f>
        <v>293.904</v>
      </c>
      <c r="H8295" s="118"/>
    </row>
    <row r="8296" spans="1:15">
      <c r="A8296" s="536" t="s">
        <v>3904</v>
      </c>
      <c r="B8296" s="570" t="str">
        <f>VLOOKUP(A8296,'Equip, Herr y Transp'!$B$2:$D$739,2,0)</f>
        <v>EQU</v>
      </c>
      <c r="C8296" s="570"/>
      <c r="D8296" s="95" t="str">
        <f>VLOOKUP(A8296,'Equip, Herr y Transp'!$B$2:$D$218,2,0)</f>
        <v>EQU</v>
      </c>
      <c r="E8296" s="95">
        <f>VLOOKUP(A8296,'Equip, Herr y Transp'!$B$2:$D$218,3,0)</f>
        <v>26672.5</v>
      </c>
      <c r="F8296" s="96">
        <f>H8285</f>
        <v>2.0799999999999999E-2</v>
      </c>
      <c r="G8296" s="122">
        <f>F8296*E8296</f>
        <v>554.78800000000001</v>
      </c>
      <c r="H8296" s="117"/>
    </row>
    <row r="8297" spans="1:15">
      <c r="A8297" s="536" t="s">
        <v>8</v>
      </c>
      <c r="B8297" s="570">
        <f>VLOOKUP(A8297,'Equip, Herr y Transp'!$B$2:$D$739,2,0)</f>
        <v>0</v>
      </c>
      <c r="C8297" s="570"/>
      <c r="D8297" s="95">
        <f>VLOOKUP(A8297,'Equip, Herr y Transp'!$B$2:$D$218,2,0)</f>
        <v>0</v>
      </c>
      <c r="E8297" s="95">
        <f>VLOOKUP(A8297,'Equip, Herr y Transp'!$B$2:$D$218,3,0)</f>
        <v>0</v>
      </c>
      <c r="F8297" s="96">
        <f>H8285</f>
        <v>2.0799999999999999E-2</v>
      </c>
      <c r="G8297" s="122">
        <f>F8297*E8297</f>
        <v>0</v>
      </c>
      <c r="H8297" s="117"/>
    </row>
    <row r="8298" spans="1:15">
      <c r="A8298" s="536" t="s">
        <v>8</v>
      </c>
      <c r="B8298" s="570">
        <f>VLOOKUP(A8298,'Equip, Herr y Transp'!$B$2:$D$739,2,0)</f>
        <v>0</v>
      </c>
      <c r="C8298" s="570"/>
      <c r="D8298" s="95">
        <f>VLOOKUP(A8298,'Equip, Herr y Transp'!$B$2:$D$218,2,0)</f>
        <v>0</v>
      </c>
      <c r="E8298" s="95">
        <f>VLOOKUP(A8298,'Equip, Herr y Transp'!$B$2:$D$218,3,0)</f>
        <v>0</v>
      </c>
      <c r="F8298" s="96">
        <f>H8285</f>
        <v>2.0799999999999999E-2</v>
      </c>
      <c r="G8298" s="122">
        <f>F8298*E8298</f>
        <v>0</v>
      </c>
      <c r="H8298" s="117"/>
    </row>
    <row r="8299" spans="1:15" ht="16.5">
      <c r="A8299" s="540" t="s">
        <v>4100</v>
      </c>
      <c r="B8299" s="541"/>
      <c r="C8299" s="541"/>
      <c r="D8299" s="541"/>
      <c r="E8299" s="541"/>
      <c r="F8299" s="541"/>
      <c r="G8299" s="541"/>
      <c r="H8299" s="97">
        <f>SUM(G8295:G8298)</f>
        <v>848.69200000000001</v>
      </c>
    </row>
    <row r="8300" spans="1:15" ht="16.5">
      <c r="A8300" s="571" t="s">
        <v>4230</v>
      </c>
      <c r="B8300" s="572"/>
      <c r="C8300" s="572"/>
      <c r="D8300" s="572"/>
      <c r="E8300" s="572"/>
      <c r="F8300" s="572"/>
      <c r="G8300" s="572"/>
      <c r="H8300" s="573"/>
      <c r="K8300" s="56"/>
      <c r="L8300" s="56"/>
      <c r="M8300" s="56"/>
      <c r="N8300" s="56"/>
      <c r="O8300" s="56"/>
    </row>
    <row r="8301" spans="1:15" ht="30" customHeight="1">
      <c r="A8301" s="574" t="s">
        <v>7</v>
      </c>
      <c r="B8301" s="575"/>
      <c r="C8301" s="109" t="s">
        <v>0</v>
      </c>
      <c r="D8301" s="110" t="s">
        <v>4098</v>
      </c>
      <c r="E8301" s="111" t="s">
        <v>1</v>
      </c>
      <c r="F8301" s="576" t="s">
        <v>4218</v>
      </c>
      <c r="G8301" s="576"/>
      <c r="H8301" s="215"/>
      <c r="K8301" s="56"/>
      <c r="L8301" s="56"/>
      <c r="M8301" s="56"/>
      <c r="N8301" s="56"/>
      <c r="O8301" s="56"/>
    </row>
    <row r="8302" spans="1:15">
      <c r="A8302" s="577" t="s">
        <v>4449</v>
      </c>
      <c r="B8302" s="578"/>
      <c r="C8302" s="98" t="str">
        <f>VLOOKUP(A8302,'Materiales '!$C$2:$F$1302,3,0)</f>
        <v>Ml</v>
      </c>
      <c r="D8302" s="99">
        <f>VLOOKUP(A8302,'Materiales '!$C$2:$F$1302,4,0)</f>
        <v>9584.735999999999</v>
      </c>
      <c r="E8302" s="100">
        <v>1</v>
      </c>
      <c r="F8302" s="538">
        <f>E8302*D8302</f>
        <v>9584.735999999999</v>
      </c>
      <c r="G8302" s="539"/>
      <c r="H8302" s="121"/>
      <c r="I8302">
        <f>E8302*G8292</f>
        <v>0</v>
      </c>
      <c r="J8302" s="67"/>
      <c r="K8302" s="56"/>
      <c r="L8302" s="56"/>
      <c r="M8302" s="56"/>
      <c r="N8302" s="56"/>
      <c r="O8302" s="56"/>
    </row>
    <row r="8303" spans="1:15">
      <c r="A8303" s="577" t="s">
        <v>4553</v>
      </c>
      <c r="B8303" s="578"/>
      <c r="C8303" s="98" t="str">
        <f>VLOOKUP(A8303,'Materiales '!$C$2:$F$1302,3,0)</f>
        <v>Und</v>
      </c>
      <c r="D8303" s="99">
        <f>VLOOKUP(A8303,'Materiales '!$C$2:$F$1302,4,0)</f>
        <v>6428.4990000000007</v>
      </c>
      <c r="E8303" s="100">
        <f>1/30</f>
        <v>3.3333333333333333E-2</v>
      </c>
      <c r="F8303" s="538">
        <f t="shared" ref="F8303:F8309" si="484">E8303*D8303</f>
        <v>214.28330000000003</v>
      </c>
      <c r="G8303" s="539"/>
      <c r="H8303" s="121"/>
      <c r="I8303">
        <f>E8303*G8292</f>
        <v>0</v>
      </c>
      <c r="J8303" s="67"/>
      <c r="K8303" s="56"/>
      <c r="L8303" s="56"/>
      <c r="M8303" s="56"/>
      <c r="N8303" s="56"/>
      <c r="O8303" s="56"/>
    </row>
    <row r="8304" spans="1:15">
      <c r="A8304" s="536" t="s">
        <v>4417</v>
      </c>
      <c r="B8304" s="537" t="str">
        <f>VLOOKUP(A8304,'Materiales '!$C$2:$F$1302,3,0)</f>
        <v>Und</v>
      </c>
      <c r="C8304" s="98" t="str">
        <f>VLOOKUP(A8304,'Materiales '!$C$2:$F$1302,3,0)</f>
        <v>Und</v>
      </c>
      <c r="D8304" s="99">
        <f>VLOOKUP(A8304,'Materiales '!$C$2:$F$1302,4,0)</f>
        <v>3213</v>
      </c>
      <c r="E8304" s="100">
        <f>1/30</f>
        <v>3.3333333333333333E-2</v>
      </c>
      <c r="F8304" s="538">
        <f t="shared" si="484"/>
        <v>107.1</v>
      </c>
      <c r="G8304" s="539"/>
      <c r="H8304" s="121"/>
      <c r="I8304">
        <f>E8304*G8292</f>
        <v>0</v>
      </c>
      <c r="J8304" s="68"/>
      <c r="K8304" s="56"/>
      <c r="L8304" s="56"/>
      <c r="M8304" s="56"/>
      <c r="N8304" s="56"/>
      <c r="O8304" s="56"/>
    </row>
    <row r="8305" spans="1:15">
      <c r="A8305" s="536" t="s">
        <v>8</v>
      </c>
      <c r="B8305" s="537" t="str">
        <f>VLOOKUP(A8305,'Materiales '!$C$2:$F$1302,3,0)</f>
        <v>-</v>
      </c>
      <c r="C8305" s="98" t="str">
        <f>VLOOKUP(A8305,'Materiales '!$C$2:$F$1302,3,0)</f>
        <v>-</v>
      </c>
      <c r="D8305" s="99">
        <f>VLOOKUP(A8305,'Materiales '!$C$2:$F$1302,4,0)</f>
        <v>0</v>
      </c>
      <c r="E8305" s="100"/>
      <c r="F8305" s="538">
        <f t="shared" si="484"/>
        <v>0</v>
      </c>
      <c r="G8305" s="539"/>
      <c r="H8305" s="121"/>
      <c r="I8305">
        <f>E8305*G8292</f>
        <v>0</v>
      </c>
      <c r="J8305" s="68"/>
      <c r="K8305" s="56"/>
      <c r="L8305" s="56"/>
      <c r="M8305" s="56"/>
      <c r="N8305" s="56"/>
      <c r="O8305" s="56"/>
    </row>
    <row r="8306" spans="1:15">
      <c r="A8306" s="536" t="s">
        <v>8</v>
      </c>
      <c r="B8306" s="537" t="str">
        <f>VLOOKUP(A8306,'Materiales '!$C$2:$F$1302,3,0)</f>
        <v>-</v>
      </c>
      <c r="C8306" s="98" t="str">
        <f>VLOOKUP(A8306,'Materiales '!$C$2:$F$1302,3,0)</f>
        <v>-</v>
      </c>
      <c r="D8306" s="99">
        <f>VLOOKUP(A8306,'Materiales '!$C$2:$F$1302,4,0)</f>
        <v>0</v>
      </c>
      <c r="E8306" s="100"/>
      <c r="F8306" s="538">
        <f t="shared" si="484"/>
        <v>0</v>
      </c>
      <c r="G8306" s="539"/>
      <c r="H8306" s="121"/>
      <c r="I8306">
        <f>E8306*G8292</f>
        <v>0</v>
      </c>
      <c r="J8306" s="68"/>
      <c r="K8306" s="56"/>
      <c r="L8306" s="56"/>
      <c r="M8306" s="56"/>
      <c r="N8306" s="56"/>
      <c r="O8306" s="56"/>
    </row>
    <row r="8307" spans="1:15">
      <c r="A8307" s="536" t="s">
        <v>8</v>
      </c>
      <c r="B8307" s="537" t="str">
        <f>VLOOKUP(A8307,'Materiales '!$C$2:$F$1302,3,0)</f>
        <v>-</v>
      </c>
      <c r="C8307" s="98" t="str">
        <f>VLOOKUP(A8307,'Materiales '!$C$2:$F$1302,3,0)</f>
        <v>-</v>
      </c>
      <c r="D8307" s="99">
        <f>VLOOKUP(A8307,'Materiales '!$C$2:$F$1302,4,0)</f>
        <v>0</v>
      </c>
      <c r="E8307" s="100"/>
      <c r="F8307" s="538">
        <f t="shared" si="484"/>
        <v>0</v>
      </c>
      <c r="G8307" s="539"/>
      <c r="H8307" s="121"/>
      <c r="I8307">
        <f>E8307*G8292</f>
        <v>0</v>
      </c>
      <c r="J8307" s="68"/>
      <c r="K8307" s="56"/>
      <c r="L8307" s="56"/>
      <c r="M8307" s="56"/>
      <c r="N8307" s="56"/>
      <c r="O8307" s="56"/>
    </row>
    <row r="8308" spans="1:15">
      <c r="A8308" s="536" t="s">
        <v>8</v>
      </c>
      <c r="B8308" s="537" t="str">
        <f>VLOOKUP(A8308,'Materiales '!$C$2:$F$1302,3,0)</f>
        <v>-</v>
      </c>
      <c r="C8308" s="98" t="str">
        <f>VLOOKUP(A8308,'Materiales '!$C$2:$F$1302,3,0)</f>
        <v>-</v>
      </c>
      <c r="D8308" s="99">
        <f>VLOOKUP(A8308,'Materiales '!$C$2:$F$1302,4,0)</f>
        <v>0</v>
      </c>
      <c r="E8308" s="100"/>
      <c r="F8308" s="538">
        <f t="shared" si="484"/>
        <v>0</v>
      </c>
      <c r="G8308" s="539"/>
      <c r="H8308" s="121"/>
      <c r="I8308">
        <f>E8308*G8292</f>
        <v>0</v>
      </c>
      <c r="J8308" s="68"/>
      <c r="K8308" s="56"/>
      <c r="L8308" s="56"/>
      <c r="M8308" s="56"/>
      <c r="N8308" s="56"/>
      <c r="O8308" s="56"/>
    </row>
    <row r="8309" spans="1:15" ht="21.75" customHeight="1">
      <c r="A8309" s="536" t="s">
        <v>8</v>
      </c>
      <c r="B8309" s="537" t="str">
        <f>VLOOKUP(A8309,'Materiales '!$C$2:$F$1302,3,0)</f>
        <v>-</v>
      </c>
      <c r="C8309" s="98" t="str">
        <f>VLOOKUP(A8309,'Materiales '!$C$2:$F$1302,3,0)</f>
        <v>-</v>
      </c>
      <c r="D8309" s="99">
        <f>VLOOKUP(A8309,'Materiales '!$C$2:$F$1302,4,0)</f>
        <v>0</v>
      </c>
      <c r="E8309" s="100"/>
      <c r="F8309" s="538">
        <f t="shared" si="484"/>
        <v>0</v>
      </c>
      <c r="G8309" s="539"/>
      <c r="H8309" s="121"/>
      <c r="I8309">
        <f>E8309*G8292</f>
        <v>0</v>
      </c>
      <c r="J8309" s="68"/>
      <c r="K8309" s="56"/>
      <c r="L8309" s="56"/>
      <c r="M8309" s="56"/>
      <c r="N8309" s="56"/>
      <c r="O8309" s="56"/>
    </row>
    <row r="8310" spans="1:15">
      <c r="A8310" s="536" t="s">
        <v>8</v>
      </c>
      <c r="B8310" s="537" t="str">
        <f>VLOOKUP(A8310,'Materiales '!$C$2:$F$1302,3,0)</f>
        <v>-</v>
      </c>
      <c r="C8310" s="98" t="str">
        <f>VLOOKUP(A8310,'Materiales '!$C$2:$F$1302,3,0)</f>
        <v>-</v>
      </c>
      <c r="D8310" s="99">
        <f>VLOOKUP(A8310,'Materiales '!$C$2:$F$1302,4,0)</f>
        <v>0</v>
      </c>
      <c r="E8310" s="100"/>
      <c r="F8310" s="538">
        <f>E8310*D8310</f>
        <v>0</v>
      </c>
      <c r="G8310" s="539"/>
      <c r="H8310" s="120"/>
      <c r="I8310">
        <f>E8310*G8292</f>
        <v>0</v>
      </c>
      <c r="J8310" s="68"/>
      <c r="K8310" s="56"/>
      <c r="L8310" s="56"/>
      <c r="M8310" s="56"/>
      <c r="N8310" s="56"/>
      <c r="O8310" s="56"/>
    </row>
    <row r="8311" spans="1:15">
      <c r="A8311" s="536" t="s">
        <v>8</v>
      </c>
      <c r="B8311" s="537" t="str">
        <f>VLOOKUP(A8311,'Materiales '!$C$2:$F$1302,3,0)</f>
        <v>-</v>
      </c>
      <c r="C8311" s="98" t="str">
        <f>VLOOKUP(A8311,'Materiales '!$C$2:$F$1302,3,0)</f>
        <v>-</v>
      </c>
      <c r="D8311" s="99">
        <f>VLOOKUP(A8311,'Materiales '!$C$2:$F$1302,4,0)</f>
        <v>0</v>
      </c>
      <c r="E8311" s="100"/>
      <c r="F8311" s="538">
        <f t="shared" ref="F8311:F8314" si="485">E8311*D8311</f>
        <v>0</v>
      </c>
      <c r="G8311" s="539"/>
      <c r="H8311" s="121"/>
      <c r="I8311">
        <f>E8311*G8292</f>
        <v>0</v>
      </c>
      <c r="J8311" s="68"/>
      <c r="K8311" s="56"/>
      <c r="L8311" s="56"/>
      <c r="M8311" s="56"/>
      <c r="N8311" s="56"/>
      <c r="O8311" s="56"/>
    </row>
    <row r="8312" spans="1:15">
      <c r="A8312" s="536" t="s">
        <v>8</v>
      </c>
      <c r="B8312" s="537" t="str">
        <f>VLOOKUP(A8312,'Materiales '!$C$2:$F$1302,3,0)</f>
        <v>-</v>
      </c>
      <c r="C8312" s="98" t="str">
        <f>VLOOKUP(A8312,'Materiales '!$C$2:$F$1302,3,0)</f>
        <v>-</v>
      </c>
      <c r="D8312" s="99">
        <f>VLOOKUP(A8312,'Materiales '!$C$2:$F$1302,4,0)</f>
        <v>0</v>
      </c>
      <c r="E8312" s="100"/>
      <c r="F8312" s="538">
        <f t="shared" si="485"/>
        <v>0</v>
      </c>
      <c r="G8312" s="539"/>
      <c r="H8312" s="121"/>
      <c r="I8312">
        <f>E8312*G8292</f>
        <v>0</v>
      </c>
      <c r="J8312" s="68"/>
      <c r="K8312" s="56"/>
      <c r="L8312" s="56"/>
      <c r="M8312" s="56"/>
      <c r="N8312" s="56"/>
      <c r="O8312" s="56"/>
    </row>
    <row r="8313" spans="1:15">
      <c r="A8313" s="536" t="s">
        <v>8</v>
      </c>
      <c r="B8313" s="537" t="str">
        <f>VLOOKUP(A8313,'Materiales '!$C$2:$F$1302,3,0)</f>
        <v>-</v>
      </c>
      <c r="C8313" s="98" t="str">
        <f>VLOOKUP(A8313,'Materiales '!$C$2:$F$1302,3,0)</f>
        <v>-</v>
      </c>
      <c r="D8313" s="99">
        <f>VLOOKUP(A8313,'Materiales '!$C$2:$F$1302,4,0)</f>
        <v>0</v>
      </c>
      <c r="E8313" s="100"/>
      <c r="F8313" s="538">
        <f t="shared" si="485"/>
        <v>0</v>
      </c>
      <c r="G8313" s="539"/>
      <c r="H8313" s="121"/>
      <c r="I8313">
        <f>E8313*G8292</f>
        <v>0</v>
      </c>
      <c r="J8313" s="68"/>
      <c r="K8313" s="56"/>
      <c r="L8313" s="56"/>
      <c r="M8313" s="56"/>
      <c r="N8313" s="56"/>
      <c r="O8313" s="56"/>
    </row>
    <row r="8314" spans="1:15">
      <c r="A8314" s="536" t="s">
        <v>8</v>
      </c>
      <c r="B8314" s="537" t="str">
        <f>VLOOKUP(A8314,'Materiales '!$C$2:$F$1302,3,0)</f>
        <v>-</v>
      </c>
      <c r="C8314" s="98" t="str">
        <f>VLOOKUP(A8314,'Materiales '!$C$2:$F$1302,3,0)</f>
        <v>-</v>
      </c>
      <c r="D8314" s="99">
        <f>VLOOKUP(A8314,'Materiales '!$C$2:$F$1302,4,0)</f>
        <v>0</v>
      </c>
      <c r="E8314" s="100"/>
      <c r="F8314" s="538">
        <f t="shared" si="485"/>
        <v>0</v>
      </c>
      <c r="G8314" s="539"/>
      <c r="H8314" s="121"/>
      <c r="I8314">
        <f>E8314*G8292</f>
        <v>0</v>
      </c>
      <c r="J8314" s="68"/>
      <c r="K8314" s="56"/>
      <c r="L8314" s="56"/>
      <c r="M8314" s="56"/>
      <c r="N8314" s="56"/>
      <c r="O8314" s="56"/>
    </row>
    <row r="8315" spans="1:15">
      <c r="A8315" s="536" t="s">
        <v>8</v>
      </c>
      <c r="B8315" s="537" t="str">
        <f>VLOOKUP(A8315,'Materiales '!$C$2:$F$1302,3,0)</f>
        <v>-</v>
      </c>
      <c r="C8315" s="98" t="str">
        <f>VLOOKUP(A8315,'Materiales '!$C$2:$F$1302,3,0)</f>
        <v>-</v>
      </c>
      <c r="D8315" s="99">
        <f>VLOOKUP(A8315,'Materiales '!$C$2:$F$1302,4,0)</f>
        <v>0</v>
      </c>
      <c r="E8315" s="100"/>
      <c r="F8315" s="538">
        <f>E8315*D8315</f>
        <v>0</v>
      </c>
      <c r="G8315" s="539"/>
      <c r="H8315" s="120"/>
      <c r="I8315">
        <f>E8315*G8292</f>
        <v>0</v>
      </c>
      <c r="J8315" s="68"/>
      <c r="K8315" s="56"/>
      <c r="L8315" s="56"/>
      <c r="M8315" s="56"/>
      <c r="N8315" s="56"/>
      <c r="O8315" s="56"/>
    </row>
    <row r="8316" spans="1:15" ht="16.5">
      <c r="A8316" s="540" t="s">
        <v>4099</v>
      </c>
      <c r="B8316" s="541"/>
      <c r="C8316" s="541"/>
      <c r="D8316" s="541"/>
      <c r="E8316" s="541"/>
      <c r="F8316" s="541"/>
      <c r="G8316" s="542"/>
      <c r="H8316" s="116">
        <f>SUM(F8302:F8315)</f>
        <v>9906.1192999999985</v>
      </c>
      <c r="J8316" s="68"/>
      <c r="K8316" s="56"/>
      <c r="L8316" s="56"/>
      <c r="M8316" s="56"/>
      <c r="N8316" s="56"/>
      <c r="O8316" s="56"/>
    </row>
    <row r="8317" spans="1:15" ht="16.5">
      <c r="A8317" s="543" t="s">
        <v>4231</v>
      </c>
      <c r="B8317" s="544"/>
      <c r="C8317" s="544"/>
      <c r="D8317" s="544"/>
      <c r="E8317" s="545"/>
      <c r="F8317" s="544"/>
      <c r="G8317" s="544"/>
      <c r="H8317" s="546"/>
      <c r="J8317" s="68"/>
      <c r="K8317" s="56"/>
      <c r="L8317" s="56"/>
      <c r="M8317" s="56"/>
      <c r="N8317" s="56"/>
      <c r="O8317" s="56"/>
    </row>
    <row r="8318" spans="1:15">
      <c r="A8318" s="547" t="s">
        <v>7</v>
      </c>
      <c r="B8318" s="548"/>
      <c r="C8318" s="108" t="s">
        <v>4232</v>
      </c>
      <c r="D8318" s="107" t="s">
        <v>4233</v>
      </c>
      <c r="E8318" s="206" t="s">
        <v>4234</v>
      </c>
      <c r="F8318" s="549" t="s">
        <v>4218</v>
      </c>
      <c r="G8318" s="549"/>
      <c r="H8318" s="119"/>
      <c r="K8318" s="56"/>
      <c r="L8318" s="56"/>
      <c r="M8318" s="56"/>
      <c r="N8318" s="56"/>
      <c r="O8318" s="56"/>
    </row>
    <row r="8319" spans="1:15">
      <c r="A8319" s="550" t="s">
        <v>3928</v>
      </c>
      <c r="B8319" s="551"/>
      <c r="C8319" s="232">
        <v>1</v>
      </c>
      <c r="D8319" s="102">
        <v>5.0000000000000001E-3</v>
      </c>
      <c r="E8319" s="103">
        <f>VLOOKUP(A8319,'Equip, Herr y Transp'!$B$2:$D$218,3,0)</f>
        <v>160000</v>
      </c>
      <c r="F8319" s="552">
        <f>E8319*D8319*C8319</f>
        <v>800</v>
      </c>
      <c r="G8319" s="553"/>
      <c r="H8319" s="117"/>
      <c r="M8319" s="56"/>
    </row>
    <row r="8320" spans="1:15" ht="16.5">
      <c r="A8320" s="554" t="s">
        <v>4216</v>
      </c>
      <c r="B8320" s="555"/>
      <c r="C8320" s="555"/>
      <c r="D8320" s="555"/>
      <c r="E8320" s="555"/>
      <c r="F8320" s="555"/>
      <c r="G8320" s="555"/>
      <c r="H8320" s="105">
        <f>F8319</f>
        <v>800</v>
      </c>
    </row>
    <row r="8321" spans="1:10" ht="16.5">
      <c r="A8321" s="543" t="s">
        <v>4235</v>
      </c>
      <c r="B8321" s="544"/>
      <c r="C8321" s="544"/>
      <c r="D8321" s="544"/>
      <c r="E8321" s="544"/>
      <c r="F8321" s="544"/>
      <c r="G8321" s="544"/>
      <c r="H8321" s="546"/>
    </row>
    <row r="8322" spans="1:10">
      <c r="A8322" s="547" t="s">
        <v>7</v>
      </c>
      <c r="B8322" s="548"/>
      <c r="C8322" s="106" t="s">
        <v>1</v>
      </c>
      <c r="D8322" s="107" t="s">
        <v>4236</v>
      </c>
      <c r="E8322" s="108" t="s">
        <v>4215</v>
      </c>
      <c r="F8322" s="547" t="s">
        <v>5</v>
      </c>
      <c r="G8322" s="556"/>
      <c r="H8322" s="119"/>
    </row>
    <row r="8323" spans="1:10">
      <c r="A8323" s="550" t="s">
        <v>4196</v>
      </c>
      <c r="B8323" s="551"/>
      <c r="C8323" s="101">
        <v>1</v>
      </c>
      <c r="D8323" s="104">
        <f>VLOOKUP(A8323,'Mano Obra'!$B$2:$T$117,19,0)</f>
        <v>166624</v>
      </c>
      <c r="E8323" s="246">
        <f>H8285</f>
        <v>2.0799999999999999E-2</v>
      </c>
      <c r="F8323" s="538">
        <f>E8323*D8323*C8323</f>
        <v>3465.7791999999999</v>
      </c>
      <c r="G8323" s="557"/>
      <c r="H8323" s="121"/>
      <c r="I8323" s="69"/>
      <c r="J8323" s="136">
        <f>((('Mano Obra'!$M$4/30)*F8323)/D8323)*G8292</f>
        <v>0</v>
      </c>
    </row>
    <row r="8324" spans="1:10">
      <c r="A8324" s="558" t="s">
        <v>4197</v>
      </c>
      <c r="B8324" s="559">
        <f>VLOOKUP(A8324,'Mano Obra'!$B$3:$D$290,2,0)</f>
        <v>2090000.0000000002</v>
      </c>
      <c r="C8324" s="101">
        <v>1</v>
      </c>
      <c r="D8324" s="104">
        <f>VLOOKUP(A8324,'Mano Obra'!$B$2:$T$117,19,0)</f>
        <v>120456</v>
      </c>
      <c r="E8324" s="246">
        <f>H8285</f>
        <v>2.0799999999999999E-2</v>
      </c>
      <c r="F8324" s="538">
        <f t="shared" ref="F8324:F8325" si="486">E8324*D8324*C8324</f>
        <v>2505.4847999999997</v>
      </c>
      <c r="G8324" s="557"/>
      <c r="H8324" s="121"/>
      <c r="J8324" s="136">
        <f>((('Mano Obra'!$M$5/30)*F8324)/D8324)*G8292</f>
        <v>0</v>
      </c>
    </row>
    <row r="8325" spans="1:10">
      <c r="A8325" s="558" t="s">
        <v>4186</v>
      </c>
      <c r="B8325" s="559">
        <f>VLOOKUP(A8325,'Mano Obra'!$B$3:$D$290,2,0)</f>
        <v>1100000</v>
      </c>
      <c r="C8325" s="101">
        <v>1</v>
      </c>
      <c r="D8325" s="104">
        <f>VLOOKUP(A8325,'Mano Obra'!$B$2:$T$117,19,0)</f>
        <v>72664</v>
      </c>
      <c r="E8325" s="246">
        <f>H8285</f>
        <v>2.0799999999999999E-2</v>
      </c>
      <c r="F8325" s="538">
        <f t="shared" si="486"/>
        <v>1511.4112</v>
      </c>
      <c r="G8325" s="557"/>
      <c r="H8325" s="120"/>
      <c r="J8325" s="136">
        <f>((('Mano Obra'!$M$6/30)*F8325)/D8325)*G8292</f>
        <v>0</v>
      </c>
    </row>
    <row r="8326" spans="1:10" ht="16.5">
      <c r="A8326" s="560" t="s">
        <v>4101</v>
      </c>
      <c r="B8326" s="560"/>
      <c r="C8326" s="560"/>
      <c r="D8326" s="560"/>
      <c r="E8326" s="560"/>
      <c r="F8326" s="560"/>
      <c r="G8326" s="560"/>
      <c r="H8326" s="105">
        <f>SUM(F8323:F8325)</f>
        <v>7482.6751999999997</v>
      </c>
      <c r="J8326" s="136"/>
    </row>
    <row r="8327" spans="1:10">
      <c r="A8327" s="227" t="s">
        <v>4237</v>
      </c>
      <c r="B8327" s="205"/>
      <c r="C8327" s="205"/>
      <c r="D8327" s="202"/>
      <c r="E8327" s="203"/>
      <c r="F8327" s="204"/>
      <c r="G8327" s="203"/>
      <c r="H8327" s="212"/>
    </row>
    <row r="8328" spans="1:10">
      <c r="A8328" s="561" t="s">
        <v>4224</v>
      </c>
      <c r="B8328" s="562"/>
      <c r="C8328" s="562"/>
      <c r="D8328" s="562"/>
      <c r="E8328" s="200"/>
      <c r="F8328" s="201" t="s">
        <v>4238</v>
      </c>
      <c r="G8328" s="200" t="s">
        <v>4239</v>
      </c>
      <c r="H8328" s="213"/>
    </row>
    <row r="8329" spans="1:10">
      <c r="A8329" s="223" t="s">
        <v>4097</v>
      </c>
      <c r="B8329" s="72"/>
      <c r="C8329" s="72"/>
      <c r="D8329" s="73"/>
      <c r="E8329" s="78"/>
      <c r="F8329" s="79">
        <v>0</v>
      </c>
      <c r="G8329" s="80">
        <f>F8329*H8293</f>
        <v>0</v>
      </c>
      <c r="H8329" s="212"/>
    </row>
    <row r="8330" spans="1:10">
      <c r="A8330" s="224" t="s">
        <v>4240</v>
      </c>
      <c r="B8330" s="81"/>
      <c r="C8330" s="81"/>
      <c r="D8330" s="82"/>
      <c r="E8330" s="78"/>
      <c r="F8330" s="79">
        <v>0</v>
      </c>
      <c r="G8330" s="80">
        <f>F8330*H8293</f>
        <v>0</v>
      </c>
      <c r="H8330" s="212"/>
    </row>
    <row r="8331" spans="1:10">
      <c r="A8331" s="224" t="s">
        <v>4</v>
      </c>
      <c r="B8331" s="81"/>
      <c r="C8331" s="81"/>
      <c r="D8331" s="82"/>
      <c r="E8331" s="78"/>
      <c r="F8331" s="79">
        <v>0</v>
      </c>
      <c r="G8331" s="80">
        <f>F8331*H8293</f>
        <v>0</v>
      </c>
      <c r="H8331" s="212"/>
    </row>
    <row r="8332" spans="1:10">
      <c r="A8332" s="225"/>
      <c r="B8332" s="83"/>
      <c r="C8332" s="75"/>
      <c r="D8332" s="84"/>
      <c r="E8332" s="85"/>
      <c r="F8332" s="86"/>
      <c r="G8332" s="87"/>
      <c r="H8332" s="214"/>
    </row>
    <row r="8333" spans="1:10">
      <c r="A8333" s="226"/>
      <c r="B8333" s="83"/>
      <c r="C8333" s="83"/>
      <c r="D8333" s="84"/>
      <c r="E8333" s="88"/>
      <c r="F8333" s="563" t="s">
        <v>4241</v>
      </c>
      <c r="G8333" s="564"/>
      <c r="H8333" s="233">
        <f>H8293+G8329+G8330+G8331</f>
        <v>19037.486499999999</v>
      </c>
    </row>
    <row r="8334" spans="1:10">
      <c r="A8334" s="83"/>
      <c r="B8334" s="83"/>
      <c r="C8334" s="83"/>
      <c r="D8334" s="84"/>
      <c r="E8334" s="388"/>
      <c r="F8334" s="389"/>
      <c r="G8334" s="389"/>
      <c r="H8334" s="390"/>
    </row>
    <row r="8335" spans="1:10">
      <c r="A8335" s="83"/>
      <c r="B8335" s="83"/>
      <c r="C8335" s="83"/>
      <c r="D8335" s="84"/>
      <c r="E8335" s="388"/>
      <c r="F8335" s="389"/>
      <c r="G8335" s="389"/>
      <c r="H8335" s="390"/>
    </row>
    <row r="8337" spans="1:14" ht="16.5">
      <c r="A8337" s="90"/>
      <c r="B8337" s="90"/>
      <c r="C8337" s="90"/>
      <c r="D8337" s="90"/>
      <c r="E8337" s="90"/>
      <c r="F8337" s="90"/>
      <c r="G8337" s="90"/>
      <c r="H8337" s="381"/>
    </row>
    <row r="8338" spans="1:14">
      <c r="A8338" s="579" t="s">
        <v>4225</v>
      </c>
      <c r="B8338" s="580"/>
      <c r="C8338" s="580"/>
      <c r="D8338" s="580"/>
      <c r="E8338" s="580"/>
      <c r="F8338" s="580"/>
      <c r="G8338" s="580"/>
      <c r="H8338" s="581"/>
    </row>
    <row r="8339" spans="1:14" ht="16.5">
      <c r="A8339" s="91"/>
      <c r="B8339" s="92"/>
      <c r="C8339" s="92"/>
      <c r="D8339" s="92"/>
      <c r="E8339" s="92"/>
      <c r="F8339" s="93"/>
      <c r="G8339" s="94"/>
      <c r="H8339" s="380">
        <f>ROUND((150/60)/8,4)</f>
        <v>0.3125</v>
      </c>
      <c r="I8339" s="115"/>
    </row>
    <row r="8340" spans="1:14">
      <c r="A8340" s="582" t="s">
        <v>4220</v>
      </c>
      <c r="B8340" s="584" t="str">
        <f>COSTOS!$C$14</f>
        <v>MODERNIZACION A TECNOLOGIA LED</v>
      </c>
      <c r="C8340" s="584"/>
      <c r="D8340" s="584"/>
      <c r="E8340" s="584"/>
      <c r="F8340" s="584"/>
      <c r="G8340" s="584"/>
      <c r="H8340" s="585" t="s">
        <v>4221</v>
      </c>
    </row>
    <row r="8341" spans="1:14">
      <c r="A8341" s="583"/>
      <c r="B8341" s="584"/>
      <c r="C8341" s="584"/>
      <c r="D8341" s="584"/>
      <c r="E8341" s="584"/>
      <c r="F8341" s="584"/>
      <c r="G8341" s="584"/>
      <c r="H8341" s="585"/>
    </row>
    <row r="8342" spans="1:14">
      <c r="A8342" s="583"/>
      <c r="B8342" s="584"/>
      <c r="C8342" s="584"/>
      <c r="D8342" s="584"/>
      <c r="E8342" s="584"/>
      <c r="F8342" s="584"/>
      <c r="G8342" s="584"/>
      <c r="H8342" s="585"/>
    </row>
    <row r="8343" spans="1:14" ht="15" customHeight="1">
      <c r="A8343" s="583"/>
      <c r="B8343" s="584"/>
      <c r="C8343" s="584"/>
      <c r="D8343" s="584"/>
      <c r="E8343" s="584"/>
      <c r="F8343" s="584"/>
      <c r="G8343" s="584"/>
      <c r="H8343" s="216">
        <f ca="1">TODAY()</f>
        <v>44889</v>
      </c>
      <c r="K8343" t="s">
        <v>4391</v>
      </c>
      <c r="L8343" t="s">
        <v>4392</v>
      </c>
      <c r="M8343" t="s">
        <v>4393</v>
      </c>
      <c r="N8343" t="s">
        <v>4394</v>
      </c>
    </row>
    <row r="8344" spans="1:14" ht="60.75" customHeight="1">
      <c r="A8344" s="228" t="s">
        <v>4222</v>
      </c>
      <c r="B8344" s="565" t="str">
        <f>COSTOS!$D$16</f>
        <v>Luminarias</v>
      </c>
      <c r="C8344" s="565"/>
      <c r="D8344" s="565"/>
      <c r="E8344" s="565"/>
      <c r="F8344" s="565"/>
      <c r="G8344" s="70" t="s">
        <v>4223</v>
      </c>
      <c r="H8344" s="387">
        <v>4.0999999999999996</v>
      </c>
      <c r="K8344" s="62">
        <f>H8373</f>
        <v>6642933.4299999997</v>
      </c>
      <c r="L8344" s="62">
        <f>H8383</f>
        <v>172770</v>
      </c>
      <c r="M8344" s="62">
        <f>H8353</f>
        <v>604415.625</v>
      </c>
      <c r="N8344" s="62">
        <f>H8377</f>
        <v>16000</v>
      </c>
    </row>
    <row r="8345" spans="1:14" ht="43.15" customHeight="1">
      <c r="A8345" s="229" t="s">
        <v>4224</v>
      </c>
      <c r="B8345" s="566" t="str">
        <f>VLOOKUP(H8344,COSTOS!C:M,2,0)</f>
        <v>Instalacion de CENTRO DE TRANSFORMACION, MONOFASICO, 5KVA, 13200-480/240 a Red de Media tension , TIPO HORIZONTAL, en poste existente</v>
      </c>
      <c r="C8345" s="567"/>
      <c r="D8345" s="567"/>
      <c r="E8345" s="568"/>
      <c r="F8345" s="71" t="s">
        <v>0</v>
      </c>
      <c r="G8345" s="356" t="str">
        <f>VLOOKUP(H8344,COSTOS!C:M,8,0)</f>
        <v>Und</v>
      </c>
      <c r="H8345" s="276"/>
      <c r="I8345" s="306"/>
      <c r="J8345" s="308"/>
      <c r="K8345" s="308"/>
      <c r="L8345" s="308"/>
    </row>
    <row r="8346" spans="1:14">
      <c r="A8346" s="230"/>
      <c r="B8346" s="112"/>
      <c r="C8346" s="112"/>
      <c r="D8346" s="112"/>
      <c r="E8346" s="113"/>
      <c r="F8346" s="114" t="s">
        <v>1</v>
      </c>
      <c r="G8346" s="356">
        <f>VLOOKUP(H8344,COSTOS!C:M,9,0)</f>
        <v>0</v>
      </c>
      <c r="H8346" s="357"/>
      <c r="I8346" s="307"/>
    </row>
    <row r="8347" spans="1:14" ht="16.5">
      <c r="A8347" s="231" t="s">
        <v>4226</v>
      </c>
      <c r="B8347" s="75"/>
      <c r="C8347" s="75"/>
      <c r="D8347" s="76"/>
      <c r="E8347" s="209"/>
      <c r="F8347" s="210"/>
      <c r="G8347" s="211" t="s">
        <v>4227</v>
      </c>
      <c r="H8347" s="217">
        <f>H8353+H8373+H8377+H8383</f>
        <v>7436119.0549999997</v>
      </c>
    </row>
    <row r="8348" spans="1:14" ht="39">
      <c r="A8348" s="569" t="s">
        <v>4224</v>
      </c>
      <c r="B8348" s="569"/>
      <c r="C8348" s="569"/>
      <c r="D8348" s="77" t="s">
        <v>0</v>
      </c>
      <c r="E8348" s="207" t="s">
        <v>4228</v>
      </c>
      <c r="F8348" s="208" t="s">
        <v>4215</v>
      </c>
      <c r="G8348" s="74" t="s">
        <v>2</v>
      </c>
      <c r="H8348" s="218" t="s">
        <v>4229</v>
      </c>
      <c r="K8348" s="309"/>
    </row>
    <row r="8349" spans="1:14">
      <c r="A8349" s="536" t="s">
        <v>3946</v>
      </c>
      <c r="B8349" s="570" t="str">
        <f>VLOOKUP(A8349,'Equip, Herr y Transp'!$B$2:$D$739,2,0)</f>
        <v>EQU</v>
      </c>
      <c r="C8349" s="570"/>
      <c r="D8349" s="95" t="str">
        <f>VLOOKUP(A8349,'Equip, Herr y Transp'!$B$2:$D$218,2,0)</f>
        <v>EQU</v>
      </c>
      <c r="E8349" s="95">
        <f>VLOOKUP(A8349,'Equip, Herr y Transp'!$B$2:$D$218,3,0)</f>
        <v>14130</v>
      </c>
      <c r="F8349" s="96">
        <f>H8339</f>
        <v>0.3125</v>
      </c>
      <c r="G8349" s="122">
        <f>F8349*E8349</f>
        <v>4415.625</v>
      </c>
      <c r="H8349" s="118"/>
    </row>
    <row r="8350" spans="1:14">
      <c r="A8350" s="536" t="s">
        <v>3894</v>
      </c>
      <c r="B8350" s="570" t="str">
        <f>VLOOKUP(A8350,'Equip, Herr y Transp'!$B$2:$D$739,2,0)</f>
        <v>TR</v>
      </c>
      <c r="C8350" s="570"/>
      <c r="D8350" s="95" t="str">
        <f>VLOOKUP(A8350,'Equip, Herr y Transp'!$B$2:$D$218,2,0)</f>
        <v>TR</v>
      </c>
      <c r="E8350" s="95">
        <f>VLOOKUP(A8350,'Equip, Herr y Transp'!$B$2:$D$218,3,0)</f>
        <v>960000</v>
      </c>
      <c r="F8350" s="96">
        <f>H8339</f>
        <v>0.3125</v>
      </c>
      <c r="G8350" s="122">
        <f>F8350*E8350</f>
        <v>300000</v>
      </c>
      <c r="H8350" s="117"/>
    </row>
    <row r="8351" spans="1:14">
      <c r="A8351" s="536" t="s">
        <v>3895</v>
      </c>
      <c r="B8351" s="570" t="str">
        <f>VLOOKUP(A8351,'Equip, Herr y Transp'!$B$2:$D$739,2,0)</f>
        <v>TR</v>
      </c>
      <c r="C8351" s="570"/>
      <c r="D8351" s="95" t="str">
        <f>VLOOKUP(A8351,'Equip, Herr y Transp'!$B$2:$D$218,2,0)</f>
        <v>TR</v>
      </c>
      <c r="E8351" s="95">
        <f>VLOOKUP(A8351,'Equip, Herr y Transp'!$B$2:$D$218,3,0)</f>
        <v>960000</v>
      </c>
      <c r="F8351" s="96">
        <f>H8339</f>
        <v>0.3125</v>
      </c>
      <c r="G8351" s="122">
        <f>F8351*E8351</f>
        <v>300000</v>
      </c>
      <c r="H8351" s="117"/>
    </row>
    <row r="8352" spans="1:14">
      <c r="A8352" s="536" t="s">
        <v>8</v>
      </c>
      <c r="B8352" s="570">
        <f>VLOOKUP(A8352,'Equip, Herr y Transp'!$B$2:$D$739,2,0)</f>
        <v>0</v>
      </c>
      <c r="C8352" s="570"/>
      <c r="D8352" s="95">
        <f>VLOOKUP(A8352,'Equip, Herr y Transp'!$B$2:$D$218,2,0)</f>
        <v>0</v>
      </c>
      <c r="E8352" s="95">
        <f>VLOOKUP(A8352,'Equip, Herr y Transp'!$B$2:$D$218,3,0)</f>
        <v>0</v>
      </c>
      <c r="F8352" s="96">
        <f>H8339</f>
        <v>0.3125</v>
      </c>
      <c r="G8352" s="122">
        <f>F8352*E8352</f>
        <v>0</v>
      </c>
      <c r="H8352" s="117"/>
    </row>
    <row r="8353" spans="1:15" ht="16.5">
      <c r="A8353" s="540" t="s">
        <v>4100</v>
      </c>
      <c r="B8353" s="541"/>
      <c r="C8353" s="541"/>
      <c r="D8353" s="541"/>
      <c r="E8353" s="541"/>
      <c r="F8353" s="541"/>
      <c r="G8353" s="541"/>
      <c r="H8353" s="97">
        <f>SUM(G8349:G8352)</f>
        <v>604415.625</v>
      </c>
    </row>
    <row r="8354" spans="1:15" ht="16.5">
      <c r="A8354" s="571" t="s">
        <v>4230</v>
      </c>
      <c r="B8354" s="572"/>
      <c r="C8354" s="572"/>
      <c r="D8354" s="572"/>
      <c r="E8354" s="572"/>
      <c r="F8354" s="572"/>
      <c r="G8354" s="572"/>
      <c r="H8354" s="573"/>
      <c r="K8354" s="56"/>
      <c r="L8354" s="56"/>
      <c r="M8354" s="56"/>
      <c r="N8354" s="56"/>
      <c r="O8354" s="56"/>
    </row>
    <row r="8355" spans="1:15" ht="30" customHeight="1">
      <c r="A8355" s="574" t="s">
        <v>7</v>
      </c>
      <c r="B8355" s="575"/>
      <c r="C8355" s="109" t="s">
        <v>0</v>
      </c>
      <c r="D8355" s="110" t="s">
        <v>4098</v>
      </c>
      <c r="E8355" s="111" t="s">
        <v>1</v>
      </c>
      <c r="F8355" s="576" t="s">
        <v>4218</v>
      </c>
      <c r="G8355" s="576"/>
      <c r="H8355" s="215"/>
      <c r="K8355" s="56"/>
      <c r="L8355" s="56"/>
      <c r="M8355" s="56"/>
      <c r="N8355" s="56"/>
      <c r="O8355" s="56"/>
    </row>
    <row r="8356" spans="1:15">
      <c r="A8356" s="577" t="s">
        <v>4513</v>
      </c>
      <c r="B8356" s="578"/>
      <c r="C8356" s="98" t="str">
        <f>VLOOKUP(A8356,'Materiales '!$C$2:$F$1302,3,0)</f>
        <v>Und</v>
      </c>
      <c r="D8356" s="99">
        <f>VLOOKUP(A8356,'Materiales '!$C$2:$F$1302,4,0)</f>
        <v>21420</v>
      </c>
      <c r="E8356" s="100">
        <v>2</v>
      </c>
      <c r="F8356" s="538">
        <f>E8356*D8356</f>
        <v>42840</v>
      </c>
      <c r="G8356" s="539"/>
      <c r="H8356" s="121"/>
      <c r="I8356">
        <f>E8356*G8346</f>
        <v>0</v>
      </c>
      <c r="J8356" s="67"/>
      <c r="K8356" s="56"/>
      <c r="L8356" s="56"/>
      <c r="M8356" s="56"/>
      <c r="N8356" s="56"/>
      <c r="O8356" s="56"/>
    </row>
    <row r="8357" spans="1:15">
      <c r="A8357" s="577" t="s">
        <v>4514</v>
      </c>
      <c r="B8357" s="578"/>
      <c r="C8357" s="98" t="str">
        <f>VLOOKUP(A8357,'Materiales '!$C$2:$F$1302,3,0)</f>
        <v>Und</v>
      </c>
      <c r="D8357" s="99">
        <f>VLOOKUP(A8357,'Materiales '!$C$2:$F$1302,4,0)</f>
        <v>18706.8</v>
      </c>
      <c r="E8357" s="100">
        <v>2</v>
      </c>
      <c r="F8357" s="538">
        <f t="shared" ref="F8357:F8363" si="487">E8357*D8357</f>
        <v>37413.599999999999</v>
      </c>
      <c r="G8357" s="539"/>
      <c r="H8357" s="121"/>
      <c r="I8357">
        <f>E8357*G8346</f>
        <v>0</v>
      </c>
      <c r="J8357" s="67"/>
      <c r="K8357" s="56"/>
      <c r="L8357" s="56"/>
      <c r="M8357" s="56"/>
      <c r="N8357" s="56"/>
      <c r="O8357" s="56"/>
    </row>
    <row r="8358" spans="1:15">
      <c r="A8358" s="536" t="s">
        <v>4556</v>
      </c>
      <c r="B8358" s="537" t="str">
        <f>VLOOKUP(A8358,'Materiales '!$C$2:$F$1302,3,0)</f>
        <v>Und</v>
      </c>
      <c r="C8358" s="98" t="str">
        <f>VLOOKUP(A8358,'Materiales '!$C$2:$F$1302,3,0)</f>
        <v>Und</v>
      </c>
      <c r="D8358" s="99">
        <f>VLOOKUP(A8358,'Materiales '!$C$2:$F$1302,4,0)</f>
        <v>7979.6640000000007</v>
      </c>
      <c r="E8358" s="100">
        <v>2</v>
      </c>
      <c r="F8358" s="538">
        <f t="shared" si="487"/>
        <v>15959.328000000001</v>
      </c>
      <c r="G8358" s="539"/>
      <c r="H8358" s="121"/>
      <c r="I8358">
        <f>E8358*G8346</f>
        <v>0</v>
      </c>
      <c r="J8358" s="68"/>
      <c r="K8358" s="56"/>
      <c r="L8358" s="56"/>
      <c r="M8358" s="56"/>
      <c r="N8358" s="56"/>
      <c r="O8358" s="56"/>
    </row>
    <row r="8359" spans="1:15">
      <c r="A8359" s="536" t="s">
        <v>4458</v>
      </c>
      <c r="B8359" s="537" t="str">
        <f>VLOOKUP(A8359,'Materiales '!$C$2:$F$1302,3,0)</f>
        <v>Ml</v>
      </c>
      <c r="C8359" s="98" t="str">
        <f>VLOOKUP(A8359,'Materiales '!$C$2:$F$1302,3,0)</f>
        <v>Ml</v>
      </c>
      <c r="D8359" s="99">
        <f>VLOOKUP(A8359,'Materiales '!$C$2:$F$1302,4,0)</f>
        <v>23386.355999999996</v>
      </c>
      <c r="E8359" s="100">
        <v>20</v>
      </c>
      <c r="F8359" s="538">
        <f t="shared" si="487"/>
        <v>467727.11999999994</v>
      </c>
      <c r="G8359" s="539"/>
      <c r="H8359" s="121"/>
      <c r="I8359">
        <f>E8359*G8346</f>
        <v>0</v>
      </c>
      <c r="J8359" s="68"/>
      <c r="K8359" s="56"/>
      <c r="L8359" s="56"/>
      <c r="M8359" s="56"/>
      <c r="N8359" s="56"/>
      <c r="O8359" s="56"/>
    </row>
    <row r="8360" spans="1:15">
      <c r="A8360" s="536" t="s">
        <v>4445</v>
      </c>
      <c r="B8360" s="537" t="str">
        <f>VLOOKUP(A8360,'Materiales '!$C$2:$F$1302,3,0)</f>
        <v>Ml</v>
      </c>
      <c r="C8360" s="98" t="str">
        <f>VLOOKUP(A8360,'Materiales '!$C$2:$F$1302,3,0)</f>
        <v>Ml</v>
      </c>
      <c r="D8360" s="99">
        <f>VLOOKUP(A8360,'Materiales '!$C$2:$F$1302,4,0)</f>
        <v>4426.8</v>
      </c>
      <c r="E8360" s="100">
        <v>15</v>
      </c>
      <c r="F8360" s="538">
        <f t="shared" si="487"/>
        <v>66402</v>
      </c>
      <c r="G8360" s="539"/>
      <c r="H8360" s="121"/>
      <c r="I8360">
        <f>E8360*G8346</f>
        <v>0</v>
      </c>
      <c r="J8360" s="68"/>
      <c r="K8360" s="56"/>
      <c r="L8360" s="56"/>
      <c r="M8360" s="56"/>
      <c r="N8360" s="56"/>
      <c r="O8360" s="56"/>
    </row>
    <row r="8361" spans="1:15">
      <c r="A8361" s="536" t="s">
        <v>4522</v>
      </c>
      <c r="B8361" s="537" t="str">
        <f>VLOOKUP(A8361,'Materiales '!$C$2:$F$1302,3,0)</f>
        <v>Und</v>
      </c>
      <c r="C8361" s="98" t="str">
        <f>VLOOKUP(A8361,'Materiales '!$C$2:$F$1302,3,0)</f>
        <v>Und</v>
      </c>
      <c r="D8361" s="99">
        <f>VLOOKUP(A8361,'Materiales '!$C$2:$F$1302,4,0)</f>
        <v>428400</v>
      </c>
      <c r="E8361" s="100">
        <v>2</v>
      </c>
      <c r="F8361" s="538">
        <f t="shared" si="487"/>
        <v>856800</v>
      </c>
      <c r="G8361" s="539"/>
      <c r="H8361" s="121"/>
      <c r="I8361">
        <f>E8361*G8346</f>
        <v>0</v>
      </c>
      <c r="J8361" s="68"/>
      <c r="K8361" s="56"/>
      <c r="L8361" s="56"/>
      <c r="M8361" s="56"/>
      <c r="N8361" s="56"/>
      <c r="O8361" s="56"/>
    </row>
    <row r="8362" spans="1:15">
      <c r="A8362" s="536" t="s">
        <v>4532</v>
      </c>
      <c r="B8362" s="537" t="str">
        <f>VLOOKUP(A8362,'Materiales '!$C$2:$F$1302,3,0)</f>
        <v>Und</v>
      </c>
      <c r="C8362" s="98" t="str">
        <f>VLOOKUP(A8362,'Materiales '!$C$2:$F$1302,3,0)</f>
        <v>Und</v>
      </c>
      <c r="D8362" s="99">
        <f>VLOOKUP(A8362,'Materiales '!$C$2:$F$1302,4,0)</f>
        <v>14565.6</v>
      </c>
      <c r="E8362" s="100">
        <v>2</v>
      </c>
      <c r="F8362" s="538">
        <f t="shared" si="487"/>
        <v>29131.200000000001</v>
      </c>
      <c r="G8362" s="539"/>
      <c r="H8362" s="121"/>
      <c r="I8362">
        <f>E8362*G8346</f>
        <v>0</v>
      </c>
      <c r="J8362" s="68"/>
      <c r="K8362" s="56"/>
      <c r="L8362" s="56"/>
      <c r="M8362" s="56"/>
      <c r="N8362" s="56"/>
      <c r="O8362" s="56"/>
    </row>
    <row r="8363" spans="1:15" ht="21.75" customHeight="1">
      <c r="A8363" s="536" t="s">
        <v>4528</v>
      </c>
      <c r="B8363" s="537" t="str">
        <f>VLOOKUP(A8363,'Materiales '!$C$2:$F$1302,3,0)</f>
        <v>Und</v>
      </c>
      <c r="C8363" s="98" t="str">
        <f>VLOOKUP(A8363,'Materiales '!$C$2:$F$1302,3,0)</f>
        <v>Und</v>
      </c>
      <c r="D8363" s="99">
        <f>VLOOKUP(A8363,'Materiales '!$C$2:$F$1302,4,0)</f>
        <v>148155</v>
      </c>
      <c r="E8363" s="100">
        <v>2</v>
      </c>
      <c r="F8363" s="538">
        <f t="shared" si="487"/>
        <v>296310</v>
      </c>
      <c r="G8363" s="539"/>
      <c r="H8363" s="121"/>
      <c r="I8363">
        <f>E8363*G8346</f>
        <v>0</v>
      </c>
      <c r="J8363" s="68"/>
      <c r="K8363" s="56"/>
      <c r="L8363" s="56"/>
      <c r="M8363" s="56"/>
      <c r="N8363" s="56"/>
      <c r="O8363" s="56"/>
    </row>
    <row r="8364" spans="1:15">
      <c r="A8364" s="536" t="s">
        <v>4589</v>
      </c>
      <c r="B8364" s="537" t="str">
        <f>VLOOKUP(A8364,'Materiales '!$C$2:$F$1302,3,0)</f>
        <v>Und</v>
      </c>
      <c r="C8364" s="98" t="str">
        <f>VLOOKUP(A8364,'Materiales '!$C$2:$F$1302,3,0)</f>
        <v>Und</v>
      </c>
      <c r="D8364" s="99">
        <f>VLOOKUP(A8364,'Materiales '!$C$2:$F$1302,4,0)</f>
        <v>3412920</v>
      </c>
      <c r="E8364" s="100">
        <v>1</v>
      </c>
      <c r="F8364" s="538">
        <f>E8364*D8364</f>
        <v>3412920</v>
      </c>
      <c r="G8364" s="539"/>
      <c r="H8364" s="120"/>
      <c r="I8364">
        <f>E8364*G8346</f>
        <v>0</v>
      </c>
      <c r="J8364" s="68"/>
      <c r="K8364" s="56"/>
      <c r="L8364" s="56"/>
      <c r="M8364" s="56"/>
      <c r="N8364" s="56"/>
      <c r="O8364" s="56"/>
    </row>
    <row r="8365" spans="1:15">
      <c r="A8365" s="536" t="s">
        <v>4485</v>
      </c>
      <c r="B8365" s="537" t="str">
        <f>VLOOKUP(A8365,'Materiales '!$C$2:$F$1302,3,0)</f>
        <v>Und</v>
      </c>
      <c r="C8365" s="98" t="str">
        <f>VLOOKUP(A8365,'Materiales '!$C$2:$F$1302,3,0)</f>
        <v>Und</v>
      </c>
      <c r="D8365" s="99">
        <f>VLOOKUP(A8365,'Materiales '!$C$2:$F$1302,4,0)</f>
        <v>33129.599999999999</v>
      </c>
      <c r="E8365" s="100">
        <v>2</v>
      </c>
      <c r="F8365" s="538">
        <f t="shared" ref="F8365:F8370" si="488">E8365*D8365</f>
        <v>66259.199999999997</v>
      </c>
      <c r="G8365" s="539"/>
      <c r="H8365" s="121"/>
      <c r="I8365">
        <f>E8365*G8346</f>
        <v>0</v>
      </c>
      <c r="J8365" s="68"/>
      <c r="K8365" s="56"/>
      <c r="L8365" s="56"/>
      <c r="M8365" s="56"/>
      <c r="N8365" s="56"/>
      <c r="O8365" s="56"/>
    </row>
    <row r="8366" spans="1:15">
      <c r="A8366" s="536" t="s">
        <v>4499</v>
      </c>
      <c r="B8366" s="537" t="str">
        <f>VLOOKUP(A8366,'Materiales '!$C$2:$F$1302,3,0)</f>
        <v>Und</v>
      </c>
      <c r="C8366" s="98" t="str">
        <f>VLOOKUP(A8366,'Materiales '!$C$2:$F$1302,3,0)</f>
        <v>Und</v>
      </c>
      <c r="D8366" s="99">
        <f>VLOOKUP(A8366,'Materiales '!$C$2:$F$1302,4,0)</f>
        <v>198000.05399999997</v>
      </c>
      <c r="E8366" s="100">
        <v>1</v>
      </c>
      <c r="F8366" s="538">
        <f t="shared" si="488"/>
        <v>198000.05399999997</v>
      </c>
      <c r="G8366" s="539"/>
      <c r="H8366" s="121"/>
      <c r="I8366">
        <f>E8366*G8346</f>
        <v>0</v>
      </c>
      <c r="J8366" s="68"/>
      <c r="K8366" s="56"/>
      <c r="L8366" s="56"/>
      <c r="M8366" s="56"/>
      <c r="N8366" s="56"/>
      <c r="O8366" s="56"/>
    </row>
    <row r="8367" spans="1:15">
      <c r="A8367" s="536" t="s">
        <v>4545</v>
      </c>
      <c r="B8367" s="537" t="str">
        <f>VLOOKUP(A8367,'Materiales '!$C$2:$F$1302,3,0)</f>
        <v>Und</v>
      </c>
      <c r="C8367" s="98" t="str">
        <f>VLOOKUP(A8367,'Materiales '!$C$2:$F$1302,3,0)</f>
        <v>Und</v>
      </c>
      <c r="D8367" s="99">
        <f>VLOOKUP(A8367,'Materiales '!$C$2:$F$1302,4,0)</f>
        <v>851179.86800000002</v>
      </c>
      <c r="E8367" s="100">
        <v>1</v>
      </c>
      <c r="F8367" s="538">
        <f t="shared" si="488"/>
        <v>851179.86800000002</v>
      </c>
      <c r="G8367" s="539"/>
      <c r="H8367" s="121"/>
      <c r="I8367">
        <f>E8367*G8346</f>
        <v>0</v>
      </c>
      <c r="J8367" s="68"/>
      <c r="K8367" s="56"/>
      <c r="L8367" s="56"/>
      <c r="M8367" s="56"/>
      <c r="N8367" s="56"/>
      <c r="O8367" s="56"/>
    </row>
    <row r="8368" spans="1:15">
      <c r="A8368" s="536" t="s">
        <v>4585</v>
      </c>
      <c r="B8368" s="537" t="str">
        <f>VLOOKUP(A8368,'Materiales '!$C$2:$F$1302,3,0)</f>
        <v>Und</v>
      </c>
      <c r="C8368" s="98" t="str">
        <f>VLOOKUP(A8368,'Materiales '!$C$2:$F$1302,3,0)</f>
        <v>Und</v>
      </c>
      <c r="D8368" s="99">
        <f>VLOOKUP(A8368,'Materiales '!$C$2:$F$1302,4,0)</f>
        <v>217484.4</v>
      </c>
      <c r="E8368" s="100">
        <v>1</v>
      </c>
      <c r="F8368" s="538">
        <f t="shared" ref="F8368" si="489">E8368*D8368</f>
        <v>217484.4</v>
      </c>
      <c r="G8368" s="539"/>
      <c r="H8368" s="121"/>
      <c r="I8368">
        <f>E8368*G8346</f>
        <v>0</v>
      </c>
      <c r="J8368" s="68"/>
      <c r="K8368" s="56"/>
      <c r="L8368" s="56"/>
      <c r="M8368" s="56"/>
      <c r="N8368" s="56"/>
      <c r="O8368" s="56"/>
    </row>
    <row r="8369" spans="1:15">
      <c r="A8369" s="536" t="s">
        <v>4548</v>
      </c>
      <c r="B8369" s="537" t="str">
        <f>VLOOKUP(A8369,'Materiales '!$C$2:$F$1302,3,0)</f>
        <v>Und</v>
      </c>
      <c r="C8369" s="98" t="str">
        <f>VLOOKUP(A8369,'Materiales '!$C$2:$F$1302,3,0)</f>
        <v>Und</v>
      </c>
      <c r="D8369" s="99">
        <f>VLOOKUP(A8369,'Materiales '!$C$2:$F$1302,4,0)</f>
        <v>28928.9</v>
      </c>
      <c r="E8369" s="100">
        <v>1</v>
      </c>
      <c r="F8369" s="538">
        <f t="shared" si="488"/>
        <v>28928.9</v>
      </c>
      <c r="G8369" s="539"/>
      <c r="H8369" s="121"/>
      <c r="I8369">
        <f>E8369*G8346</f>
        <v>0</v>
      </c>
      <c r="J8369" s="68"/>
      <c r="K8369" s="56"/>
      <c r="L8369" s="56"/>
      <c r="M8369" s="56"/>
      <c r="N8369" s="56"/>
      <c r="O8369" s="56"/>
    </row>
    <row r="8370" spans="1:15">
      <c r="A8370" s="536" t="s">
        <v>4521</v>
      </c>
      <c r="B8370" s="537" t="str">
        <f>VLOOKUP(A8370,'Materiales '!$C$2:$F$1302,3,0)</f>
        <v>Und</v>
      </c>
      <c r="C8370" s="98" t="str">
        <f>VLOOKUP(A8370,'Materiales '!$C$2:$F$1302,3,0)</f>
        <v>Und</v>
      </c>
      <c r="D8370" s="99">
        <f>VLOOKUP(A8370,'Materiales '!$C$2:$F$1302,4,0)</f>
        <v>9282</v>
      </c>
      <c r="E8370" s="100">
        <v>1</v>
      </c>
      <c r="F8370" s="538">
        <f t="shared" si="488"/>
        <v>9282</v>
      </c>
      <c r="G8370" s="539"/>
      <c r="H8370" s="121"/>
      <c r="I8370">
        <f>E8370*G8346</f>
        <v>0</v>
      </c>
      <c r="J8370" s="68"/>
      <c r="K8370" s="56"/>
      <c r="L8370" s="56"/>
      <c r="M8370" s="56"/>
      <c r="N8370" s="56"/>
      <c r="O8370" s="56"/>
    </row>
    <row r="8371" spans="1:15">
      <c r="A8371" s="536" t="s">
        <v>4496</v>
      </c>
      <c r="B8371" s="537" t="str">
        <f>VLOOKUP(A8371,'Materiales '!$C$2:$F$1302,3,0)</f>
        <v>Ml</v>
      </c>
      <c r="C8371" s="98" t="str">
        <f>VLOOKUP(A8371,'Materiales '!$C$2:$F$1302,3,0)</f>
        <v>Ml</v>
      </c>
      <c r="D8371" s="99">
        <f>VLOOKUP(A8371,'Materiales '!$C$2:$F$1302,4,0)</f>
        <v>13566</v>
      </c>
      <c r="E8371" s="100">
        <v>2</v>
      </c>
      <c r="F8371" s="538">
        <f>E8371*D8371</f>
        <v>27132</v>
      </c>
      <c r="G8371" s="539"/>
      <c r="H8371" s="120"/>
      <c r="I8371">
        <f>E8371*G8346</f>
        <v>0</v>
      </c>
      <c r="J8371" s="68"/>
      <c r="K8371" s="56"/>
      <c r="L8371" s="56"/>
      <c r="M8371" s="56"/>
      <c r="N8371" s="56"/>
      <c r="O8371" s="56"/>
    </row>
    <row r="8372" spans="1:15">
      <c r="A8372" s="536" t="s">
        <v>4494</v>
      </c>
      <c r="B8372" s="537" t="str">
        <f>VLOOKUP(A8372,'Materiales '!$C$2:$F$1302,3,0)</f>
        <v>Und</v>
      </c>
      <c r="C8372" s="98" t="str">
        <f>VLOOKUP(A8372,'Materiales '!$C$2:$F$1302,3,0)</f>
        <v>Und</v>
      </c>
      <c r="D8372" s="99">
        <f>VLOOKUP(A8372,'Materiales '!$C$2:$F$1302,4,0)</f>
        <v>9581.8799999999992</v>
      </c>
      <c r="E8372" s="100">
        <v>2</v>
      </c>
      <c r="F8372" s="538">
        <f>E8372*D8372</f>
        <v>19163.759999999998</v>
      </c>
      <c r="G8372" s="539"/>
      <c r="H8372" s="120"/>
      <c r="I8372">
        <f>E8372*G8346</f>
        <v>0</v>
      </c>
      <c r="J8372" s="68"/>
      <c r="K8372" s="56"/>
      <c r="L8372" s="56"/>
      <c r="M8372" s="56"/>
      <c r="N8372" s="56"/>
      <c r="O8372" s="56"/>
    </row>
    <row r="8373" spans="1:15" ht="16.5">
      <c r="A8373" s="540" t="s">
        <v>4099</v>
      </c>
      <c r="B8373" s="541"/>
      <c r="C8373" s="541"/>
      <c r="D8373" s="541"/>
      <c r="E8373" s="541"/>
      <c r="F8373" s="541"/>
      <c r="G8373" s="542"/>
      <c r="H8373" s="116">
        <f>SUM(F8356:F8372)</f>
        <v>6642933.4299999997</v>
      </c>
      <c r="J8373" s="68"/>
      <c r="K8373" s="56"/>
      <c r="L8373" s="56"/>
      <c r="M8373" s="56"/>
      <c r="N8373" s="56"/>
      <c r="O8373" s="56"/>
    </row>
    <row r="8374" spans="1:15" ht="16.5">
      <c r="A8374" s="543" t="s">
        <v>4231</v>
      </c>
      <c r="B8374" s="544"/>
      <c r="C8374" s="544"/>
      <c r="D8374" s="544"/>
      <c r="E8374" s="545"/>
      <c r="F8374" s="544"/>
      <c r="G8374" s="544"/>
      <c r="H8374" s="546"/>
      <c r="J8374" s="68"/>
      <c r="K8374" s="56"/>
      <c r="L8374" s="56"/>
      <c r="M8374" s="56"/>
      <c r="N8374" s="56"/>
      <c r="O8374" s="56"/>
    </row>
    <row r="8375" spans="1:15">
      <c r="A8375" s="547" t="s">
        <v>7</v>
      </c>
      <c r="B8375" s="548"/>
      <c r="C8375" s="108" t="s">
        <v>4232</v>
      </c>
      <c r="D8375" s="107" t="s">
        <v>4233</v>
      </c>
      <c r="E8375" s="206" t="s">
        <v>4234</v>
      </c>
      <c r="F8375" s="549" t="s">
        <v>4218</v>
      </c>
      <c r="G8375" s="549"/>
      <c r="H8375" s="119"/>
      <c r="K8375" s="56"/>
      <c r="L8375" s="56"/>
      <c r="M8375" s="56"/>
      <c r="N8375" s="56"/>
      <c r="O8375" s="56"/>
    </row>
    <row r="8376" spans="1:15">
      <c r="A8376" s="550" t="s">
        <v>3928</v>
      </c>
      <c r="B8376" s="551"/>
      <c r="C8376" s="232">
        <v>1</v>
      </c>
      <c r="D8376" s="102">
        <v>0.1</v>
      </c>
      <c r="E8376" s="103">
        <f>VLOOKUP(A8376,'Equip, Herr y Transp'!$B$2:$D$218,3,0)</f>
        <v>160000</v>
      </c>
      <c r="F8376" s="552">
        <f>E8376*D8376*C8376</f>
        <v>16000</v>
      </c>
      <c r="G8376" s="553"/>
      <c r="H8376" s="117"/>
      <c r="M8376" s="56"/>
    </row>
    <row r="8377" spans="1:15" ht="16.5">
      <c r="A8377" s="554" t="s">
        <v>4216</v>
      </c>
      <c r="B8377" s="555"/>
      <c r="C8377" s="555"/>
      <c r="D8377" s="555"/>
      <c r="E8377" s="555"/>
      <c r="F8377" s="555"/>
      <c r="G8377" s="555"/>
      <c r="H8377" s="105">
        <f>F8376</f>
        <v>16000</v>
      </c>
    </row>
    <row r="8378" spans="1:15" ht="16.5">
      <c r="A8378" s="543" t="s">
        <v>4235</v>
      </c>
      <c r="B8378" s="544"/>
      <c r="C8378" s="544"/>
      <c r="D8378" s="544"/>
      <c r="E8378" s="544"/>
      <c r="F8378" s="544"/>
      <c r="G8378" s="544"/>
      <c r="H8378" s="546"/>
    </row>
    <row r="8379" spans="1:15">
      <c r="A8379" s="547" t="s">
        <v>7</v>
      </c>
      <c r="B8379" s="548"/>
      <c r="C8379" s="106" t="s">
        <v>1</v>
      </c>
      <c r="D8379" s="107" t="s">
        <v>4236</v>
      </c>
      <c r="E8379" s="108" t="s">
        <v>4215</v>
      </c>
      <c r="F8379" s="547" t="s">
        <v>5</v>
      </c>
      <c r="G8379" s="556"/>
      <c r="H8379" s="119"/>
    </row>
    <row r="8380" spans="1:15">
      <c r="A8380" s="550" t="s">
        <v>4196</v>
      </c>
      <c r="B8380" s="551"/>
      <c r="C8380" s="101">
        <v>1</v>
      </c>
      <c r="D8380" s="104">
        <f>VLOOKUP(A8380,'Mano Obra'!$B$2:$T$117,19,0)</f>
        <v>166624</v>
      </c>
      <c r="E8380" s="246">
        <f>H8339</f>
        <v>0.3125</v>
      </c>
      <c r="F8380" s="538">
        <f>E8380*D8380*C8380</f>
        <v>52070</v>
      </c>
      <c r="G8380" s="557"/>
      <c r="H8380" s="121"/>
      <c r="I8380" s="69"/>
      <c r="J8380" s="136">
        <f>((('Mano Obra'!$M$4/30)*F8380)/D8380)*G8346</f>
        <v>0</v>
      </c>
    </row>
    <row r="8381" spans="1:15">
      <c r="A8381" s="558" t="s">
        <v>4197</v>
      </c>
      <c r="B8381" s="559">
        <f>VLOOKUP(A8381,'Mano Obra'!$B$3:$D$290,2,0)</f>
        <v>2090000.0000000002</v>
      </c>
      <c r="C8381" s="101">
        <v>2</v>
      </c>
      <c r="D8381" s="104">
        <f>VLOOKUP(A8381,'Mano Obra'!$B$2:$T$117,19,0)</f>
        <v>120456</v>
      </c>
      <c r="E8381" s="246">
        <f>H8339</f>
        <v>0.3125</v>
      </c>
      <c r="F8381" s="538">
        <f t="shared" ref="F8381:F8382" si="490">E8381*D8381*C8381</f>
        <v>75285</v>
      </c>
      <c r="G8381" s="557"/>
      <c r="H8381" s="121"/>
      <c r="J8381" s="136">
        <f>((('Mano Obra'!$M$5/30)*F8381)/D8381)*G8346</f>
        <v>0</v>
      </c>
    </row>
    <row r="8382" spans="1:15">
      <c r="A8382" s="558" t="s">
        <v>4186</v>
      </c>
      <c r="B8382" s="559">
        <f>VLOOKUP(A8382,'Mano Obra'!$B$3:$D$290,2,0)</f>
        <v>1100000</v>
      </c>
      <c r="C8382" s="101">
        <v>2</v>
      </c>
      <c r="D8382" s="104">
        <f>VLOOKUP(A8382,'Mano Obra'!$B$2:$T$117,19,0)</f>
        <v>72664</v>
      </c>
      <c r="E8382" s="246">
        <f>H8339</f>
        <v>0.3125</v>
      </c>
      <c r="F8382" s="538">
        <f t="shared" si="490"/>
        <v>45415</v>
      </c>
      <c r="G8382" s="557"/>
      <c r="H8382" s="120"/>
      <c r="J8382" s="136">
        <f>((('Mano Obra'!$M$6/30)*F8382)/D8382)*G8346</f>
        <v>0</v>
      </c>
    </row>
    <row r="8383" spans="1:15" ht="16.5">
      <c r="A8383" s="560" t="s">
        <v>4101</v>
      </c>
      <c r="B8383" s="560"/>
      <c r="C8383" s="560"/>
      <c r="D8383" s="560"/>
      <c r="E8383" s="560"/>
      <c r="F8383" s="560"/>
      <c r="G8383" s="560"/>
      <c r="H8383" s="105">
        <f>SUM(F8380:F8382)</f>
        <v>172770</v>
      </c>
      <c r="J8383" s="136"/>
    </row>
    <row r="8384" spans="1:15">
      <c r="A8384" s="227" t="s">
        <v>4237</v>
      </c>
      <c r="B8384" s="205"/>
      <c r="C8384" s="205"/>
      <c r="D8384" s="202"/>
      <c r="E8384" s="203"/>
      <c r="F8384" s="204"/>
      <c r="G8384" s="203"/>
      <c r="H8384" s="212"/>
    </row>
    <row r="8385" spans="1:14">
      <c r="A8385" s="561" t="s">
        <v>4224</v>
      </c>
      <c r="B8385" s="562"/>
      <c r="C8385" s="562"/>
      <c r="D8385" s="562"/>
      <c r="E8385" s="200"/>
      <c r="F8385" s="201" t="s">
        <v>4238</v>
      </c>
      <c r="G8385" s="200" t="s">
        <v>4239</v>
      </c>
      <c r="H8385" s="213"/>
    </row>
    <row r="8386" spans="1:14">
      <c r="A8386" s="223" t="s">
        <v>4097</v>
      </c>
      <c r="B8386" s="72"/>
      <c r="C8386" s="72"/>
      <c r="D8386" s="73"/>
      <c r="E8386" s="78"/>
      <c r="F8386" s="79">
        <v>0</v>
      </c>
      <c r="G8386" s="80">
        <f>F8386*H8347</f>
        <v>0</v>
      </c>
      <c r="H8386" s="212"/>
    </row>
    <row r="8387" spans="1:14">
      <c r="A8387" s="224" t="s">
        <v>4240</v>
      </c>
      <c r="B8387" s="81"/>
      <c r="C8387" s="81"/>
      <c r="D8387" s="82"/>
      <c r="E8387" s="78"/>
      <c r="F8387" s="79">
        <v>0</v>
      </c>
      <c r="G8387" s="80">
        <f>F8387*H8347</f>
        <v>0</v>
      </c>
      <c r="H8387" s="212"/>
    </row>
    <row r="8388" spans="1:14">
      <c r="A8388" s="224" t="s">
        <v>4</v>
      </c>
      <c r="B8388" s="81"/>
      <c r="C8388" s="81"/>
      <c r="D8388" s="82"/>
      <c r="E8388" s="78"/>
      <c r="F8388" s="79">
        <v>0</v>
      </c>
      <c r="G8388" s="80">
        <f>F8388*H8347</f>
        <v>0</v>
      </c>
      <c r="H8388" s="212"/>
    </row>
    <row r="8389" spans="1:14">
      <c r="A8389" s="225"/>
      <c r="B8389" s="83"/>
      <c r="C8389" s="75"/>
      <c r="D8389" s="84"/>
      <c r="E8389" s="85"/>
      <c r="F8389" s="86"/>
      <c r="G8389" s="87"/>
      <c r="H8389" s="214"/>
    </row>
    <row r="8390" spans="1:14">
      <c r="A8390" s="226"/>
      <c r="B8390" s="83"/>
      <c r="C8390" s="83"/>
      <c r="D8390" s="84"/>
      <c r="E8390" s="88"/>
      <c r="F8390" s="563" t="s">
        <v>4241</v>
      </c>
      <c r="G8390" s="564"/>
      <c r="H8390" s="233">
        <f>H8347+G8386+G8387+G8388</f>
        <v>7436119.0549999997</v>
      </c>
    </row>
    <row r="8391" spans="1:14">
      <c r="A8391" s="83"/>
      <c r="B8391" s="83"/>
      <c r="C8391" s="83"/>
      <c r="D8391" s="84"/>
      <c r="E8391" s="388"/>
      <c r="F8391" s="389"/>
      <c r="G8391" s="389"/>
      <c r="H8391" s="390"/>
    </row>
    <row r="8392" spans="1:14" ht="16.5">
      <c r="A8392" s="90"/>
      <c r="B8392" s="90"/>
      <c r="C8392" s="90"/>
      <c r="D8392" s="90"/>
      <c r="E8392" s="90"/>
      <c r="F8392" s="90"/>
      <c r="G8392" s="90"/>
      <c r="H8392" s="381"/>
    </row>
    <row r="8393" spans="1:14">
      <c r="A8393" s="579" t="s">
        <v>4225</v>
      </c>
      <c r="B8393" s="580"/>
      <c r="C8393" s="580"/>
      <c r="D8393" s="580"/>
      <c r="E8393" s="580"/>
      <c r="F8393" s="580"/>
      <c r="G8393" s="580"/>
      <c r="H8393" s="581"/>
    </row>
    <row r="8394" spans="1:14" ht="16.5">
      <c r="A8394" s="91"/>
      <c r="B8394" s="92"/>
      <c r="C8394" s="92"/>
      <c r="D8394" s="92"/>
      <c r="E8394" s="92"/>
      <c r="F8394" s="93"/>
      <c r="G8394" s="94"/>
      <c r="H8394" s="380">
        <f>ROUND((60/60)/8,4)</f>
        <v>0.125</v>
      </c>
      <c r="I8394" s="115"/>
    </row>
    <row r="8395" spans="1:14">
      <c r="A8395" s="582" t="s">
        <v>4220</v>
      </c>
      <c r="B8395" s="584" t="str">
        <f>COSTOS!$C$14</f>
        <v>MODERNIZACION A TECNOLOGIA LED</v>
      </c>
      <c r="C8395" s="584"/>
      <c r="D8395" s="584"/>
      <c r="E8395" s="584"/>
      <c r="F8395" s="584"/>
      <c r="G8395" s="584"/>
      <c r="H8395" s="585" t="s">
        <v>4221</v>
      </c>
    </row>
    <row r="8396" spans="1:14">
      <c r="A8396" s="583"/>
      <c r="B8396" s="584"/>
      <c r="C8396" s="584"/>
      <c r="D8396" s="584"/>
      <c r="E8396" s="584"/>
      <c r="F8396" s="584"/>
      <c r="G8396" s="584"/>
      <c r="H8396" s="585"/>
    </row>
    <row r="8397" spans="1:14">
      <c r="A8397" s="583"/>
      <c r="B8397" s="584"/>
      <c r="C8397" s="584"/>
      <c r="D8397" s="584"/>
      <c r="E8397" s="584"/>
      <c r="F8397" s="584"/>
      <c r="G8397" s="584"/>
      <c r="H8397" s="585"/>
    </row>
    <row r="8398" spans="1:14" ht="15" customHeight="1">
      <c r="A8398" s="583"/>
      <c r="B8398" s="584"/>
      <c r="C8398" s="584"/>
      <c r="D8398" s="584"/>
      <c r="E8398" s="584"/>
      <c r="F8398" s="584"/>
      <c r="G8398" s="584"/>
      <c r="H8398" s="216">
        <f ca="1">TODAY()</f>
        <v>44889</v>
      </c>
      <c r="K8398" t="s">
        <v>4391</v>
      </c>
      <c r="L8398" t="s">
        <v>4392</v>
      </c>
      <c r="M8398" t="s">
        <v>4393</v>
      </c>
      <c r="N8398" t="s">
        <v>4394</v>
      </c>
    </row>
    <row r="8399" spans="1:14" ht="60.75" customHeight="1">
      <c r="A8399" s="228" t="s">
        <v>4222</v>
      </c>
      <c r="B8399" s="565" t="str">
        <f>COSTOS!$D$16</f>
        <v>Luminarias</v>
      </c>
      <c r="C8399" s="565"/>
      <c r="D8399" s="565"/>
      <c r="E8399" s="565"/>
      <c r="F8399" s="565"/>
      <c r="G8399" s="70" t="s">
        <v>4223</v>
      </c>
      <c r="H8399" s="387">
        <v>4.2</v>
      </c>
      <c r="K8399" s="62">
        <f>H8420</f>
        <v>851179.86800000002</v>
      </c>
      <c r="L8399" s="62">
        <f>H8430</f>
        <v>54051</v>
      </c>
      <c r="M8399" s="62">
        <f>H8408</f>
        <v>5725.3125</v>
      </c>
      <c r="N8399" s="62">
        <f>H8424</f>
        <v>16000</v>
      </c>
    </row>
    <row r="8400" spans="1:14" ht="43.15" customHeight="1">
      <c r="A8400" s="229" t="s">
        <v>4224</v>
      </c>
      <c r="B8400" s="566" t="str">
        <f>VLOOKUP(H8399,COSTOS!C:M,2,0)</f>
        <v>Medidor 1f 3h 480/240</v>
      </c>
      <c r="C8400" s="567"/>
      <c r="D8400" s="567"/>
      <c r="E8400" s="568"/>
      <c r="F8400" s="71" t="s">
        <v>0</v>
      </c>
      <c r="G8400" s="356" t="str">
        <f>VLOOKUP(H8399,COSTOS!C:M,8,0)</f>
        <v>Und</v>
      </c>
      <c r="H8400" s="276"/>
      <c r="I8400" s="306"/>
      <c r="J8400" s="308"/>
      <c r="K8400" s="308"/>
      <c r="L8400" s="308"/>
    </row>
    <row r="8401" spans="1:15">
      <c r="A8401" s="230"/>
      <c r="B8401" s="112"/>
      <c r="C8401" s="112"/>
      <c r="D8401" s="112"/>
      <c r="E8401" s="113"/>
      <c r="F8401" s="114" t="s">
        <v>1</v>
      </c>
      <c r="G8401" s="356">
        <f>VLOOKUP(H8399,COSTOS!C:M,9,0)</f>
        <v>1</v>
      </c>
      <c r="H8401" s="357"/>
      <c r="I8401" s="307"/>
    </row>
    <row r="8402" spans="1:15" ht="16.5">
      <c r="A8402" s="231" t="s">
        <v>4226</v>
      </c>
      <c r="B8402" s="75"/>
      <c r="C8402" s="75"/>
      <c r="D8402" s="76"/>
      <c r="E8402" s="209"/>
      <c r="F8402" s="210"/>
      <c r="G8402" s="211" t="s">
        <v>4227</v>
      </c>
      <c r="H8402" s="217">
        <f>H8408+H8420+H8424+H8430</f>
        <v>926956.18050000002</v>
      </c>
    </row>
    <row r="8403" spans="1:15" ht="39">
      <c r="A8403" s="569" t="s">
        <v>4224</v>
      </c>
      <c r="B8403" s="569"/>
      <c r="C8403" s="569"/>
      <c r="D8403" s="77" t="s">
        <v>0</v>
      </c>
      <c r="E8403" s="207" t="s">
        <v>4228</v>
      </c>
      <c r="F8403" s="208" t="s">
        <v>4215</v>
      </c>
      <c r="G8403" s="74" t="s">
        <v>2</v>
      </c>
      <c r="H8403" s="218" t="s">
        <v>4229</v>
      </c>
      <c r="K8403" s="309"/>
    </row>
    <row r="8404" spans="1:15">
      <c r="A8404" s="536" t="s">
        <v>3946</v>
      </c>
      <c r="B8404" s="570" t="str">
        <f>VLOOKUP(A8404,'Equip, Herr y Transp'!$B$2:$D$739,2,0)</f>
        <v>EQU</v>
      </c>
      <c r="C8404" s="570"/>
      <c r="D8404" s="95" t="str">
        <f>VLOOKUP(A8404,'Equip, Herr y Transp'!$B$2:$D$218,2,0)</f>
        <v>EQU</v>
      </c>
      <c r="E8404" s="95">
        <f>VLOOKUP(A8404,'Equip, Herr y Transp'!$B$2:$D$218,3,0)</f>
        <v>14130</v>
      </c>
      <c r="F8404" s="96">
        <f>H8394</f>
        <v>0.125</v>
      </c>
      <c r="G8404" s="122">
        <f>F8404*E8404</f>
        <v>1766.25</v>
      </c>
      <c r="H8404" s="118"/>
    </row>
    <row r="8405" spans="1:15">
      <c r="A8405" s="536" t="s">
        <v>3904</v>
      </c>
      <c r="B8405" s="570" t="str">
        <f>VLOOKUP(A8405,'Equip, Herr y Transp'!$B$2:$D$739,2,0)</f>
        <v>EQU</v>
      </c>
      <c r="C8405" s="570"/>
      <c r="D8405" s="95" t="str">
        <f>VLOOKUP(A8405,'Equip, Herr y Transp'!$B$2:$D$218,2,0)</f>
        <v>EQU</v>
      </c>
      <c r="E8405" s="95">
        <f>VLOOKUP(A8405,'Equip, Herr y Transp'!$B$2:$D$218,3,0)</f>
        <v>26672.5</v>
      </c>
      <c r="F8405" s="96">
        <f>H8394</f>
        <v>0.125</v>
      </c>
      <c r="G8405" s="122">
        <f>F8405*E8405</f>
        <v>3334.0625</v>
      </c>
      <c r="H8405" s="117"/>
    </row>
    <row r="8406" spans="1:15">
      <c r="A8406" s="536" t="s">
        <v>3909</v>
      </c>
      <c r="B8406" s="570" t="str">
        <f>VLOOKUP(A8406,'Equip, Herr y Transp'!$B$2:$D$739,2,0)</f>
        <v>ELEC</v>
      </c>
      <c r="C8406" s="570"/>
      <c r="D8406" s="95" t="str">
        <f>VLOOKUP(A8406,'Equip, Herr y Transp'!$B$2:$D$218,2,0)</f>
        <v>ELEC</v>
      </c>
      <c r="E8406" s="95">
        <f>VLOOKUP(A8406,'Equip, Herr y Transp'!$B$2:$D$218,3,0)</f>
        <v>5000</v>
      </c>
      <c r="F8406" s="96">
        <f>H8394</f>
        <v>0.125</v>
      </c>
      <c r="G8406" s="122">
        <f>F8406*E8406</f>
        <v>625</v>
      </c>
      <c r="H8406" s="117"/>
    </row>
    <row r="8407" spans="1:15">
      <c r="A8407" s="536" t="s">
        <v>8</v>
      </c>
      <c r="B8407" s="570">
        <f>VLOOKUP(A8407,'Equip, Herr y Transp'!$B$2:$D$739,2,0)</f>
        <v>0</v>
      </c>
      <c r="C8407" s="570"/>
      <c r="D8407" s="95">
        <f>VLOOKUP(A8407,'Equip, Herr y Transp'!$B$2:$D$218,2,0)</f>
        <v>0</v>
      </c>
      <c r="E8407" s="95">
        <f>VLOOKUP(A8407,'Equip, Herr y Transp'!$B$2:$D$218,3,0)</f>
        <v>0</v>
      </c>
      <c r="F8407" s="96">
        <f>H8394</f>
        <v>0.125</v>
      </c>
      <c r="G8407" s="122">
        <f>F8407*E8407</f>
        <v>0</v>
      </c>
      <c r="H8407" s="117"/>
    </row>
    <row r="8408" spans="1:15" ht="16.5">
      <c r="A8408" s="540" t="s">
        <v>4100</v>
      </c>
      <c r="B8408" s="541"/>
      <c r="C8408" s="541"/>
      <c r="D8408" s="541"/>
      <c r="E8408" s="541"/>
      <c r="F8408" s="541"/>
      <c r="G8408" s="541"/>
      <c r="H8408" s="97">
        <f>SUM(G8404:G8407)</f>
        <v>5725.3125</v>
      </c>
    </row>
    <row r="8409" spans="1:15" ht="16.5">
      <c r="A8409" s="571" t="s">
        <v>4230</v>
      </c>
      <c r="B8409" s="572"/>
      <c r="C8409" s="572"/>
      <c r="D8409" s="572"/>
      <c r="E8409" s="572"/>
      <c r="F8409" s="572"/>
      <c r="G8409" s="572"/>
      <c r="H8409" s="573"/>
      <c r="K8409" s="56"/>
      <c r="L8409" s="56"/>
      <c r="M8409" s="56"/>
      <c r="N8409" s="56"/>
      <c r="O8409" s="56"/>
    </row>
    <row r="8410" spans="1:15" ht="30" customHeight="1">
      <c r="A8410" s="574" t="s">
        <v>7</v>
      </c>
      <c r="B8410" s="575"/>
      <c r="C8410" s="109" t="s">
        <v>0</v>
      </c>
      <c r="D8410" s="110" t="s">
        <v>4098</v>
      </c>
      <c r="E8410" s="111" t="s">
        <v>1</v>
      </c>
      <c r="F8410" s="576" t="s">
        <v>4218</v>
      </c>
      <c r="G8410" s="576"/>
      <c r="H8410" s="215"/>
      <c r="K8410" s="56"/>
      <c r="L8410" s="56"/>
      <c r="M8410" s="56"/>
      <c r="N8410" s="56"/>
      <c r="O8410" s="56"/>
    </row>
    <row r="8411" spans="1:15">
      <c r="A8411" s="577" t="s">
        <v>4545</v>
      </c>
      <c r="B8411" s="578"/>
      <c r="C8411" s="98" t="str">
        <f>VLOOKUP(A8411,'Materiales '!$C$2:$F$1302,3,0)</f>
        <v>Und</v>
      </c>
      <c r="D8411" s="99">
        <f>VLOOKUP(A8411,'Materiales '!$C$2:$F$1302,4,0)</f>
        <v>851179.86800000002</v>
      </c>
      <c r="E8411" s="100">
        <v>1</v>
      </c>
      <c r="F8411" s="538">
        <f>E8411*D8411</f>
        <v>851179.86800000002</v>
      </c>
      <c r="G8411" s="539"/>
      <c r="H8411" s="121"/>
      <c r="I8411">
        <f>E8411*G8401</f>
        <v>1</v>
      </c>
      <c r="J8411" s="67"/>
      <c r="K8411" s="56"/>
      <c r="L8411" s="56"/>
      <c r="M8411" s="56"/>
      <c r="N8411" s="56"/>
      <c r="O8411" s="56"/>
    </row>
    <row r="8412" spans="1:15">
      <c r="A8412" s="577" t="s">
        <v>8</v>
      </c>
      <c r="B8412" s="578"/>
      <c r="C8412" s="98" t="str">
        <f>VLOOKUP(A8412,'Materiales '!$C$2:$F$1302,3,0)</f>
        <v>-</v>
      </c>
      <c r="D8412" s="99">
        <f>VLOOKUP(A8412,'Materiales '!$C$2:$F$1302,4,0)</f>
        <v>0</v>
      </c>
      <c r="E8412" s="100">
        <v>2</v>
      </c>
      <c r="F8412" s="538">
        <f t="shared" ref="F8412:F8416" si="491">E8412*D8412</f>
        <v>0</v>
      </c>
      <c r="G8412" s="539"/>
      <c r="H8412" s="121"/>
      <c r="I8412">
        <f>E8412*G8401</f>
        <v>2</v>
      </c>
      <c r="J8412" s="67"/>
      <c r="K8412" s="56"/>
      <c r="L8412" s="56"/>
      <c r="M8412" s="56"/>
      <c r="N8412" s="56"/>
      <c r="O8412" s="56"/>
    </row>
    <row r="8413" spans="1:15">
      <c r="A8413" s="536" t="s">
        <v>8</v>
      </c>
      <c r="B8413" s="537" t="str">
        <f>VLOOKUP(A8413,'Materiales '!$C$2:$F$1302,3,0)</f>
        <v>-</v>
      </c>
      <c r="C8413" s="98" t="str">
        <f>VLOOKUP(A8413,'Materiales '!$C$2:$F$1302,3,0)</f>
        <v>-</v>
      </c>
      <c r="D8413" s="99">
        <f>VLOOKUP(A8413,'Materiales '!$C$2:$F$1302,4,0)</f>
        <v>0</v>
      </c>
      <c r="E8413" s="100">
        <v>2</v>
      </c>
      <c r="F8413" s="538">
        <f t="shared" si="491"/>
        <v>0</v>
      </c>
      <c r="G8413" s="539"/>
      <c r="H8413" s="121"/>
      <c r="I8413">
        <f>E8413*G8401</f>
        <v>2</v>
      </c>
      <c r="J8413" s="68"/>
      <c r="K8413" s="56"/>
      <c r="L8413" s="56"/>
      <c r="M8413" s="56"/>
      <c r="N8413" s="56"/>
      <c r="O8413" s="56"/>
    </row>
    <row r="8414" spans="1:15">
      <c r="A8414" s="536" t="s">
        <v>8</v>
      </c>
      <c r="B8414" s="537" t="str">
        <f>VLOOKUP(A8414,'Materiales '!$C$2:$F$1302,3,0)</f>
        <v>-</v>
      </c>
      <c r="C8414" s="98" t="str">
        <f>VLOOKUP(A8414,'Materiales '!$C$2:$F$1302,3,0)</f>
        <v>-</v>
      </c>
      <c r="D8414" s="99">
        <f>VLOOKUP(A8414,'Materiales '!$C$2:$F$1302,4,0)</f>
        <v>0</v>
      </c>
      <c r="E8414" s="100">
        <v>20</v>
      </c>
      <c r="F8414" s="538">
        <f t="shared" si="491"/>
        <v>0</v>
      </c>
      <c r="G8414" s="539"/>
      <c r="H8414" s="121"/>
      <c r="I8414">
        <f>E8414*G8401</f>
        <v>20</v>
      </c>
      <c r="J8414" s="68"/>
      <c r="K8414" s="56"/>
      <c r="L8414" s="56"/>
      <c r="M8414" s="56"/>
      <c r="N8414" s="56"/>
      <c r="O8414" s="56"/>
    </row>
    <row r="8415" spans="1:15">
      <c r="A8415" s="536" t="s">
        <v>8</v>
      </c>
      <c r="B8415" s="537" t="str">
        <f>VLOOKUP(A8415,'Materiales '!$C$2:$F$1302,3,0)</f>
        <v>-</v>
      </c>
      <c r="C8415" s="98" t="str">
        <f>VLOOKUP(A8415,'Materiales '!$C$2:$F$1302,3,0)</f>
        <v>-</v>
      </c>
      <c r="D8415" s="99">
        <f>VLOOKUP(A8415,'Materiales '!$C$2:$F$1302,4,0)</f>
        <v>0</v>
      </c>
      <c r="E8415" s="100">
        <v>15</v>
      </c>
      <c r="F8415" s="538">
        <f t="shared" si="491"/>
        <v>0</v>
      </c>
      <c r="G8415" s="539"/>
      <c r="H8415" s="121"/>
      <c r="I8415">
        <f>E8415*G8401</f>
        <v>15</v>
      </c>
      <c r="J8415" s="68"/>
      <c r="K8415" s="56"/>
      <c r="L8415" s="56"/>
      <c r="M8415" s="56"/>
      <c r="N8415" s="56"/>
      <c r="O8415" s="56"/>
    </row>
    <row r="8416" spans="1:15">
      <c r="A8416" s="536" t="s">
        <v>8</v>
      </c>
      <c r="B8416" s="537" t="str">
        <f>VLOOKUP(A8416,'Materiales '!$C$2:$F$1302,3,0)</f>
        <v>-</v>
      </c>
      <c r="C8416" s="98" t="str">
        <f>VLOOKUP(A8416,'Materiales '!$C$2:$F$1302,3,0)</f>
        <v>-</v>
      </c>
      <c r="D8416" s="99">
        <f>VLOOKUP(A8416,'Materiales '!$C$2:$F$1302,4,0)</f>
        <v>0</v>
      </c>
      <c r="E8416" s="100">
        <v>2</v>
      </c>
      <c r="F8416" s="538">
        <f t="shared" si="491"/>
        <v>0</v>
      </c>
      <c r="G8416" s="539"/>
      <c r="H8416" s="121"/>
      <c r="I8416">
        <f>E8416*G8401</f>
        <v>2</v>
      </c>
      <c r="J8416" s="68"/>
      <c r="K8416" s="56"/>
      <c r="L8416" s="56"/>
      <c r="M8416" s="56"/>
      <c r="N8416" s="56"/>
      <c r="O8416" s="56"/>
    </row>
    <row r="8417" spans="1:15">
      <c r="A8417" s="536" t="s">
        <v>8</v>
      </c>
      <c r="B8417" s="537" t="str">
        <f>VLOOKUP(A8417,'Materiales '!$C$2:$F$1302,3,0)</f>
        <v>-</v>
      </c>
      <c r="C8417" s="98" t="str">
        <f>VLOOKUP(A8417,'Materiales '!$C$2:$F$1302,3,0)</f>
        <v>-</v>
      </c>
      <c r="D8417" s="99">
        <f>VLOOKUP(A8417,'Materiales '!$C$2:$F$1302,4,0)</f>
        <v>0</v>
      </c>
      <c r="E8417" s="100">
        <v>1</v>
      </c>
      <c r="F8417" s="538">
        <f t="shared" ref="F8417:F8418" si="492">E8417*D8417</f>
        <v>0</v>
      </c>
      <c r="G8417" s="539"/>
      <c r="H8417" s="121"/>
      <c r="I8417">
        <f>E8417*G8401</f>
        <v>1</v>
      </c>
      <c r="J8417" s="68"/>
      <c r="K8417" s="56"/>
      <c r="L8417" s="56"/>
      <c r="M8417" s="56"/>
      <c r="N8417" s="56"/>
      <c r="O8417" s="56"/>
    </row>
    <row r="8418" spans="1:15">
      <c r="A8418" s="536" t="s">
        <v>8</v>
      </c>
      <c r="B8418" s="537" t="str">
        <f>VLOOKUP(A8418,'Materiales '!$C$2:$F$1302,3,0)</f>
        <v>-</v>
      </c>
      <c r="C8418" s="98" t="str">
        <f>VLOOKUP(A8418,'Materiales '!$C$2:$F$1302,3,0)</f>
        <v>-</v>
      </c>
      <c r="D8418" s="99">
        <f>VLOOKUP(A8418,'Materiales '!$C$2:$F$1302,4,0)</f>
        <v>0</v>
      </c>
      <c r="E8418" s="100">
        <v>1</v>
      </c>
      <c r="F8418" s="538">
        <f t="shared" si="492"/>
        <v>0</v>
      </c>
      <c r="G8418" s="539"/>
      <c r="H8418" s="121"/>
      <c r="I8418">
        <f>E8418*G8401</f>
        <v>1</v>
      </c>
      <c r="J8418" s="68"/>
      <c r="K8418" s="56"/>
      <c r="L8418" s="56"/>
      <c r="M8418" s="56"/>
      <c r="N8418" s="56"/>
      <c r="O8418" s="56"/>
    </row>
    <row r="8419" spans="1:15">
      <c r="A8419" s="536" t="s">
        <v>8</v>
      </c>
      <c r="B8419" s="537" t="str">
        <f>VLOOKUP(A8419,'Materiales '!$C$2:$F$1302,3,0)</f>
        <v>-</v>
      </c>
      <c r="C8419" s="98" t="str">
        <f>VLOOKUP(A8419,'Materiales '!$C$2:$F$1302,3,0)</f>
        <v>-</v>
      </c>
      <c r="D8419" s="99">
        <f>VLOOKUP(A8419,'Materiales '!$C$2:$F$1302,4,0)</f>
        <v>0</v>
      </c>
      <c r="E8419" s="100">
        <v>2</v>
      </c>
      <c r="F8419" s="538">
        <f>E8419*D8419</f>
        <v>0</v>
      </c>
      <c r="G8419" s="539"/>
      <c r="H8419" s="120"/>
      <c r="I8419">
        <f>E8419*G8401</f>
        <v>2</v>
      </c>
      <c r="J8419" s="68"/>
      <c r="K8419" s="56"/>
      <c r="L8419" s="56"/>
      <c r="M8419" s="56"/>
      <c r="N8419" s="56"/>
      <c r="O8419" s="56"/>
    </row>
    <row r="8420" spans="1:15" ht="16.5">
      <c r="A8420" s="540" t="s">
        <v>4099</v>
      </c>
      <c r="B8420" s="541"/>
      <c r="C8420" s="541"/>
      <c r="D8420" s="541"/>
      <c r="E8420" s="541"/>
      <c r="F8420" s="541"/>
      <c r="G8420" s="542"/>
      <c r="H8420" s="116">
        <f>SUM(F8411:F8419)</f>
        <v>851179.86800000002</v>
      </c>
      <c r="J8420" s="68"/>
      <c r="K8420" s="56"/>
      <c r="L8420" s="56"/>
      <c r="M8420" s="56"/>
      <c r="N8420" s="56"/>
      <c r="O8420" s="56"/>
    </row>
    <row r="8421" spans="1:15" ht="16.5">
      <c r="A8421" s="543" t="s">
        <v>4231</v>
      </c>
      <c r="B8421" s="544"/>
      <c r="C8421" s="544"/>
      <c r="D8421" s="544"/>
      <c r="E8421" s="545"/>
      <c r="F8421" s="544"/>
      <c r="G8421" s="544"/>
      <c r="H8421" s="546"/>
      <c r="J8421" s="68"/>
      <c r="K8421" s="56"/>
      <c r="L8421" s="56"/>
      <c r="M8421" s="56"/>
      <c r="N8421" s="56"/>
      <c r="O8421" s="56"/>
    </row>
    <row r="8422" spans="1:15">
      <c r="A8422" s="547" t="s">
        <v>7</v>
      </c>
      <c r="B8422" s="548"/>
      <c r="C8422" s="108" t="s">
        <v>4232</v>
      </c>
      <c r="D8422" s="107" t="s">
        <v>4233</v>
      </c>
      <c r="E8422" s="206" t="s">
        <v>4234</v>
      </c>
      <c r="F8422" s="549" t="s">
        <v>4218</v>
      </c>
      <c r="G8422" s="549"/>
      <c r="H8422" s="119"/>
      <c r="K8422" s="56"/>
      <c r="L8422" s="56"/>
      <c r="M8422" s="56"/>
      <c r="N8422" s="56"/>
      <c r="O8422" s="56"/>
    </row>
    <row r="8423" spans="1:15">
      <c r="A8423" s="550" t="s">
        <v>3928</v>
      </c>
      <c r="B8423" s="551"/>
      <c r="C8423" s="232">
        <v>1</v>
      </c>
      <c r="D8423" s="102">
        <v>0.1</v>
      </c>
      <c r="E8423" s="103">
        <f>VLOOKUP(A8423,'Equip, Herr y Transp'!$B$2:$D$218,3,0)</f>
        <v>160000</v>
      </c>
      <c r="F8423" s="552">
        <f>E8423*D8423*C8423</f>
        <v>16000</v>
      </c>
      <c r="G8423" s="553"/>
      <c r="H8423" s="117"/>
      <c r="M8423" s="56"/>
    </row>
    <row r="8424" spans="1:15" ht="16.5">
      <c r="A8424" s="554" t="s">
        <v>4216</v>
      </c>
      <c r="B8424" s="555"/>
      <c r="C8424" s="555"/>
      <c r="D8424" s="555"/>
      <c r="E8424" s="555"/>
      <c r="F8424" s="555"/>
      <c r="G8424" s="555"/>
      <c r="H8424" s="105">
        <f>F8423</f>
        <v>16000</v>
      </c>
    </row>
    <row r="8425" spans="1:15" ht="16.5">
      <c r="A8425" s="543" t="s">
        <v>4235</v>
      </c>
      <c r="B8425" s="544"/>
      <c r="C8425" s="544"/>
      <c r="D8425" s="544"/>
      <c r="E8425" s="544"/>
      <c r="F8425" s="544"/>
      <c r="G8425" s="544"/>
      <c r="H8425" s="546"/>
    </row>
    <row r="8426" spans="1:15">
      <c r="A8426" s="547" t="s">
        <v>7</v>
      </c>
      <c r="B8426" s="548"/>
      <c r="C8426" s="106" t="s">
        <v>1</v>
      </c>
      <c r="D8426" s="107" t="s">
        <v>4236</v>
      </c>
      <c r="E8426" s="108" t="s">
        <v>4215</v>
      </c>
      <c r="F8426" s="547" t="s">
        <v>5</v>
      </c>
      <c r="G8426" s="556"/>
      <c r="H8426" s="119"/>
    </row>
    <row r="8427" spans="1:15">
      <c r="A8427" s="550" t="s">
        <v>4196</v>
      </c>
      <c r="B8427" s="551"/>
      <c r="C8427" s="101">
        <v>1</v>
      </c>
      <c r="D8427" s="104">
        <f>VLOOKUP(A8427,'Mano Obra'!$B$2:$T$117,19,0)</f>
        <v>166624</v>
      </c>
      <c r="E8427" s="246">
        <f>H8394</f>
        <v>0.125</v>
      </c>
      <c r="F8427" s="538">
        <f>E8427*D8427*C8427</f>
        <v>20828</v>
      </c>
      <c r="G8427" s="557"/>
      <c r="H8427" s="121"/>
      <c r="I8427" s="69"/>
      <c r="J8427" s="136">
        <f>((('Mano Obra'!$M$4/30)*F8427)/D8427)*G8401</f>
        <v>1352.5994513888888</v>
      </c>
    </row>
    <row r="8428" spans="1:15">
      <c r="A8428" s="558" t="s">
        <v>4197</v>
      </c>
      <c r="B8428" s="559">
        <f>VLOOKUP(A8428,'Mano Obra'!$B$3:$D$290,2,0)</f>
        <v>2090000.0000000002</v>
      </c>
      <c r="C8428" s="101">
        <v>1</v>
      </c>
      <c r="D8428" s="104">
        <f>VLOOKUP(A8428,'Mano Obra'!$B$2:$T$117,19,0)</f>
        <v>120456</v>
      </c>
      <c r="E8428" s="246">
        <f>H8394</f>
        <v>0.125</v>
      </c>
      <c r="F8428" s="538">
        <f t="shared" ref="F8428:F8429" si="493">E8428*D8428*C8428</f>
        <v>15057</v>
      </c>
      <c r="G8428" s="557"/>
      <c r="H8428" s="121"/>
      <c r="J8428" s="136">
        <f>((('Mano Obra'!$M$5/30)*F8428)/D8428)*G8401</f>
        <v>1352.5994513888888</v>
      </c>
    </row>
    <row r="8429" spans="1:15">
      <c r="A8429" s="558" t="s">
        <v>4186</v>
      </c>
      <c r="B8429" s="559">
        <f>VLOOKUP(A8429,'Mano Obra'!$B$3:$D$290,2,0)</f>
        <v>1100000</v>
      </c>
      <c r="C8429" s="101">
        <v>2</v>
      </c>
      <c r="D8429" s="104">
        <f>VLOOKUP(A8429,'Mano Obra'!$B$2:$T$117,19,0)</f>
        <v>72664</v>
      </c>
      <c r="E8429" s="246">
        <f>H8394</f>
        <v>0.125</v>
      </c>
      <c r="F8429" s="538">
        <f t="shared" si="493"/>
        <v>18166</v>
      </c>
      <c r="G8429" s="557"/>
      <c r="H8429" s="120"/>
      <c r="J8429" s="136">
        <f>((('Mano Obra'!$M$6/30)*F8429)/D8429)*G8401</f>
        <v>2705.1989027777777</v>
      </c>
    </row>
    <row r="8430" spans="1:15" ht="16.5">
      <c r="A8430" s="560" t="s">
        <v>4101</v>
      </c>
      <c r="B8430" s="560"/>
      <c r="C8430" s="560"/>
      <c r="D8430" s="560"/>
      <c r="E8430" s="560"/>
      <c r="F8430" s="560"/>
      <c r="G8430" s="560"/>
      <c r="H8430" s="105">
        <f>SUM(F8427:F8429)</f>
        <v>54051</v>
      </c>
      <c r="J8430" s="136"/>
    </row>
    <row r="8431" spans="1:15">
      <c r="A8431" s="227" t="s">
        <v>4237</v>
      </c>
      <c r="B8431" s="205"/>
      <c r="C8431" s="205"/>
      <c r="D8431" s="202"/>
      <c r="E8431" s="203"/>
      <c r="F8431" s="204"/>
      <c r="G8431" s="203"/>
      <c r="H8431" s="212"/>
    </row>
    <row r="8432" spans="1:15">
      <c r="A8432" s="561" t="s">
        <v>4224</v>
      </c>
      <c r="B8432" s="562"/>
      <c r="C8432" s="562"/>
      <c r="D8432" s="562"/>
      <c r="E8432" s="200"/>
      <c r="F8432" s="201" t="s">
        <v>4238</v>
      </c>
      <c r="G8432" s="200" t="s">
        <v>4239</v>
      </c>
      <c r="H8432" s="213"/>
    </row>
    <row r="8433" spans="1:14">
      <c r="A8433" s="223" t="s">
        <v>4097</v>
      </c>
      <c r="B8433" s="72"/>
      <c r="C8433" s="72"/>
      <c r="D8433" s="73"/>
      <c r="E8433" s="78"/>
      <c r="F8433" s="79">
        <v>0</v>
      </c>
      <c r="G8433" s="80">
        <f>F8433*H8402</f>
        <v>0</v>
      </c>
      <c r="H8433" s="212"/>
    </row>
    <row r="8434" spans="1:14">
      <c r="A8434" s="224" t="s">
        <v>4240</v>
      </c>
      <c r="B8434" s="81"/>
      <c r="C8434" s="81"/>
      <c r="D8434" s="82"/>
      <c r="E8434" s="78"/>
      <c r="F8434" s="79">
        <v>0</v>
      </c>
      <c r="G8434" s="80">
        <f>F8434*H8402</f>
        <v>0</v>
      </c>
      <c r="H8434" s="212"/>
    </row>
    <row r="8435" spans="1:14">
      <c r="A8435" s="224" t="s">
        <v>4</v>
      </c>
      <c r="B8435" s="81"/>
      <c r="C8435" s="81"/>
      <c r="D8435" s="82"/>
      <c r="E8435" s="78"/>
      <c r="F8435" s="79">
        <v>0</v>
      </c>
      <c r="G8435" s="80">
        <f>F8435*H8402</f>
        <v>0</v>
      </c>
      <c r="H8435" s="212"/>
    </row>
    <row r="8436" spans="1:14">
      <c r="A8436" s="225"/>
      <c r="B8436" s="83"/>
      <c r="C8436" s="75"/>
      <c r="D8436" s="84"/>
      <c r="E8436" s="85"/>
      <c r="F8436" s="86"/>
      <c r="G8436" s="87"/>
      <c r="H8436" s="214"/>
    </row>
    <row r="8437" spans="1:14">
      <c r="A8437" s="226"/>
      <c r="B8437" s="83"/>
      <c r="C8437" s="83"/>
      <c r="D8437" s="84"/>
      <c r="E8437" s="88"/>
      <c r="F8437" s="563" t="s">
        <v>4241</v>
      </c>
      <c r="G8437" s="564"/>
      <c r="H8437" s="233">
        <f>H8402+G8433+G8434+G8435</f>
        <v>926956.18050000002</v>
      </c>
    </row>
    <row r="8438" spans="1:14">
      <c r="A8438" s="83"/>
      <c r="B8438" s="83"/>
      <c r="C8438" s="83"/>
      <c r="D8438" s="84"/>
      <c r="E8438" s="388"/>
      <c r="F8438" s="389"/>
      <c r="G8438" s="389"/>
      <c r="H8438" s="390"/>
    </row>
    <row r="8439" spans="1:14" ht="16.5">
      <c r="A8439" s="90"/>
      <c r="B8439" s="90"/>
      <c r="C8439" s="90"/>
      <c r="D8439" s="90"/>
      <c r="E8439" s="90"/>
      <c r="F8439" s="90"/>
      <c r="G8439" s="90"/>
      <c r="H8439" s="381"/>
    </row>
    <row r="8440" spans="1:14">
      <c r="A8440" s="579" t="s">
        <v>4225</v>
      </c>
      <c r="B8440" s="580"/>
      <c r="C8440" s="580"/>
      <c r="D8440" s="580"/>
      <c r="E8440" s="580"/>
      <c r="F8440" s="580"/>
      <c r="G8440" s="580"/>
      <c r="H8440" s="581"/>
    </row>
    <row r="8441" spans="1:14" ht="16.5">
      <c r="A8441" s="91"/>
      <c r="B8441" s="92"/>
      <c r="C8441" s="92"/>
      <c r="D8441" s="92"/>
      <c r="E8441" s="92"/>
      <c r="F8441" s="93"/>
      <c r="G8441" s="94"/>
      <c r="H8441" s="380">
        <f>ROUND((60/60)/8,4)</f>
        <v>0.125</v>
      </c>
      <c r="I8441" s="115"/>
    </row>
    <row r="8442" spans="1:14">
      <c r="A8442" s="582" t="s">
        <v>4220</v>
      </c>
      <c r="B8442" s="584" t="str">
        <f>COSTOS!$C$14</f>
        <v>MODERNIZACION A TECNOLOGIA LED</v>
      </c>
      <c r="C8442" s="584"/>
      <c r="D8442" s="584"/>
      <c r="E8442" s="584"/>
      <c r="F8442" s="584"/>
      <c r="G8442" s="584"/>
      <c r="H8442" s="585" t="s">
        <v>4221</v>
      </c>
    </row>
    <row r="8443" spans="1:14">
      <c r="A8443" s="583"/>
      <c r="B8443" s="584"/>
      <c r="C8443" s="584"/>
      <c r="D8443" s="584"/>
      <c r="E8443" s="584"/>
      <c r="F8443" s="584"/>
      <c r="G8443" s="584"/>
      <c r="H8443" s="585"/>
    </row>
    <row r="8444" spans="1:14">
      <c r="A8444" s="583"/>
      <c r="B8444" s="584"/>
      <c r="C8444" s="584"/>
      <c r="D8444" s="584"/>
      <c r="E8444" s="584"/>
      <c r="F8444" s="584"/>
      <c r="G8444" s="584"/>
      <c r="H8444" s="585"/>
    </row>
    <row r="8445" spans="1:14" ht="15" customHeight="1">
      <c r="A8445" s="583"/>
      <c r="B8445" s="584"/>
      <c r="C8445" s="584"/>
      <c r="D8445" s="584"/>
      <c r="E8445" s="584"/>
      <c r="F8445" s="584"/>
      <c r="G8445" s="584"/>
      <c r="H8445" s="216">
        <f ca="1">TODAY()</f>
        <v>44889</v>
      </c>
      <c r="K8445" t="s">
        <v>4391</v>
      </c>
      <c r="L8445" t="s">
        <v>4392</v>
      </c>
      <c r="M8445" t="s">
        <v>4393</v>
      </c>
      <c r="N8445" t="s">
        <v>4394</v>
      </c>
    </row>
    <row r="8446" spans="1:14" ht="60.75" customHeight="1">
      <c r="A8446" s="228" t="s">
        <v>4222</v>
      </c>
      <c r="B8446" s="565" t="str">
        <f>COSTOS!$D$16</f>
        <v>Luminarias</v>
      </c>
      <c r="C8446" s="565"/>
      <c r="D8446" s="565"/>
      <c r="E8446" s="565"/>
      <c r="F8446" s="565"/>
      <c r="G8446" s="70" t="s">
        <v>4223</v>
      </c>
      <c r="H8446" s="387">
        <v>4.3</v>
      </c>
      <c r="K8446" s="62">
        <f>H8467</f>
        <v>1060290</v>
      </c>
      <c r="L8446" s="62">
        <f>H8477</f>
        <v>54051</v>
      </c>
      <c r="M8446" s="62">
        <f>H8455</f>
        <v>5725.3125</v>
      </c>
      <c r="N8446" s="62">
        <f>H8471</f>
        <v>16000</v>
      </c>
    </row>
    <row r="8447" spans="1:14" ht="43.15" customHeight="1">
      <c r="A8447" s="229" t="s">
        <v>4224</v>
      </c>
      <c r="B8447" s="566" t="str">
        <f>VLOOKUP(H8446,COSTOS!C:M,2,0)</f>
        <v>Medidor 2f 3h 480/240</v>
      </c>
      <c r="C8447" s="567"/>
      <c r="D8447" s="567"/>
      <c r="E8447" s="568"/>
      <c r="F8447" s="71" t="s">
        <v>0</v>
      </c>
      <c r="G8447" s="356" t="str">
        <f>VLOOKUP(H8446,COSTOS!C:M,8,0)</f>
        <v>Und</v>
      </c>
      <c r="H8447" s="276"/>
      <c r="I8447" s="306"/>
      <c r="J8447" s="308"/>
      <c r="K8447" s="308"/>
      <c r="L8447" s="308"/>
    </row>
    <row r="8448" spans="1:14">
      <c r="A8448" s="230"/>
      <c r="B8448" s="112"/>
      <c r="C8448" s="112"/>
      <c r="D8448" s="112"/>
      <c r="E8448" s="113"/>
      <c r="F8448" s="114" t="s">
        <v>1</v>
      </c>
      <c r="G8448" s="356">
        <f>VLOOKUP(H8446,COSTOS!C:M,9,0)</f>
        <v>0</v>
      </c>
      <c r="H8448" s="357"/>
      <c r="I8448" s="307"/>
    </row>
    <row r="8449" spans="1:15" ht="16.5">
      <c r="A8449" s="231" t="s">
        <v>4226</v>
      </c>
      <c r="B8449" s="75"/>
      <c r="C8449" s="75"/>
      <c r="D8449" s="76"/>
      <c r="E8449" s="209"/>
      <c r="F8449" s="210"/>
      <c r="G8449" s="211" t="s">
        <v>4227</v>
      </c>
      <c r="H8449" s="217">
        <f>H8455+H8467+H8471+H8477</f>
        <v>1136066.3125</v>
      </c>
    </row>
    <row r="8450" spans="1:15" ht="39">
      <c r="A8450" s="569" t="s">
        <v>4224</v>
      </c>
      <c r="B8450" s="569"/>
      <c r="C8450" s="569"/>
      <c r="D8450" s="77" t="s">
        <v>0</v>
      </c>
      <c r="E8450" s="207" t="s">
        <v>4228</v>
      </c>
      <c r="F8450" s="208" t="s">
        <v>4215</v>
      </c>
      <c r="G8450" s="74" t="s">
        <v>2</v>
      </c>
      <c r="H8450" s="218" t="s">
        <v>4229</v>
      </c>
      <c r="K8450" s="309"/>
    </row>
    <row r="8451" spans="1:15">
      <c r="A8451" s="536" t="s">
        <v>3946</v>
      </c>
      <c r="B8451" s="570" t="str">
        <f>VLOOKUP(A8451,'Equip, Herr y Transp'!$B$2:$D$739,2,0)</f>
        <v>EQU</v>
      </c>
      <c r="C8451" s="570"/>
      <c r="D8451" s="95" t="str">
        <f>VLOOKUP(A8451,'Equip, Herr y Transp'!$B$2:$D$218,2,0)</f>
        <v>EQU</v>
      </c>
      <c r="E8451" s="95">
        <f>VLOOKUP(A8451,'Equip, Herr y Transp'!$B$2:$D$218,3,0)</f>
        <v>14130</v>
      </c>
      <c r="F8451" s="96">
        <f>H8441</f>
        <v>0.125</v>
      </c>
      <c r="G8451" s="122">
        <f>F8451*E8451</f>
        <v>1766.25</v>
      </c>
      <c r="H8451" s="118"/>
    </row>
    <row r="8452" spans="1:15">
      <c r="A8452" s="536" t="s">
        <v>3904</v>
      </c>
      <c r="B8452" s="570" t="str">
        <f>VLOOKUP(A8452,'Equip, Herr y Transp'!$B$2:$D$739,2,0)</f>
        <v>EQU</v>
      </c>
      <c r="C8452" s="570"/>
      <c r="D8452" s="95" t="str">
        <f>VLOOKUP(A8452,'Equip, Herr y Transp'!$B$2:$D$218,2,0)</f>
        <v>EQU</v>
      </c>
      <c r="E8452" s="95">
        <f>VLOOKUP(A8452,'Equip, Herr y Transp'!$B$2:$D$218,3,0)</f>
        <v>26672.5</v>
      </c>
      <c r="F8452" s="96">
        <f>H8441</f>
        <v>0.125</v>
      </c>
      <c r="G8452" s="122">
        <f>F8452*E8452</f>
        <v>3334.0625</v>
      </c>
      <c r="H8452" s="117"/>
    </row>
    <row r="8453" spans="1:15">
      <c r="A8453" s="536" t="s">
        <v>3909</v>
      </c>
      <c r="B8453" s="570" t="str">
        <f>VLOOKUP(A8453,'Equip, Herr y Transp'!$B$2:$D$739,2,0)</f>
        <v>ELEC</v>
      </c>
      <c r="C8453" s="570"/>
      <c r="D8453" s="95" t="str">
        <f>VLOOKUP(A8453,'Equip, Herr y Transp'!$B$2:$D$218,2,0)</f>
        <v>ELEC</v>
      </c>
      <c r="E8453" s="95">
        <f>VLOOKUP(A8453,'Equip, Herr y Transp'!$B$2:$D$218,3,0)</f>
        <v>5000</v>
      </c>
      <c r="F8453" s="96">
        <f>H8441</f>
        <v>0.125</v>
      </c>
      <c r="G8453" s="122">
        <f>F8453*E8453</f>
        <v>625</v>
      </c>
      <c r="H8453" s="117"/>
    </row>
    <row r="8454" spans="1:15">
      <c r="A8454" s="536" t="s">
        <v>8</v>
      </c>
      <c r="B8454" s="570">
        <f>VLOOKUP(A8454,'Equip, Herr y Transp'!$B$2:$D$739,2,0)</f>
        <v>0</v>
      </c>
      <c r="C8454" s="570"/>
      <c r="D8454" s="95">
        <f>VLOOKUP(A8454,'Equip, Herr y Transp'!$B$2:$D$218,2,0)</f>
        <v>0</v>
      </c>
      <c r="E8454" s="95">
        <f>VLOOKUP(A8454,'Equip, Herr y Transp'!$B$2:$D$218,3,0)</f>
        <v>0</v>
      </c>
      <c r="F8454" s="96">
        <f>H8441</f>
        <v>0.125</v>
      </c>
      <c r="G8454" s="122">
        <f>F8454*E8454</f>
        <v>0</v>
      </c>
      <c r="H8454" s="117"/>
    </row>
    <row r="8455" spans="1:15" ht="16.5">
      <c r="A8455" s="540" t="s">
        <v>4100</v>
      </c>
      <c r="B8455" s="541"/>
      <c r="C8455" s="541"/>
      <c r="D8455" s="541"/>
      <c r="E8455" s="541"/>
      <c r="F8455" s="541"/>
      <c r="G8455" s="541"/>
      <c r="H8455" s="97">
        <f>SUM(G8451:G8454)</f>
        <v>5725.3125</v>
      </c>
    </row>
    <row r="8456" spans="1:15" ht="16.5">
      <c r="A8456" s="571" t="s">
        <v>4230</v>
      </c>
      <c r="B8456" s="572"/>
      <c r="C8456" s="572"/>
      <c r="D8456" s="572"/>
      <c r="E8456" s="572"/>
      <c r="F8456" s="572"/>
      <c r="G8456" s="572"/>
      <c r="H8456" s="573"/>
      <c r="K8456" s="56"/>
      <c r="L8456" s="56"/>
      <c r="M8456" s="56"/>
      <c r="N8456" s="56"/>
      <c r="O8456" s="56"/>
    </row>
    <row r="8457" spans="1:15" ht="30" customHeight="1">
      <c r="A8457" s="574" t="s">
        <v>7</v>
      </c>
      <c r="B8457" s="575"/>
      <c r="C8457" s="109" t="s">
        <v>0</v>
      </c>
      <c r="D8457" s="110" t="s">
        <v>4098</v>
      </c>
      <c r="E8457" s="111" t="s">
        <v>1</v>
      </c>
      <c r="F8457" s="576" t="s">
        <v>4218</v>
      </c>
      <c r="G8457" s="576"/>
      <c r="H8457" s="215"/>
      <c r="K8457" s="56"/>
      <c r="L8457" s="56"/>
      <c r="M8457" s="56"/>
      <c r="N8457" s="56"/>
      <c r="O8457" s="56"/>
    </row>
    <row r="8458" spans="1:15">
      <c r="A8458" s="577" t="s">
        <v>4546</v>
      </c>
      <c r="B8458" s="578"/>
      <c r="C8458" s="98" t="str">
        <f>VLOOKUP(A8458,'Materiales '!$C$2:$F$1302,3,0)</f>
        <v>Und</v>
      </c>
      <c r="D8458" s="99">
        <f>VLOOKUP(A8458,'Materiales '!$C$2:$F$1302,4,0)</f>
        <v>1060290</v>
      </c>
      <c r="E8458" s="100">
        <v>1</v>
      </c>
      <c r="F8458" s="538">
        <f>E8458*D8458</f>
        <v>1060290</v>
      </c>
      <c r="G8458" s="539"/>
      <c r="H8458" s="121"/>
      <c r="I8458">
        <f>E8458*G8448</f>
        <v>0</v>
      </c>
      <c r="J8458" s="67"/>
      <c r="K8458" s="56"/>
      <c r="L8458" s="56"/>
      <c r="M8458" s="56"/>
      <c r="N8458" s="56"/>
      <c r="O8458" s="56"/>
    </row>
    <row r="8459" spans="1:15">
      <c r="A8459" s="577" t="s">
        <v>8</v>
      </c>
      <c r="B8459" s="578"/>
      <c r="C8459" s="98" t="str">
        <f>VLOOKUP(A8459,'Materiales '!$C$2:$F$1302,3,0)</f>
        <v>-</v>
      </c>
      <c r="D8459" s="99">
        <f>VLOOKUP(A8459,'Materiales '!$C$2:$F$1302,4,0)</f>
        <v>0</v>
      </c>
      <c r="E8459" s="100">
        <v>2</v>
      </c>
      <c r="F8459" s="538">
        <f t="shared" ref="F8459:F8465" si="494">E8459*D8459</f>
        <v>0</v>
      </c>
      <c r="G8459" s="539"/>
      <c r="H8459" s="121"/>
      <c r="I8459">
        <f>E8459*G8448</f>
        <v>0</v>
      </c>
      <c r="J8459" s="67"/>
      <c r="K8459" s="56"/>
      <c r="L8459" s="56"/>
      <c r="M8459" s="56"/>
      <c r="N8459" s="56"/>
      <c r="O8459" s="56"/>
    </row>
    <row r="8460" spans="1:15">
      <c r="A8460" s="536" t="s">
        <v>8</v>
      </c>
      <c r="B8460" s="537" t="str">
        <f>VLOOKUP(A8460,'Materiales '!$C$2:$F$1302,3,0)</f>
        <v>-</v>
      </c>
      <c r="C8460" s="98" t="str">
        <f>VLOOKUP(A8460,'Materiales '!$C$2:$F$1302,3,0)</f>
        <v>-</v>
      </c>
      <c r="D8460" s="99">
        <f>VLOOKUP(A8460,'Materiales '!$C$2:$F$1302,4,0)</f>
        <v>0</v>
      </c>
      <c r="E8460" s="100">
        <v>2</v>
      </c>
      <c r="F8460" s="538">
        <f t="shared" si="494"/>
        <v>0</v>
      </c>
      <c r="G8460" s="539"/>
      <c r="H8460" s="121"/>
      <c r="I8460">
        <f>E8460*G8448</f>
        <v>0</v>
      </c>
      <c r="J8460" s="68"/>
      <c r="K8460" s="56"/>
      <c r="L8460" s="56"/>
      <c r="M8460" s="56"/>
      <c r="N8460" s="56"/>
      <c r="O8460" s="56"/>
    </row>
    <row r="8461" spans="1:15">
      <c r="A8461" s="536" t="s">
        <v>8</v>
      </c>
      <c r="B8461" s="537" t="str">
        <f>VLOOKUP(A8461,'Materiales '!$C$2:$F$1302,3,0)</f>
        <v>-</v>
      </c>
      <c r="C8461" s="98" t="str">
        <f>VLOOKUP(A8461,'Materiales '!$C$2:$F$1302,3,0)</f>
        <v>-</v>
      </c>
      <c r="D8461" s="99">
        <f>VLOOKUP(A8461,'Materiales '!$C$2:$F$1302,4,0)</f>
        <v>0</v>
      </c>
      <c r="E8461" s="100">
        <v>20</v>
      </c>
      <c r="F8461" s="538">
        <f t="shared" si="494"/>
        <v>0</v>
      </c>
      <c r="G8461" s="539"/>
      <c r="H8461" s="121"/>
      <c r="I8461">
        <f>E8461*G8448</f>
        <v>0</v>
      </c>
      <c r="J8461" s="68"/>
      <c r="K8461" s="56"/>
      <c r="L8461" s="56"/>
      <c r="M8461" s="56"/>
      <c r="N8461" s="56"/>
      <c r="O8461" s="56"/>
    </row>
    <row r="8462" spans="1:15">
      <c r="A8462" s="536" t="s">
        <v>8</v>
      </c>
      <c r="B8462" s="537" t="str">
        <f>VLOOKUP(A8462,'Materiales '!$C$2:$F$1302,3,0)</f>
        <v>-</v>
      </c>
      <c r="C8462" s="98" t="str">
        <f>VLOOKUP(A8462,'Materiales '!$C$2:$F$1302,3,0)</f>
        <v>-</v>
      </c>
      <c r="D8462" s="99">
        <f>VLOOKUP(A8462,'Materiales '!$C$2:$F$1302,4,0)</f>
        <v>0</v>
      </c>
      <c r="E8462" s="100">
        <v>15</v>
      </c>
      <c r="F8462" s="538">
        <f t="shared" si="494"/>
        <v>0</v>
      </c>
      <c r="G8462" s="539"/>
      <c r="H8462" s="121"/>
      <c r="I8462">
        <f>E8462*G8448</f>
        <v>0</v>
      </c>
      <c r="J8462" s="68"/>
      <c r="K8462" s="56"/>
      <c r="L8462" s="56"/>
      <c r="M8462" s="56"/>
      <c r="N8462" s="56"/>
      <c r="O8462" s="56"/>
    </row>
    <row r="8463" spans="1:15">
      <c r="A8463" s="536" t="s">
        <v>8</v>
      </c>
      <c r="B8463" s="537" t="str">
        <f>VLOOKUP(A8463,'Materiales '!$C$2:$F$1302,3,0)</f>
        <v>-</v>
      </c>
      <c r="C8463" s="98" t="str">
        <f>VLOOKUP(A8463,'Materiales '!$C$2:$F$1302,3,0)</f>
        <v>-</v>
      </c>
      <c r="D8463" s="99">
        <f>VLOOKUP(A8463,'Materiales '!$C$2:$F$1302,4,0)</f>
        <v>0</v>
      </c>
      <c r="E8463" s="100">
        <v>2</v>
      </c>
      <c r="F8463" s="538">
        <f t="shared" si="494"/>
        <v>0</v>
      </c>
      <c r="G8463" s="539"/>
      <c r="H8463" s="121"/>
      <c r="I8463">
        <f>E8463*G8448</f>
        <v>0</v>
      </c>
      <c r="J8463" s="68"/>
      <c r="K8463" s="56"/>
      <c r="L8463" s="56"/>
      <c r="M8463" s="56"/>
      <c r="N8463" s="56"/>
      <c r="O8463" s="56"/>
    </row>
    <row r="8464" spans="1:15">
      <c r="A8464" s="536" t="s">
        <v>8</v>
      </c>
      <c r="B8464" s="537" t="str">
        <f>VLOOKUP(A8464,'Materiales '!$C$2:$F$1302,3,0)</f>
        <v>-</v>
      </c>
      <c r="C8464" s="98" t="str">
        <f>VLOOKUP(A8464,'Materiales '!$C$2:$F$1302,3,0)</f>
        <v>-</v>
      </c>
      <c r="D8464" s="99">
        <f>VLOOKUP(A8464,'Materiales '!$C$2:$F$1302,4,0)</f>
        <v>0</v>
      </c>
      <c r="E8464" s="100">
        <v>1</v>
      </c>
      <c r="F8464" s="538">
        <f t="shared" si="494"/>
        <v>0</v>
      </c>
      <c r="G8464" s="539"/>
      <c r="H8464" s="121"/>
      <c r="I8464">
        <f>E8464*G8448</f>
        <v>0</v>
      </c>
      <c r="J8464" s="68"/>
      <c r="K8464" s="56"/>
      <c r="L8464" s="56"/>
      <c r="M8464" s="56"/>
      <c r="N8464" s="56"/>
      <c r="O8464" s="56"/>
    </row>
    <row r="8465" spans="1:15">
      <c r="A8465" s="536" t="s">
        <v>8</v>
      </c>
      <c r="B8465" s="537" t="str">
        <f>VLOOKUP(A8465,'Materiales '!$C$2:$F$1302,3,0)</f>
        <v>-</v>
      </c>
      <c r="C8465" s="98" t="str">
        <f>VLOOKUP(A8465,'Materiales '!$C$2:$F$1302,3,0)</f>
        <v>-</v>
      </c>
      <c r="D8465" s="99">
        <f>VLOOKUP(A8465,'Materiales '!$C$2:$F$1302,4,0)</f>
        <v>0</v>
      </c>
      <c r="E8465" s="100">
        <v>1</v>
      </c>
      <c r="F8465" s="538">
        <f t="shared" si="494"/>
        <v>0</v>
      </c>
      <c r="G8465" s="539"/>
      <c r="H8465" s="121"/>
      <c r="I8465">
        <f>E8465*G8448</f>
        <v>0</v>
      </c>
      <c r="J8465" s="68"/>
      <c r="K8465" s="56"/>
      <c r="L8465" s="56"/>
      <c r="M8465" s="56"/>
      <c r="N8465" s="56"/>
      <c r="O8465" s="56"/>
    </row>
    <row r="8466" spans="1:15">
      <c r="A8466" s="536" t="s">
        <v>8</v>
      </c>
      <c r="B8466" s="537" t="str">
        <f>VLOOKUP(A8466,'Materiales '!$C$2:$F$1302,3,0)</f>
        <v>-</v>
      </c>
      <c r="C8466" s="98" t="str">
        <f>VLOOKUP(A8466,'Materiales '!$C$2:$F$1302,3,0)</f>
        <v>-</v>
      </c>
      <c r="D8466" s="99">
        <f>VLOOKUP(A8466,'Materiales '!$C$2:$F$1302,4,0)</f>
        <v>0</v>
      </c>
      <c r="E8466" s="100">
        <v>2</v>
      </c>
      <c r="F8466" s="538">
        <f>E8466*D8466</f>
        <v>0</v>
      </c>
      <c r="G8466" s="539"/>
      <c r="H8466" s="120"/>
      <c r="I8466">
        <f>E8466*G8448</f>
        <v>0</v>
      </c>
      <c r="J8466" s="68"/>
      <c r="K8466" s="56"/>
      <c r="L8466" s="56"/>
      <c r="M8466" s="56"/>
      <c r="N8466" s="56"/>
      <c r="O8466" s="56"/>
    </row>
    <row r="8467" spans="1:15" ht="16.5">
      <c r="A8467" s="540" t="s">
        <v>4099</v>
      </c>
      <c r="B8467" s="541"/>
      <c r="C8467" s="541"/>
      <c r="D8467" s="541"/>
      <c r="E8467" s="541"/>
      <c r="F8467" s="541"/>
      <c r="G8467" s="542"/>
      <c r="H8467" s="116">
        <f>SUM(F8458:F8466)</f>
        <v>1060290</v>
      </c>
      <c r="J8467" s="68"/>
      <c r="K8467" s="56"/>
      <c r="L8467" s="56"/>
      <c r="M8467" s="56"/>
      <c r="N8467" s="56"/>
      <c r="O8467" s="56"/>
    </row>
    <row r="8468" spans="1:15" ht="16.5">
      <c r="A8468" s="543" t="s">
        <v>4231</v>
      </c>
      <c r="B8468" s="544"/>
      <c r="C8468" s="544"/>
      <c r="D8468" s="544"/>
      <c r="E8468" s="545"/>
      <c r="F8468" s="544"/>
      <c r="G8468" s="544"/>
      <c r="H8468" s="546"/>
      <c r="J8468" s="68"/>
      <c r="K8468" s="56"/>
      <c r="L8468" s="56"/>
      <c r="M8468" s="56"/>
      <c r="N8468" s="56"/>
      <c r="O8468" s="56"/>
    </row>
    <row r="8469" spans="1:15">
      <c r="A8469" s="547" t="s">
        <v>7</v>
      </c>
      <c r="B8469" s="548"/>
      <c r="C8469" s="108" t="s">
        <v>4232</v>
      </c>
      <c r="D8469" s="107" t="s">
        <v>4233</v>
      </c>
      <c r="E8469" s="206" t="s">
        <v>4234</v>
      </c>
      <c r="F8469" s="549" t="s">
        <v>4218</v>
      </c>
      <c r="G8469" s="549"/>
      <c r="H8469" s="119"/>
      <c r="K8469" s="56"/>
      <c r="L8469" s="56"/>
      <c r="M8469" s="56"/>
      <c r="N8469" s="56"/>
      <c r="O8469" s="56"/>
    </row>
    <row r="8470" spans="1:15">
      <c r="A8470" s="550" t="s">
        <v>3928</v>
      </c>
      <c r="B8470" s="551"/>
      <c r="C8470" s="232">
        <v>1</v>
      </c>
      <c r="D8470" s="102">
        <v>0.1</v>
      </c>
      <c r="E8470" s="103">
        <f>VLOOKUP(A8470,'Equip, Herr y Transp'!$B$2:$D$218,3,0)</f>
        <v>160000</v>
      </c>
      <c r="F8470" s="552">
        <f>E8470*D8470*C8470</f>
        <v>16000</v>
      </c>
      <c r="G8470" s="553"/>
      <c r="H8470" s="117"/>
      <c r="M8470" s="56"/>
    </row>
    <row r="8471" spans="1:15" ht="16.5">
      <c r="A8471" s="554" t="s">
        <v>4216</v>
      </c>
      <c r="B8471" s="555"/>
      <c r="C8471" s="555"/>
      <c r="D8471" s="555"/>
      <c r="E8471" s="555"/>
      <c r="F8471" s="555"/>
      <c r="G8471" s="555"/>
      <c r="H8471" s="105">
        <f>F8470</f>
        <v>16000</v>
      </c>
    </row>
    <row r="8472" spans="1:15" ht="16.5">
      <c r="A8472" s="543" t="s">
        <v>4235</v>
      </c>
      <c r="B8472" s="544"/>
      <c r="C8472" s="544"/>
      <c r="D8472" s="544"/>
      <c r="E8472" s="544"/>
      <c r="F8472" s="544"/>
      <c r="G8472" s="544"/>
      <c r="H8472" s="546"/>
    </row>
    <row r="8473" spans="1:15">
      <c r="A8473" s="547" t="s">
        <v>7</v>
      </c>
      <c r="B8473" s="548"/>
      <c r="C8473" s="106" t="s">
        <v>1</v>
      </c>
      <c r="D8473" s="107" t="s">
        <v>4236</v>
      </c>
      <c r="E8473" s="108" t="s">
        <v>4215</v>
      </c>
      <c r="F8473" s="547" t="s">
        <v>5</v>
      </c>
      <c r="G8473" s="556"/>
      <c r="H8473" s="119"/>
    </row>
    <row r="8474" spans="1:15">
      <c r="A8474" s="550" t="s">
        <v>4196</v>
      </c>
      <c r="B8474" s="551"/>
      <c r="C8474" s="101">
        <v>1</v>
      </c>
      <c r="D8474" s="104">
        <f>VLOOKUP(A8474,'Mano Obra'!$B$2:$T$117,19,0)</f>
        <v>166624</v>
      </c>
      <c r="E8474" s="246">
        <f>H8441</f>
        <v>0.125</v>
      </c>
      <c r="F8474" s="538">
        <f>E8474*D8474*C8474</f>
        <v>20828</v>
      </c>
      <c r="G8474" s="557"/>
      <c r="H8474" s="121"/>
      <c r="I8474" s="69"/>
      <c r="J8474" s="136">
        <f>((('Mano Obra'!$M$4/30)*F8474)/D8474)*G8448</f>
        <v>0</v>
      </c>
    </row>
    <row r="8475" spans="1:15">
      <c r="A8475" s="558" t="s">
        <v>4197</v>
      </c>
      <c r="B8475" s="559">
        <f>VLOOKUP(A8475,'Mano Obra'!$B$3:$D$290,2,0)</f>
        <v>2090000.0000000002</v>
      </c>
      <c r="C8475" s="101">
        <v>1</v>
      </c>
      <c r="D8475" s="104">
        <f>VLOOKUP(A8475,'Mano Obra'!$B$2:$T$117,19,0)</f>
        <v>120456</v>
      </c>
      <c r="E8475" s="246">
        <f>H8441</f>
        <v>0.125</v>
      </c>
      <c r="F8475" s="538">
        <f t="shared" ref="F8475:F8476" si="495">E8475*D8475*C8475</f>
        <v>15057</v>
      </c>
      <c r="G8475" s="557"/>
      <c r="H8475" s="121"/>
      <c r="J8475" s="136">
        <f>((('Mano Obra'!$M$5/30)*F8475)/D8475)*G8448</f>
        <v>0</v>
      </c>
    </row>
    <row r="8476" spans="1:15">
      <c r="A8476" s="558" t="s">
        <v>4186</v>
      </c>
      <c r="B8476" s="559">
        <f>VLOOKUP(A8476,'Mano Obra'!$B$3:$D$290,2,0)</f>
        <v>1100000</v>
      </c>
      <c r="C8476" s="101">
        <v>2</v>
      </c>
      <c r="D8476" s="104">
        <f>VLOOKUP(A8476,'Mano Obra'!$B$2:$T$117,19,0)</f>
        <v>72664</v>
      </c>
      <c r="E8476" s="246">
        <f>H8441</f>
        <v>0.125</v>
      </c>
      <c r="F8476" s="538">
        <f t="shared" si="495"/>
        <v>18166</v>
      </c>
      <c r="G8476" s="557"/>
      <c r="H8476" s="120"/>
      <c r="J8476" s="136">
        <f>((('Mano Obra'!$M$6/30)*F8476)/D8476)*G8448</f>
        <v>0</v>
      </c>
    </row>
    <row r="8477" spans="1:15" ht="16.5">
      <c r="A8477" s="560" t="s">
        <v>4101</v>
      </c>
      <c r="B8477" s="560"/>
      <c r="C8477" s="560"/>
      <c r="D8477" s="560"/>
      <c r="E8477" s="560"/>
      <c r="F8477" s="560"/>
      <c r="G8477" s="560"/>
      <c r="H8477" s="105">
        <f>SUM(F8474:F8476)</f>
        <v>54051</v>
      </c>
      <c r="J8477" s="136"/>
    </row>
    <row r="8478" spans="1:15">
      <c r="A8478" s="227" t="s">
        <v>4237</v>
      </c>
      <c r="B8478" s="205"/>
      <c r="C8478" s="205"/>
      <c r="D8478" s="202"/>
      <c r="E8478" s="203"/>
      <c r="F8478" s="204"/>
      <c r="G8478" s="203"/>
      <c r="H8478" s="212"/>
    </row>
    <row r="8479" spans="1:15">
      <c r="A8479" s="561" t="s">
        <v>4224</v>
      </c>
      <c r="B8479" s="562"/>
      <c r="C8479" s="562"/>
      <c r="D8479" s="562"/>
      <c r="E8479" s="200"/>
      <c r="F8479" s="201" t="s">
        <v>4238</v>
      </c>
      <c r="G8479" s="200" t="s">
        <v>4239</v>
      </c>
      <c r="H8479" s="213"/>
    </row>
    <row r="8480" spans="1:15">
      <c r="A8480" s="223" t="s">
        <v>4097</v>
      </c>
      <c r="B8480" s="72"/>
      <c r="C8480" s="72"/>
      <c r="D8480" s="73"/>
      <c r="E8480" s="78"/>
      <c r="F8480" s="79">
        <v>0</v>
      </c>
      <c r="G8480" s="80">
        <f>F8480*H8449</f>
        <v>0</v>
      </c>
      <c r="H8480" s="212"/>
    </row>
    <row r="8481" spans="1:14">
      <c r="A8481" s="224" t="s">
        <v>4240</v>
      </c>
      <c r="B8481" s="81"/>
      <c r="C8481" s="81"/>
      <c r="D8481" s="82"/>
      <c r="E8481" s="78"/>
      <c r="F8481" s="79">
        <v>0</v>
      </c>
      <c r="G8481" s="80">
        <f>F8481*H8449</f>
        <v>0</v>
      </c>
      <c r="H8481" s="212"/>
    </row>
    <row r="8482" spans="1:14">
      <c r="A8482" s="224" t="s">
        <v>4</v>
      </c>
      <c r="B8482" s="81"/>
      <c r="C8482" s="81"/>
      <c r="D8482" s="82"/>
      <c r="E8482" s="78"/>
      <c r="F8482" s="79">
        <v>0</v>
      </c>
      <c r="G8482" s="80">
        <f>F8482*H8449</f>
        <v>0</v>
      </c>
      <c r="H8482" s="212"/>
    </row>
    <row r="8483" spans="1:14">
      <c r="A8483" s="225"/>
      <c r="B8483" s="83"/>
      <c r="C8483" s="75"/>
      <c r="D8483" s="84"/>
      <c r="E8483" s="85"/>
      <c r="F8483" s="86"/>
      <c r="G8483" s="87"/>
      <c r="H8483" s="214"/>
    </row>
    <row r="8484" spans="1:14">
      <c r="A8484" s="226"/>
      <c r="B8484" s="83"/>
      <c r="C8484" s="83"/>
      <c r="D8484" s="84"/>
      <c r="E8484" s="88"/>
      <c r="F8484" s="563" t="s">
        <v>4241</v>
      </c>
      <c r="G8484" s="564"/>
      <c r="H8484" s="233">
        <f>H8449+G8480+G8481+G8482</f>
        <v>1136066.3125</v>
      </c>
    </row>
    <row r="8485" spans="1:14">
      <c r="A8485" s="83"/>
      <c r="B8485" s="83"/>
      <c r="C8485" s="83"/>
      <c r="D8485" s="84"/>
      <c r="E8485" s="388"/>
      <c r="F8485" s="389"/>
      <c r="G8485" s="389"/>
      <c r="H8485" s="390"/>
    </row>
    <row r="8486" spans="1:14" ht="16.5">
      <c r="A8486" s="90"/>
      <c r="B8486" s="90"/>
      <c r="C8486" s="90"/>
      <c r="D8486" s="90"/>
      <c r="E8486" s="90"/>
      <c r="F8486" s="90"/>
      <c r="G8486" s="90"/>
      <c r="H8486" s="381"/>
    </row>
    <row r="8487" spans="1:14">
      <c r="A8487" s="579" t="s">
        <v>4225</v>
      </c>
      <c r="B8487" s="580"/>
      <c r="C8487" s="580"/>
      <c r="D8487" s="580"/>
      <c r="E8487" s="580"/>
      <c r="F8487" s="580"/>
      <c r="G8487" s="580"/>
      <c r="H8487" s="581"/>
    </row>
    <row r="8488" spans="1:14" ht="16.5">
      <c r="A8488" s="91"/>
      <c r="B8488" s="92"/>
      <c r="C8488" s="92"/>
      <c r="D8488" s="92"/>
      <c r="E8488" s="92"/>
      <c r="F8488" s="93"/>
      <c r="G8488" s="94"/>
      <c r="H8488" s="380">
        <f>ROUND((150/60)/8,4)</f>
        <v>0.3125</v>
      </c>
      <c r="I8488" s="115"/>
    </row>
    <row r="8489" spans="1:14">
      <c r="A8489" s="582" t="s">
        <v>4220</v>
      </c>
      <c r="B8489" s="584" t="str">
        <f>COSTOS!$C$14</f>
        <v>MODERNIZACION A TECNOLOGIA LED</v>
      </c>
      <c r="C8489" s="584"/>
      <c r="D8489" s="584"/>
      <c r="E8489" s="584"/>
      <c r="F8489" s="584"/>
      <c r="G8489" s="584"/>
      <c r="H8489" s="585" t="s">
        <v>4221</v>
      </c>
    </row>
    <row r="8490" spans="1:14">
      <c r="A8490" s="583"/>
      <c r="B8490" s="584"/>
      <c r="C8490" s="584"/>
      <c r="D8490" s="584"/>
      <c r="E8490" s="584"/>
      <c r="F8490" s="584"/>
      <c r="G8490" s="584"/>
      <c r="H8490" s="585"/>
    </row>
    <row r="8491" spans="1:14">
      <c r="A8491" s="583"/>
      <c r="B8491" s="584"/>
      <c r="C8491" s="584"/>
      <c r="D8491" s="584"/>
      <c r="E8491" s="584"/>
      <c r="F8491" s="584"/>
      <c r="G8491" s="584"/>
      <c r="H8491" s="585"/>
    </row>
    <row r="8492" spans="1:14" ht="15" customHeight="1">
      <c r="A8492" s="583"/>
      <c r="B8492" s="584"/>
      <c r="C8492" s="584"/>
      <c r="D8492" s="584"/>
      <c r="E8492" s="584"/>
      <c r="F8492" s="584"/>
      <c r="G8492" s="584"/>
      <c r="H8492" s="216">
        <f ca="1">TODAY()</f>
        <v>44889</v>
      </c>
      <c r="K8492" t="s">
        <v>4391</v>
      </c>
      <c r="L8492" t="s">
        <v>4392</v>
      </c>
      <c r="M8492" t="s">
        <v>4393</v>
      </c>
      <c r="N8492" t="s">
        <v>4394</v>
      </c>
    </row>
    <row r="8493" spans="1:14" ht="60.75" customHeight="1">
      <c r="A8493" s="228" t="s">
        <v>4222</v>
      </c>
      <c r="B8493" s="565" t="str">
        <f>COSTOS!$D$16</f>
        <v>Luminarias</v>
      </c>
      <c r="C8493" s="565"/>
      <c r="D8493" s="565"/>
      <c r="E8493" s="565"/>
      <c r="F8493" s="565"/>
      <c r="G8493" s="70" t="s">
        <v>4223</v>
      </c>
      <c r="H8493" s="387">
        <v>4.4000000000000004</v>
      </c>
      <c r="K8493" s="62">
        <f>H8522</f>
        <v>8185173.4299999997</v>
      </c>
      <c r="L8493" s="62">
        <f>H8532</f>
        <v>172770</v>
      </c>
      <c r="M8493" s="62">
        <f>H8502</f>
        <v>604415.625</v>
      </c>
      <c r="N8493" s="62">
        <f>H8526</f>
        <v>16000</v>
      </c>
    </row>
    <row r="8494" spans="1:14" ht="43.15" customHeight="1">
      <c r="A8494" s="229" t="s">
        <v>4224</v>
      </c>
      <c r="B8494" s="566" t="str">
        <f>VLOOKUP(H8493,COSTOS!C:M,2,0)</f>
        <v>Instalacion de CENTRO DE TRANSFORMACION, MONOFASICO, 10KVA, 13200-480/240 a Red de Media tension , TIPO HORIZONTAL, en poste existente</v>
      </c>
      <c r="C8494" s="567"/>
      <c r="D8494" s="567"/>
      <c r="E8494" s="568"/>
      <c r="F8494" s="71" t="s">
        <v>0</v>
      </c>
      <c r="G8494" s="356" t="str">
        <f>VLOOKUP(H8493,COSTOS!C:M,8,0)</f>
        <v>Und</v>
      </c>
      <c r="H8494" s="276"/>
      <c r="I8494" s="306"/>
      <c r="J8494" s="308"/>
      <c r="K8494" s="308"/>
      <c r="L8494" s="308"/>
    </row>
    <row r="8495" spans="1:14">
      <c r="A8495" s="230"/>
      <c r="B8495" s="112"/>
      <c r="C8495" s="112"/>
      <c r="D8495" s="112"/>
      <c r="E8495" s="113"/>
      <c r="F8495" s="114" t="s">
        <v>1</v>
      </c>
      <c r="G8495" s="356">
        <f>VLOOKUP(H8493,COSTOS!C:M,9,0)</f>
        <v>0</v>
      </c>
      <c r="H8495" s="357"/>
      <c r="I8495" s="307"/>
    </row>
    <row r="8496" spans="1:14" ht="16.5">
      <c r="A8496" s="231" t="s">
        <v>4226</v>
      </c>
      <c r="B8496" s="75"/>
      <c r="C8496" s="75"/>
      <c r="D8496" s="76"/>
      <c r="E8496" s="209"/>
      <c r="F8496" s="210"/>
      <c r="G8496" s="211" t="s">
        <v>4227</v>
      </c>
      <c r="H8496" s="217">
        <f>H8502+H8522+H8526+H8532</f>
        <v>8978359.0549999997</v>
      </c>
    </row>
    <row r="8497" spans="1:15" ht="39">
      <c r="A8497" s="569" t="s">
        <v>4224</v>
      </c>
      <c r="B8497" s="569"/>
      <c r="C8497" s="569"/>
      <c r="D8497" s="77" t="s">
        <v>0</v>
      </c>
      <c r="E8497" s="207" t="s">
        <v>4228</v>
      </c>
      <c r="F8497" s="208" t="s">
        <v>4215</v>
      </c>
      <c r="G8497" s="74" t="s">
        <v>2</v>
      </c>
      <c r="H8497" s="218" t="s">
        <v>4229</v>
      </c>
      <c r="K8497" s="309"/>
    </row>
    <row r="8498" spans="1:15">
      <c r="A8498" s="536" t="s">
        <v>3946</v>
      </c>
      <c r="B8498" s="570" t="str">
        <f>VLOOKUP(A8498,'Equip, Herr y Transp'!$B$2:$D$739,2,0)</f>
        <v>EQU</v>
      </c>
      <c r="C8498" s="570"/>
      <c r="D8498" s="95" t="str">
        <f>VLOOKUP(A8498,'Equip, Herr y Transp'!$B$2:$D$218,2,0)</f>
        <v>EQU</v>
      </c>
      <c r="E8498" s="95">
        <f>VLOOKUP(A8498,'Equip, Herr y Transp'!$B$2:$D$218,3,0)</f>
        <v>14130</v>
      </c>
      <c r="F8498" s="96">
        <f>H8488</f>
        <v>0.3125</v>
      </c>
      <c r="G8498" s="122">
        <f>F8498*E8498</f>
        <v>4415.625</v>
      </c>
      <c r="H8498" s="118"/>
    </row>
    <row r="8499" spans="1:15">
      <c r="A8499" s="536" t="s">
        <v>3894</v>
      </c>
      <c r="B8499" s="570" t="str">
        <f>VLOOKUP(A8499,'Equip, Herr y Transp'!$B$2:$D$739,2,0)</f>
        <v>TR</v>
      </c>
      <c r="C8499" s="570"/>
      <c r="D8499" s="95" t="str">
        <f>VLOOKUP(A8499,'Equip, Herr y Transp'!$B$2:$D$218,2,0)</f>
        <v>TR</v>
      </c>
      <c r="E8499" s="95">
        <f>VLOOKUP(A8499,'Equip, Herr y Transp'!$B$2:$D$218,3,0)</f>
        <v>960000</v>
      </c>
      <c r="F8499" s="96">
        <f>H8488</f>
        <v>0.3125</v>
      </c>
      <c r="G8499" s="122">
        <f>F8499*E8499</f>
        <v>300000</v>
      </c>
      <c r="H8499" s="117"/>
    </row>
    <row r="8500" spans="1:15">
      <c r="A8500" s="536" t="s">
        <v>3895</v>
      </c>
      <c r="B8500" s="570" t="str">
        <f>VLOOKUP(A8500,'Equip, Herr y Transp'!$B$2:$D$739,2,0)</f>
        <v>TR</v>
      </c>
      <c r="C8500" s="570"/>
      <c r="D8500" s="95" t="str">
        <f>VLOOKUP(A8500,'Equip, Herr y Transp'!$B$2:$D$218,2,0)</f>
        <v>TR</v>
      </c>
      <c r="E8500" s="95">
        <f>VLOOKUP(A8500,'Equip, Herr y Transp'!$B$2:$D$218,3,0)</f>
        <v>960000</v>
      </c>
      <c r="F8500" s="96">
        <f>H8488</f>
        <v>0.3125</v>
      </c>
      <c r="G8500" s="122">
        <f>F8500*E8500</f>
        <v>300000</v>
      </c>
      <c r="H8500" s="117"/>
    </row>
    <row r="8501" spans="1:15">
      <c r="A8501" s="536" t="s">
        <v>8</v>
      </c>
      <c r="B8501" s="570">
        <f>VLOOKUP(A8501,'Equip, Herr y Transp'!$B$2:$D$739,2,0)</f>
        <v>0</v>
      </c>
      <c r="C8501" s="570"/>
      <c r="D8501" s="95">
        <f>VLOOKUP(A8501,'Equip, Herr y Transp'!$B$2:$D$218,2,0)</f>
        <v>0</v>
      </c>
      <c r="E8501" s="95">
        <f>VLOOKUP(A8501,'Equip, Herr y Transp'!$B$2:$D$218,3,0)</f>
        <v>0</v>
      </c>
      <c r="F8501" s="96">
        <f>H8488</f>
        <v>0.3125</v>
      </c>
      <c r="G8501" s="122">
        <f>F8501*E8501</f>
        <v>0</v>
      </c>
      <c r="H8501" s="117"/>
    </row>
    <row r="8502" spans="1:15" ht="16.5">
      <c r="A8502" s="540" t="s">
        <v>4100</v>
      </c>
      <c r="B8502" s="541"/>
      <c r="C8502" s="541"/>
      <c r="D8502" s="541"/>
      <c r="E8502" s="541"/>
      <c r="F8502" s="541"/>
      <c r="G8502" s="541"/>
      <c r="H8502" s="97">
        <f>SUM(G8498:G8501)</f>
        <v>604415.625</v>
      </c>
    </row>
    <row r="8503" spans="1:15" ht="16.5">
      <c r="A8503" s="571" t="s">
        <v>4230</v>
      </c>
      <c r="B8503" s="572"/>
      <c r="C8503" s="572"/>
      <c r="D8503" s="572"/>
      <c r="E8503" s="572"/>
      <c r="F8503" s="572"/>
      <c r="G8503" s="572"/>
      <c r="H8503" s="573"/>
      <c r="K8503" s="56"/>
      <c r="L8503" s="56"/>
      <c r="M8503" s="56"/>
      <c r="N8503" s="56"/>
      <c r="O8503" s="56"/>
    </row>
    <row r="8504" spans="1:15" ht="30" customHeight="1">
      <c r="A8504" s="574" t="s">
        <v>7</v>
      </c>
      <c r="B8504" s="575"/>
      <c r="C8504" s="109" t="s">
        <v>0</v>
      </c>
      <c r="D8504" s="110" t="s">
        <v>4098</v>
      </c>
      <c r="E8504" s="111" t="s">
        <v>1</v>
      </c>
      <c r="F8504" s="576" t="s">
        <v>4218</v>
      </c>
      <c r="G8504" s="576"/>
      <c r="H8504" s="215"/>
      <c r="K8504" s="56"/>
      <c r="L8504" s="56"/>
      <c r="M8504" s="56"/>
      <c r="N8504" s="56"/>
      <c r="O8504" s="56"/>
    </row>
    <row r="8505" spans="1:15">
      <c r="A8505" s="577" t="s">
        <v>4513</v>
      </c>
      <c r="B8505" s="578"/>
      <c r="C8505" s="98" t="str">
        <f>VLOOKUP(A8505,'Materiales '!$C$2:$F$1302,3,0)</f>
        <v>Und</v>
      </c>
      <c r="D8505" s="99">
        <f>VLOOKUP(A8505,'Materiales '!$C$2:$F$1302,4,0)</f>
        <v>21420</v>
      </c>
      <c r="E8505" s="100">
        <v>2</v>
      </c>
      <c r="F8505" s="538">
        <f>E8505*D8505</f>
        <v>42840</v>
      </c>
      <c r="G8505" s="539"/>
      <c r="H8505" s="121"/>
      <c r="I8505">
        <f>E8505*G8495</f>
        <v>0</v>
      </c>
      <c r="J8505" s="67"/>
      <c r="K8505" s="56"/>
      <c r="L8505" s="56"/>
      <c r="M8505" s="56"/>
      <c r="N8505" s="56"/>
      <c r="O8505" s="56"/>
    </row>
    <row r="8506" spans="1:15">
      <c r="A8506" s="577" t="s">
        <v>4514</v>
      </c>
      <c r="B8506" s="578"/>
      <c r="C8506" s="98" t="str">
        <f>VLOOKUP(A8506,'Materiales '!$C$2:$F$1302,3,0)</f>
        <v>Und</v>
      </c>
      <c r="D8506" s="99">
        <f>VLOOKUP(A8506,'Materiales '!$C$2:$F$1302,4,0)</f>
        <v>18706.8</v>
      </c>
      <c r="E8506" s="100">
        <v>2</v>
      </c>
      <c r="F8506" s="538">
        <f t="shared" ref="F8506:F8512" si="496">E8506*D8506</f>
        <v>37413.599999999999</v>
      </c>
      <c r="G8506" s="539"/>
      <c r="H8506" s="121"/>
      <c r="I8506">
        <f>E8506*G8495</f>
        <v>0</v>
      </c>
      <c r="J8506" s="67"/>
      <c r="K8506" s="56"/>
      <c r="L8506" s="56"/>
      <c r="M8506" s="56"/>
      <c r="N8506" s="56"/>
      <c r="O8506" s="56"/>
    </row>
    <row r="8507" spans="1:15">
      <c r="A8507" s="536" t="s">
        <v>4556</v>
      </c>
      <c r="B8507" s="537" t="str">
        <f>VLOOKUP(A8507,'Materiales '!$C$2:$F$1302,3,0)</f>
        <v>Und</v>
      </c>
      <c r="C8507" s="98" t="str">
        <f>VLOOKUP(A8507,'Materiales '!$C$2:$F$1302,3,0)</f>
        <v>Und</v>
      </c>
      <c r="D8507" s="99">
        <f>VLOOKUP(A8507,'Materiales '!$C$2:$F$1302,4,0)</f>
        <v>7979.6640000000007</v>
      </c>
      <c r="E8507" s="100">
        <v>2</v>
      </c>
      <c r="F8507" s="538">
        <f t="shared" si="496"/>
        <v>15959.328000000001</v>
      </c>
      <c r="G8507" s="539"/>
      <c r="H8507" s="121"/>
      <c r="I8507">
        <f>E8507*G8495</f>
        <v>0</v>
      </c>
      <c r="J8507" s="68"/>
      <c r="K8507" s="56"/>
      <c r="L8507" s="56"/>
      <c r="M8507" s="56"/>
      <c r="N8507" s="56"/>
      <c r="O8507" s="56"/>
    </row>
    <row r="8508" spans="1:15">
      <c r="A8508" s="536" t="s">
        <v>4458</v>
      </c>
      <c r="B8508" s="537" t="str">
        <f>VLOOKUP(A8508,'Materiales '!$C$2:$F$1302,3,0)</f>
        <v>Ml</v>
      </c>
      <c r="C8508" s="98" t="str">
        <f>VLOOKUP(A8508,'Materiales '!$C$2:$F$1302,3,0)</f>
        <v>Ml</v>
      </c>
      <c r="D8508" s="99">
        <f>VLOOKUP(A8508,'Materiales '!$C$2:$F$1302,4,0)</f>
        <v>23386.355999999996</v>
      </c>
      <c r="E8508" s="100">
        <v>20</v>
      </c>
      <c r="F8508" s="538">
        <f t="shared" si="496"/>
        <v>467727.11999999994</v>
      </c>
      <c r="G8508" s="539"/>
      <c r="H8508" s="121"/>
      <c r="I8508">
        <f>E8508*G8495</f>
        <v>0</v>
      </c>
      <c r="J8508" s="68"/>
      <c r="K8508" s="56"/>
      <c r="L8508" s="56"/>
      <c r="M8508" s="56"/>
      <c r="N8508" s="56"/>
      <c r="O8508" s="56"/>
    </row>
    <row r="8509" spans="1:15">
      <c r="A8509" s="536" t="s">
        <v>4445</v>
      </c>
      <c r="B8509" s="537" t="str">
        <f>VLOOKUP(A8509,'Materiales '!$C$2:$F$1302,3,0)</f>
        <v>Ml</v>
      </c>
      <c r="C8509" s="98" t="str">
        <f>VLOOKUP(A8509,'Materiales '!$C$2:$F$1302,3,0)</f>
        <v>Ml</v>
      </c>
      <c r="D8509" s="99">
        <f>VLOOKUP(A8509,'Materiales '!$C$2:$F$1302,4,0)</f>
        <v>4426.8</v>
      </c>
      <c r="E8509" s="100">
        <v>15</v>
      </c>
      <c r="F8509" s="538">
        <f t="shared" si="496"/>
        <v>66402</v>
      </c>
      <c r="G8509" s="539"/>
      <c r="H8509" s="121"/>
      <c r="I8509">
        <f>E8509*G8495</f>
        <v>0</v>
      </c>
      <c r="J8509" s="68"/>
      <c r="K8509" s="56"/>
      <c r="L8509" s="56"/>
      <c r="M8509" s="56"/>
      <c r="N8509" s="56"/>
      <c r="O8509" s="56"/>
    </row>
    <row r="8510" spans="1:15">
      <c r="A8510" s="536" t="s">
        <v>4522</v>
      </c>
      <c r="B8510" s="537" t="str">
        <f>VLOOKUP(A8510,'Materiales '!$C$2:$F$1302,3,0)</f>
        <v>Und</v>
      </c>
      <c r="C8510" s="98" t="str">
        <f>VLOOKUP(A8510,'Materiales '!$C$2:$F$1302,3,0)</f>
        <v>Und</v>
      </c>
      <c r="D8510" s="99">
        <f>VLOOKUP(A8510,'Materiales '!$C$2:$F$1302,4,0)</f>
        <v>428400</v>
      </c>
      <c r="E8510" s="100">
        <v>2</v>
      </c>
      <c r="F8510" s="538">
        <f t="shared" si="496"/>
        <v>856800</v>
      </c>
      <c r="G8510" s="539"/>
      <c r="H8510" s="121"/>
      <c r="I8510">
        <f>E8510*G8495</f>
        <v>0</v>
      </c>
      <c r="J8510" s="68"/>
      <c r="K8510" s="56"/>
      <c r="L8510" s="56"/>
      <c r="M8510" s="56"/>
      <c r="N8510" s="56"/>
      <c r="O8510" s="56"/>
    </row>
    <row r="8511" spans="1:15">
      <c r="A8511" s="536" t="s">
        <v>4532</v>
      </c>
      <c r="B8511" s="537" t="str">
        <f>VLOOKUP(A8511,'Materiales '!$C$2:$F$1302,3,0)</f>
        <v>Und</v>
      </c>
      <c r="C8511" s="98" t="str">
        <f>VLOOKUP(A8511,'Materiales '!$C$2:$F$1302,3,0)</f>
        <v>Und</v>
      </c>
      <c r="D8511" s="99">
        <f>VLOOKUP(A8511,'Materiales '!$C$2:$F$1302,4,0)</f>
        <v>14565.6</v>
      </c>
      <c r="E8511" s="100">
        <v>2</v>
      </c>
      <c r="F8511" s="538">
        <f t="shared" si="496"/>
        <v>29131.200000000001</v>
      </c>
      <c r="G8511" s="539"/>
      <c r="H8511" s="121"/>
      <c r="I8511">
        <f>E8511*G8495</f>
        <v>0</v>
      </c>
      <c r="J8511" s="68"/>
      <c r="K8511" s="56"/>
      <c r="L8511" s="56"/>
      <c r="M8511" s="56"/>
      <c r="N8511" s="56"/>
      <c r="O8511" s="56"/>
    </row>
    <row r="8512" spans="1:15" ht="21.75" customHeight="1">
      <c r="A8512" s="536" t="s">
        <v>4528</v>
      </c>
      <c r="B8512" s="537" t="str">
        <f>VLOOKUP(A8512,'Materiales '!$C$2:$F$1302,3,0)</f>
        <v>Und</v>
      </c>
      <c r="C8512" s="98" t="str">
        <f>VLOOKUP(A8512,'Materiales '!$C$2:$F$1302,3,0)</f>
        <v>Und</v>
      </c>
      <c r="D8512" s="99">
        <f>VLOOKUP(A8512,'Materiales '!$C$2:$F$1302,4,0)</f>
        <v>148155</v>
      </c>
      <c r="E8512" s="100">
        <v>2</v>
      </c>
      <c r="F8512" s="538">
        <f t="shared" si="496"/>
        <v>296310</v>
      </c>
      <c r="G8512" s="539"/>
      <c r="H8512" s="121"/>
      <c r="I8512">
        <f>E8512*G8495</f>
        <v>0</v>
      </c>
      <c r="J8512" s="68"/>
      <c r="K8512" s="56"/>
      <c r="L8512" s="56"/>
      <c r="M8512" s="56"/>
      <c r="N8512" s="56"/>
      <c r="O8512" s="56"/>
    </row>
    <row r="8513" spans="1:15">
      <c r="A8513" s="536" t="s">
        <v>4590</v>
      </c>
      <c r="B8513" s="537" t="str">
        <f>VLOOKUP(A8513,'Materiales '!$C$2:$F$1302,3,0)</f>
        <v>Und</v>
      </c>
      <c r="C8513" s="98" t="str">
        <f>VLOOKUP(A8513,'Materiales '!$C$2:$F$1302,3,0)</f>
        <v>Und</v>
      </c>
      <c r="D8513" s="99">
        <f>VLOOKUP(A8513,'Materiales '!$C$2:$F$1302,4,0)</f>
        <v>4955160</v>
      </c>
      <c r="E8513" s="100">
        <v>1</v>
      </c>
      <c r="F8513" s="538">
        <f>E8513*D8513</f>
        <v>4955160</v>
      </c>
      <c r="G8513" s="539"/>
      <c r="H8513" s="120"/>
      <c r="I8513">
        <f>E8513*G8495</f>
        <v>0</v>
      </c>
      <c r="J8513" s="68"/>
      <c r="K8513" s="56"/>
      <c r="L8513" s="56"/>
      <c r="M8513" s="56"/>
      <c r="N8513" s="56"/>
      <c r="O8513" s="56"/>
    </row>
    <row r="8514" spans="1:15">
      <c r="A8514" s="536" t="s">
        <v>4485</v>
      </c>
      <c r="B8514" s="537" t="str">
        <f>VLOOKUP(A8514,'Materiales '!$C$2:$F$1302,3,0)</f>
        <v>Und</v>
      </c>
      <c r="C8514" s="98" t="str">
        <f>VLOOKUP(A8514,'Materiales '!$C$2:$F$1302,3,0)</f>
        <v>Und</v>
      </c>
      <c r="D8514" s="99">
        <f>VLOOKUP(A8514,'Materiales '!$C$2:$F$1302,4,0)</f>
        <v>33129.599999999999</v>
      </c>
      <c r="E8514" s="100">
        <v>2</v>
      </c>
      <c r="F8514" s="538">
        <f t="shared" ref="F8514:F8519" si="497">E8514*D8514</f>
        <v>66259.199999999997</v>
      </c>
      <c r="G8514" s="539"/>
      <c r="H8514" s="121"/>
      <c r="I8514">
        <f>E8514*G8495</f>
        <v>0</v>
      </c>
      <c r="J8514" s="68"/>
      <c r="K8514" s="56"/>
      <c r="L8514" s="56"/>
      <c r="M8514" s="56"/>
      <c r="N8514" s="56"/>
      <c r="O8514" s="56"/>
    </row>
    <row r="8515" spans="1:15">
      <c r="A8515" s="536" t="s">
        <v>4499</v>
      </c>
      <c r="B8515" s="537" t="str">
        <f>VLOOKUP(A8515,'Materiales '!$C$2:$F$1302,3,0)</f>
        <v>Und</v>
      </c>
      <c r="C8515" s="98" t="str">
        <f>VLOOKUP(A8515,'Materiales '!$C$2:$F$1302,3,0)</f>
        <v>Und</v>
      </c>
      <c r="D8515" s="99">
        <f>VLOOKUP(A8515,'Materiales '!$C$2:$F$1302,4,0)</f>
        <v>198000.05399999997</v>
      </c>
      <c r="E8515" s="100">
        <v>1</v>
      </c>
      <c r="F8515" s="538">
        <f t="shared" si="497"/>
        <v>198000.05399999997</v>
      </c>
      <c r="G8515" s="539"/>
      <c r="H8515" s="121"/>
      <c r="I8515">
        <f>E8515*G8495</f>
        <v>0</v>
      </c>
      <c r="J8515" s="68"/>
      <c r="K8515" s="56"/>
      <c r="L8515" s="56"/>
      <c r="M8515" s="56"/>
      <c r="N8515" s="56"/>
      <c r="O8515" s="56"/>
    </row>
    <row r="8516" spans="1:15">
      <c r="A8516" s="536" t="s">
        <v>4545</v>
      </c>
      <c r="B8516" s="537" t="str">
        <f>VLOOKUP(A8516,'Materiales '!$C$2:$F$1302,3,0)</f>
        <v>Und</v>
      </c>
      <c r="C8516" s="98" t="str">
        <f>VLOOKUP(A8516,'Materiales '!$C$2:$F$1302,3,0)</f>
        <v>Und</v>
      </c>
      <c r="D8516" s="99">
        <f>VLOOKUP(A8516,'Materiales '!$C$2:$F$1302,4,0)</f>
        <v>851179.86800000002</v>
      </c>
      <c r="E8516" s="100">
        <v>1</v>
      </c>
      <c r="F8516" s="538">
        <f t="shared" si="497"/>
        <v>851179.86800000002</v>
      </c>
      <c r="G8516" s="539"/>
      <c r="H8516" s="121"/>
      <c r="I8516">
        <f>E8516*G8495</f>
        <v>0</v>
      </c>
      <c r="J8516" s="68"/>
      <c r="K8516" s="56"/>
      <c r="L8516" s="56"/>
      <c r="M8516" s="56"/>
      <c r="N8516" s="56"/>
      <c r="O8516" s="56"/>
    </row>
    <row r="8517" spans="1:15">
      <c r="A8517" s="536" t="s">
        <v>4585</v>
      </c>
      <c r="B8517" s="537" t="str">
        <f>VLOOKUP(A8517,'Materiales '!$C$2:$F$1302,3,0)</f>
        <v>Und</v>
      </c>
      <c r="C8517" s="98" t="str">
        <f>VLOOKUP(A8517,'Materiales '!$C$2:$F$1302,3,0)</f>
        <v>Und</v>
      </c>
      <c r="D8517" s="99">
        <f>VLOOKUP(A8517,'Materiales '!$C$2:$F$1302,4,0)</f>
        <v>217484.4</v>
      </c>
      <c r="E8517" s="100">
        <v>1</v>
      </c>
      <c r="F8517" s="538">
        <f t="shared" si="497"/>
        <v>217484.4</v>
      </c>
      <c r="G8517" s="539"/>
      <c r="H8517" s="121"/>
      <c r="I8517">
        <f>E8517*G8495</f>
        <v>0</v>
      </c>
      <c r="J8517" s="68"/>
      <c r="K8517" s="56"/>
      <c r="L8517" s="56"/>
      <c r="M8517" s="56"/>
      <c r="N8517" s="56"/>
      <c r="O8517" s="56"/>
    </row>
    <row r="8518" spans="1:15">
      <c r="A8518" s="536" t="s">
        <v>4548</v>
      </c>
      <c r="B8518" s="537" t="str">
        <f>VLOOKUP(A8518,'Materiales '!$C$2:$F$1302,3,0)</f>
        <v>Und</v>
      </c>
      <c r="C8518" s="98" t="str">
        <f>VLOOKUP(A8518,'Materiales '!$C$2:$F$1302,3,0)</f>
        <v>Und</v>
      </c>
      <c r="D8518" s="99">
        <f>VLOOKUP(A8518,'Materiales '!$C$2:$F$1302,4,0)</f>
        <v>28928.9</v>
      </c>
      <c r="E8518" s="100">
        <v>1</v>
      </c>
      <c r="F8518" s="538">
        <f t="shared" si="497"/>
        <v>28928.9</v>
      </c>
      <c r="G8518" s="539"/>
      <c r="H8518" s="121"/>
      <c r="I8518">
        <f>E8518*G8495</f>
        <v>0</v>
      </c>
      <c r="J8518" s="68"/>
      <c r="K8518" s="56"/>
      <c r="L8518" s="56"/>
      <c r="M8518" s="56"/>
      <c r="N8518" s="56"/>
      <c r="O8518" s="56"/>
    </row>
    <row r="8519" spans="1:15">
      <c r="A8519" s="536" t="s">
        <v>4521</v>
      </c>
      <c r="B8519" s="537" t="str">
        <f>VLOOKUP(A8519,'Materiales '!$C$2:$F$1302,3,0)</f>
        <v>Und</v>
      </c>
      <c r="C8519" s="98" t="str">
        <f>VLOOKUP(A8519,'Materiales '!$C$2:$F$1302,3,0)</f>
        <v>Und</v>
      </c>
      <c r="D8519" s="99">
        <f>VLOOKUP(A8519,'Materiales '!$C$2:$F$1302,4,0)</f>
        <v>9282</v>
      </c>
      <c r="E8519" s="100">
        <v>1</v>
      </c>
      <c r="F8519" s="538">
        <f t="shared" si="497"/>
        <v>9282</v>
      </c>
      <c r="G8519" s="539"/>
      <c r="H8519" s="121"/>
      <c r="I8519">
        <f>E8519*G8495</f>
        <v>0</v>
      </c>
      <c r="J8519" s="68"/>
      <c r="K8519" s="56"/>
      <c r="L8519" s="56"/>
      <c r="M8519" s="56"/>
      <c r="N8519" s="56"/>
      <c r="O8519" s="56"/>
    </row>
    <row r="8520" spans="1:15">
      <c r="A8520" s="536" t="s">
        <v>4496</v>
      </c>
      <c r="B8520" s="537" t="str">
        <f>VLOOKUP(A8520,'Materiales '!$C$2:$F$1302,3,0)</f>
        <v>Ml</v>
      </c>
      <c r="C8520" s="98" t="str">
        <f>VLOOKUP(A8520,'Materiales '!$C$2:$F$1302,3,0)</f>
        <v>Ml</v>
      </c>
      <c r="D8520" s="99">
        <f>VLOOKUP(A8520,'Materiales '!$C$2:$F$1302,4,0)</f>
        <v>13566</v>
      </c>
      <c r="E8520" s="100">
        <v>2</v>
      </c>
      <c r="F8520" s="538">
        <f>E8520*D8520</f>
        <v>27132</v>
      </c>
      <c r="G8520" s="539"/>
      <c r="H8520" s="120"/>
      <c r="I8520">
        <f>E8520*G8495</f>
        <v>0</v>
      </c>
      <c r="J8520" s="68"/>
      <c r="K8520" s="56"/>
      <c r="L8520" s="56"/>
      <c r="M8520" s="56"/>
      <c r="N8520" s="56"/>
      <c r="O8520" s="56"/>
    </row>
    <row r="8521" spans="1:15">
      <c r="A8521" s="536" t="s">
        <v>4494</v>
      </c>
      <c r="B8521" s="537" t="str">
        <f>VLOOKUP(A8521,'Materiales '!$C$2:$F$1302,3,0)</f>
        <v>Und</v>
      </c>
      <c r="C8521" s="98" t="str">
        <f>VLOOKUP(A8521,'Materiales '!$C$2:$F$1302,3,0)</f>
        <v>Und</v>
      </c>
      <c r="D8521" s="99">
        <f>VLOOKUP(A8521,'Materiales '!$C$2:$F$1302,4,0)</f>
        <v>9581.8799999999992</v>
      </c>
      <c r="E8521" s="100">
        <v>2</v>
      </c>
      <c r="F8521" s="538">
        <f>E8521*D8521</f>
        <v>19163.759999999998</v>
      </c>
      <c r="G8521" s="539"/>
      <c r="H8521" s="120"/>
      <c r="I8521">
        <f>E8521*G8495</f>
        <v>0</v>
      </c>
      <c r="J8521" s="68"/>
      <c r="K8521" s="56"/>
      <c r="L8521" s="56"/>
      <c r="M8521" s="56"/>
      <c r="N8521" s="56"/>
      <c r="O8521" s="56"/>
    </row>
    <row r="8522" spans="1:15" ht="16.5">
      <c r="A8522" s="540" t="s">
        <v>4099</v>
      </c>
      <c r="B8522" s="541"/>
      <c r="C8522" s="541"/>
      <c r="D8522" s="541"/>
      <c r="E8522" s="541"/>
      <c r="F8522" s="541"/>
      <c r="G8522" s="542"/>
      <c r="H8522" s="116">
        <f>SUM(F8505:F8521)</f>
        <v>8185173.4299999997</v>
      </c>
      <c r="J8522" s="68"/>
      <c r="K8522" s="56"/>
      <c r="L8522" s="56"/>
      <c r="M8522" s="56"/>
      <c r="N8522" s="56"/>
      <c r="O8522" s="56"/>
    </row>
    <row r="8523" spans="1:15" ht="16.5">
      <c r="A8523" s="543" t="s">
        <v>4231</v>
      </c>
      <c r="B8523" s="544"/>
      <c r="C8523" s="544"/>
      <c r="D8523" s="544"/>
      <c r="E8523" s="545"/>
      <c r="F8523" s="544"/>
      <c r="G8523" s="544"/>
      <c r="H8523" s="546"/>
      <c r="J8523" s="68"/>
      <c r="K8523" s="56"/>
      <c r="L8523" s="56"/>
      <c r="M8523" s="56"/>
      <c r="N8523" s="56"/>
      <c r="O8523" s="56"/>
    </row>
    <row r="8524" spans="1:15">
      <c r="A8524" s="547" t="s">
        <v>7</v>
      </c>
      <c r="B8524" s="548"/>
      <c r="C8524" s="108" t="s">
        <v>4232</v>
      </c>
      <c r="D8524" s="107" t="s">
        <v>4233</v>
      </c>
      <c r="E8524" s="206" t="s">
        <v>4234</v>
      </c>
      <c r="F8524" s="549" t="s">
        <v>4218</v>
      </c>
      <c r="G8524" s="549"/>
      <c r="H8524" s="119"/>
      <c r="K8524" s="56"/>
      <c r="L8524" s="56"/>
      <c r="M8524" s="56"/>
      <c r="N8524" s="56"/>
      <c r="O8524" s="56"/>
    </row>
    <row r="8525" spans="1:15">
      <c r="A8525" s="550" t="s">
        <v>3928</v>
      </c>
      <c r="B8525" s="551"/>
      <c r="C8525" s="232">
        <v>1</v>
      </c>
      <c r="D8525" s="102">
        <v>0.1</v>
      </c>
      <c r="E8525" s="103">
        <f>VLOOKUP(A8525,'Equip, Herr y Transp'!$B$2:$D$218,3,0)</f>
        <v>160000</v>
      </c>
      <c r="F8525" s="552">
        <f>E8525*D8525*C8525</f>
        <v>16000</v>
      </c>
      <c r="G8525" s="553"/>
      <c r="H8525" s="117"/>
      <c r="M8525" s="56"/>
    </row>
    <row r="8526" spans="1:15" ht="16.5">
      <c r="A8526" s="554" t="s">
        <v>4216</v>
      </c>
      <c r="B8526" s="555"/>
      <c r="C8526" s="555"/>
      <c r="D8526" s="555"/>
      <c r="E8526" s="555"/>
      <c r="F8526" s="555"/>
      <c r="G8526" s="555"/>
      <c r="H8526" s="105">
        <f>F8525</f>
        <v>16000</v>
      </c>
    </row>
    <row r="8527" spans="1:15" ht="16.5">
      <c r="A8527" s="543" t="s">
        <v>4235</v>
      </c>
      <c r="B8527" s="544"/>
      <c r="C8527" s="544"/>
      <c r="D8527" s="544"/>
      <c r="E8527" s="544"/>
      <c r="F8527" s="544"/>
      <c r="G8527" s="544"/>
      <c r="H8527" s="546"/>
    </row>
    <row r="8528" spans="1:15">
      <c r="A8528" s="547" t="s">
        <v>7</v>
      </c>
      <c r="B8528" s="548"/>
      <c r="C8528" s="106" t="s">
        <v>1</v>
      </c>
      <c r="D8528" s="107" t="s">
        <v>4236</v>
      </c>
      <c r="E8528" s="108" t="s">
        <v>4215</v>
      </c>
      <c r="F8528" s="547" t="s">
        <v>5</v>
      </c>
      <c r="G8528" s="556"/>
      <c r="H8528" s="119"/>
    </row>
    <row r="8529" spans="1:10">
      <c r="A8529" s="550" t="s">
        <v>4196</v>
      </c>
      <c r="B8529" s="551"/>
      <c r="C8529" s="101">
        <v>1</v>
      </c>
      <c r="D8529" s="104">
        <f>VLOOKUP(A8529,'Mano Obra'!$B$2:$T$117,19,0)</f>
        <v>166624</v>
      </c>
      <c r="E8529" s="246">
        <f>H8488</f>
        <v>0.3125</v>
      </c>
      <c r="F8529" s="538">
        <f>E8529*D8529*C8529</f>
        <v>52070</v>
      </c>
      <c r="G8529" s="557"/>
      <c r="H8529" s="121"/>
      <c r="I8529" s="69"/>
      <c r="J8529" s="136">
        <f>((('Mano Obra'!$M$4/30)*F8529)/D8529)*G8495</f>
        <v>0</v>
      </c>
    </row>
    <row r="8530" spans="1:10">
      <c r="A8530" s="558" t="s">
        <v>4197</v>
      </c>
      <c r="B8530" s="559">
        <f>VLOOKUP(A8530,'Mano Obra'!$B$3:$D$290,2,0)</f>
        <v>2090000.0000000002</v>
      </c>
      <c r="C8530" s="101">
        <v>2</v>
      </c>
      <c r="D8530" s="104">
        <f>VLOOKUP(A8530,'Mano Obra'!$B$2:$T$117,19,0)</f>
        <v>120456</v>
      </c>
      <c r="E8530" s="246">
        <f>H8488</f>
        <v>0.3125</v>
      </c>
      <c r="F8530" s="538">
        <f t="shared" ref="F8530:F8531" si="498">E8530*D8530*C8530</f>
        <v>75285</v>
      </c>
      <c r="G8530" s="557"/>
      <c r="H8530" s="121"/>
      <c r="J8530" s="136">
        <f>((('Mano Obra'!$M$5/30)*F8530)/D8530)*G8495</f>
        <v>0</v>
      </c>
    </row>
    <row r="8531" spans="1:10">
      <c r="A8531" s="558" t="s">
        <v>4186</v>
      </c>
      <c r="B8531" s="559">
        <f>VLOOKUP(A8531,'Mano Obra'!$B$3:$D$290,2,0)</f>
        <v>1100000</v>
      </c>
      <c r="C8531" s="101">
        <v>2</v>
      </c>
      <c r="D8531" s="104">
        <f>VLOOKUP(A8531,'Mano Obra'!$B$2:$T$117,19,0)</f>
        <v>72664</v>
      </c>
      <c r="E8531" s="246">
        <f>H8488</f>
        <v>0.3125</v>
      </c>
      <c r="F8531" s="538">
        <f t="shared" si="498"/>
        <v>45415</v>
      </c>
      <c r="G8531" s="557"/>
      <c r="H8531" s="120"/>
      <c r="J8531" s="136">
        <f>((('Mano Obra'!$M$6/30)*F8531)/D8531)*G8495</f>
        <v>0</v>
      </c>
    </row>
    <row r="8532" spans="1:10" ht="16.5">
      <c r="A8532" s="560" t="s">
        <v>4101</v>
      </c>
      <c r="B8532" s="560"/>
      <c r="C8532" s="560"/>
      <c r="D8532" s="560"/>
      <c r="E8532" s="560"/>
      <c r="F8532" s="560"/>
      <c r="G8532" s="560"/>
      <c r="H8532" s="105">
        <f>SUM(F8529:F8531)</f>
        <v>172770</v>
      </c>
      <c r="J8532" s="136"/>
    </row>
    <row r="8533" spans="1:10">
      <c r="A8533" s="227" t="s">
        <v>4237</v>
      </c>
      <c r="B8533" s="205"/>
      <c r="C8533" s="205"/>
      <c r="D8533" s="202"/>
      <c r="E8533" s="203"/>
      <c r="F8533" s="204"/>
      <c r="G8533" s="203"/>
      <c r="H8533" s="212"/>
    </row>
    <row r="8534" spans="1:10">
      <c r="A8534" s="561" t="s">
        <v>4224</v>
      </c>
      <c r="B8534" s="562"/>
      <c r="C8534" s="562"/>
      <c r="D8534" s="562"/>
      <c r="E8534" s="200"/>
      <c r="F8534" s="201" t="s">
        <v>4238</v>
      </c>
      <c r="G8534" s="200" t="s">
        <v>4239</v>
      </c>
      <c r="H8534" s="213"/>
    </row>
    <row r="8535" spans="1:10">
      <c r="A8535" s="223" t="s">
        <v>4097</v>
      </c>
      <c r="B8535" s="72"/>
      <c r="C8535" s="72"/>
      <c r="D8535" s="73"/>
      <c r="E8535" s="78"/>
      <c r="F8535" s="79">
        <v>0</v>
      </c>
      <c r="G8535" s="80">
        <f>F8535*H8496</f>
        <v>0</v>
      </c>
      <c r="H8535" s="212"/>
    </row>
    <row r="8536" spans="1:10">
      <c r="A8536" s="224" t="s">
        <v>4240</v>
      </c>
      <c r="B8536" s="81"/>
      <c r="C8536" s="81"/>
      <c r="D8536" s="82"/>
      <c r="E8536" s="78"/>
      <c r="F8536" s="79">
        <v>0</v>
      </c>
      <c r="G8536" s="80">
        <f>F8536*H8496</f>
        <v>0</v>
      </c>
      <c r="H8536" s="212"/>
    </row>
    <row r="8537" spans="1:10">
      <c r="A8537" s="224" t="s">
        <v>4</v>
      </c>
      <c r="B8537" s="81"/>
      <c r="C8537" s="81"/>
      <c r="D8537" s="82"/>
      <c r="E8537" s="78"/>
      <c r="F8537" s="79">
        <v>0</v>
      </c>
      <c r="G8537" s="80">
        <f>F8537*H8496</f>
        <v>0</v>
      </c>
      <c r="H8537" s="212"/>
    </row>
    <row r="8538" spans="1:10">
      <c r="A8538" s="225"/>
      <c r="B8538" s="83"/>
      <c r="C8538" s="75"/>
      <c r="D8538" s="84"/>
      <c r="E8538" s="85"/>
      <c r="F8538" s="86"/>
      <c r="G8538" s="87"/>
      <c r="H8538" s="214"/>
    </row>
    <row r="8539" spans="1:10">
      <c r="A8539" s="226"/>
      <c r="B8539" s="83"/>
      <c r="C8539" s="83"/>
      <c r="D8539" s="84"/>
      <c r="E8539" s="88"/>
      <c r="F8539" s="563" t="s">
        <v>4241</v>
      </c>
      <c r="G8539" s="564"/>
      <c r="H8539" s="233">
        <f>H8496+G8535+G8536+G8537</f>
        <v>8978359.0549999997</v>
      </c>
    </row>
    <row r="8540" spans="1:10">
      <c r="A8540" s="83"/>
      <c r="B8540" s="83"/>
      <c r="C8540" s="83"/>
      <c r="D8540" s="84"/>
      <c r="E8540" s="388"/>
      <c r="F8540" s="389"/>
      <c r="G8540" s="389"/>
      <c r="H8540" s="390"/>
    </row>
    <row r="8541" spans="1:10" ht="16.5">
      <c r="A8541" s="90"/>
      <c r="B8541" s="90"/>
      <c r="C8541" s="90"/>
      <c r="D8541" s="90"/>
      <c r="E8541" s="90"/>
      <c r="F8541" s="90"/>
      <c r="G8541" s="90"/>
      <c r="H8541" s="381"/>
    </row>
    <row r="8542" spans="1:10">
      <c r="A8542" s="579" t="s">
        <v>4225</v>
      </c>
      <c r="B8542" s="580"/>
      <c r="C8542" s="580"/>
      <c r="D8542" s="580"/>
      <c r="E8542" s="580"/>
      <c r="F8542" s="580"/>
      <c r="G8542" s="580"/>
      <c r="H8542" s="581"/>
    </row>
    <row r="8543" spans="1:10" ht="16.5">
      <c r="A8543" s="91"/>
      <c r="B8543" s="92"/>
      <c r="C8543" s="92"/>
      <c r="D8543" s="92"/>
      <c r="E8543" s="92"/>
      <c r="F8543" s="93"/>
      <c r="G8543" s="94"/>
      <c r="H8543" s="380">
        <f>ROUND((150/60)/8,4)</f>
        <v>0.3125</v>
      </c>
      <c r="I8543" s="115"/>
    </row>
    <row r="8544" spans="1:10">
      <c r="A8544" s="582" t="s">
        <v>4220</v>
      </c>
      <c r="B8544" s="584" t="str">
        <f>COSTOS!$C$14</f>
        <v>MODERNIZACION A TECNOLOGIA LED</v>
      </c>
      <c r="C8544" s="584"/>
      <c r="D8544" s="584"/>
      <c r="E8544" s="584"/>
      <c r="F8544" s="584"/>
      <c r="G8544" s="584"/>
      <c r="H8544" s="585" t="s">
        <v>4221</v>
      </c>
    </row>
    <row r="8545" spans="1:15">
      <c r="A8545" s="583"/>
      <c r="B8545" s="584"/>
      <c r="C8545" s="584"/>
      <c r="D8545" s="584"/>
      <c r="E8545" s="584"/>
      <c r="F8545" s="584"/>
      <c r="G8545" s="584"/>
      <c r="H8545" s="585"/>
    </row>
    <row r="8546" spans="1:15">
      <c r="A8546" s="583"/>
      <c r="B8546" s="584"/>
      <c r="C8546" s="584"/>
      <c r="D8546" s="584"/>
      <c r="E8546" s="584"/>
      <c r="F8546" s="584"/>
      <c r="G8546" s="584"/>
      <c r="H8546" s="585"/>
    </row>
    <row r="8547" spans="1:15" ht="15" customHeight="1">
      <c r="A8547" s="583"/>
      <c r="B8547" s="584"/>
      <c r="C8547" s="584"/>
      <c r="D8547" s="584"/>
      <c r="E8547" s="584"/>
      <c r="F8547" s="584"/>
      <c r="G8547" s="584"/>
      <c r="H8547" s="216">
        <f ca="1">TODAY()</f>
        <v>44889</v>
      </c>
      <c r="K8547" t="s">
        <v>4391</v>
      </c>
      <c r="L8547" t="s">
        <v>4392</v>
      </c>
      <c r="M8547" t="s">
        <v>4393</v>
      </c>
      <c r="N8547" t="s">
        <v>4394</v>
      </c>
    </row>
    <row r="8548" spans="1:15" ht="60.75" customHeight="1">
      <c r="A8548" s="228" t="s">
        <v>4222</v>
      </c>
      <c r="B8548" s="565" t="str">
        <f>COSTOS!$D$16</f>
        <v>Luminarias</v>
      </c>
      <c r="C8548" s="565"/>
      <c r="D8548" s="565"/>
      <c r="E8548" s="565"/>
      <c r="F8548" s="565"/>
      <c r="G8548" s="70" t="s">
        <v>4223</v>
      </c>
      <c r="H8548" s="387">
        <v>4.5</v>
      </c>
      <c r="K8548" s="62">
        <f>H8577</f>
        <v>8893456.0749999993</v>
      </c>
      <c r="L8548" s="62">
        <f>H8587</f>
        <v>172770</v>
      </c>
      <c r="M8548" s="62">
        <f>H8557</f>
        <v>604415.625</v>
      </c>
      <c r="N8548" s="62">
        <f>H8581</f>
        <v>16000</v>
      </c>
    </row>
    <row r="8549" spans="1:15" ht="43.15" customHeight="1">
      <c r="A8549" s="229" t="s">
        <v>4224</v>
      </c>
      <c r="B8549" s="566" t="str">
        <f>VLOOKUP(H8548,COSTOS!C:M,2,0)</f>
        <v>Instalacion de CENTRO DE TRANSFORMACION, MONOFASICO, 15KVA, 13200-480/240 a Red de Media tension , TIPO HORIZONTAL, en poste existente</v>
      </c>
      <c r="C8549" s="567"/>
      <c r="D8549" s="567"/>
      <c r="E8549" s="568"/>
      <c r="F8549" s="71" t="s">
        <v>0</v>
      </c>
      <c r="G8549" s="356" t="str">
        <f>VLOOKUP(H8548,COSTOS!C:M,8,0)</f>
        <v>Und</v>
      </c>
      <c r="H8549" s="276"/>
      <c r="I8549" s="306"/>
      <c r="J8549" s="308"/>
      <c r="K8549" s="308"/>
      <c r="L8549" s="308"/>
    </row>
    <row r="8550" spans="1:15">
      <c r="A8550" s="230"/>
      <c r="B8550" s="112"/>
      <c r="C8550" s="112"/>
      <c r="D8550" s="112"/>
      <c r="E8550" s="113"/>
      <c r="F8550" s="114" t="s">
        <v>1</v>
      </c>
      <c r="G8550" s="356">
        <f>VLOOKUP(H8548,COSTOS!C:M,9,0)</f>
        <v>0</v>
      </c>
      <c r="H8550" s="357"/>
      <c r="I8550" s="307"/>
    </row>
    <row r="8551" spans="1:15" ht="16.5">
      <c r="A8551" s="231" t="s">
        <v>4226</v>
      </c>
      <c r="B8551" s="75"/>
      <c r="C8551" s="75"/>
      <c r="D8551" s="76"/>
      <c r="E8551" s="209"/>
      <c r="F8551" s="210"/>
      <c r="G8551" s="211" t="s">
        <v>4227</v>
      </c>
      <c r="H8551" s="217">
        <f>H8557+H8577+H8581+H8587</f>
        <v>9686641.6999999993</v>
      </c>
    </row>
    <row r="8552" spans="1:15" ht="39">
      <c r="A8552" s="569" t="s">
        <v>4224</v>
      </c>
      <c r="B8552" s="569"/>
      <c r="C8552" s="569"/>
      <c r="D8552" s="77" t="s">
        <v>0</v>
      </c>
      <c r="E8552" s="207" t="s">
        <v>4228</v>
      </c>
      <c r="F8552" s="208" t="s">
        <v>4215</v>
      </c>
      <c r="G8552" s="74" t="s">
        <v>2</v>
      </c>
      <c r="H8552" s="218" t="s">
        <v>4229</v>
      </c>
      <c r="K8552" s="309"/>
    </row>
    <row r="8553" spans="1:15">
      <c r="A8553" s="536" t="s">
        <v>3946</v>
      </c>
      <c r="B8553" s="570" t="str">
        <f>VLOOKUP(A8553,'Equip, Herr y Transp'!$B$2:$D$739,2,0)</f>
        <v>EQU</v>
      </c>
      <c r="C8553" s="570"/>
      <c r="D8553" s="95" t="str">
        <f>VLOOKUP(A8553,'Equip, Herr y Transp'!$B$2:$D$218,2,0)</f>
        <v>EQU</v>
      </c>
      <c r="E8553" s="95">
        <f>VLOOKUP(A8553,'Equip, Herr y Transp'!$B$2:$D$218,3,0)</f>
        <v>14130</v>
      </c>
      <c r="F8553" s="96">
        <f>H8543</f>
        <v>0.3125</v>
      </c>
      <c r="G8553" s="122">
        <f>F8553*E8553</f>
        <v>4415.625</v>
      </c>
      <c r="H8553" s="118"/>
    </row>
    <row r="8554" spans="1:15">
      <c r="A8554" s="536" t="s">
        <v>3894</v>
      </c>
      <c r="B8554" s="570" t="str">
        <f>VLOOKUP(A8554,'Equip, Herr y Transp'!$B$2:$D$739,2,0)</f>
        <v>TR</v>
      </c>
      <c r="C8554" s="570"/>
      <c r="D8554" s="95" t="str">
        <f>VLOOKUP(A8554,'Equip, Herr y Transp'!$B$2:$D$218,2,0)</f>
        <v>TR</v>
      </c>
      <c r="E8554" s="95">
        <f>VLOOKUP(A8554,'Equip, Herr y Transp'!$B$2:$D$218,3,0)</f>
        <v>960000</v>
      </c>
      <c r="F8554" s="96">
        <f>H8543</f>
        <v>0.3125</v>
      </c>
      <c r="G8554" s="122">
        <f>F8554*E8554</f>
        <v>300000</v>
      </c>
      <c r="H8554" s="117"/>
    </row>
    <row r="8555" spans="1:15">
      <c r="A8555" s="536" t="s">
        <v>3895</v>
      </c>
      <c r="B8555" s="570" t="str">
        <f>VLOOKUP(A8555,'Equip, Herr y Transp'!$B$2:$D$739,2,0)</f>
        <v>TR</v>
      </c>
      <c r="C8555" s="570"/>
      <c r="D8555" s="95" t="str">
        <f>VLOOKUP(A8555,'Equip, Herr y Transp'!$B$2:$D$218,2,0)</f>
        <v>TR</v>
      </c>
      <c r="E8555" s="95">
        <f>VLOOKUP(A8555,'Equip, Herr y Transp'!$B$2:$D$218,3,0)</f>
        <v>960000</v>
      </c>
      <c r="F8555" s="96">
        <f>H8543</f>
        <v>0.3125</v>
      </c>
      <c r="G8555" s="122">
        <f>F8555*E8555</f>
        <v>300000</v>
      </c>
      <c r="H8555" s="117"/>
    </row>
    <row r="8556" spans="1:15">
      <c r="A8556" s="536" t="s">
        <v>8</v>
      </c>
      <c r="B8556" s="570">
        <f>VLOOKUP(A8556,'Equip, Herr y Transp'!$B$2:$D$739,2,0)</f>
        <v>0</v>
      </c>
      <c r="C8556" s="570"/>
      <c r="D8556" s="95">
        <f>VLOOKUP(A8556,'Equip, Herr y Transp'!$B$2:$D$218,2,0)</f>
        <v>0</v>
      </c>
      <c r="E8556" s="95">
        <f>VLOOKUP(A8556,'Equip, Herr y Transp'!$B$2:$D$218,3,0)</f>
        <v>0</v>
      </c>
      <c r="F8556" s="96">
        <f>H8543</f>
        <v>0.3125</v>
      </c>
      <c r="G8556" s="122">
        <f>F8556*E8556</f>
        <v>0</v>
      </c>
      <c r="H8556" s="117"/>
    </row>
    <row r="8557" spans="1:15" ht="16.5">
      <c r="A8557" s="540" t="s">
        <v>4100</v>
      </c>
      <c r="B8557" s="541"/>
      <c r="C8557" s="541"/>
      <c r="D8557" s="541"/>
      <c r="E8557" s="541"/>
      <c r="F8557" s="541"/>
      <c r="G8557" s="541"/>
      <c r="H8557" s="97">
        <f>SUM(G8553:G8556)</f>
        <v>604415.625</v>
      </c>
    </row>
    <row r="8558" spans="1:15" ht="16.5">
      <c r="A8558" s="571" t="s">
        <v>4230</v>
      </c>
      <c r="B8558" s="572"/>
      <c r="C8558" s="572"/>
      <c r="D8558" s="572"/>
      <c r="E8558" s="572"/>
      <c r="F8558" s="572"/>
      <c r="G8558" s="572"/>
      <c r="H8558" s="573"/>
      <c r="K8558" s="56"/>
      <c r="L8558" s="56"/>
      <c r="M8558" s="56"/>
      <c r="N8558" s="56"/>
      <c r="O8558" s="56"/>
    </row>
    <row r="8559" spans="1:15" ht="30" customHeight="1">
      <c r="A8559" s="574" t="s">
        <v>7</v>
      </c>
      <c r="B8559" s="575"/>
      <c r="C8559" s="109" t="s">
        <v>0</v>
      </c>
      <c r="D8559" s="110" t="s">
        <v>4098</v>
      </c>
      <c r="E8559" s="111" t="s">
        <v>1</v>
      </c>
      <c r="F8559" s="576" t="s">
        <v>4218</v>
      </c>
      <c r="G8559" s="576"/>
      <c r="H8559" s="215"/>
      <c r="K8559" s="56"/>
      <c r="L8559" s="56"/>
      <c r="M8559" s="56"/>
      <c r="N8559" s="56"/>
      <c r="O8559" s="56"/>
    </row>
    <row r="8560" spans="1:15">
      <c r="A8560" s="577" t="s">
        <v>4513</v>
      </c>
      <c r="B8560" s="578"/>
      <c r="C8560" s="98" t="str">
        <f>VLOOKUP(A8560,'Materiales '!$C$2:$F$1302,3,0)</f>
        <v>Und</v>
      </c>
      <c r="D8560" s="99">
        <f>VLOOKUP(A8560,'Materiales '!$C$2:$F$1302,4,0)</f>
        <v>21420</v>
      </c>
      <c r="E8560" s="100">
        <v>2</v>
      </c>
      <c r="F8560" s="538">
        <f>E8560*D8560</f>
        <v>42840</v>
      </c>
      <c r="G8560" s="539"/>
      <c r="H8560" s="121"/>
      <c r="I8560">
        <f>E8560*G8550</f>
        <v>0</v>
      </c>
      <c r="J8560" s="67"/>
      <c r="K8560" s="56"/>
      <c r="L8560" s="56"/>
      <c r="M8560" s="56"/>
      <c r="N8560" s="56"/>
      <c r="O8560" s="56"/>
    </row>
    <row r="8561" spans="1:15">
      <c r="A8561" s="577" t="s">
        <v>4514</v>
      </c>
      <c r="B8561" s="578"/>
      <c r="C8561" s="98" t="str">
        <f>VLOOKUP(A8561,'Materiales '!$C$2:$F$1302,3,0)</f>
        <v>Und</v>
      </c>
      <c r="D8561" s="99">
        <f>VLOOKUP(A8561,'Materiales '!$C$2:$F$1302,4,0)</f>
        <v>18706.8</v>
      </c>
      <c r="E8561" s="100">
        <v>2</v>
      </c>
      <c r="F8561" s="538">
        <f t="shared" ref="F8561:F8567" si="499">E8561*D8561</f>
        <v>37413.599999999999</v>
      </c>
      <c r="G8561" s="539"/>
      <c r="H8561" s="121"/>
      <c r="I8561">
        <f>E8561*G8550</f>
        <v>0</v>
      </c>
      <c r="J8561" s="67"/>
      <c r="K8561" s="56"/>
      <c r="L8561" s="56"/>
      <c r="M8561" s="56"/>
      <c r="N8561" s="56"/>
      <c r="O8561" s="56"/>
    </row>
    <row r="8562" spans="1:15">
      <c r="A8562" s="536" t="s">
        <v>4556</v>
      </c>
      <c r="B8562" s="537" t="str">
        <f>VLOOKUP(A8562,'Materiales '!$C$2:$F$1302,3,0)</f>
        <v>Und</v>
      </c>
      <c r="C8562" s="98" t="str">
        <f>VLOOKUP(A8562,'Materiales '!$C$2:$F$1302,3,0)</f>
        <v>Und</v>
      </c>
      <c r="D8562" s="99">
        <f>VLOOKUP(A8562,'Materiales '!$C$2:$F$1302,4,0)</f>
        <v>7979.6640000000007</v>
      </c>
      <c r="E8562" s="100">
        <v>2</v>
      </c>
      <c r="F8562" s="538">
        <f t="shared" si="499"/>
        <v>15959.328000000001</v>
      </c>
      <c r="G8562" s="539"/>
      <c r="H8562" s="121"/>
      <c r="I8562">
        <f>E8562*G8550</f>
        <v>0</v>
      </c>
      <c r="J8562" s="68"/>
      <c r="K8562" s="56"/>
      <c r="L8562" s="56"/>
      <c r="M8562" s="56"/>
      <c r="N8562" s="56"/>
      <c r="O8562" s="56"/>
    </row>
    <row r="8563" spans="1:15">
      <c r="A8563" s="536" t="s">
        <v>4458</v>
      </c>
      <c r="B8563" s="537" t="str">
        <f>VLOOKUP(A8563,'Materiales '!$C$2:$F$1302,3,0)</f>
        <v>Ml</v>
      </c>
      <c r="C8563" s="98" t="str">
        <f>VLOOKUP(A8563,'Materiales '!$C$2:$F$1302,3,0)</f>
        <v>Ml</v>
      </c>
      <c r="D8563" s="99">
        <f>VLOOKUP(A8563,'Materiales '!$C$2:$F$1302,4,0)</f>
        <v>23386.355999999996</v>
      </c>
      <c r="E8563" s="100">
        <v>20</v>
      </c>
      <c r="F8563" s="538">
        <f t="shared" si="499"/>
        <v>467727.11999999994</v>
      </c>
      <c r="G8563" s="539"/>
      <c r="H8563" s="121"/>
      <c r="I8563">
        <f>E8563*G8550</f>
        <v>0</v>
      </c>
      <c r="J8563" s="68"/>
      <c r="K8563" s="56"/>
      <c r="L8563" s="56"/>
      <c r="M8563" s="56"/>
      <c r="N8563" s="56"/>
      <c r="O8563" s="56"/>
    </row>
    <row r="8564" spans="1:15">
      <c r="A8564" s="536" t="s">
        <v>4445</v>
      </c>
      <c r="B8564" s="537" t="str">
        <f>VLOOKUP(A8564,'Materiales '!$C$2:$F$1302,3,0)</f>
        <v>Ml</v>
      </c>
      <c r="C8564" s="98" t="str">
        <f>VLOOKUP(A8564,'Materiales '!$C$2:$F$1302,3,0)</f>
        <v>Ml</v>
      </c>
      <c r="D8564" s="99">
        <f>VLOOKUP(A8564,'Materiales '!$C$2:$F$1302,4,0)</f>
        <v>4426.8</v>
      </c>
      <c r="E8564" s="100">
        <v>15</v>
      </c>
      <c r="F8564" s="538">
        <f t="shared" si="499"/>
        <v>66402</v>
      </c>
      <c r="G8564" s="539"/>
      <c r="H8564" s="121"/>
      <c r="I8564">
        <f>E8564*G8550</f>
        <v>0</v>
      </c>
      <c r="J8564" s="68"/>
      <c r="K8564" s="56"/>
      <c r="L8564" s="56"/>
      <c r="M8564" s="56"/>
      <c r="N8564" s="56"/>
      <c r="O8564" s="56"/>
    </row>
    <row r="8565" spans="1:15">
      <c r="A8565" s="536" t="s">
        <v>4522</v>
      </c>
      <c r="B8565" s="537" t="str">
        <f>VLOOKUP(A8565,'Materiales '!$C$2:$F$1302,3,0)</f>
        <v>Und</v>
      </c>
      <c r="C8565" s="98" t="str">
        <f>VLOOKUP(A8565,'Materiales '!$C$2:$F$1302,3,0)</f>
        <v>Und</v>
      </c>
      <c r="D8565" s="99">
        <f>VLOOKUP(A8565,'Materiales '!$C$2:$F$1302,4,0)</f>
        <v>428400</v>
      </c>
      <c r="E8565" s="100">
        <v>2</v>
      </c>
      <c r="F8565" s="538">
        <f t="shared" si="499"/>
        <v>856800</v>
      </c>
      <c r="G8565" s="539"/>
      <c r="H8565" s="121"/>
      <c r="I8565">
        <f>E8565*G8550</f>
        <v>0</v>
      </c>
      <c r="J8565" s="68"/>
      <c r="K8565" s="56"/>
      <c r="L8565" s="56"/>
      <c r="M8565" s="56"/>
      <c r="N8565" s="56"/>
      <c r="O8565" s="56"/>
    </row>
    <row r="8566" spans="1:15">
      <c r="A8566" s="536" t="s">
        <v>4533</v>
      </c>
      <c r="B8566" s="537" t="str">
        <f>VLOOKUP(A8566,'Materiales '!$C$2:$F$1302,3,0)</f>
        <v>Und</v>
      </c>
      <c r="C8566" s="98" t="str">
        <f>VLOOKUP(A8566,'Materiales '!$C$2:$F$1302,3,0)</f>
        <v>Und</v>
      </c>
      <c r="D8566" s="99">
        <f>VLOOKUP(A8566,'Materiales '!$C$2:$F$1302,4,0)</f>
        <v>15708</v>
      </c>
      <c r="E8566" s="100">
        <v>2</v>
      </c>
      <c r="F8566" s="538">
        <f t="shared" si="499"/>
        <v>31416</v>
      </c>
      <c r="G8566" s="539"/>
      <c r="H8566" s="121"/>
      <c r="I8566">
        <f>E8566*G8550</f>
        <v>0</v>
      </c>
      <c r="J8566" s="68"/>
      <c r="K8566" s="56"/>
      <c r="L8566" s="56"/>
      <c r="M8566" s="56"/>
      <c r="N8566" s="56"/>
      <c r="O8566" s="56"/>
    </row>
    <row r="8567" spans="1:15" ht="21.75" customHeight="1">
      <c r="A8567" s="536" t="s">
        <v>4528</v>
      </c>
      <c r="B8567" s="537" t="str">
        <f>VLOOKUP(A8567,'Materiales '!$C$2:$F$1302,3,0)</f>
        <v>Und</v>
      </c>
      <c r="C8567" s="98" t="str">
        <f>VLOOKUP(A8567,'Materiales '!$C$2:$F$1302,3,0)</f>
        <v>Und</v>
      </c>
      <c r="D8567" s="99">
        <f>VLOOKUP(A8567,'Materiales '!$C$2:$F$1302,4,0)</f>
        <v>148155</v>
      </c>
      <c r="E8567" s="100">
        <v>2</v>
      </c>
      <c r="F8567" s="538">
        <f t="shared" si="499"/>
        <v>296310</v>
      </c>
      <c r="G8567" s="539"/>
      <c r="H8567" s="121"/>
      <c r="I8567">
        <f>E8567*G8550</f>
        <v>0</v>
      </c>
      <c r="J8567" s="68"/>
      <c r="K8567" s="56"/>
      <c r="L8567" s="56"/>
      <c r="M8567" s="56"/>
      <c r="N8567" s="56"/>
      <c r="O8567" s="56"/>
    </row>
    <row r="8568" spans="1:15">
      <c r="A8568" s="536" t="s">
        <v>4591</v>
      </c>
      <c r="B8568" s="537" t="str">
        <f>VLOOKUP(A8568,'Materiales '!$C$2:$F$1302,3,0)</f>
        <v>Und</v>
      </c>
      <c r="C8568" s="98" t="str">
        <f>VLOOKUP(A8568,'Materiales '!$C$2:$F$1302,3,0)</f>
        <v>Und</v>
      </c>
      <c r="D8568" s="99">
        <f>VLOOKUP(A8568,'Materiales '!$C$2:$F$1302,4,0)</f>
        <v>5640600</v>
      </c>
      <c r="E8568" s="100">
        <v>1</v>
      </c>
      <c r="F8568" s="538">
        <f>E8568*D8568</f>
        <v>5640600</v>
      </c>
      <c r="G8568" s="539"/>
      <c r="H8568" s="120"/>
      <c r="I8568">
        <f>E8568*G8550</f>
        <v>0</v>
      </c>
      <c r="J8568" s="68"/>
      <c r="K8568" s="56"/>
      <c r="L8568" s="56"/>
      <c r="M8568" s="56"/>
      <c r="N8568" s="56"/>
      <c r="O8568" s="56"/>
    </row>
    <row r="8569" spans="1:15">
      <c r="A8569" s="536" t="s">
        <v>4485</v>
      </c>
      <c r="B8569" s="537" t="str">
        <f>VLOOKUP(A8569,'Materiales '!$C$2:$F$1302,3,0)</f>
        <v>Und</v>
      </c>
      <c r="C8569" s="98" t="str">
        <f>VLOOKUP(A8569,'Materiales '!$C$2:$F$1302,3,0)</f>
        <v>Und</v>
      </c>
      <c r="D8569" s="99">
        <f>VLOOKUP(A8569,'Materiales '!$C$2:$F$1302,4,0)</f>
        <v>33129.599999999999</v>
      </c>
      <c r="E8569" s="100">
        <v>2</v>
      </c>
      <c r="F8569" s="538">
        <f t="shared" ref="F8569:F8574" si="500">E8569*D8569</f>
        <v>66259.199999999997</v>
      </c>
      <c r="G8569" s="539"/>
      <c r="H8569" s="121"/>
      <c r="I8569">
        <f>E8569*G8550</f>
        <v>0</v>
      </c>
      <c r="J8569" s="68"/>
      <c r="K8569" s="56"/>
      <c r="L8569" s="56"/>
      <c r="M8569" s="56"/>
      <c r="N8569" s="56"/>
      <c r="O8569" s="56"/>
    </row>
    <row r="8570" spans="1:15">
      <c r="A8570" s="536" t="s">
        <v>4499</v>
      </c>
      <c r="B8570" s="537" t="str">
        <f>VLOOKUP(A8570,'Materiales '!$C$2:$F$1302,3,0)</f>
        <v>Und</v>
      </c>
      <c r="C8570" s="98" t="str">
        <f>VLOOKUP(A8570,'Materiales '!$C$2:$F$1302,3,0)</f>
        <v>Und</v>
      </c>
      <c r="D8570" s="99">
        <f>VLOOKUP(A8570,'Materiales '!$C$2:$F$1302,4,0)</f>
        <v>198000.05399999997</v>
      </c>
      <c r="E8570" s="100">
        <v>1</v>
      </c>
      <c r="F8570" s="538">
        <f t="shared" si="500"/>
        <v>198000.05399999997</v>
      </c>
      <c r="G8570" s="539"/>
      <c r="H8570" s="121"/>
      <c r="I8570">
        <f>E8570*G8550</f>
        <v>0</v>
      </c>
      <c r="J8570" s="68"/>
      <c r="K8570" s="56"/>
      <c r="L8570" s="56"/>
      <c r="M8570" s="56"/>
      <c r="N8570" s="56"/>
      <c r="O8570" s="56"/>
    </row>
    <row r="8571" spans="1:15">
      <c r="A8571" s="536" t="s">
        <v>4545</v>
      </c>
      <c r="B8571" s="537" t="str">
        <f>VLOOKUP(A8571,'Materiales '!$C$2:$F$1302,3,0)</f>
        <v>Und</v>
      </c>
      <c r="C8571" s="98" t="str">
        <f>VLOOKUP(A8571,'Materiales '!$C$2:$F$1302,3,0)</f>
        <v>Und</v>
      </c>
      <c r="D8571" s="99">
        <f>VLOOKUP(A8571,'Materiales '!$C$2:$F$1302,4,0)</f>
        <v>851179.86800000002</v>
      </c>
      <c r="E8571" s="100">
        <v>1</v>
      </c>
      <c r="F8571" s="538">
        <f t="shared" si="500"/>
        <v>851179.86800000002</v>
      </c>
      <c r="G8571" s="539"/>
      <c r="H8571" s="121"/>
      <c r="I8571">
        <f>E8571*G8550</f>
        <v>0</v>
      </c>
      <c r="J8571" s="68"/>
      <c r="K8571" s="56"/>
      <c r="L8571" s="56"/>
      <c r="M8571" s="56"/>
      <c r="N8571" s="56"/>
      <c r="O8571" s="56"/>
    </row>
    <row r="8572" spans="1:15">
      <c r="A8572" s="536" t="s">
        <v>4585</v>
      </c>
      <c r="B8572" s="537" t="str">
        <f>VLOOKUP(A8572,'Materiales '!$C$2:$F$1302,3,0)</f>
        <v>Und</v>
      </c>
      <c r="C8572" s="98" t="str">
        <f>VLOOKUP(A8572,'Materiales '!$C$2:$F$1302,3,0)</f>
        <v>Und</v>
      </c>
      <c r="D8572" s="99">
        <f>VLOOKUP(A8572,'Materiales '!$C$2:$F$1302,4,0)</f>
        <v>217484.4</v>
      </c>
      <c r="E8572" s="100">
        <v>1</v>
      </c>
      <c r="F8572" s="538">
        <f t="shared" si="500"/>
        <v>217484.4</v>
      </c>
      <c r="G8572" s="539"/>
      <c r="H8572" s="121"/>
      <c r="I8572">
        <f>E8572*G8550</f>
        <v>0</v>
      </c>
      <c r="J8572" s="68"/>
      <c r="K8572" s="56"/>
      <c r="L8572" s="56"/>
      <c r="M8572" s="56"/>
      <c r="N8572" s="56"/>
      <c r="O8572" s="56"/>
    </row>
    <row r="8573" spans="1:15">
      <c r="A8573" s="536" t="s">
        <v>4549</v>
      </c>
      <c r="B8573" s="537" t="str">
        <f>VLOOKUP(A8573,'Materiales '!$C$2:$F$1302,3,0)</f>
        <v>Und</v>
      </c>
      <c r="C8573" s="98" t="str">
        <f>VLOOKUP(A8573,'Materiales '!$C$2:$F$1302,3,0)</f>
        <v>Und</v>
      </c>
      <c r="D8573" s="99">
        <f>VLOOKUP(A8573,'Materiales '!$C$2:$F$1302,4,0)</f>
        <v>49486.745000000003</v>
      </c>
      <c r="E8573" s="100">
        <v>1</v>
      </c>
      <c r="F8573" s="538">
        <f t="shared" si="500"/>
        <v>49486.745000000003</v>
      </c>
      <c r="G8573" s="539"/>
      <c r="H8573" s="121"/>
      <c r="I8573">
        <f>E8573*G8550</f>
        <v>0</v>
      </c>
      <c r="J8573" s="68"/>
      <c r="K8573" s="56"/>
      <c r="L8573" s="56"/>
      <c r="M8573" s="56"/>
      <c r="N8573" s="56"/>
      <c r="O8573" s="56"/>
    </row>
    <row r="8574" spans="1:15">
      <c r="A8574" s="536" t="s">
        <v>4521</v>
      </c>
      <c r="B8574" s="537" t="str">
        <f>VLOOKUP(A8574,'Materiales '!$C$2:$F$1302,3,0)</f>
        <v>Und</v>
      </c>
      <c r="C8574" s="98" t="str">
        <f>VLOOKUP(A8574,'Materiales '!$C$2:$F$1302,3,0)</f>
        <v>Und</v>
      </c>
      <c r="D8574" s="99">
        <f>VLOOKUP(A8574,'Materiales '!$C$2:$F$1302,4,0)</f>
        <v>9282</v>
      </c>
      <c r="E8574" s="100">
        <v>1</v>
      </c>
      <c r="F8574" s="538">
        <f t="shared" si="500"/>
        <v>9282</v>
      </c>
      <c r="G8574" s="539"/>
      <c r="H8574" s="121"/>
      <c r="I8574">
        <f>E8574*G8550</f>
        <v>0</v>
      </c>
      <c r="J8574" s="68"/>
      <c r="K8574" s="56"/>
      <c r="L8574" s="56"/>
      <c r="M8574" s="56"/>
      <c r="N8574" s="56"/>
      <c r="O8574" s="56"/>
    </row>
    <row r="8575" spans="1:15">
      <c r="A8575" s="536" t="s">
        <v>4496</v>
      </c>
      <c r="B8575" s="537" t="str">
        <f>VLOOKUP(A8575,'Materiales '!$C$2:$F$1302,3,0)</f>
        <v>Ml</v>
      </c>
      <c r="C8575" s="98" t="str">
        <f>VLOOKUP(A8575,'Materiales '!$C$2:$F$1302,3,0)</f>
        <v>Ml</v>
      </c>
      <c r="D8575" s="99">
        <f>VLOOKUP(A8575,'Materiales '!$C$2:$F$1302,4,0)</f>
        <v>13566</v>
      </c>
      <c r="E8575" s="100">
        <v>2</v>
      </c>
      <c r="F8575" s="538">
        <f>E8575*D8575</f>
        <v>27132</v>
      </c>
      <c r="G8575" s="539"/>
      <c r="H8575" s="120"/>
      <c r="I8575">
        <f>E8575*G8550</f>
        <v>0</v>
      </c>
      <c r="J8575" s="68"/>
      <c r="K8575" s="56"/>
      <c r="L8575" s="56"/>
      <c r="M8575" s="56"/>
      <c r="N8575" s="56"/>
      <c r="O8575" s="56"/>
    </row>
    <row r="8576" spans="1:15">
      <c r="A8576" s="536" t="s">
        <v>4494</v>
      </c>
      <c r="B8576" s="537" t="str">
        <f>VLOOKUP(A8576,'Materiales '!$C$2:$F$1302,3,0)</f>
        <v>Und</v>
      </c>
      <c r="C8576" s="98" t="str">
        <f>VLOOKUP(A8576,'Materiales '!$C$2:$F$1302,3,0)</f>
        <v>Und</v>
      </c>
      <c r="D8576" s="99">
        <f>VLOOKUP(A8576,'Materiales '!$C$2:$F$1302,4,0)</f>
        <v>9581.8799999999992</v>
      </c>
      <c r="E8576" s="100">
        <v>2</v>
      </c>
      <c r="F8576" s="538">
        <f>E8576*D8576</f>
        <v>19163.759999999998</v>
      </c>
      <c r="G8576" s="539"/>
      <c r="H8576" s="120"/>
      <c r="I8576">
        <f>E8576*G8550</f>
        <v>0</v>
      </c>
      <c r="J8576" s="68"/>
      <c r="K8576" s="56"/>
      <c r="L8576" s="56"/>
      <c r="M8576" s="56"/>
      <c r="N8576" s="56"/>
      <c r="O8576" s="56"/>
    </row>
    <row r="8577" spans="1:15" ht="16.5">
      <c r="A8577" s="540" t="s">
        <v>4099</v>
      </c>
      <c r="B8577" s="541"/>
      <c r="C8577" s="541"/>
      <c r="D8577" s="541"/>
      <c r="E8577" s="541"/>
      <c r="F8577" s="541"/>
      <c r="G8577" s="542"/>
      <c r="H8577" s="116">
        <f>SUM(F8560:F8576)</f>
        <v>8893456.0749999993</v>
      </c>
      <c r="J8577" s="68"/>
      <c r="K8577" s="56"/>
      <c r="L8577" s="56"/>
      <c r="M8577" s="56"/>
      <c r="N8577" s="56"/>
      <c r="O8577" s="56"/>
    </row>
    <row r="8578" spans="1:15" ht="16.5">
      <c r="A8578" s="543" t="s">
        <v>4231</v>
      </c>
      <c r="B8578" s="544"/>
      <c r="C8578" s="544"/>
      <c r="D8578" s="544"/>
      <c r="E8578" s="545"/>
      <c r="F8578" s="544"/>
      <c r="G8578" s="544"/>
      <c r="H8578" s="546"/>
      <c r="J8578" s="68"/>
      <c r="K8578" s="56"/>
      <c r="L8578" s="56"/>
      <c r="M8578" s="56"/>
      <c r="N8578" s="56"/>
      <c r="O8578" s="56"/>
    </row>
    <row r="8579" spans="1:15">
      <c r="A8579" s="547" t="s">
        <v>7</v>
      </c>
      <c r="B8579" s="548"/>
      <c r="C8579" s="108" t="s">
        <v>4232</v>
      </c>
      <c r="D8579" s="107" t="s">
        <v>4233</v>
      </c>
      <c r="E8579" s="206" t="s">
        <v>4234</v>
      </c>
      <c r="F8579" s="549" t="s">
        <v>4218</v>
      </c>
      <c r="G8579" s="549"/>
      <c r="H8579" s="119"/>
      <c r="K8579" s="56"/>
      <c r="L8579" s="56"/>
      <c r="M8579" s="56"/>
      <c r="N8579" s="56"/>
      <c r="O8579" s="56"/>
    </row>
    <row r="8580" spans="1:15">
      <c r="A8580" s="550" t="s">
        <v>3928</v>
      </c>
      <c r="B8580" s="551"/>
      <c r="C8580" s="232">
        <v>1</v>
      </c>
      <c r="D8580" s="102">
        <v>0.1</v>
      </c>
      <c r="E8580" s="103">
        <f>VLOOKUP(A8580,'Equip, Herr y Transp'!$B$2:$D$218,3,0)</f>
        <v>160000</v>
      </c>
      <c r="F8580" s="552">
        <f>E8580*D8580*C8580</f>
        <v>16000</v>
      </c>
      <c r="G8580" s="553"/>
      <c r="H8580" s="117"/>
      <c r="M8580" s="56"/>
    </row>
    <row r="8581" spans="1:15" ht="16.5">
      <c r="A8581" s="554" t="s">
        <v>4216</v>
      </c>
      <c r="B8581" s="555"/>
      <c r="C8581" s="555"/>
      <c r="D8581" s="555"/>
      <c r="E8581" s="555"/>
      <c r="F8581" s="555"/>
      <c r="G8581" s="555"/>
      <c r="H8581" s="105">
        <f>F8580</f>
        <v>16000</v>
      </c>
    </row>
    <row r="8582" spans="1:15" ht="16.5">
      <c r="A8582" s="543" t="s">
        <v>4235</v>
      </c>
      <c r="B8582" s="544"/>
      <c r="C8582" s="544"/>
      <c r="D8582" s="544"/>
      <c r="E8582" s="544"/>
      <c r="F8582" s="544"/>
      <c r="G8582" s="544"/>
      <c r="H8582" s="546"/>
    </row>
    <row r="8583" spans="1:15">
      <c r="A8583" s="547" t="s">
        <v>7</v>
      </c>
      <c r="B8583" s="548"/>
      <c r="C8583" s="106" t="s">
        <v>1</v>
      </c>
      <c r="D8583" s="107" t="s">
        <v>4236</v>
      </c>
      <c r="E8583" s="108" t="s">
        <v>4215</v>
      </c>
      <c r="F8583" s="547" t="s">
        <v>5</v>
      </c>
      <c r="G8583" s="556"/>
      <c r="H8583" s="119"/>
    </row>
    <row r="8584" spans="1:15">
      <c r="A8584" s="550" t="s">
        <v>4196</v>
      </c>
      <c r="B8584" s="551"/>
      <c r="C8584" s="101">
        <v>1</v>
      </c>
      <c r="D8584" s="104">
        <f>VLOOKUP(A8584,'Mano Obra'!$B$2:$T$117,19,0)</f>
        <v>166624</v>
      </c>
      <c r="E8584" s="246">
        <f>H8543</f>
        <v>0.3125</v>
      </c>
      <c r="F8584" s="538">
        <f>E8584*D8584*C8584</f>
        <v>52070</v>
      </c>
      <c r="G8584" s="557"/>
      <c r="H8584" s="121"/>
      <c r="I8584" s="69"/>
      <c r="J8584" s="136">
        <f>((('Mano Obra'!$M$4/30)*F8584)/D8584)*G8550</f>
        <v>0</v>
      </c>
    </row>
    <row r="8585" spans="1:15">
      <c r="A8585" s="558" t="s">
        <v>4197</v>
      </c>
      <c r="B8585" s="559">
        <f>VLOOKUP(A8585,'Mano Obra'!$B$3:$D$290,2,0)</f>
        <v>2090000.0000000002</v>
      </c>
      <c r="C8585" s="101">
        <v>2</v>
      </c>
      <c r="D8585" s="104">
        <f>VLOOKUP(A8585,'Mano Obra'!$B$2:$T$117,19,0)</f>
        <v>120456</v>
      </c>
      <c r="E8585" s="246">
        <f>H8543</f>
        <v>0.3125</v>
      </c>
      <c r="F8585" s="538">
        <f t="shared" ref="F8585:F8586" si="501">E8585*D8585*C8585</f>
        <v>75285</v>
      </c>
      <c r="G8585" s="557"/>
      <c r="H8585" s="121"/>
      <c r="J8585" s="136">
        <f>((('Mano Obra'!$M$5/30)*F8585)/D8585)*G8550</f>
        <v>0</v>
      </c>
    </row>
    <row r="8586" spans="1:15">
      <c r="A8586" s="558" t="s">
        <v>4186</v>
      </c>
      <c r="B8586" s="559">
        <f>VLOOKUP(A8586,'Mano Obra'!$B$3:$D$290,2,0)</f>
        <v>1100000</v>
      </c>
      <c r="C8586" s="101">
        <v>2</v>
      </c>
      <c r="D8586" s="104">
        <f>VLOOKUP(A8586,'Mano Obra'!$B$2:$T$117,19,0)</f>
        <v>72664</v>
      </c>
      <c r="E8586" s="246">
        <f>H8543</f>
        <v>0.3125</v>
      </c>
      <c r="F8586" s="538">
        <f t="shared" si="501"/>
        <v>45415</v>
      </c>
      <c r="G8586" s="557"/>
      <c r="H8586" s="120"/>
      <c r="J8586" s="136">
        <f>((('Mano Obra'!$M$6/30)*F8586)/D8586)*G8550</f>
        <v>0</v>
      </c>
    </row>
    <row r="8587" spans="1:15" ht="16.5">
      <c r="A8587" s="560" t="s">
        <v>4101</v>
      </c>
      <c r="B8587" s="560"/>
      <c r="C8587" s="560"/>
      <c r="D8587" s="560"/>
      <c r="E8587" s="560"/>
      <c r="F8587" s="560"/>
      <c r="G8587" s="560"/>
      <c r="H8587" s="105">
        <f>SUM(F8584:F8586)</f>
        <v>172770</v>
      </c>
      <c r="J8587" s="136"/>
    </row>
    <row r="8588" spans="1:15">
      <c r="A8588" s="227" t="s">
        <v>4237</v>
      </c>
      <c r="B8588" s="205"/>
      <c r="C8588" s="205"/>
      <c r="D8588" s="202"/>
      <c r="E8588" s="203"/>
      <c r="F8588" s="204"/>
      <c r="G8588" s="203"/>
      <c r="H8588" s="212"/>
    </row>
    <row r="8589" spans="1:15">
      <c r="A8589" s="561" t="s">
        <v>4224</v>
      </c>
      <c r="B8589" s="562"/>
      <c r="C8589" s="562"/>
      <c r="D8589" s="562"/>
      <c r="E8589" s="200"/>
      <c r="F8589" s="201" t="s">
        <v>4238</v>
      </c>
      <c r="G8589" s="200" t="s">
        <v>4239</v>
      </c>
      <c r="H8589" s="213"/>
    </row>
    <row r="8590" spans="1:15">
      <c r="A8590" s="223" t="s">
        <v>4097</v>
      </c>
      <c r="B8590" s="72"/>
      <c r="C8590" s="72"/>
      <c r="D8590" s="73"/>
      <c r="E8590" s="78"/>
      <c r="F8590" s="79">
        <v>0</v>
      </c>
      <c r="G8590" s="80">
        <f>F8590*H8551</f>
        <v>0</v>
      </c>
      <c r="H8590" s="212"/>
    </row>
    <row r="8591" spans="1:15">
      <c r="A8591" s="224" t="s">
        <v>4240</v>
      </c>
      <c r="B8591" s="81"/>
      <c r="C8591" s="81"/>
      <c r="D8591" s="82"/>
      <c r="E8591" s="78"/>
      <c r="F8591" s="79">
        <v>0</v>
      </c>
      <c r="G8591" s="80">
        <f>F8591*H8551</f>
        <v>0</v>
      </c>
      <c r="H8591" s="212"/>
    </row>
    <row r="8592" spans="1:15">
      <c r="A8592" s="224" t="s">
        <v>4</v>
      </c>
      <c r="B8592" s="81"/>
      <c r="C8592" s="81"/>
      <c r="D8592" s="82"/>
      <c r="E8592" s="78"/>
      <c r="F8592" s="79">
        <v>0</v>
      </c>
      <c r="G8592" s="80">
        <f>F8592*H8551</f>
        <v>0</v>
      </c>
      <c r="H8592" s="212"/>
    </row>
    <row r="8593" spans="1:14">
      <c r="A8593" s="225"/>
      <c r="B8593" s="83"/>
      <c r="C8593" s="75"/>
      <c r="D8593" s="84"/>
      <c r="E8593" s="85"/>
      <c r="F8593" s="86"/>
      <c r="G8593" s="87"/>
      <c r="H8593" s="214"/>
    </row>
    <row r="8594" spans="1:14">
      <c r="A8594" s="226"/>
      <c r="B8594" s="83"/>
      <c r="C8594" s="83"/>
      <c r="D8594" s="84"/>
      <c r="E8594" s="88"/>
      <c r="F8594" s="563" t="s">
        <v>4241</v>
      </c>
      <c r="G8594" s="564"/>
      <c r="H8594" s="233">
        <f>H8551+G8590+G8591+G8592</f>
        <v>9686641.6999999993</v>
      </c>
    </row>
    <row r="8595" spans="1:14">
      <c r="A8595" s="83"/>
      <c r="B8595" s="83"/>
      <c r="C8595" s="83"/>
      <c r="D8595" s="84"/>
      <c r="E8595" s="388"/>
      <c r="F8595" s="389"/>
      <c r="G8595" s="389"/>
      <c r="H8595" s="390"/>
    </row>
    <row r="8596" spans="1:14" ht="16.5">
      <c r="A8596" s="90"/>
      <c r="B8596" s="90"/>
      <c r="C8596" s="90"/>
      <c r="D8596" s="90"/>
      <c r="E8596" s="90"/>
      <c r="F8596" s="90"/>
      <c r="G8596" s="90"/>
      <c r="H8596" s="381"/>
    </row>
    <row r="8597" spans="1:14">
      <c r="A8597" s="579" t="s">
        <v>4225</v>
      </c>
      <c r="B8597" s="580"/>
      <c r="C8597" s="580"/>
      <c r="D8597" s="580"/>
      <c r="E8597" s="580"/>
      <c r="F8597" s="580"/>
      <c r="G8597" s="580"/>
      <c r="H8597" s="581"/>
    </row>
    <row r="8598" spans="1:14" ht="16.5">
      <c r="A8598" s="91"/>
      <c r="B8598" s="92"/>
      <c r="C8598" s="92"/>
      <c r="D8598" s="92"/>
      <c r="E8598" s="92"/>
      <c r="F8598" s="93"/>
      <c r="G8598" s="94"/>
      <c r="H8598" s="380">
        <f>ROUND((80/60)/8,4)</f>
        <v>0.16669999999999999</v>
      </c>
      <c r="I8598" s="115"/>
    </row>
    <row r="8599" spans="1:14">
      <c r="A8599" s="582" t="s">
        <v>4220</v>
      </c>
      <c r="B8599" s="584" t="str">
        <f>COSTOS!$C$14</f>
        <v>MODERNIZACION A TECNOLOGIA LED</v>
      </c>
      <c r="C8599" s="584"/>
      <c r="D8599" s="584"/>
      <c r="E8599" s="584"/>
      <c r="F8599" s="584"/>
      <c r="G8599" s="584"/>
      <c r="H8599" s="585" t="s">
        <v>4221</v>
      </c>
    </row>
    <row r="8600" spans="1:14">
      <c r="A8600" s="583"/>
      <c r="B8600" s="584"/>
      <c r="C8600" s="584"/>
      <c r="D8600" s="584"/>
      <c r="E8600" s="584"/>
      <c r="F8600" s="584"/>
      <c r="G8600" s="584"/>
      <c r="H8600" s="585"/>
    </row>
    <row r="8601" spans="1:14">
      <c r="A8601" s="583"/>
      <c r="B8601" s="584"/>
      <c r="C8601" s="584"/>
      <c r="D8601" s="584"/>
      <c r="E8601" s="584"/>
      <c r="F8601" s="584"/>
      <c r="G8601" s="584"/>
      <c r="H8601" s="585"/>
    </row>
    <row r="8602" spans="1:14" ht="15" customHeight="1">
      <c r="A8602" s="583"/>
      <c r="B8602" s="584"/>
      <c r="C8602" s="584"/>
      <c r="D8602" s="584"/>
      <c r="E8602" s="584"/>
      <c r="F8602" s="584"/>
      <c r="G8602" s="584"/>
      <c r="H8602" s="216">
        <f ca="1">TODAY()</f>
        <v>44889</v>
      </c>
      <c r="K8602" t="s">
        <v>4391</v>
      </c>
      <c r="L8602" t="s">
        <v>4392</v>
      </c>
      <c r="M8602" t="s">
        <v>4393</v>
      </c>
      <c r="N8602" t="s">
        <v>4394</v>
      </c>
    </row>
    <row r="8603" spans="1:14" ht="60.75" customHeight="1">
      <c r="A8603" s="228" t="s">
        <v>4222</v>
      </c>
      <c r="B8603" s="565" t="str">
        <f>COSTOS!$D$16</f>
        <v>Luminarias</v>
      </c>
      <c r="C8603" s="565"/>
      <c r="D8603" s="565"/>
      <c r="E8603" s="565"/>
      <c r="F8603" s="565"/>
      <c r="G8603" s="70" t="s">
        <v>4223</v>
      </c>
      <c r="H8603" s="387">
        <v>4.5999999999999996</v>
      </c>
      <c r="K8603" s="62">
        <f>H8632</f>
        <v>264628.86323999998</v>
      </c>
      <c r="L8603" s="62">
        <f>H8642</f>
        <v>92162.428799999994</v>
      </c>
      <c r="M8603" s="62">
        <f>H8612</f>
        <v>6801.7767499999991</v>
      </c>
      <c r="N8603" s="62">
        <f>H8636</f>
        <v>16000</v>
      </c>
    </row>
    <row r="8604" spans="1:14" ht="43.15" customHeight="1">
      <c r="A8604" s="229" t="s">
        <v>4224</v>
      </c>
      <c r="B8604" s="566" t="str">
        <f>VLOOKUP(H8603,COSTOS!C:M,2,0)</f>
        <v>Retenida 90°</v>
      </c>
      <c r="C8604" s="567"/>
      <c r="D8604" s="567"/>
      <c r="E8604" s="568"/>
      <c r="F8604" s="71" t="s">
        <v>0</v>
      </c>
      <c r="G8604" s="356" t="str">
        <f>VLOOKUP(H8603,COSTOS!C:M,8,0)</f>
        <v>Und</v>
      </c>
      <c r="H8604" s="276"/>
      <c r="I8604" s="306"/>
      <c r="J8604" s="308"/>
      <c r="K8604" s="308"/>
      <c r="L8604" s="308"/>
    </row>
    <row r="8605" spans="1:14">
      <c r="A8605" s="230"/>
      <c r="B8605" s="112"/>
      <c r="C8605" s="112"/>
      <c r="D8605" s="112"/>
      <c r="E8605" s="113"/>
      <c r="F8605" s="114" t="s">
        <v>1</v>
      </c>
      <c r="G8605" s="356">
        <f>VLOOKUP(H8603,COSTOS!C:M,9,0)</f>
        <v>0</v>
      </c>
      <c r="H8605" s="357"/>
      <c r="I8605" s="307"/>
    </row>
    <row r="8606" spans="1:14" ht="16.5">
      <c r="A8606" s="231" t="s">
        <v>4226</v>
      </c>
      <c r="B8606" s="75"/>
      <c r="C8606" s="75"/>
      <c r="D8606" s="76"/>
      <c r="E8606" s="209"/>
      <c r="F8606" s="210"/>
      <c r="G8606" s="211" t="s">
        <v>4227</v>
      </c>
      <c r="H8606" s="217">
        <f>H8612+H8632+H8636+H8642</f>
        <v>379593.06878999999</v>
      </c>
    </row>
    <row r="8607" spans="1:14" ht="39">
      <c r="A8607" s="569" t="s">
        <v>4224</v>
      </c>
      <c r="B8607" s="569"/>
      <c r="C8607" s="569"/>
      <c r="D8607" s="77" t="s">
        <v>0</v>
      </c>
      <c r="E8607" s="207" t="s">
        <v>4228</v>
      </c>
      <c r="F8607" s="208" t="s">
        <v>4215</v>
      </c>
      <c r="G8607" s="74" t="s">
        <v>2</v>
      </c>
      <c r="H8607" s="218" t="s">
        <v>4229</v>
      </c>
      <c r="K8607" s="309"/>
    </row>
    <row r="8608" spans="1:14">
      <c r="A8608" s="536" t="s">
        <v>3946</v>
      </c>
      <c r="B8608" s="570" t="str">
        <f>VLOOKUP(A8608,'Equip, Herr y Transp'!$B$2:$D$739,2,0)</f>
        <v>EQU</v>
      </c>
      <c r="C8608" s="570"/>
      <c r="D8608" s="95" t="str">
        <f>VLOOKUP(A8608,'Equip, Herr y Transp'!$B$2:$D$218,2,0)</f>
        <v>EQU</v>
      </c>
      <c r="E8608" s="95">
        <f>VLOOKUP(A8608,'Equip, Herr y Transp'!$B$2:$D$218,3,0)</f>
        <v>14130</v>
      </c>
      <c r="F8608" s="96">
        <f>H8598</f>
        <v>0.16669999999999999</v>
      </c>
      <c r="G8608" s="122">
        <f>F8608*E8608</f>
        <v>2355.471</v>
      </c>
      <c r="H8608" s="118"/>
    </row>
    <row r="8609" spans="1:15">
      <c r="A8609" s="536" t="s">
        <v>3904</v>
      </c>
      <c r="B8609" s="570" t="str">
        <f>VLOOKUP(A8609,'Equip, Herr y Transp'!$B$2:$D$739,2,0)</f>
        <v>EQU</v>
      </c>
      <c r="C8609" s="570"/>
      <c r="D8609" s="95" t="str">
        <f>VLOOKUP(A8609,'Equip, Herr y Transp'!$B$2:$D$218,2,0)</f>
        <v>EQU</v>
      </c>
      <c r="E8609" s="95">
        <f>VLOOKUP(A8609,'Equip, Herr y Transp'!$B$2:$D$218,3,0)</f>
        <v>26672.5</v>
      </c>
      <c r="F8609" s="96">
        <f>H8598</f>
        <v>0.16669999999999999</v>
      </c>
      <c r="G8609" s="122">
        <f>F8609*E8609</f>
        <v>4446.3057499999995</v>
      </c>
      <c r="H8609" s="117"/>
    </row>
    <row r="8610" spans="1:15">
      <c r="A8610" s="536" t="s">
        <v>8</v>
      </c>
      <c r="B8610" s="570">
        <f>VLOOKUP(A8610,'Equip, Herr y Transp'!$B$2:$D$739,2,0)</f>
        <v>0</v>
      </c>
      <c r="C8610" s="570"/>
      <c r="D8610" s="95">
        <f>VLOOKUP(A8610,'Equip, Herr y Transp'!$B$2:$D$218,2,0)</f>
        <v>0</v>
      </c>
      <c r="E8610" s="95">
        <f>VLOOKUP(A8610,'Equip, Herr y Transp'!$B$2:$D$218,3,0)</f>
        <v>0</v>
      </c>
      <c r="F8610" s="96">
        <f>H8598</f>
        <v>0.16669999999999999</v>
      </c>
      <c r="G8610" s="122">
        <f>F8610*E8610</f>
        <v>0</v>
      </c>
      <c r="H8610" s="117"/>
    </row>
    <row r="8611" spans="1:15">
      <c r="A8611" s="536" t="s">
        <v>8</v>
      </c>
      <c r="B8611" s="570">
        <f>VLOOKUP(A8611,'Equip, Herr y Transp'!$B$2:$D$739,2,0)</f>
        <v>0</v>
      </c>
      <c r="C8611" s="570"/>
      <c r="D8611" s="95">
        <f>VLOOKUP(A8611,'Equip, Herr y Transp'!$B$2:$D$218,2,0)</f>
        <v>0</v>
      </c>
      <c r="E8611" s="95">
        <f>VLOOKUP(A8611,'Equip, Herr y Transp'!$B$2:$D$218,3,0)</f>
        <v>0</v>
      </c>
      <c r="F8611" s="96">
        <f>H8598</f>
        <v>0.16669999999999999</v>
      </c>
      <c r="G8611" s="122">
        <f>F8611*E8611</f>
        <v>0</v>
      </c>
      <c r="H8611" s="117"/>
    </row>
    <row r="8612" spans="1:15" ht="16.5">
      <c r="A8612" s="540" t="s">
        <v>4100</v>
      </c>
      <c r="B8612" s="541"/>
      <c r="C8612" s="541"/>
      <c r="D8612" s="541"/>
      <c r="E8612" s="541"/>
      <c r="F8612" s="541"/>
      <c r="G8612" s="541"/>
      <c r="H8612" s="97">
        <f>SUM(G8608:G8611)</f>
        <v>6801.7767499999991</v>
      </c>
    </row>
    <row r="8613" spans="1:15" ht="16.5">
      <c r="A8613" s="571" t="s">
        <v>4230</v>
      </c>
      <c r="B8613" s="572"/>
      <c r="C8613" s="572"/>
      <c r="D8613" s="572"/>
      <c r="E8613" s="572"/>
      <c r="F8613" s="572"/>
      <c r="G8613" s="572"/>
      <c r="H8613" s="573"/>
      <c r="K8613" s="56"/>
      <c r="L8613" s="56"/>
      <c r="M8613" s="56"/>
      <c r="N8613" s="56"/>
      <c r="O8613" s="56"/>
    </row>
    <row r="8614" spans="1:15" ht="30" customHeight="1">
      <c r="A8614" s="574" t="s">
        <v>7</v>
      </c>
      <c r="B8614" s="575"/>
      <c r="C8614" s="109" t="s">
        <v>0</v>
      </c>
      <c r="D8614" s="110" t="s">
        <v>4098</v>
      </c>
      <c r="E8614" s="111" t="s">
        <v>1</v>
      </c>
      <c r="F8614" s="576" t="s">
        <v>4218</v>
      </c>
      <c r="G8614" s="576"/>
      <c r="H8614" s="215"/>
      <c r="K8614" s="56"/>
      <c r="L8614" s="56"/>
      <c r="M8614" s="56"/>
      <c r="N8614" s="56"/>
      <c r="O8614" s="56"/>
    </row>
    <row r="8615" spans="1:15">
      <c r="A8615" s="577" t="s">
        <v>4486</v>
      </c>
      <c r="B8615" s="578"/>
      <c r="C8615" s="98" t="str">
        <f>VLOOKUP(A8615,'Materiales '!$C$2:$F$1302,3,0)</f>
        <v>Und</v>
      </c>
      <c r="D8615" s="99">
        <f>VLOOKUP(A8615,'Materiales '!$C$2:$F$1302,4,0)</f>
        <v>15993.599999999999</v>
      </c>
      <c r="E8615" s="100">
        <v>1</v>
      </c>
      <c r="F8615" s="538">
        <f>E8615*D8615</f>
        <v>15993.599999999999</v>
      </c>
      <c r="G8615" s="539"/>
      <c r="H8615" s="121"/>
      <c r="I8615">
        <f>E8615*G8605</f>
        <v>0</v>
      </c>
      <c r="J8615" s="67"/>
      <c r="K8615" s="56"/>
      <c r="L8615" s="56"/>
      <c r="M8615" s="56"/>
      <c r="N8615" s="56"/>
      <c r="O8615" s="56"/>
    </row>
    <row r="8616" spans="1:15">
      <c r="A8616" s="577" t="s">
        <v>4437</v>
      </c>
      <c r="B8616" s="578"/>
      <c r="C8616" s="98" t="str">
        <f>VLOOKUP(A8616,'Materiales '!$C$2:$F$1302,3,0)</f>
        <v>Und</v>
      </c>
      <c r="D8616" s="99">
        <f>VLOOKUP(A8616,'Materiales '!$C$2:$F$1302,4,0)</f>
        <v>92820</v>
      </c>
      <c r="E8616" s="100">
        <v>1</v>
      </c>
      <c r="F8616" s="538">
        <f t="shared" ref="F8616:F8622" si="502">E8616*D8616</f>
        <v>92820</v>
      </c>
      <c r="G8616" s="539"/>
      <c r="H8616" s="121"/>
      <c r="I8616">
        <f>E8616*G8605</f>
        <v>0</v>
      </c>
      <c r="J8616" s="67"/>
      <c r="K8616" s="56"/>
      <c r="L8616" s="56"/>
      <c r="M8616" s="56"/>
      <c r="N8616" s="56"/>
      <c r="O8616" s="56"/>
    </row>
    <row r="8617" spans="1:15">
      <c r="A8617" s="536" t="s">
        <v>4438</v>
      </c>
      <c r="B8617" s="537" t="str">
        <f>VLOOKUP(A8617,'Materiales '!$C$2:$F$1302,3,0)</f>
        <v>Ml</v>
      </c>
      <c r="C8617" s="98" t="str">
        <f>VLOOKUP(A8617,'Materiales '!$C$2:$F$1302,3,0)</f>
        <v>Ml</v>
      </c>
      <c r="D8617" s="99">
        <f>VLOOKUP(A8617,'Materiales '!$C$2:$F$1302,4,0)</f>
        <v>6447.4199999999992</v>
      </c>
      <c r="E8617" s="100">
        <v>12</v>
      </c>
      <c r="F8617" s="538">
        <f t="shared" si="502"/>
        <v>77369.039999999994</v>
      </c>
      <c r="G8617" s="539"/>
      <c r="H8617" s="121"/>
      <c r="I8617">
        <f>E8617*G8605</f>
        <v>0</v>
      </c>
      <c r="J8617" s="68"/>
      <c r="K8617" s="56"/>
      <c r="L8617" s="56"/>
      <c r="M8617" s="56"/>
      <c r="N8617" s="56"/>
      <c r="O8617" s="56"/>
    </row>
    <row r="8618" spans="1:15">
      <c r="A8618" s="536" t="s">
        <v>4420</v>
      </c>
      <c r="B8618" s="537" t="str">
        <f>VLOOKUP(A8618,'Materiales '!$C$2:$F$1302,3,0)</f>
        <v>Und</v>
      </c>
      <c r="C8618" s="98" t="str">
        <f>VLOOKUP(A8618,'Materiales '!$C$2:$F$1302,3,0)</f>
        <v>Und</v>
      </c>
      <c r="D8618" s="99">
        <f>VLOOKUP(A8618,'Materiales '!$C$2:$F$1302,4,0)</f>
        <v>9147.7679999999982</v>
      </c>
      <c r="E8618" s="100">
        <v>1</v>
      </c>
      <c r="F8618" s="538">
        <f t="shared" si="502"/>
        <v>9147.7679999999982</v>
      </c>
      <c r="G8618" s="539"/>
      <c r="H8618" s="121"/>
      <c r="I8618">
        <f>E8618*G8605</f>
        <v>0</v>
      </c>
      <c r="J8618" s="68"/>
      <c r="K8618" s="56"/>
      <c r="L8618" s="56"/>
      <c r="M8618" s="56"/>
      <c r="N8618" s="56"/>
      <c r="O8618" s="56"/>
    </row>
    <row r="8619" spans="1:15">
      <c r="A8619" s="536" t="s">
        <v>4536</v>
      </c>
      <c r="B8619" s="537" t="str">
        <f>VLOOKUP(A8619,'Materiales '!$C$2:$F$1302,3,0)</f>
        <v>Und</v>
      </c>
      <c r="C8619" s="98" t="str">
        <f>VLOOKUP(A8619,'Materiales '!$C$2:$F$1302,3,0)</f>
        <v>Und</v>
      </c>
      <c r="D8619" s="99">
        <f>VLOOKUP(A8619,'Materiales '!$C$2:$F$1302,4,0)</f>
        <v>15599.943239999999</v>
      </c>
      <c r="E8619" s="100">
        <v>1</v>
      </c>
      <c r="F8619" s="538">
        <f t="shared" si="502"/>
        <v>15599.943239999999</v>
      </c>
      <c r="G8619" s="539"/>
      <c r="H8619" s="121"/>
      <c r="I8619">
        <f>E8619*G8605</f>
        <v>0</v>
      </c>
      <c r="J8619" s="68"/>
      <c r="K8619" s="56"/>
      <c r="L8619" s="56"/>
      <c r="M8619" s="56"/>
      <c r="N8619" s="56"/>
      <c r="O8619" s="56"/>
    </row>
    <row r="8620" spans="1:15">
      <c r="A8620" s="536" t="s">
        <v>4535</v>
      </c>
      <c r="B8620" s="537" t="str">
        <f>VLOOKUP(A8620,'Materiales '!$C$2:$F$1302,3,0)</f>
        <v>Und</v>
      </c>
      <c r="C8620" s="98" t="str">
        <f>VLOOKUP(A8620,'Materiales '!$C$2:$F$1302,3,0)</f>
        <v>Und</v>
      </c>
      <c r="D8620" s="99">
        <f>VLOOKUP(A8620,'Materiales '!$C$2:$F$1302,4,0)</f>
        <v>12566.4</v>
      </c>
      <c r="E8620" s="100">
        <v>2</v>
      </c>
      <c r="F8620" s="538">
        <f t="shared" si="502"/>
        <v>25132.799999999999</v>
      </c>
      <c r="G8620" s="539"/>
      <c r="H8620" s="121"/>
      <c r="I8620">
        <f>E8620*G8605</f>
        <v>0</v>
      </c>
      <c r="J8620" s="68"/>
      <c r="K8620" s="56"/>
      <c r="L8620" s="56"/>
      <c r="M8620" s="56"/>
      <c r="N8620" s="56"/>
      <c r="O8620" s="56"/>
    </row>
    <row r="8621" spans="1:15">
      <c r="A8621" s="536" t="s">
        <v>4605</v>
      </c>
      <c r="B8621" s="537" t="str">
        <f>VLOOKUP(A8621,'Materiales '!$C$2:$F$1302,3,0)</f>
        <v>Und</v>
      </c>
      <c r="C8621" s="98" t="str">
        <f>VLOOKUP(A8621,'Materiales '!$C$2:$F$1302,3,0)</f>
        <v>Und</v>
      </c>
      <c r="D8621" s="99">
        <f>VLOOKUP(A8621,'Materiales '!$C$2:$F$1302,4,0)</f>
        <v>25389.84</v>
      </c>
      <c r="E8621" s="100">
        <v>1</v>
      </c>
      <c r="F8621" s="538">
        <f t="shared" si="502"/>
        <v>25389.84</v>
      </c>
      <c r="G8621" s="539"/>
      <c r="H8621" s="121"/>
      <c r="I8621">
        <f>E8621*G8605</f>
        <v>0</v>
      </c>
      <c r="J8621" s="68"/>
      <c r="K8621" s="56"/>
      <c r="L8621" s="56"/>
      <c r="M8621" s="56"/>
      <c r="N8621" s="56"/>
      <c r="O8621" s="56"/>
    </row>
    <row r="8622" spans="1:15" ht="21.75" customHeight="1">
      <c r="A8622" s="536" t="s">
        <v>4537</v>
      </c>
      <c r="B8622" s="537" t="str">
        <f>VLOOKUP(A8622,'Materiales '!$C$2:$F$1302,3,0)</f>
        <v>Und</v>
      </c>
      <c r="C8622" s="98" t="str">
        <f>VLOOKUP(A8622,'Materiales '!$C$2:$F$1302,3,0)</f>
        <v>Und</v>
      </c>
      <c r="D8622" s="99">
        <f>VLOOKUP(A8622,'Materiales '!$C$2:$F$1302,4,0)</f>
        <v>1587.9359999999999</v>
      </c>
      <c r="E8622" s="100">
        <v>2</v>
      </c>
      <c r="F8622" s="538">
        <f t="shared" si="502"/>
        <v>3175.8719999999998</v>
      </c>
      <c r="G8622" s="539"/>
      <c r="H8622" s="121"/>
      <c r="I8622">
        <f>E8622*G8605</f>
        <v>0</v>
      </c>
      <c r="J8622" s="68"/>
      <c r="K8622" s="56"/>
      <c r="L8622" s="56"/>
      <c r="M8622" s="56"/>
      <c r="N8622" s="56"/>
      <c r="O8622" s="56"/>
    </row>
    <row r="8623" spans="1:15">
      <c r="A8623" s="536" t="s">
        <v>8</v>
      </c>
      <c r="B8623" s="537" t="str">
        <f>VLOOKUP(A8623,'Materiales '!$C$2:$F$1302,3,0)</f>
        <v>-</v>
      </c>
      <c r="C8623" s="98" t="str">
        <f>VLOOKUP(A8623,'Materiales '!$C$2:$F$1302,3,0)</f>
        <v>-</v>
      </c>
      <c r="D8623" s="99">
        <f>VLOOKUP(A8623,'Materiales '!$C$2:$F$1302,4,0)</f>
        <v>0</v>
      </c>
      <c r="E8623" s="100">
        <v>1</v>
      </c>
      <c r="F8623" s="538">
        <f>E8623*D8623</f>
        <v>0</v>
      </c>
      <c r="G8623" s="539"/>
      <c r="H8623" s="120"/>
      <c r="I8623">
        <f>E8623*G8605</f>
        <v>0</v>
      </c>
      <c r="J8623" s="68"/>
      <c r="K8623" s="56"/>
      <c r="L8623" s="56"/>
      <c r="M8623" s="56"/>
      <c r="N8623" s="56"/>
      <c r="O8623" s="56"/>
    </row>
    <row r="8624" spans="1:15">
      <c r="A8624" s="536" t="s">
        <v>8</v>
      </c>
      <c r="B8624" s="537" t="str">
        <f>VLOOKUP(A8624,'Materiales '!$C$2:$F$1302,3,0)</f>
        <v>-</v>
      </c>
      <c r="C8624" s="98" t="str">
        <f>VLOOKUP(A8624,'Materiales '!$C$2:$F$1302,3,0)</f>
        <v>-</v>
      </c>
      <c r="D8624" s="99">
        <f>VLOOKUP(A8624,'Materiales '!$C$2:$F$1302,4,0)</f>
        <v>0</v>
      </c>
      <c r="E8624" s="100">
        <v>2</v>
      </c>
      <c r="F8624" s="538">
        <f t="shared" ref="F8624:F8629" si="503">E8624*D8624</f>
        <v>0</v>
      </c>
      <c r="G8624" s="539"/>
      <c r="H8624" s="121"/>
      <c r="I8624">
        <f>E8624*G8605</f>
        <v>0</v>
      </c>
      <c r="J8624" s="68"/>
      <c r="K8624" s="56"/>
      <c r="L8624" s="56"/>
      <c r="M8624" s="56"/>
      <c r="N8624" s="56"/>
      <c r="O8624" s="56"/>
    </row>
    <row r="8625" spans="1:15">
      <c r="A8625" s="536" t="s">
        <v>8</v>
      </c>
      <c r="B8625" s="537" t="str">
        <f>VLOOKUP(A8625,'Materiales '!$C$2:$F$1302,3,0)</f>
        <v>-</v>
      </c>
      <c r="C8625" s="98" t="str">
        <f>VLOOKUP(A8625,'Materiales '!$C$2:$F$1302,3,0)</f>
        <v>-</v>
      </c>
      <c r="D8625" s="99">
        <f>VLOOKUP(A8625,'Materiales '!$C$2:$F$1302,4,0)</f>
        <v>0</v>
      </c>
      <c r="E8625" s="100">
        <v>1</v>
      </c>
      <c r="F8625" s="538">
        <f t="shared" si="503"/>
        <v>0</v>
      </c>
      <c r="G8625" s="539"/>
      <c r="H8625" s="121"/>
      <c r="I8625">
        <f>E8625*G8605</f>
        <v>0</v>
      </c>
      <c r="J8625" s="68"/>
      <c r="K8625" s="56"/>
      <c r="L8625" s="56"/>
      <c r="M8625" s="56"/>
      <c r="N8625" s="56"/>
      <c r="O8625" s="56"/>
    </row>
    <row r="8626" spans="1:15">
      <c r="A8626" s="536" t="s">
        <v>8</v>
      </c>
      <c r="B8626" s="537" t="str">
        <f>VLOOKUP(A8626,'Materiales '!$C$2:$F$1302,3,0)</f>
        <v>-</v>
      </c>
      <c r="C8626" s="98" t="str">
        <f>VLOOKUP(A8626,'Materiales '!$C$2:$F$1302,3,0)</f>
        <v>-</v>
      </c>
      <c r="D8626" s="99">
        <f>VLOOKUP(A8626,'Materiales '!$C$2:$F$1302,4,0)</f>
        <v>0</v>
      </c>
      <c r="E8626" s="100">
        <v>1</v>
      </c>
      <c r="F8626" s="538">
        <f t="shared" si="503"/>
        <v>0</v>
      </c>
      <c r="G8626" s="539"/>
      <c r="H8626" s="121"/>
      <c r="I8626">
        <f>E8626*G8605</f>
        <v>0</v>
      </c>
      <c r="J8626" s="68"/>
      <c r="K8626" s="56"/>
      <c r="L8626" s="56"/>
      <c r="M8626" s="56"/>
      <c r="N8626" s="56"/>
      <c r="O8626" s="56"/>
    </row>
    <row r="8627" spans="1:15">
      <c r="A8627" s="536" t="s">
        <v>8</v>
      </c>
      <c r="B8627" s="537" t="str">
        <f>VLOOKUP(A8627,'Materiales '!$C$2:$F$1302,3,0)</f>
        <v>-</v>
      </c>
      <c r="C8627" s="98" t="str">
        <f>VLOOKUP(A8627,'Materiales '!$C$2:$F$1302,3,0)</f>
        <v>-</v>
      </c>
      <c r="D8627" s="99">
        <f>VLOOKUP(A8627,'Materiales '!$C$2:$F$1302,4,0)</f>
        <v>0</v>
      </c>
      <c r="E8627" s="100">
        <v>1</v>
      </c>
      <c r="F8627" s="538">
        <f t="shared" si="503"/>
        <v>0</v>
      </c>
      <c r="G8627" s="539"/>
      <c r="H8627" s="121"/>
      <c r="I8627">
        <f>E8627*G8605</f>
        <v>0</v>
      </c>
      <c r="J8627" s="68"/>
      <c r="K8627" s="56"/>
      <c r="L8627" s="56"/>
      <c r="M8627" s="56"/>
      <c r="N8627" s="56"/>
      <c r="O8627" s="56"/>
    </row>
    <row r="8628" spans="1:15">
      <c r="A8628" s="536" t="s">
        <v>8</v>
      </c>
      <c r="B8628" s="537" t="str">
        <f>VLOOKUP(A8628,'Materiales '!$C$2:$F$1302,3,0)</f>
        <v>-</v>
      </c>
      <c r="C8628" s="98" t="str">
        <f>VLOOKUP(A8628,'Materiales '!$C$2:$F$1302,3,0)</f>
        <v>-</v>
      </c>
      <c r="D8628" s="99">
        <f>VLOOKUP(A8628,'Materiales '!$C$2:$F$1302,4,0)</f>
        <v>0</v>
      </c>
      <c r="E8628" s="100">
        <v>1</v>
      </c>
      <c r="F8628" s="538">
        <f t="shared" si="503"/>
        <v>0</v>
      </c>
      <c r="G8628" s="539"/>
      <c r="H8628" s="121"/>
      <c r="I8628">
        <f>E8628*G8605</f>
        <v>0</v>
      </c>
      <c r="J8628" s="68"/>
      <c r="K8628" s="56"/>
      <c r="L8628" s="56"/>
      <c r="M8628" s="56"/>
      <c r="N8628" s="56"/>
      <c r="O8628" s="56"/>
    </row>
    <row r="8629" spans="1:15">
      <c r="A8629" s="536" t="s">
        <v>8</v>
      </c>
      <c r="B8629" s="537" t="str">
        <f>VLOOKUP(A8629,'Materiales '!$C$2:$F$1302,3,0)</f>
        <v>-</v>
      </c>
      <c r="C8629" s="98" t="str">
        <f>VLOOKUP(A8629,'Materiales '!$C$2:$F$1302,3,0)</f>
        <v>-</v>
      </c>
      <c r="D8629" s="99">
        <f>VLOOKUP(A8629,'Materiales '!$C$2:$F$1302,4,0)</f>
        <v>0</v>
      </c>
      <c r="E8629" s="100">
        <v>1</v>
      </c>
      <c r="F8629" s="538">
        <f t="shared" si="503"/>
        <v>0</v>
      </c>
      <c r="G8629" s="539"/>
      <c r="H8629" s="121"/>
      <c r="I8629">
        <f>E8629*G8605</f>
        <v>0</v>
      </c>
      <c r="J8629" s="68"/>
      <c r="K8629" s="56"/>
      <c r="L8629" s="56"/>
      <c r="M8629" s="56"/>
      <c r="N8629" s="56"/>
      <c r="O8629" s="56"/>
    </row>
    <row r="8630" spans="1:15">
      <c r="A8630" s="536" t="s">
        <v>8</v>
      </c>
      <c r="B8630" s="537" t="str">
        <f>VLOOKUP(A8630,'Materiales '!$C$2:$F$1302,3,0)</f>
        <v>-</v>
      </c>
      <c r="C8630" s="98" t="str">
        <f>VLOOKUP(A8630,'Materiales '!$C$2:$F$1302,3,0)</f>
        <v>-</v>
      </c>
      <c r="D8630" s="99">
        <f>VLOOKUP(A8630,'Materiales '!$C$2:$F$1302,4,0)</f>
        <v>0</v>
      </c>
      <c r="E8630" s="100">
        <v>2</v>
      </c>
      <c r="F8630" s="538">
        <f>E8630*D8630</f>
        <v>0</v>
      </c>
      <c r="G8630" s="539"/>
      <c r="H8630" s="120"/>
      <c r="I8630">
        <f>E8630*G8605</f>
        <v>0</v>
      </c>
      <c r="J8630" s="68"/>
      <c r="K8630" s="56"/>
      <c r="L8630" s="56"/>
      <c r="M8630" s="56"/>
      <c r="N8630" s="56"/>
      <c r="O8630" s="56"/>
    </row>
    <row r="8631" spans="1:15">
      <c r="A8631" s="536" t="s">
        <v>8</v>
      </c>
      <c r="B8631" s="537" t="str">
        <f>VLOOKUP(A8631,'Materiales '!$C$2:$F$1302,3,0)</f>
        <v>-</v>
      </c>
      <c r="C8631" s="98" t="str">
        <f>VLOOKUP(A8631,'Materiales '!$C$2:$F$1302,3,0)</f>
        <v>-</v>
      </c>
      <c r="D8631" s="99">
        <f>VLOOKUP(A8631,'Materiales '!$C$2:$F$1302,4,0)</f>
        <v>0</v>
      </c>
      <c r="E8631" s="100">
        <v>2</v>
      </c>
      <c r="F8631" s="538">
        <f>E8631*D8631</f>
        <v>0</v>
      </c>
      <c r="G8631" s="539"/>
      <c r="H8631" s="120"/>
      <c r="I8631">
        <f>E8631*G8605</f>
        <v>0</v>
      </c>
      <c r="J8631" s="68"/>
      <c r="K8631" s="56"/>
      <c r="L8631" s="56"/>
      <c r="M8631" s="56"/>
      <c r="N8631" s="56"/>
      <c r="O8631" s="56"/>
    </row>
    <row r="8632" spans="1:15" ht="16.5">
      <c r="A8632" s="540" t="s">
        <v>4099</v>
      </c>
      <c r="B8632" s="541"/>
      <c r="C8632" s="541"/>
      <c r="D8632" s="541"/>
      <c r="E8632" s="541"/>
      <c r="F8632" s="541"/>
      <c r="G8632" s="542"/>
      <c r="H8632" s="116">
        <f>SUM(F8615:F8631)</f>
        <v>264628.86323999998</v>
      </c>
      <c r="J8632" s="68"/>
      <c r="K8632" s="56"/>
      <c r="L8632" s="56"/>
      <c r="M8632" s="56"/>
      <c r="N8632" s="56"/>
      <c r="O8632" s="56"/>
    </row>
    <row r="8633" spans="1:15" ht="16.5">
      <c r="A8633" s="543" t="s">
        <v>4231</v>
      </c>
      <c r="B8633" s="544"/>
      <c r="C8633" s="544"/>
      <c r="D8633" s="544"/>
      <c r="E8633" s="545"/>
      <c r="F8633" s="544"/>
      <c r="G8633" s="544"/>
      <c r="H8633" s="546"/>
      <c r="J8633" s="68"/>
      <c r="K8633" s="56"/>
      <c r="L8633" s="56"/>
      <c r="M8633" s="56"/>
      <c r="N8633" s="56"/>
      <c r="O8633" s="56"/>
    </row>
    <row r="8634" spans="1:15">
      <c r="A8634" s="547" t="s">
        <v>7</v>
      </c>
      <c r="B8634" s="548"/>
      <c r="C8634" s="108" t="s">
        <v>4232</v>
      </c>
      <c r="D8634" s="107" t="s">
        <v>4233</v>
      </c>
      <c r="E8634" s="206" t="s">
        <v>4234</v>
      </c>
      <c r="F8634" s="549" t="s">
        <v>4218</v>
      </c>
      <c r="G8634" s="549"/>
      <c r="H8634" s="119"/>
      <c r="K8634" s="56"/>
      <c r="L8634" s="56"/>
      <c r="M8634" s="56"/>
      <c r="N8634" s="56"/>
      <c r="O8634" s="56"/>
    </row>
    <row r="8635" spans="1:15">
      <c r="A8635" s="550" t="s">
        <v>3928</v>
      </c>
      <c r="B8635" s="551"/>
      <c r="C8635" s="232">
        <v>1</v>
      </c>
      <c r="D8635" s="102">
        <v>0.1</v>
      </c>
      <c r="E8635" s="103">
        <f>VLOOKUP(A8635,'Equip, Herr y Transp'!$B$2:$D$218,3,0)</f>
        <v>160000</v>
      </c>
      <c r="F8635" s="552">
        <f>E8635*D8635*C8635</f>
        <v>16000</v>
      </c>
      <c r="G8635" s="553"/>
      <c r="H8635" s="117"/>
      <c r="M8635" s="56"/>
    </row>
    <row r="8636" spans="1:15" ht="16.5">
      <c r="A8636" s="554" t="s">
        <v>4216</v>
      </c>
      <c r="B8636" s="555"/>
      <c r="C8636" s="555"/>
      <c r="D8636" s="555"/>
      <c r="E8636" s="555"/>
      <c r="F8636" s="555"/>
      <c r="G8636" s="555"/>
      <c r="H8636" s="105">
        <f>F8635</f>
        <v>16000</v>
      </c>
    </row>
    <row r="8637" spans="1:15" ht="16.5">
      <c r="A8637" s="543" t="s">
        <v>4235</v>
      </c>
      <c r="B8637" s="544"/>
      <c r="C8637" s="544"/>
      <c r="D8637" s="544"/>
      <c r="E8637" s="544"/>
      <c r="F8637" s="544"/>
      <c r="G8637" s="544"/>
      <c r="H8637" s="546"/>
    </row>
    <row r="8638" spans="1:15">
      <c r="A8638" s="547" t="s">
        <v>7</v>
      </c>
      <c r="B8638" s="548"/>
      <c r="C8638" s="106" t="s">
        <v>1</v>
      </c>
      <c r="D8638" s="107" t="s">
        <v>4236</v>
      </c>
      <c r="E8638" s="108" t="s">
        <v>4215</v>
      </c>
      <c r="F8638" s="547" t="s">
        <v>5</v>
      </c>
      <c r="G8638" s="556"/>
      <c r="H8638" s="119"/>
    </row>
    <row r="8639" spans="1:15">
      <c r="A8639" s="550" t="s">
        <v>4196</v>
      </c>
      <c r="B8639" s="551"/>
      <c r="C8639" s="101">
        <v>1</v>
      </c>
      <c r="D8639" s="104">
        <f>VLOOKUP(A8639,'Mano Obra'!$B$2:$T$117,19,0)</f>
        <v>166624</v>
      </c>
      <c r="E8639" s="246">
        <f>H8598</f>
        <v>0.16669999999999999</v>
      </c>
      <c r="F8639" s="538">
        <f>E8639*D8639*C8639</f>
        <v>27776.220799999999</v>
      </c>
      <c r="G8639" s="557"/>
      <c r="H8639" s="121"/>
      <c r="I8639" s="69"/>
      <c r="J8639" s="136">
        <f>((('Mano Obra'!$M$4/30)*F8639)/D8639)*G8605</f>
        <v>0</v>
      </c>
    </row>
    <row r="8640" spans="1:15">
      <c r="A8640" s="558" t="s">
        <v>4197</v>
      </c>
      <c r="B8640" s="559">
        <f>VLOOKUP(A8640,'Mano Obra'!$B$3:$D$290,2,0)</f>
        <v>2090000.0000000002</v>
      </c>
      <c r="C8640" s="101">
        <v>2</v>
      </c>
      <c r="D8640" s="104">
        <f>VLOOKUP(A8640,'Mano Obra'!$B$2:$T$117,19,0)</f>
        <v>120456</v>
      </c>
      <c r="E8640" s="246">
        <f>H8598</f>
        <v>0.16669999999999999</v>
      </c>
      <c r="F8640" s="538">
        <f t="shared" ref="F8640:F8641" si="504">E8640*D8640*C8640</f>
        <v>40160.030399999996</v>
      </c>
      <c r="G8640" s="557"/>
      <c r="H8640" s="121"/>
      <c r="J8640" s="136">
        <f>((('Mano Obra'!$M$5/30)*F8640)/D8640)*G8605</f>
        <v>0</v>
      </c>
    </row>
    <row r="8641" spans="1:10">
      <c r="A8641" s="558" t="s">
        <v>4186</v>
      </c>
      <c r="B8641" s="559">
        <f>VLOOKUP(A8641,'Mano Obra'!$B$3:$D$290,2,0)</f>
        <v>1100000</v>
      </c>
      <c r="C8641" s="101">
        <v>2</v>
      </c>
      <c r="D8641" s="104">
        <f>VLOOKUP(A8641,'Mano Obra'!$B$2:$T$117,19,0)</f>
        <v>72664</v>
      </c>
      <c r="E8641" s="246">
        <f>H8598</f>
        <v>0.16669999999999999</v>
      </c>
      <c r="F8641" s="538">
        <f t="shared" si="504"/>
        <v>24226.177599999999</v>
      </c>
      <c r="G8641" s="557"/>
      <c r="H8641" s="120"/>
      <c r="J8641" s="136">
        <f>((('Mano Obra'!$M$6/30)*F8641)/D8641)*G8605</f>
        <v>0</v>
      </c>
    </row>
    <row r="8642" spans="1:10" ht="16.5">
      <c r="A8642" s="560" t="s">
        <v>4101</v>
      </c>
      <c r="B8642" s="560"/>
      <c r="C8642" s="560"/>
      <c r="D8642" s="560"/>
      <c r="E8642" s="560"/>
      <c r="F8642" s="560"/>
      <c r="G8642" s="560"/>
      <c r="H8642" s="105">
        <f>SUM(F8639:F8641)</f>
        <v>92162.428799999994</v>
      </c>
      <c r="J8642" s="136"/>
    </row>
    <row r="8643" spans="1:10">
      <c r="A8643" s="227" t="s">
        <v>4237</v>
      </c>
      <c r="B8643" s="205"/>
      <c r="C8643" s="205"/>
      <c r="D8643" s="202"/>
      <c r="E8643" s="203"/>
      <c r="F8643" s="204"/>
      <c r="G8643" s="203"/>
      <c r="H8643" s="212"/>
    </row>
    <row r="8644" spans="1:10">
      <c r="A8644" s="561" t="s">
        <v>4224</v>
      </c>
      <c r="B8644" s="562"/>
      <c r="C8644" s="562"/>
      <c r="D8644" s="562"/>
      <c r="E8644" s="200"/>
      <c r="F8644" s="201" t="s">
        <v>4238</v>
      </c>
      <c r="G8644" s="200" t="s">
        <v>4239</v>
      </c>
      <c r="H8644" s="213"/>
    </row>
    <row r="8645" spans="1:10">
      <c r="A8645" s="223" t="s">
        <v>4097</v>
      </c>
      <c r="B8645" s="72"/>
      <c r="C8645" s="72"/>
      <c r="D8645" s="73"/>
      <c r="E8645" s="78"/>
      <c r="F8645" s="79">
        <v>0</v>
      </c>
      <c r="G8645" s="80">
        <f>F8645*H8606</f>
        <v>0</v>
      </c>
      <c r="H8645" s="212"/>
    </row>
    <row r="8646" spans="1:10">
      <c r="A8646" s="224" t="s">
        <v>4240</v>
      </c>
      <c r="B8646" s="81"/>
      <c r="C8646" s="81"/>
      <c r="D8646" s="82"/>
      <c r="E8646" s="78"/>
      <c r="F8646" s="79">
        <v>0</v>
      </c>
      <c r="G8646" s="80">
        <f>F8646*H8606</f>
        <v>0</v>
      </c>
      <c r="H8646" s="212"/>
    </row>
    <row r="8647" spans="1:10">
      <c r="A8647" s="224" t="s">
        <v>4</v>
      </c>
      <c r="B8647" s="81"/>
      <c r="C8647" s="81"/>
      <c r="D8647" s="82"/>
      <c r="E8647" s="78"/>
      <c r="F8647" s="79">
        <v>0</v>
      </c>
      <c r="G8647" s="80">
        <f>F8647*H8606</f>
        <v>0</v>
      </c>
      <c r="H8647" s="212"/>
    </row>
    <row r="8648" spans="1:10">
      <c r="A8648" s="225"/>
      <c r="B8648" s="83"/>
      <c r="C8648" s="75"/>
      <c r="D8648" s="84"/>
      <c r="E8648" s="85"/>
      <c r="F8648" s="86"/>
      <c r="G8648" s="87"/>
      <c r="H8648" s="214"/>
    </row>
    <row r="8649" spans="1:10">
      <c r="A8649" s="226"/>
      <c r="B8649" s="83"/>
      <c r="C8649" s="83"/>
      <c r="D8649" s="84"/>
      <c r="E8649" s="88"/>
      <c r="F8649" s="563" t="s">
        <v>4241</v>
      </c>
      <c r="G8649" s="564"/>
      <c r="H8649" s="233">
        <f>H8606+G8645+G8646+G8647</f>
        <v>379593.06878999999</v>
      </c>
    </row>
    <row r="8650" spans="1:10">
      <c r="A8650" s="83"/>
      <c r="B8650" s="83"/>
      <c r="C8650" s="83"/>
      <c r="D8650" s="84"/>
      <c r="E8650" s="388"/>
      <c r="F8650" s="389"/>
      <c r="G8650" s="389"/>
      <c r="H8650" s="390"/>
    </row>
    <row r="8651" spans="1:10" ht="16.5">
      <c r="A8651" s="90"/>
      <c r="B8651" s="90"/>
      <c r="C8651" s="90"/>
      <c r="D8651" s="90"/>
      <c r="E8651" s="90"/>
      <c r="F8651" s="90"/>
      <c r="G8651" s="90"/>
      <c r="H8651" s="381"/>
    </row>
    <row r="8652" spans="1:10">
      <c r="A8652" s="579" t="s">
        <v>4225</v>
      </c>
      <c r="B8652" s="580"/>
      <c r="C8652" s="580"/>
      <c r="D8652" s="580"/>
      <c r="E8652" s="580"/>
      <c r="F8652" s="580"/>
      <c r="G8652" s="580"/>
      <c r="H8652" s="581"/>
    </row>
    <row r="8653" spans="1:10" ht="16.5">
      <c r="A8653" s="91"/>
      <c r="B8653" s="92"/>
      <c r="C8653" s="92"/>
      <c r="D8653" s="92"/>
      <c r="E8653" s="92"/>
      <c r="F8653" s="93"/>
      <c r="G8653" s="94"/>
      <c r="H8653" s="380">
        <f>ROUND((150/60)/8,4)</f>
        <v>0.3125</v>
      </c>
      <c r="I8653" s="115"/>
    </row>
    <row r="8654" spans="1:10">
      <c r="A8654" s="582" t="s">
        <v>4220</v>
      </c>
      <c r="B8654" s="584" t="str">
        <f>COSTOS!$C$14</f>
        <v>MODERNIZACION A TECNOLOGIA LED</v>
      </c>
      <c r="C8654" s="584"/>
      <c r="D8654" s="584"/>
      <c r="E8654" s="584"/>
      <c r="F8654" s="584"/>
      <c r="G8654" s="584"/>
      <c r="H8654" s="585" t="s">
        <v>4221</v>
      </c>
    </row>
    <row r="8655" spans="1:10">
      <c r="A8655" s="583"/>
      <c r="B8655" s="584"/>
      <c r="C8655" s="584"/>
      <c r="D8655" s="584"/>
      <c r="E8655" s="584"/>
      <c r="F8655" s="584"/>
      <c r="G8655" s="584"/>
      <c r="H8655" s="585"/>
    </row>
    <row r="8656" spans="1:10">
      <c r="A8656" s="583"/>
      <c r="B8656" s="584"/>
      <c r="C8656" s="584"/>
      <c r="D8656" s="584"/>
      <c r="E8656" s="584"/>
      <c r="F8656" s="584"/>
      <c r="G8656" s="584"/>
      <c r="H8656" s="585"/>
    </row>
    <row r="8657" spans="1:15" ht="15" customHeight="1">
      <c r="A8657" s="583"/>
      <c r="B8657" s="584"/>
      <c r="C8657" s="584"/>
      <c r="D8657" s="584"/>
      <c r="E8657" s="584"/>
      <c r="F8657" s="584"/>
      <c r="G8657" s="584"/>
      <c r="H8657" s="216">
        <f ca="1">TODAY()</f>
        <v>44889</v>
      </c>
      <c r="K8657" t="s">
        <v>4391</v>
      </c>
      <c r="L8657" t="s">
        <v>4392</v>
      </c>
      <c r="M8657" t="s">
        <v>4393</v>
      </c>
      <c r="N8657" t="s">
        <v>4394</v>
      </c>
    </row>
    <row r="8658" spans="1:15" ht="60.75" customHeight="1">
      <c r="A8658" s="228" t="s">
        <v>4222</v>
      </c>
      <c r="B8658" s="565" t="str">
        <f>COSTOS!$D$16</f>
        <v>Luminarias</v>
      </c>
      <c r="C8658" s="565"/>
      <c r="D8658" s="565"/>
      <c r="E8658" s="565"/>
      <c r="F8658" s="565"/>
      <c r="G8658" s="70" t="s">
        <v>4223</v>
      </c>
      <c r="H8658" s="387">
        <v>4.7</v>
      </c>
      <c r="K8658" s="62">
        <f>H8687</f>
        <v>13979992.074999999</v>
      </c>
      <c r="L8658" s="62">
        <f>H8697</f>
        <v>172770</v>
      </c>
      <c r="M8658" s="62">
        <f>H8667</f>
        <v>604415.625</v>
      </c>
      <c r="N8658" s="62">
        <f>H8691</f>
        <v>16000</v>
      </c>
    </row>
    <row r="8659" spans="1:15" ht="43.15" customHeight="1">
      <c r="A8659" s="229" t="s">
        <v>4224</v>
      </c>
      <c r="B8659" s="566" t="str">
        <f>VLOOKUP(H8658,COSTOS!C:M,2,0)</f>
        <v>Instalacion de CENTRO DE TRANSFORMACION, MONOFASICO, 50KVA, 13200-480/240 a Red de Media tension , TIPO HORIZONTAL, en poste existente</v>
      </c>
      <c r="C8659" s="567"/>
      <c r="D8659" s="567"/>
      <c r="E8659" s="568"/>
      <c r="F8659" s="71" t="s">
        <v>0</v>
      </c>
      <c r="G8659" s="356" t="str">
        <f>VLOOKUP(H8658,COSTOS!C:M,8,0)</f>
        <v>Und</v>
      </c>
      <c r="H8659" s="276"/>
      <c r="I8659" s="306"/>
      <c r="J8659" s="308"/>
      <c r="K8659" s="308"/>
      <c r="L8659" s="308"/>
    </row>
    <row r="8660" spans="1:15">
      <c r="A8660" s="230"/>
      <c r="B8660" s="112"/>
      <c r="C8660" s="112"/>
      <c r="D8660" s="112"/>
      <c r="E8660" s="113"/>
      <c r="F8660" s="114" t="s">
        <v>1</v>
      </c>
      <c r="G8660" s="356">
        <f>VLOOKUP(H8658,COSTOS!C:M,9,0)</f>
        <v>1</v>
      </c>
      <c r="H8660" s="357"/>
      <c r="I8660" s="307"/>
    </row>
    <row r="8661" spans="1:15" ht="16.5">
      <c r="A8661" s="231" t="s">
        <v>4226</v>
      </c>
      <c r="B8661" s="75"/>
      <c r="C8661" s="75"/>
      <c r="D8661" s="76"/>
      <c r="E8661" s="209"/>
      <c r="F8661" s="210"/>
      <c r="G8661" s="211" t="s">
        <v>4227</v>
      </c>
      <c r="H8661" s="217">
        <f>H8667+H8687+H8691+H8697</f>
        <v>14773177.699999999</v>
      </c>
    </row>
    <row r="8662" spans="1:15" ht="39">
      <c r="A8662" s="569" t="s">
        <v>4224</v>
      </c>
      <c r="B8662" s="569"/>
      <c r="C8662" s="569"/>
      <c r="D8662" s="77" t="s">
        <v>0</v>
      </c>
      <c r="E8662" s="207" t="s">
        <v>4228</v>
      </c>
      <c r="F8662" s="208" t="s">
        <v>4215</v>
      </c>
      <c r="G8662" s="74" t="s">
        <v>2</v>
      </c>
      <c r="H8662" s="218" t="s">
        <v>4229</v>
      </c>
      <c r="K8662" s="309"/>
    </row>
    <row r="8663" spans="1:15">
      <c r="A8663" s="536" t="s">
        <v>3946</v>
      </c>
      <c r="B8663" s="570" t="str">
        <f>VLOOKUP(A8663,'Equip, Herr y Transp'!$B$2:$D$739,2,0)</f>
        <v>EQU</v>
      </c>
      <c r="C8663" s="570"/>
      <c r="D8663" s="95" t="str">
        <f>VLOOKUP(A8663,'Equip, Herr y Transp'!$B$2:$D$218,2,0)</f>
        <v>EQU</v>
      </c>
      <c r="E8663" s="95">
        <f>VLOOKUP(A8663,'Equip, Herr y Transp'!$B$2:$D$218,3,0)</f>
        <v>14130</v>
      </c>
      <c r="F8663" s="96">
        <f>H8653</f>
        <v>0.3125</v>
      </c>
      <c r="G8663" s="122">
        <f>F8663*E8663</f>
        <v>4415.625</v>
      </c>
      <c r="H8663" s="118"/>
    </row>
    <row r="8664" spans="1:15">
      <c r="A8664" s="536" t="s">
        <v>3894</v>
      </c>
      <c r="B8664" s="570" t="str">
        <f>VLOOKUP(A8664,'Equip, Herr y Transp'!$B$2:$D$739,2,0)</f>
        <v>TR</v>
      </c>
      <c r="C8664" s="570"/>
      <c r="D8664" s="95" t="str">
        <f>VLOOKUP(A8664,'Equip, Herr y Transp'!$B$2:$D$218,2,0)</f>
        <v>TR</v>
      </c>
      <c r="E8664" s="95">
        <f>VLOOKUP(A8664,'Equip, Herr y Transp'!$B$2:$D$218,3,0)</f>
        <v>960000</v>
      </c>
      <c r="F8664" s="96">
        <f>H8653</f>
        <v>0.3125</v>
      </c>
      <c r="G8664" s="122">
        <f>F8664*E8664</f>
        <v>300000</v>
      </c>
      <c r="H8664" s="117"/>
    </row>
    <row r="8665" spans="1:15">
      <c r="A8665" s="536" t="s">
        <v>3895</v>
      </c>
      <c r="B8665" s="570" t="str">
        <f>VLOOKUP(A8665,'Equip, Herr y Transp'!$B$2:$D$739,2,0)</f>
        <v>TR</v>
      </c>
      <c r="C8665" s="570"/>
      <c r="D8665" s="95" t="str">
        <f>VLOOKUP(A8665,'Equip, Herr y Transp'!$B$2:$D$218,2,0)</f>
        <v>TR</v>
      </c>
      <c r="E8665" s="95">
        <f>VLOOKUP(A8665,'Equip, Herr y Transp'!$B$2:$D$218,3,0)</f>
        <v>960000</v>
      </c>
      <c r="F8665" s="96">
        <f>H8653</f>
        <v>0.3125</v>
      </c>
      <c r="G8665" s="122">
        <f>F8665*E8665</f>
        <v>300000</v>
      </c>
      <c r="H8665" s="117"/>
    </row>
    <row r="8666" spans="1:15">
      <c r="A8666" s="536" t="s">
        <v>8</v>
      </c>
      <c r="B8666" s="570">
        <f>VLOOKUP(A8666,'Equip, Herr y Transp'!$B$2:$D$739,2,0)</f>
        <v>0</v>
      </c>
      <c r="C8666" s="570"/>
      <c r="D8666" s="95">
        <f>VLOOKUP(A8666,'Equip, Herr y Transp'!$B$2:$D$218,2,0)</f>
        <v>0</v>
      </c>
      <c r="E8666" s="95">
        <f>VLOOKUP(A8666,'Equip, Herr y Transp'!$B$2:$D$218,3,0)</f>
        <v>0</v>
      </c>
      <c r="F8666" s="96">
        <f>H8653</f>
        <v>0.3125</v>
      </c>
      <c r="G8666" s="122">
        <f>F8666*E8666</f>
        <v>0</v>
      </c>
      <c r="H8666" s="117"/>
    </row>
    <row r="8667" spans="1:15" ht="16.5">
      <c r="A8667" s="540" t="s">
        <v>4100</v>
      </c>
      <c r="B8667" s="541"/>
      <c r="C8667" s="541"/>
      <c r="D8667" s="541"/>
      <c r="E8667" s="541"/>
      <c r="F8667" s="541"/>
      <c r="G8667" s="541"/>
      <c r="H8667" s="97">
        <f>SUM(G8663:G8666)</f>
        <v>604415.625</v>
      </c>
    </row>
    <row r="8668" spans="1:15" ht="16.5">
      <c r="A8668" s="571" t="s">
        <v>4230</v>
      </c>
      <c r="B8668" s="572"/>
      <c r="C8668" s="572"/>
      <c r="D8668" s="572"/>
      <c r="E8668" s="572"/>
      <c r="F8668" s="572"/>
      <c r="G8668" s="572"/>
      <c r="H8668" s="573"/>
      <c r="K8668" s="56"/>
      <c r="L8668" s="56"/>
      <c r="M8668" s="56"/>
      <c r="N8668" s="56"/>
      <c r="O8668" s="56"/>
    </row>
    <row r="8669" spans="1:15" ht="30" customHeight="1">
      <c r="A8669" s="574" t="s">
        <v>7</v>
      </c>
      <c r="B8669" s="575"/>
      <c r="C8669" s="109" t="s">
        <v>0</v>
      </c>
      <c r="D8669" s="110" t="s">
        <v>4098</v>
      </c>
      <c r="E8669" s="111" t="s">
        <v>1</v>
      </c>
      <c r="F8669" s="576" t="s">
        <v>4218</v>
      </c>
      <c r="G8669" s="576"/>
      <c r="H8669" s="215"/>
      <c r="K8669" s="56"/>
      <c r="L8669" s="56"/>
      <c r="M8669" s="56"/>
      <c r="N8669" s="56"/>
      <c r="O8669" s="56"/>
    </row>
    <row r="8670" spans="1:15">
      <c r="A8670" s="577" t="s">
        <v>4513</v>
      </c>
      <c r="B8670" s="578"/>
      <c r="C8670" s="98" t="str">
        <f>VLOOKUP(A8670,'Materiales '!$C$2:$F$1302,3,0)</f>
        <v>Und</v>
      </c>
      <c r="D8670" s="99">
        <f>VLOOKUP(A8670,'Materiales '!$C$2:$F$1302,4,0)</f>
        <v>21420</v>
      </c>
      <c r="E8670" s="100">
        <v>2</v>
      </c>
      <c r="F8670" s="538">
        <f>E8670*D8670</f>
        <v>42840</v>
      </c>
      <c r="G8670" s="539"/>
      <c r="H8670" s="121"/>
      <c r="I8670">
        <f>E8670*G8660</f>
        <v>2</v>
      </c>
      <c r="J8670" s="67"/>
      <c r="K8670" s="56"/>
      <c r="L8670" s="56"/>
      <c r="M8670" s="56"/>
      <c r="N8670" s="56"/>
      <c r="O8670" s="56"/>
    </row>
    <row r="8671" spans="1:15">
      <c r="A8671" s="577" t="s">
        <v>4514</v>
      </c>
      <c r="B8671" s="578"/>
      <c r="C8671" s="98" t="str">
        <f>VLOOKUP(A8671,'Materiales '!$C$2:$F$1302,3,0)</f>
        <v>Und</v>
      </c>
      <c r="D8671" s="99">
        <f>VLOOKUP(A8671,'Materiales '!$C$2:$F$1302,4,0)</f>
        <v>18706.8</v>
      </c>
      <c r="E8671" s="100">
        <v>2</v>
      </c>
      <c r="F8671" s="538">
        <f t="shared" ref="F8671:F8677" si="505">E8671*D8671</f>
        <v>37413.599999999999</v>
      </c>
      <c r="G8671" s="539"/>
      <c r="H8671" s="121"/>
      <c r="I8671">
        <f>E8671*G8660</f>
        <v>2</v>
      </c>
      <c r="J8671" s="67"/>
      <c r="K8671" s="56"/>
      <c r="L8671" s="56"/>
      <c r="M8671" s="56"/>
      <c r="N8671" s="56"/>
      <c r="O8671" s="56"/>
    </row>
    <row r="8672" spans="1:15">
      <c r="A8672" s="536" t="s">
        <v>4556</v>
      </c>
      <c r="B8672" s="537" t="str">
        <f>VLOOKUP(A8672,'Materiales '!$C$2:$F$1302,3,0)</f>
        <v>Und</v>
      </c>
      <c r="C8672" s="98" t="str">
        <f>VLOOKUP(A8672,'Materiales '!$C$2:$F$1302,3,0)</f>
        <v>Und</v>
      </c>
      <c r="D8672" s="99">
        <f>VLOOKUP(A8672,'Materiales '!$C$2:$F$1302,4,0)</f>
        <v>7979.6640000000007</v>
      </c>
      <c r="E8672" s="100">
        <v>2</v>
      </c>
      <c r="F8672" s="538">
        <f t="shared" si="505"/>
        <v>15959.328000000001</v>
      </c>
      <c r="G8672" s="539"/>
      <c r="H8672" s="121"/>
      <c r="I8672">
        <f>E8672*G8660</f>
        <v>2</v>
      </c>
      <c r="J8672" s="68"/>
      <c r="K8672" s="56"/>
      <c r="L8672" s="56"/>
      <c r="M8672" s="56"/>
      <c r="N8672" s="56"/>
      <c r="O8672" s="56"/>
    </row>
    <row r="8673" spans="1:15">
      <c r="A8673" s="536" t="s">
        <v>4458</v>
      </c>
      <c r="B8673" s="537" t="str">
        <f>VLOOKUP(A8673,'Materiales '!$C$2:$F$1302,3,0)</f>
        <v>Ml</v>
      </c>
      <c r="C8673" s="98" t="str">
        <f>VLOOKUP(A8673,'Materiales '!$C$2:$F$1302,3,0)</f>
        <v>Ml</v>
      </c>
      <c r="D8673" s="99">
        <f>VLOOKUP(A8673,'Materiales '!$C$2:$F$1302,4,0)</f>
        <v>23386.355999999996</v>
      </c>
      <c r="E8673" s="100">
        <v>20</v>
      </c>
      <c r="F8673" s="538">
        <f t="shared" si="505"/>
        <v>467727.11999999994</v>
      </c>
      <c r="G8673" s="539"/>
      <c r="H8673" s="121"/>
      <c r="I8673">
        <f>E8673*G8660</f>
        <v>20</v>
      </c>
      <c r="J8673" s="68"/>
      <c r="K8673" s="56"/>
      <c r="L8673" s="56"/>
      <c r="M8673" s="56"/>
      <c r="N8673" s="56"/>
      <c r="O8673" s="56"/>
    </row>
    <row r="8674" spans="1:15">
      <c r="A8674" s="536" t="s">
        <v>4445</v>
      </c>
      <c r="B8674" s="537" t="str">
        <f>VLOOKUP(A8674,'Materiales '!$C$2:$F$1302,3,0)</f>
        <v>Ml</v>
      </c>
      <c r="C8674" s="98" t="str">
        <f>VLOOKUP(A8674,'Materiales '!$C$2:$F$1302,3,0)</f>
        <v>Ml</v>
      </c>
      <c r="D8674" s="99">
        <f>VLOOKUP(A8674,'Materiales '!$C$2:$F$1302,4,0)</f>
        <v>4426.8</v>
      </c>
      <c r="E8674" s="100">
        <v>15</v>
      </c>
      <c r="F8674" s="538">
        <f t="shared" si="505"/>
        <v>66402</v>
      </c>
      <c r="G8674" s="539"/>
      <c r="H8674" s="121"/>
      <c r="I8674">
        <f>E8674*G8660</f>
        <v>15</v>
      </c>
      <c r="J8674" s="68"/>
      <c r="K8674" s="56"/>
      <c r="L8674" s="56"/>
      <c r="M8674" s="56"/>
      <c r="N8674" s="56"/>
      <c r="O8674" s="56"/>
    </row>
    <row r="8675" spans="1:15">
      <c r="A8675" s="536" t="s">
        <v>4522</v>
      </c>
      <c r="B8675" s="537" t="str">
        <f>VLOOKUP(A8675,'Materiales '!$C$2:$F$1302,3,0)</f>
        <v>Und</v>
      </c>
      <c r="C8675" s="98" t="str">
        <f>VLOOKUP(A8675,'Materiales '!$C$2:$F$1302,3,0)</f>
        <v>Und</v>
      </c>
      <c r="D8675" s="99">
        <f>VLOOKUP(A8675,'Materiales '!$C$2:$F$1302,4,0)</f>
        <v>428400</v>
      </c>
      <c r="E8675" s="100">
        <v>2</v>
      </c>
      <c r="F8675" s="538">
        <f t="shared" si="505"/>
        <v>856800</v>
      </c>
      <c r="G8675" s="539"/>
      <c r="H8675" s="121"/>
      <c r="I8675">
        <f>E8675*G8660</f>
        <v>2</v>
      </c>
      <c r="J8675" s="68"/>
      <c r="K8675" s="56"/>
      <c r="L8675" s="56"/>
      <c r="M8675" s="56"/>
      <c r="N8675" s="56"/>
      <c r="O8675" s="56"/>
    </row>
    <row r="8676" spans="1:15">
      <c r="A8676" s="536" t="s">
        <v>4533</v>
      </c>
      <c r="B8676" s="537" t="str">
        <f>VLOOKUP(A8676,'Materiales '!$C$2:$F$1302,3,0)</f>
        <v>Und</v>
      </c>
      <c r="C8676" s="98" t="str">
        <f>VLOOKUP(A8676,'Materiales '!$C$2:$F$1302,3,0)</f>
        <v>Und</v>
      </c>
      <c r="D8676" s="99">
        <f>VLOOKUP(A8676,'Materiales '!$C$2:$F$1302,4,0)</f>
        <v>15708</v>
      </c>
      <c r="E8676" s="100">
        <v>2</v>
      </c>
      <c r="F8676" s="538">
        <f t="shared" si="505"/>
        <v>31416</v>
      </c>
      <c r="G8676" s="539"/>
      <c r="H8676" s="121"/>
      <c r="I8676">
        <f>E8676*G8660</f>
        <v>2</v>
      </c>
      <c r="J8676" s="68"/>
      <c r="K8676" s="56"/>
      <c r="L8676" s="56"/>
      <c r="M8676" s="56"/>
      <c r="N8676" s="56"/>
      <c r="O8676" s="56"/>
    </row>
    <row r="8677" spans="1:15" ht="21.75" customHeight="1">
      <c r="A8677" s="536" t="s">
        <v>4528</v>
      </c>
      <c r="B8677" s="537" t="str">
        <f>VLOOKUP(A8677,'Materiales '!$C$2:$F$1302,3,0)</f>
        <v>Und</v>
      </c>
      <c r="C8677" s="98" t="str">
        <f>VLOOKUP(A8677,'Materiales '!$C$2:$F$1302,3,0)</f>
        <v>Und</v>
      </c>
      <c r="D8677" s="99">
        <f>VLOOKUP(A8677,'Materiales '!$C$2:$F$1302,4,0)</f>
        <v>148155</v>
      </c>
      <c r="E8677" s="100">
        <v>2</v>
      </c>
      <c r="F8677" s="538">
        <f t="shared" si="505"/>
        <v>296310</v>
      </c>
      <c r="G8677" s="539"/>
      <c r="H8677" s="121"/>
      <c r="I8677">
        <f>E8677*G8660</f>
        <v>2</v>
      </c>
      <c r="J8677" s="68"/>
      <c r="K8677" s="56"/>
      <c r="L8677" s="56"/>
      <c r="M8677" s="56"/>
      <c r="N8677" s="56"/>
      <c r="O8677" s="56"/>
    </row>
    <row r="8678" spans="1:15">
      <c r="A8678" s="536" t="s">
        <v>4791</v>
      </c>
      <c r="B8678" s="537" t="str">
        <f>VLOOKUP(A8678,'Materiales '!$C$2:$F$1302,3,0)</f>
        <v>Und</v>
      </c>
      <c r="C8678" s="98" t="str">
        <f>VLOOKUP(A8678,'Materiales '!$C$2:$F$1302,3,0)</f>
        <v>Und</v>
      </c>
      <c r="D8678" s="99">
        <f>VLOOKUP(A8678,'Materiales '!$C$2:$F$1302,4,0)</f>
        <v>10727136</v>
      </c>
      <c r="E8678" s="100">
        <v>1</v>
      </c>
      <c r="F8678" s="538">
        <f>E8678*D8678</f>
        <v>10727136</v>
      </c>
      <c r="G8678" s="539"/>
      <c r="H8678" s="120"/>
      <c r="I8678">
        <f>E8678*G8660</f>
        <v>1</v>
      </c>
      <c r="J8678" s="68"/>
      <c r="K8678" s="56"/>
      <c r="L8678" s="56"/>
      <c r="M8678" s="56"/>
      <c r="N8678" s="56"/>
      <c r="O8678" s="56"/>
    </row>
    <row r="8679" spans="1:15">
      <c r="A8679" s="536" t="s">
        <v>4485</v>
      </c>
      <c r="B8679" s="537" t="str">
        <f>VLOOKUP(A8679,'Materiales '!$C$2:$F$1302,3,0)</f>
        <v>Und</v>
      </c>
      <c r="C8679" s="98" t="str">
        <f>VLOOKUP(A8679,'Materiales '!$C$2:$F$1302,3,0)</f>
        <v>Und</v>
      </c>
      <c r="D8679" s="99">
        <f>VLOOKUP(A8679,'Materiales '!$C$2:$F$1302,4,0)</f>
        <v>33129.599999999999</v>
      </c>
      <c r="E8679" s="100">
        <v>2</v>
      </c>
      <c r="F8679" s="538">
        <f t="shared" ref="F8679:F8684" si="506">E8679*D8679</f>
        <v>66259.199999999997</v>
      </c>
      <c r="G8679" s="539"/>
      <c r="H8679" s="121"/>
      <c r="I8679">
        <f>E8679*G8660</f>
        <v>2</v>
      </c>
      <c r="J8679" s="68"/>
      <c r="K8679" s="56"/>
      <c r="L8679" s="56"/>
      <c r="M8679" s="56"/>
      <c r="N8679" s="56"/>
      <c r="O8679" s="56"/>
    </row>
    <row r="8680" spans="1:15">
      <c r="A8680" s="536" t="s">
        <v>4499</v>
      </c>
      <c r="B8680" s="537" t="str">
        <f>VLOOKUP(A8680,'Materiales '!$C$2:$F$1302,3,0)</f>
        <v>Und</v>
      </c>
      <c r="C8680" s="98" t="str">
        <f>VLOOKUP(A8680,'Materiales '!$C$2:$F$1302,3,0)</f>
        <v>Und</v>
      </c>
      <c r="D8680" s="99">
        <f>VLOOKUP(A8680,'Materiales '!$C$2:$F$1302,4,0)</f>
        <v>198000.05399999997</v>
      </c>
      <c r="E8680" s="100">
        <v>1</v>
      </c>
      <c r="F8680" s="538">
        <f t="shared" si="506"/>
        <v>198000.05399999997</v>
      </c>
      <c r="G8680" s="539"/>
      <c r="H8680" s="121"/>
      <c r="I8680">
        <f>E8680*G8660</f>
        <v>1</v>
      </c>
      <c r="J8680" s="68"/>
      <c r="K8680" s="56"/>
      <c r="L8680" s="56"/>
      <c r="M8680" s="56"/>
      <c r="N8680" s="56"/>
      <c r="O8680" s="56"/>
    </row>
    <row r="8681" spans="1:15">
      <c r="A8681" s="536" t="s">
        <v>4545</v>
      </c>
      <c r="B8681" s="537" t="str">
        <f>VLOOKUP(A8681,'Materiales '!$C$2:$F$1302,3,0)</f>
        <v>Und</v>
      </c>
      <c r="C8681" s="98" t="str">
        <f>VLOOKUP(A8681,'Materiales '!$C$2:$F$1302,3,0)</f>
        <v>Und</v>
      </c>
      <c r="D8681" s="99">
        <f>VLOOKUP(A8681,'Materiales '!$C$2:$F$1302,4,0)</f>
        <v>851179.86800000002</v>
      </c>
      <c r="E8681" s="100">
        <v>1</v>
      </c>
      <c r="F8681" s="538">
        <f t="shared" si="506"/>
        <v>851179.86800000002</v>
      </c>
      <c r="G8681" s="539"/>
      <c r="H8681" s="121"/>
      <c r="I8681">
        <f>E8681*G8660</f>
        <v>1</v>
      </c>
      <c r="J8681" s="68"/>
      <c r="K8681" s="56"/>
      <c r="L8681" s="56"/>
      <c r="M8681" s="56"/>
      <c r="N8681" s="56"/>
      <c r="O8681" s="56"/>
    </row>
    <row r="8682" spans="1:15">
      <c r="A8682" s="536" t="s">
        <v>4585</v>
      </c>
      <c r="B8682" s="537" t="str">
        <f>VLOOKUP(A8682,'Materiales '!$C$2:$F$1302,3,0)</f>
        <v>Und</v>
      </c>
      <c r="C8682" s="98" t="str">
        <f>VLOOKUP(A8682,'Materiales '!$C$2:$F$1302,3,0)</f>
        <v>Und</v>
      </c>
      <c r="D8682" s="99">
        <f>VLOOKUP(A8682,'Materiales '!$C$2:$F$1302,4,0)</f>
        <v>217484.4</v>
      </c>
      <c r="E8682" s="100">
        <v>1</v>
      </c>
      <c r="F8682" s="538">
        <f t="shared" si="506"/>
        <v>217484.4</v>
      </c>
      <c r="G8682" s="539"/>
      <c r="H8682" s="121"/>
      <c r="I8682">
        <f>E8682*G8660</f>
        <v>1</v>
      </c>
      <c r="J8682" s="68"/>
      <c r="K8682" s="56"/>
      <c r="L8682" s="56"/>
      <c r="M8682" s="56"/>
      <c r="N8682" s="56"/>
      <c r="O8682" s="56"/>
    </row>
    <row r="8683" spans="1:15">
      <c r="A8683" s="536" t="s">
        <v>4549</v>
      </c>
      <c r="B8683" s="537" t="str">
        <f>VLOOKUP(A8683,'Materiales '!$C$2:$F$1302,3,0)</f>
        <v>Und</v>
      </c>
      <c r="C8683" s="98" t="str">
        <f>VLOOKUP(A8683,'Materiales '!$C$2:$F$1302,3,0)</f>
        <v>Und</v>
      </c>
      <c r="D8683" s="99">
        <f>VLOOKUP(A8683,'Materiales '!$C$2:$F$1302,4,0)</f>
        <v>49486.745000000003</v>
      </c>
      <c r="E8683" s="100">
        <v>1</v>
      </c>
      <c r="F8683" s="538">
        <f t="shared" si="506"/>
        <v>49486.745000000003</v>
      </c>
      <c r="G8683" s="539"/>
      <c r="H8683" s="121"/>
      <c r="I8683">
        <f>E8683*G8660</f>
        <v>1</v>
      </c>
      <c r="J8683" s="68"/>
      <c r="K8683" s="56"/>
      <c r="L8683" s="56"/>
      <c r="M8683" s="56"/>
      <c r="N8683" s="56"/>
      <c r="O8683" s="56"/>
    </row>
    <row r="8684" spans="1:15">
      <c r="A8684" s="536" t="s">
        <v>4521</v>
      </c>
      <c r="B8684" s="537" t="str">
        <f>VLOOKUP(A8684,'Materiales '!$C$2:$F$1302,3,0)</f>
        <v>Und</v>
      </c>
      <c r="C8684" s="98" t="str">
        <f>VLOOKUP(A8684,'Materiales '!$C$2:$F$1302,3,0)</f>
        <v>Und</v>
      </c>
      <c r="D8684" s="99">
        <f>VLOOKUP(A8684,'Materiales '!$C$2:$F$1302,4,0)</f>
        <v>9282</v>
      </c>
      <c r="E8684" s="100">
        <v>1</v>
      </c>
      <c r="F8684" s="538">
        <f t="shared" si="506"/>
        <v>9282</v>
      </c>
      <c r="G8684" s="539"/>
      <c r="H8684" s="121"/>
      <c r="I8684">
        <f>E8684*G8660</f>
        <v>1</v>
      </c>
      <c r="J8684" s="68"/>
      <c r="K8684" s="56"/>
      <c r="L8684" s="56"/>
      <c r="M8684" s="56"/>
      <c r="N8684" s="56"/>
      <c r="O8684" s="56"/>
    </row>
    <row r="8685" spans="1:15">
      <c r="A8685" s="536" t="s">
        <v>4496</v>
      </c>
      <c r="B8685" s="537" t="str">
        <f>VLOOKUP(A8685,'Materiales '!$C$2:$F$1302,3,0)</f>
        <v>Ml</v>
      </c>
      <c r="C8685" s="98" t="str">
        <f>VLOOKUP(A8685,'Materiales '!$C$2:$F$1302,3,0)</f>
        <v>Ml</v>
      </c>
      <c r="D8685" s="99">
        <f>VLOOKUP(A8685,'Materiales '!$C$2:$F$1302,4,0)</f>
        <v>13566</v>
      </c>
      <c r="E8685" s="100">
        <v>2</v>
      </c>
      <c r="F8685" s="538">
        <f>E8685*D8685</f>
        <v>27132</v>
      </c>
      <c r="G8685" s="539"/>
      <c r="H8685" s="120"/>
      <c r="I8685">
        <f>E8685*G8660</f>
        <v>2</v>
      </c>
      <c r="J8685" s="68"/>
      <c r="K8685" s="56"/>
      <c r="L8685" s="56"/>
      <c r="M8685" s="56"/>
      <c r="N8685" s="56"/>
      <c r="O8685" s="56"/>
    </row>
    <row r="8686" spans="1:15">
      <c r="A8686" s="536" t="s">
        <v>4494</v>
      </c>
      <c r="B8686" s="537" t="str">
        <f>VLOOKUP(A8686,'Materiales '!$C$2:$F$1302,3,0)</f>
        <v>Und</v>
      </c>
      <c r="C8686" s="98" t="str">
        <f>VLOOKUP(A8686,'Materiales '!$C$2:$F$1302,3,0)</f>
        <v>Und</v>
      </c>
      <c r="D8686" s="99">
        <f>VLOOKUP(A8686,'Materiales '!$C$2:$F$1302,4,0)</f>
        <v>9581.8799999999992</v>
      </c>
      <c r="E8686" s="100">
        <v>2</v>
      </c>
      <c r="F8686" s="538">
        <f>E8686*D8686</f>
        <v>19163.759999999998</v>
      </c>
      <c r="G8686" s="539"/>
      <c r="H8686" s="120"/>
      <c r="I8686">
        <f>E8686*G8660</f>
        <v>2</v>
      </c>
      <c r="J8686" s="68"/>
      <c r="K8686" s="56"/>
      <c r="L8686" s="56"/>
      <c r="M8686" s="56"/>
      <c r="N8686" s="56"/>
      <c r="O8686" s="56"/>
    </row>
    <row r="8687" spans="1:15" ht="16.5">
      <c r="A8687" s="540" t="s">
        <v>4099</v>
      </c>
      <c r="B8687" s="541"/>
      <c r="C8687" s="541"/>
      <c r="D8687" s="541"/>
      <c r="E8687" s="541"/>
      <c r="F8687" s="541"/>
      <c r="G8687" s="542"/>
      <c r="H8687" s="116">
        <f>SUM(F8670:F8686)</f>
        <v>13979992.074999999</v>
      </c>
      <c r="J8687" s="68"/>
      <c r="K8687" s="56"/>
      <c r="L8687" s="56"/>
      <c r="M8687" s="56"/>
      <c r="N8687" s="56"/>
      <c r="O8687" s="56"/>
    </row>
    <row r="8688" spans="1:15" ht="16.5">
      <c r="A8688" s="543" t="s">
        <v>4231</v>
      </c>
      <c r="B8688" s="544"/>
      <c r="C8688" s="544"/>
      <c r="D8688" s="544"/>
      <c r="E8688" s="545"/>
      <c r="F8688" s="544"/>
      <c r="G8688" s="544"/>
      <c r="H8688" s="546"/>
      <c r="J8688" s="68"/>
      <c r="K8688" s="56"/>
      <c r="L8688" s="56"/>
      <c r="M8688" s="56"/>
      <c r="N8688" s="56"/>
      <c r="O8688" s="56"/>
    </row>
    <row r="8689" spans="1:15">
      <c r="A8689" s="547" t="s">
        <v>7</v>
      </c>
      <c r="B8689" s="548"/>
      <c r="C8689" s="108" t="s">
        <v>4232</v>
      </c>
      <c r="D8689" s="107" t="s">
        <v>4233</v>
      </c>
      <c r="E8689" s="206" t="s">
        <v>4234</v>
      </c>
      <c r="F8689" s="549" t="s">
        <v>4218</v>
      </c>
      <c r="G8689" s="549"/>
      <c r="H8689" s="119"/>
      <c r="K8689" s="56"/>
      <c r="L8689" s="56"/>
      <c r="M8689" s="56"/>
      <c r="N8689" s="56"/>
      <c r="O8689" s="56"/>
    </row>
    <row r="8690" spans="1:15">
      <c r="A8690" s="550" t="s">
        <v>3928</v>
      </c>
      <c r="B8690" s="551"/>
      <c r="C8690" s="232">
        <v>1</v>
      </c>
      <c r="D8690" s="102">
        <v>0.1</v>
      </c>
      <c r="E8690" s="103">
        <f>VLOOKUP(A8690,'Equip, Herr y Transp'!$B$2:$D$218,3,0)</f>
        <v>160000</v>
      </c>
      <c r="F8690" s="552">
        <f>E8690*D8690*C8690</f>
        <v>16000</v>
      </c>
      <c r="G8690" s="553"/>
      <c r="H8690" s="117"/>
      <c r="M8690" s="56"/>
    </row>
    <row r="8691" spans="1:15" ht="16.5">
      <c r="A8691" s="554" t="s">
        <v>4216</v>
      </c>
      <c r="B8691" s="555"/>
      <c r="C8691" s="555"/>
      <c r="D8691" s="555"/>
      <c r="E8691" s="555"/>
      <c r="F8691" s="555"/>
      <c r="G8691" s="555"/>
      <c r="H8691" s="105">
        <f>F8690</f>
        <v>16000</v>
      </c>
    </row>
    <row r="8692" spans="1:15" ht="16.5">
      <c r="A8692" s="543" t="s">
        <v>4235</v>
      </c>
      <c r="B8692" s="544"/>
      <c r="C8692" s="544"/>
      <c r="D8692" s="544"/>
      <c r="E8692" s="544"/>
      <c r="F8692" s="544"/>
      <c r="G8692" s="544"/>
      <c r="H8692" s="546"/>
    </row>
    <row r="8693" spans="1:15">
      <c r="A8693" s="547" t="s">
        <v>7</v>
      </c>
      <c r="B8693" s="548"/>
      <c r="C8693" s="106" t="s">
        <v>1</v>
      </c>
      <c r="D8693" s="107" t="s">
        <v>4236</v>
      </c>
      <c r="E8693" s="108" t="s">
        <v>4215</v>
      </c>
      <c r="F8693" s="547" t="s">
        <v>5</v>
      </c>
      <c r="G8693" s="556"/>
      <c r="H8693" s="119"/>
    </row>
    <row r="8694" spans="1:15">
      <c r="A8694" s="550" t="s">
        <v>4196</v>
      </c>
      <c r="B8694" s="551"/>
      <c r="C8694" s="101">
        <v>1</v>
      </c>
      <c r="D8694" s="104">
        <f>VLOOKUP(A8694,'Mano Obra'!$B$2:$T$117,19,0)</f>
        <v>166624</v>
      </c>
      <c r="E8694" s="246">
        <f>H8653</f>
        <v>0.3125</v>
      </c>
      <c r="F8694" s="538">
        <f>E8694*D8694*C8694</f>
        <v>52070</v>
      </c>
      <c r="G8694" s="557"/>
      <c r="H8694" s="121"/>
      <c r="I8694" s="69"/>
      <c r="J8694" s="136">
        <f>((('Mano Obra'!$M$4/30)*F8694)/D8694)*G8660</f>
        <v>3381.4986284722222</v>
      </c>
    </row>
    <row r="8695" spans="1:15">
      <c r="A8695" s="558" t="s">
        <v>4197</v>
      </c>
      <c r="B8695" s="559">
        <f>VLOOKUP(A8695,'Mano Obra'!$B$3:$D$290,2,0)</f>
        <v>2090000.0000000002</v>
      </c>
      <c r="C8695" s="101">
        <v>2</v>
      </c>
      <c r="D8695" s="104">
        <f>VLOOKUP(A8695,'Mano Obra'!$B$2:$T$117,19,0)</f>
        <v>120456</v>
      </c>
      <c r="E8695" s="246">
        <f>H8653</f>
        <v>0.3125</v>
      </c>
      <c r="F8695" s="538">
        <f t="shared" ref="F8695:F8696" si="507">E8695*D8695*C8695</f>
        <v>75285</v>
      </c>
      <c r="G8695" s="557"/>
      <c r="H8695" s="121"/>
      <c r="J8695" s="136">
        <f>((('Mano Obra'!$M$5/30)*F8695)/D8695)*G8660</f>
        <v>6762.9972569444444</v>
      </c>
    </row>
    <row r="8696" spans="1:15">
      <c r="A8696" s="558" t="s">
        <v>4186</v>
      </c>
      <c r="B8696" s="559">
        <f>VLOOKUP(A8696,'Mano Obra'!$B$3:$D$290,2,0)</f>
        <v>1100000</v>
      </c>
      <c r="C8696" s="101">
        <v>2</v>
      </c>
      <c r="D8696" s="104">
        <f>VLOOKUP(A8696,'Mano Obra'!$B$2:$T$117,19,0)</f>
        <v>72664</v>
      </c>
      <c r="E8696" s="246">
        <f>H8653</f>
        <v>0.3125</v>
      </c>
      <c r="F8696" s="538">
        <f t="shared" si="507"/>
        <v>45415</v>
      </c>
      <c r="G8696" s="557"/>
      <c r="H8696" s="120"/>
      <c r="J8696" s="136">
        <f>((('Mano Obra'!$M$6/30)*F8696)/D8696)*G8660</f>
        <v>6762.9972569444444</v>
      </c>
    </row>
    <row r="8697" spans="1:15" ht="16.5">
      <c r="A8697" s="560" t="s">
        <v>4101</v>
      </c>
      <c r="B8697" s="560"/>
      <c r="C8697" s="560"/>
      <c r="D8697" s="560"/>
      <c r="E8697" s="560"/>
      <c r="F8697" s="560"/>
      <c r="G8697" s="560"/>
      <c r="H8697" s="105">
        <f>SUM(F8694:F8696)</f>
        <v>172770</v>
      </c>
      <c r="J8697" s="136"/>
    </row>
    <row r="8698" spans="1:15">
      <c r="A8698" s="227" t="s">
        <v>4237</v>
      </c>
      <c r="B8698" s="205"/>
      <c r="C8698" s="205"/>
      <c r="D8698" s="202"/>
      <c r="E8698" s="203"/>
      <c r="F8698" s="204"/>
      <c r="G8698" s="203"/>
      <c r="H8698" s="212"/>
    </row>
    <row r="8699" spans="1:15">
      <c r="A8699" s="561" t="s">
        <v>4224</v>
      </c>
      <c r="B8699" s="562"/>
      <c r="C8699" s="562"/>
      <c r="D8699" s="562"/>
      <c r="E8699" s="200"/>
      <c r="F8699" s="201" t="s">
        <v>4238</v>
      </c>
      <c r="G8699" s="200" t="s">
        <v>4239</v>
      </c>
      <c r="H8699" s="213"/>
    </row>
    <row r="8700" spans="1:15">
      <c r="A8700" s="223" t="s">
        <v>4097</v>
      </c>
      <c r="B8700" s="72"/>
      <c r="C8700" s="72"/>
      <c r="D8700" s="73"/>
      <c r="E8700" s="78"/>
      <c r="F8700" s="79">
        <v>0</v>
      </c>
      <c r="G8700" s="80">
        <f>F8700*H8661</f>
        <v>0</v>
      </c>
      <c r="H8700" s="212"/>
    </row>
    <row r="8701" spans="1:15">
      <c r="A8701" s="224" t="s">
        <v>4240</v>
      </c>
      <c r="B8701" s="81"/>
      <c r="C8701" s="81"/>
      <c r="D8701" s="82"/>
      <c r="E8701" s="78"/>
      <c r="F8701" s="79">
        <v>0</v>
      </c>
      <c r="G8701" s="80">
        <f>F8701*H8661</f>
        <v>0</v>
      </c>
      <c r="H8701" s="212"/>
    </row>
    <row r="8702" spans="1:15">
      <c r="A8702" s="224" t="s">
        <v>4</v>
      </c>
      <c r="B8702" s="81"/>
      <c r="C8702" s="81"/>
      <c r="D8702" s="82"/>
      <c r="E8702" s="78"/>
      <c r="F8702" s="79">
        <v>0</v>
      </c>
      <c r="G8702" s="80">
        <f>F8702*H8661</f>
        <v>0</v>
      </c>
      <c r="H8702" s="212"/>
    </row>
    <row r="8703" spans="1:15">
      <c r="A8703" s="225"/>
      <c r="B8703" s="83"/>
      <c r="C8703" s="75"/>
      <c r="D8703" s="84"/>
      <c r="E8703" s="85"/>
      <c r="F8703" s="86"/>
      <c r="G8703" s="87"/>
      <c r="H8703" s="214"/>
    </row>
    <row r="8704" spans="1:15">
      <c r="A8704" s="226"/>
      <c r="B8704" s="83"/>
      <c r="C8704" s="83"/>
      <c r="D8704" s="84"/>
      <c r="E8704" s="88"/>
      <c r="F8704" s="563" t="s">
        <v>4241</v>
      </c>
      <c r="G8704" s="564"/>
      <c r="H8704" s="233">
        <f>H8661+G8700+G8701+G8702</f>
        <v>14773177.699999999</v>
      </c>
    </row>
    <row r="8705" spans="1:14">
      <c r="A8705" s="83"/>
      <c r="B8705" s="83"/>
      <c r="C8705" s="83"/>
      <c r="D8705" s="84"/>
      <c r="E8705" s="388"/>
      <c r="F8705" s="389"/>
      <c r="G8705" s="389"/>
      <c r="H8705" s="390"/>
    </row>
    <row r="8706" spans="1:14" ht="16.5">
      <c r="A8706" s="90"/>
      <c r="B8706" s="90"/>
      <c r="C8706" s="90"/>
      <c r="D8706" s="90"/>
      <c r="E8706" s="90"/>
      <c r="F8706" s="90"/>
      <c r="G8706" s="90"/>
      <c r="H8706" s="381"/>
    </row>
    <row r="8707" spans="1:14">
      <c r="A8707" s="579" t="s">
        <v>4225</v>
      </c>
      <c r="B8707" s="580"/>
      <c r="C8707" s="580"/>
      <c r="D8707" s="580"/>
      <c r="E8707" s="580"/>
      <c r="F8707" s="580"/>
      <c r="G8707" s="580"/>
      <c r="H8707" s="581"/>
    </row>
    <row r="8708" spans="1:14" ht="16.5">
      <c r="A8708" s="91"/>
      <c r="B8708" s="92"/>
      <c r="C8708" s="92"/>
      <c r="D8708" s="92"/>
      <c r="E8708" s="92"/>
      <c r="F8708" s="93"/>
      <c r="G8708" s="94"/>
      <c r="H8708" s="380">
        <f>ROUND((150/60)/8,4)</f>
        <v>0.3125</v>
      </c>
      <c r="I8708" s="115"/>
    </row>
    <row r="8709" spans="1:14">
      <c r="A8709" s="582" t="s">
        <v>4220</v>
      </c>
      <c r="B8709" s="584" t="str">
        <f>COSTOS!$C$14</f>
        <v>MODERNIZACION A TECNOLOGIA LED</v>
      </c>
      <c r="C8709" s="584"/>
      <c r="D8709" s="584"/>
      <c r="E8709" s="584"/>
      <c r="F8709" s="584"/>
      <c r="G8709" s="584"/>
      <c r="H8709" s="585" t="s">
        <v>4221</v>
      </c>
    </row>
    <row r="8710" spans="1:14">
      <c r="A8710" s="583"/>
      <c r="B8710" s="584"/>
      <c r="C8710" s="584"/>
      <c r="D8710" s="584"/>
      <c r="E8710" s="584"/>
      <c r="F8710" s="584"/>
      <c r="G8710" s="584"/>
      <c r="H8710" s="585"/>
    </row>
    <row r="8711" spans="1:14">
      <c r="A8711" s="583"/>
      <c r="B8711" s="584"/>
      <c r="C8711" s="584"/>
      <c r="D8711" s="584"/>
      <c r="E8711" s="584"/>
      <c r="F8711" s="584"/>
      <c r="G8711" s="584"/>
      <c r="H8711" s="585"/>
    </row>
    <row r="8712" spans="1:14" ht="15" customHeight="1">
      <c r="A8712" s="583"/>
      <c r="B8712" s="584"/>
      <c r="C8712" s="584"/>
      <c r="D8712" s="584"/>
      <c r="E8712" s="584"/>
      <c r="F8712" s="584"/>
      <c r="G8712" s="584"/>
      <c r="H8712" s="216">
        <f ca="1">TODAY()</f>
        <v>44889</v>
      </c>
      <c r="K8712" t="s">
        <v>4391</v>
      </c>
      <c r="L8712" t="s">
        <v>4392</v>
      </c>
      <c r="M8712" t="s">
        <v>4393</v>
      </c>
      <c r="N8712" t="s">
        <v>4394</v>
      </c>
    </row>
    <row r="8713" spans="1:14" ht="60.75" customHeight="1">
      <c r="A8713" s="228" t="s">
        <v>4222</v>
      </c>
      <c r="B8713" s="565" t="str">
        <f>COSTOS!$D$16</f>
        <v>Luminarias</v>
      </c>
      <c r="C8713" s="565"/>
      <c r="D8713" s="565"/>
      <c r="E8713" s="565"/>
      <c r="F8713" s="565"/>
      <c r="G8713" s="70" t="s">
        <v>4223</v>
      </c>
      <c r="H8713" s="387">
        <v>4.8</v>
      </c>
      <c r="K8713" s="62">
        <f>H8742</f>
        <v>11106856.074999999</v>
      </c>
      <c r="L8713" s="62">
        <f>H8752</f>
        <v>172770</v>
      </c>
      <c r="M8713" s="62">
        <f>H8722</f>
        <v>604415.625</v>
      </c>
      <c r="N8713" s="62">
        <f>H8746</f>
        <v>16000</v>
      </c>
    </row>
    <row r="8714" spans="1:14" ht="43.15" customHeight="1">
      <c r="A8714" s="229" t="s">
        <v>4224</v>
      </c>
      <c r="B8714" s="566" t="str">
        <f>VLOOKUP(H8713,COSTOS!C:M,2,0)</f>
        <v>Instalacion de CENTRO DE TRANSFORMACION, MONOFASICO, 25KVA, 13200-480/240 a Red de Media tension , TIPO HORIZONTAL, en poste existente</v>
      </c>
      <c r="C8714" s="567"/>
      <c r="D8714" s="567"/>
      <c r="E8714" s="568"/>
      <c r="F8714" s="71" t="s">
        <v>0</v>
      </c>
      <c r="G8714" s="356" t="str">
        <f>VLOOKUP(H8713,COSTOS!C:M,8,0)</f>
        <v>Und</v>
      </c>
      <c r="H8714" s="276"/>
      <c r="I8714" s="306"/>
      <c r="J8714" s="308"/>
      <c r="K8714" s="308"/>
      <c r="L8714" s="308"/>
    </row>
    <row r="8715" spans="1:14">
      <c r="A8715" s="230"/>
      <c r="B8715" s="112"/>
      <c r="C8715" s="112"/>
      <c r="D8715" s="112"/>
      <c r="E8715" s="113"/>
      <c r="F8715" s="114" t="s">
        <v>1</v>
      </c>
      <c r="G8715" s="356">
        <f>VLOOKUP(H8713,COSTOS!C:M,9,0)</f>
        <v>0</v>
      </c>
      <c r="H8715" s="357"/>
      <c r="I8715" s="307"/>
    </row>
    <row r="8716" spans="1:14" ht="16.5">
      <c r="A8716" s="231" t="s">
        <v>4226</v>
      </c>
      <c r="B8716" s="75"/>
      <c r="C8716" s="75"/>
      <c r="D8716" s="76"/>
      <c r="E8716" s="209"/>
      <c r="F8716" s="210"/>
      <c r="G8716" s="211" t="s">
        <v>4227</v>
      </c>
      <c r="H8716" s="217">
        <f>H8722+H8742+H8746+H8752</f>
        <v>11900041.699999999</v>
      </c>
    </row>
    <row r="8717" spans="1:14" ht="39">
      <c r="A8717" s="569" t="s">
        <v>4224</v>
      </c>
      <c r="B8717" s="569"/>
      <c r="C8717" s="569"/>
      <c r="D8717" s="77" t="s">
        <v>0</v>
      </c>
      <c r="E8717" s="207" t="s">
        <v>4228</v>
      </c>
      <c r="F8717" s="208" t="s">
        <v>4215</v>
      </c>
      <c r="G8717" s="74" t="s">
        <v>2</v>
      </c>
      <c r="H8717" s="218" t="s">
        <v>4229</v>
      </c>
      <c r="K8717" s="309"/>
    </row>
    <row r="8718" spans="1:14">
      <c r="A8718" s="536" t="s">
        <v>3946</v>
      </c>
      <c r="B8718" s="570" t="str">
        <f>VLOOKUP(A8718,'Equip, Herr y Transp'!$B$2:$D$739,2,0)</f>
        <v>EQU</v>
      </c>
      <c r="C8718" s="570"/>
      <c r="D8718" s="95" t="str">
        <f>VLOOKUP(A8718,'Equip, Herr y Transp'!$B$2:$D$218,2,0)</f>
        <v>EQU</v>
      </c>
      <c r="E8718" s="95">
        <f>VLOOKUP(A8718,'Equip, Herr y Transp'!$B$2:$D$218,3,0)</f>
        <v>14130</v>
      </c>
      <c r="F8718" s="96">
        <f>H8708</f>
        <v>0.3125</v>
      </c>
      <c r="G8718" s="122">
        <f>F8718*E8718</f>
        <v>4415.625</v>
      </c>
      <c r="H8718" s="118"/>
    </row>
    <row r="8719" spans="1:14">
      <c r="A8719" s="536" t="s">
        <v>3894</v>
      </c>
      <c r="B8719" s="570" t="str">
        <f>VLOOKUP(A8719,'Equip, Herr y Transp'!$B$2:$D$739,2,0)</f>
        <v>TR</v>
      </c>
      <c r="C8719" s="570"/>
      <c r="D8719" s="95" t="str">
        <f>VLOOKUP(A8719,'Equip, Herr y Transp'!$B$2:$D$218,2,0)</f>
        <v>TR</v>
      </c>
      <c r="E8719" s="95">
        <f>VLOOKUP(A8719,'Equip, Herr y Transp'!$B$2:$D$218,3,0)</f>
        <v>960000</v>
      </c>
      <c r="F8719" s="96">
        <f>H8708</f>
        <v>0.3125</v>
      </c>
      <c r="G8719" s="122">
        <f>F8719*E8719</f>
        <v>300000</v>
      </c>
      <c r="H8719" s="117"/>
    </row>
    <row r="8720" spans="1:14">
      <c r="A8720" s="536" t="s">
        <v>3895</v>
      </c>
      <c r="B8720" s="570" t="str">
        <f>VLOOKUP(A8720,'Equip, Herr y Transp'!$B$2:$D$739,2,0)</f>
        <v>TR</v>
      </c>
      <c r="C8720" s="570"/>
      <c r="D8720" s="95" t="str">
        <f>VLOOKUP(A8720,'Equip, Herr y Transp'!$B$2:$D$218,2,0)</f>
        <v>TR</v>
      </c>
      <c r="E8720" s="95">
        <f>VLOOKUP(A8720,'Equip, Herr y Transp'!$B$2:$D$218,3,0)</f>
        <v>960000</v>
      </c>
      <c r="F8720" s="96">
        <f>H8708</f>
        <v>0.3125</v>
      </c>
      <c r="G8720" s="122">
        <f>F8720*E8720</f>
        <v>300000</v>
      </c>
      <c r="H8720" s="117"/>
    </row>
    <row r="8721" spans="1:15">
      <c r="A8721" s="536" t="s">
        <v>8</v>
      </c>
      <c r="B8721" s="570">
        <f>VLOOKUP(A8721,'Equip, Herr y Transp'!$B$2:$D$739,2,0)</f>
        <v>0</v>
      </c>
      <c r="C8721" s="570"/>
      <c r="D8721" s="95">
        <f>VLOOKUP(A8721,'Equip, Herr y Transp'!$B$2:$D$218,2,0)</f>
        <v>0</v>
      </c>
      <c r="E8721" s="95">
        <f>VLOOKUP(A8721,'Equip, Herr y Transp'!$B$2:$D$218,3,0)</f>
        <v>0</v>
      </c>
      <c r="F8721" s="96">
        <f>H8708</f>
        <v>0.3125</v>
      </c>
      <c r="G8721" s="122">
        <f>F8721*E8721</f>
        <v>0</v>
      </c>
      <c r="H8721" s="117"/>
    </row>
    <row r="8722" spans="1:15" ht="16.5">
      <c r="A8722" s="540" t="s">
        <v>4100</v>
      </c>
      <c r="B8722" s="541"/>
      <c r="C8722" s="541"/>
      <c r="D8722" s="541"/>
      <c r="E8722" s="541"/>
      <c r="F8722" s="541"/>
      <c r="G8722" s="541"/>
      <c r="H8722" s="97">
        <f>SUM(G8718:G8721)</f>
        <v>604415.625</v>
      </c>
    </row>
    <row r="8723" spans="1:15" ht="16.5">
      <c r="A8723" s="571" t="s">
        <v>4230</v>
      </c>
      <c r="B8723" s="572"/>
      <c r="C8723" s="572"/>
      <c r="D8723" s="572"/>
      <c r="E8723" s="572"/>
      <c r="F8723" s="572"/>
      <c r="G8723" s="572"/>
      <c r="H8723" s="573"/>
      <c r="K8723" s="56"/>
      <c r="L8723" s="56"/>
      <c r="M8723" s="56"/>
      <c r="N8723" s="56"/>
      <c r="O8723" s="56"/>
    </row>
    <row r="8724" spans="1:15" ht="30" customHeight="1">
      <c r="A8724" s="574" t="s">
        <v>7</v>
      </c>
      <c r="B8724" s="575"/>
      <c r="C8724" s="109" t="s">
        <v>0</v>
      </c>
      <c r="D8724" s="110" t="s">
        <v>4098</v>
      </c>
      <c r="E8724" s="111" t="s">
        <v>1</v>
      </c>
      <c r="F8724" s="576" t="s">
        <v>4218</v>
      </c>
      <c r="G8724" s="576"/>
      <c r="H8724" s="215"/>
      <c r="K8724" s="56"/>
      <c r="L8724" s="56"/>
      <c r="M8724" s="56"/>
      <c r="N8724" s="56"/>
      <c r="O8724" s="56"/>
    </row>
    <row r="8725" spans="1:15">
      <c r="A8725" s="577" t="s">
        <v>4513</v>
      </c>
      <c r="B8725" s="578"/>
      <c r="C8725" s="98" t="str">
        <f>VLOOKUP(A8725,'Materiales '!$C$2:$F$1302,3,0)</f>
        <v>Und</v>
      </c>
      <c r="D8725" s="99">
        <f>VLOOKUP(A8725,'Materiales '!$C$2:$F$1302,4,0)</f>
        <v>21420</v>
      </c>
      <c r="E8725" s="100">
        <v>2</v>
      </c>
      <c r="F8725" s="538">
        <f>E8725*D8725</f>
        <v>42840</v>
      </c>
      <c r="G8725" s="539"/>
      <c r="H8725" s="121"/>
      <c r="I8725">
        <f>E8725*G8715</f>
        <v>0</v>
      </c>
      <c r="J8725" s="67"/>
      <c r="K8725" s="56"/>
      <c r="L8725" s="56"/>
      <c r="M8725" s="56"/>
      <c r="N8725" s="56"/>
      <c r="O8725" s="56"/>
    </row>
    <row r="8726" spans="1:15">
      <c r="A8726" s="577" t="s">
        <v>4514</v>
      </c>
      <c r="B8726" s="578"/>
      <c r="C8726" s="98" t="str">
        <f>VLOOKUP(A8726,'Materiales '!$C$2:$F$1302,3,0)</f>
        <v>Und</v>
      </c>
      <c r="D8726" s="99">
        <f>VLOOKUP(A8726,'Materiales '!$C$2:$F$1302,4,0)</f>
        <v>18706.8</v>
      </c>
      <c r="E8726" s="100">
        <v>2</v>
      </c>
      <c r="F8726" s="538">
        <f t="shared" ref="F8726:F8732" si="508">E8726*D8726</f>
        <v>37413.599999999999</v>
      </c>
      <c r="G8726" s="539"/>
      <c r="H8726" s="121"/>
      <c r="I8726">
        <f>E8726*G8715</f>
        <v>0</v>
      </c>
      <c r="J8726" s="67"/>
      <c r="K8726" s="56"/>
      <c r="L8726" s="56"/>
      <c r="M8726" s="56"/>
      <c r="N8726" s="56"/>
      <c r="O8726" s="56"/>
    </row>
    <row r="8727" spans="1:15">
      <c r="A8727" s="536" t="s">
        <v>4556</v>
      </c>
      <c r="B8727" s="537" t="str">
        <f>VLOOKUP(A8727,'Materiales '!$C$2:$F$1302,3,0)</f>
        <v>Und</v>
      </c>
      <c r="C8727" s="98" t="str">
        <f>VLOOKUP(A8727,'Materiales '!$C$2:$F$1302,3,0)</f>
        <v>Und</v>
      </c>
      <c r="D8727" s="99">
        <f>VLOOKUP(A8727,'Materiales '!$C$2:$F$1302,4,0)</f>
        <v>7979.6640000000007</v>
      </c>
      <c r="E8727" s="100">
        <v>2</v>
      </c>
      <c r="F8727" s="538">
        <f t="shared" si="508"/>
        <v>15959.328000000001</v>
      </c>
      <c r="G8727" s="539"/>
      <c r="H8727" s="121"/>
      <c r="I8727">
        <f>E8727*G8715</f>
        <v>0</v>
      </c>
      <c r="J8727" s="68"/>
      <c r="K8727" s="56"/>
      <c r="L8727" s="56"/>
      <c r="M8727" s="56"/>
      <c r="N8727" s="56"/>
      <c r="O8727" s="56"/>
    </row>
    <row r="8728" spans="1:15">
      <c r="A8728" s="536" t="s">
        <v>4458</v>
      </c>
      <c r="B8728" s="537" t="str">
        <f>VLOOKUP(A8728,'Materiales '!$C$2:$F$1302,3,0)</f>
        <v>Ml</v>
      </c>
      <c r="C8728" s="98" t="str">
        <f>VLOOKUP(A8728,'Materiales '!$C$2:$F$1302,3,0)</f>
        <v>Ml</v>
      </c>
      <c r="D8728" s="99">
        <f>VLOOKUP(A8728,'Materiales '!$C$2:$F$1302,4,0)</f>
        <v>23386.355999999996</v>
      </c>
      <c r="E8728" s="100">
        <v>20</v>
      </c>
      <c r="F8728" s="538">
        <f t="shared" si="508"/>
        <v>467727.11999999994</v>
      </c>
      <c r="G8728" s="539"/>
      <c r="H8728" s="121"/>
      <c r="I8728">
        <f>E8728*G8715</f>
        <v>0</v>
      </c>
      <c r="J8728" s="68"/>
      <c r="K8728" s="56"/>
      <c r="L8728" s="56"/>
      <c r="M8728" s="56"/>
      <c r="N8728" s="56"/>
      <c r="O8728" s="56"/>
    </row>
    <row r="8729" spans="1:15">
      <c r="A8729" s="536" t="s">
        <v>4445</v>
      </c>
      <c r="B8729" s="537" t="str">
        <f>VLOOKUP(A8729,'Materiales '!$C$2:$F$1302,3,0)</f>
        <v>Ml</v>
      </c>
      <c r="C8729" s="98" t="str">
        <f>VLOOKUP(A8729,'Materiales '!$C$2:$F$1302,3,0)</f>
        <v>Ml</v>
      </c>
      <c r="D8729" s="99">
        <f>VLOOKUP(A8729,'Materiales '!$C$2:$F$1302,4,0)</f>
        <v>4426.8</v>
      </c>
      <c r="E8729" s="100">
        <v>15</v>
      </c>
      <c r="F8729" s="538">
        <f t="shared" si="508"/>
        <v>66402</v>
      </c>
      <c r="G8729" s="539"/>
      <c r="H8729" s="121"/>
      <c r="I8729">
        <f>E8729*G8715</f>
        <v>0</v>
      </c>
      <c r="J8729" s="68"/>
      <c r="K8729" s="56"/>
      <c r="L8729" s="56"/>
      <c r="M8729" s="56"/>
      <c r="N8729" s="56"/>
      <c r="O8729" s="56"/>
    </row>
    <row r="8730" spans="1:15">
      <c r="A8730" s="536" t="s">
        <v>4522</v>
      </c>
      <c r="B8730" s="537" t="str">
        <f>VLOOKUP(A8730,'Materiales '!$C$2:$F$1302,3,0)</f>
        <v>Und</v>
      </c>
      <c r="C8730" s="98" t="str">
        <f>VLOOKUP(A8730,'Materiales '!$C$2:$F$1302,3,0)</f>
        <v>Und</v>
      </c>
      <c r="D8730" s="99">
        <f>VLOOKUP(A8730,'Materiales '!$C$2:$F$1302,4,0)</f>
        <v>428400</v>
      </c>
      <c r="E8730" s="100">
        <v>2</v>
      </c>
      <c r="F8730" s="538">
        <f t="shared" si="508"/>
        <v>856800</v>
      </c>
      <c r="G8730" s="539"/>
      <c r="H8730" s="121"/>
      <c r="I8730">
        <f>E8730*G8715</f>
        <v>0</v>
      </c>
      <c r="J8730" s="68"/>
      <c r="K8730" s="56"/>
      <c r="L8730" s="56"/>
      <c r="M8730" s="56"/>
      <c r="N8730" s="56"/>
      <c r="O8730" s="56"/>
    </row>
    <row r="8731" spans="1:15">
      <c r="A8731" s="536" t="s">
        <v>4533</v>
      </c>
      <c r="B8731" s="537" t="str">
        <f>VLOOKUP(A8731,'Materiales '!$C$2:$F$1302,3,0)</f>
        <v>Und</v>
      </c>
      <c r="C8731" s="98" t="str">
        <f>VLOOKUP(A8731,'Materiales '!$C$2:$F$1302,3,0)</f>
        <v>Und</v>
      </c>
      <c r="D8731" s="99">
        <f>VLOOKUP(A8731,'Materiales '!$C$2:$F$1302,4,0)</f>
        <v>15708</v>
      </c>
      <c r="E8731" s="100">
        <v>2</v>
      </c>
      <c r="F8731" s="538">
        <f t="shared" si="508"/>
        <v>31416</v>
      </c>
      <c r="G8731" s="539"/>
      <c r="H8731" s="121"/>
      <c r="I8731">
        <f>E8731*G8715</f>
        <v>0</v>
      </c>
      <c r="J8731" s="68"/>
      <c r="K8731" s="56"/>
      <c r="L8731" s="56"/>
      <c r="M8731" s="56"/>
      <c r="N8731" s="56"/>
      <c r="O8731" s="56"/>
    </row>
    <row r="8732" spans="1:15" ht="21.75" customHeight="1">
      <c r="A8732" s="536" t="s">
        <v>4528</v>
      </c>
      <c r="B8732" s="537" t="str">
        <f>VLOOKUP(A8732,'Materiales '!$C$2:$F$1302,3,0)</f>
        <v>Und</v>
      </c>
      <c r="C8732" s="98" t="str">
        <f>VLOOKUP(A8732,'Materiales '!$C$2:$F$1302,3,0)</f>
        <v>Und</v>
      </c>
      <c r="D8732" s="99">
        <f>VLOOKUP(A8732,'Materiales '!$C$2:$F$1302,4,0)</f>
        <v>148155</v>
      </c>
      <c r="E8732" s="100">
        <v>2</v>
      </c>
      <c r="F8732" s="538">
        <f t="shared" si="508"/>
        <v>296310</v>
      </c>
      <c r="G8732" s="539"/>
      <c r="H8732" s="121"/>
      <c r="I8732">
        <f>E8732*G8715</f>
        <v>0</v>
      </c>
      <c r="J8732" s="68"/>
      <c r="K8732" s="56"/>
      <c r="L8732" s="56"/>
      <c r="M8732" s="56"/>
      <c r="N8732" s="56"/>
      <c r="O8732" s="56"/>
    </row>
    <row r="8733" spans="1:15">
      <c r="A8733" s="536" t="s">
        <v>4819</v>
      </c>
      <c r="B8733" s="537" t="str">
        <f>VLOOKUP(A8733,'Materiales '!$C$2:$F$1302,3,0)</f>
        <v>Und</v>
      </c>
      <c r="C8733" s="98" t="str">
        <f>VLOOKUP(A8733,'Materiales '!$C$2:$F$1302,3,0)</f>
        <v>Und</v>
      </c>
      <c r="D8733" s="99">
        <f>VLOOKUP(A8733,'Materiales '!$C$2:$F$1302,4,0)</f>
        <v>7854000</v>
      </c>
      <c r="E8733" s="100">
        <v>1</v>
      </c>
      <c r="F8733" s="538">
        <f>E8733*D8733</f>
        <v>7854000</v>
      </c>
      <c r="G8733" s="539"/>
      <c r="H8733" s="120"/>
      <c r="I8733">
        <f>E8733*G8715</f>
        <v>0</v>
      </c>
      <c r="J8733" s="68"/>
      <c r="K8733" s="56"/>
      <c r="L8733" s="56"/>
      <c r="M8733" s="56"/>
      <c r="N8733" s="56"/>
      <c r="O8733" s="56"/>
    </row>
    <row r="8734" spans="1:15">
      <c r="A8734" s="536" t="s">
        <v>4485</v>
      </c>
      <c r="B8734" s="537" t="str">
        <f>VLOOKUP(A8734,'Materiales '!$C$2:$F$1302,3,0)</f>
        <v>Und</v>
      </c>
      <c r="C8734" s="98" t="str">
        <f>VLOOKUP(A8734,'Materiales '!$C$2:$F$1302,3,0)</f>
        <v>Und</v>
      </c>
      <c r="D8734" s="99">
        <f>VLOOKUP(A8734,'Materiales '!$C$2:$F$1302,4,0)</f>
        <v>33129.599999999999</v>
      </c>
      <c r="E8734" s="100">
        <v>2</v>
      </c>
      <c r="F8734" s="538">
        <f t="shared" ref="F8734:F8739" si="509">E8734*D8734</f>
        <v>66259.199999999997</v>
      </c>
      <c r="G8734" s="539"/>
      <c r="H8734" s="121"/>
      <c r="I8734">
        <f>E8734*G8715</f>
        <v>0</v>
      </c>
      <c r="J8734" s="68"/>
      <c r="K8734" s="56"/>
      <c r="L8734" s="56"/>
      <c r="M8734" s="56"/>
      <c r="N8734" s="56"/>
      <c r="O8734" s="56"/>
    </row>
    <row r="8735" spans="1:15">
      <c r="A8735" s="536" t="s">
        <v>4499</v>
      </c>
      <c r="B8735" s="537" t="str">
        <f>VLOOKUP(A8735,'Materiales '!$C$2:$F$1302,3,0)</f>
        <v>Und</v>
      </c>
      <c r="C8735" s="98" t="str">
        <f>VLOOKUP(A8735,'Materiales '!$C$2:$F$1302,3,0)</f>
        <v>Und</v>
      </c>
      <c r="D8735" s="99">
        <f>VLOOKUP(A8735,'Materiales '!$C$2:$F$1302,4,0)</f>
        <v>198000.05399999997</v>
      </c>
      <c r="E8735" s="100">
        <v>1</v>
      </c>
      <c r="F8735" s="538">
        <f t="shared" si="509"/>
        <v>198000.05399999997</v>
      </c>
      <c r="G8735" s="539"/>
      <c r="H8735" s="121"/>
      <c r="I8735">
        <f>E8735*G8715</f>
        <v>0</v>
      </c>
      <c r="J8735" s="68"/>
      <c r="K8735" s="56"/>
      <c r="L8735" s="56"/>
      <c r="M8735" s="56"/>
      <c r="N8735" s="56"/>
      <c r="O8735" s="56"/>
    </row>
    <row r="8736" spans="1:15">
      <c r="A8736" s="536" t="s">
        <v>4545</v>
      </c>
      <c r="B8736" s="537" t="str">
        <f>VLOOKUP(A8736,'Materiales '!$C$2:$F$1302,3,0)</f>
        <v>Und</v>
      </c>
      <c r="C8736" s="98" t="str">
        <f>VLOOKUP(A8736,'Materiales '!$C$2:$F$1302,3,0)</f>
        <v>Und</v>
      </c>
      <c r="D8736" s="99">
        <f>VLOOKUP(A8736,'Materiales '!$C$2:$F$1302,4,0)</f>
        <v>851179.86800000002</v>
      </c>
      <c r="E8736" s="100">
        <v>1</v>
      </c>
      <c r="F8736" s="538">
        <f t="shared" si="509"/>
        <v>851179.86800000002</v>
      </c>
      <c r="G8736" s="539"/>
      <c r="H8736" s="121"/>
      <c r="I8736">
        <f>E8736*G8715</f>
        <v>0</v>
      </c>
      <c r="J8736" s="68"/>
      <c r="K8736" s="56"/>
      <c r="L8736" s="56"/>
      <c r="M8736" s="56"/>
      <c r="N8736" s="56"/>
      <c r="O8736" s="56"/>
    </row>
    <row r="8737" spans="1:15">
      <c r="A8737" s="536" t="s">
        <v>4585</v>
      </c>
      <c r="B8737" s="537" t="str">
        <f>VLOOKUP(A8737,'Materiales '!$C$2:$F$1302,3,0)</f>
        <v>Und</v>
      </c>
      <c r="C8737" s="98" t="str">
        <f>VLOOKUP(A8737,'Materiales '!$C$2:$F$1302,3,0)</f>
        <v>Und</v>
      </c>
      <c r="D8737" s="99">
        <f>VLOOKUP(A8737,'Materiales '!$C$2:$F$1302,4,0)</f>
        <v>217484.4</v>
      </c>
      <c r="E8737" s="100">
        <v>1</v>
      </c>
      <c r="F8737" s="538">
        <f t="shared" si="509"/>
        <v>217484.4</v>
      </c>
      <c r="G8737" s="539"/>
      <c r="H8737" s="121"/>
      <c r="I8737">
        <f>E8737*G8715</f>
        <v>0</v>
      </c>
      <c r="J8737" s="68"/>
      <c r="K8737" s="56"/>
      <c r="L8737" s="56"/>
      <c r="M8737" s="56"/>
      <c r="N8737" s="56"/>
      <c r="O8737" s="56"/>
    </row>
    <row r="8738" spans="1:15">
      <c r="A8738" s="536" t="s">
        <v>4549</v>
      </c>
      <c r="B8738" s="537" t="str">
        <f>VLOOKUP(A8738,'Materiales '!$C$2:$F$1302,3,0)</f>
        <v>Und</v>
      </c>
      <c r="C8738" s="98" t="str">
        <f>VLOOKUP(A8738,'Materiales '!$C$2:$F$1302,3,0)</f>
        <v>Und</v>
      </c>
      <c r="D8738" s="99">
        <f>VLOOKUP(A8738,'Materiales '!$C$2:$F$1302,4,0)</f>
        <v>49486.745000000003</v>
      </c>
      <c r="E8738" s="100">
        <v>1</v>
      </c>
      <c r="F8738" s="538">
        <f t="shared" si="509"/>
        <v>49486.745000000003</v>
      </c>
      <c r="G8738" s="539"/>
      <c r="H8738" s="121"/>
      <c r="I8738">
        <f>E8738*G8715</f>
        <v>0</v>
      </c>
      <c r="J8738" s="68"/>
      <c r="K8738" s="56"/>
      <c r="L8738" s="56"/>
      <c r="M8738" s="56"/>
      <c r="N8738" s="56"/>
      <c r="O8738" s="56"/>
    </row>
    <row r="8739" spans="1:15">
      <c r="A8739" s="536" t="s">
        <v>4521</v>
      </c>
      <c r="B8739" s="537" t="str">
        <f>VLOOKUP(A8739,'Materiales '!$C$2:$F$1302,3,0)</f>
        <v>Und</v>
      </c>
      <c r="C8739" s="98" t="str">
        <f>VLOOKUP(A8739,'Materiales '!$C$2:$F$1302,3,0)</f>
        <v>Und</v>
      </c>
      <c r="D8739" s="99">
        <f>VLOOKUP(A8739,'Materiales '!$C$2:$F$1302,4,0)</f>
        <v>9282</v>
      </c>
      <c r="E8739" s="100">
        <v>1</v>
      </c>
      <c r="F8739" s="538">
        <f t="shared" si="509"/>
        <v>9282</v>
      </c>
      <c r="G8739" s="539"/>
      <c r="H8739" s="121"/>
      <c r="I8739">
        <f>E8739*G8715</f>
        <v>0</v>
      </c>
      <c r="J8739" s="68"/>
      <c r="K8739" s="56"/>
      <c r="L8739" s="56"/>
      <c r="M8739" s="56"/>
      <c r="N8739" s="56"/>
      <c r="O8739" s="56"/>
    </row>
    <row r="8740" spans="1:15">
      <c r="A8740" s="536" t="s">
        <v>4496</v>
      </c>
      <c r="B8740" s="537" t="str">
        <f>VLOOKUP(A8740,'Materiales '!$C$2:$F$1302,3,0)</f>
        <v>Ml</v>
      </c>
      <c r="C8740" s="98" t="str">
        <f>VLOOKUP(A8740,'Materiales '!$C$2:$F$1302,3,0)</f>
        <v>Ml</v>
      </c>
      <c r="D8740" s="99">
        <f>VLOOKUP(A8740,'Materiales '!$C$2:$F$1302,4,0)</f>
        <v>13566</v>
      </c>
      <c r="E8740" s="100">
        <v>2</v>
      </c>
      <c r="F8740" s="538">
        <f>E8740*D8740</f>
        <v>27132</v>
      </c>
      <c r="G8740" s="539"/>
      <c r="H8740" s="120"/>
      <c r="I8740">
        <f>E8740*G8715</f>
        <v>0</v>
      </c>
      <c r="J8740" s="68"/>
      <c r="K8740" s="56"/>
      <c r="L8740" s="56"/>
      <c r="M8740" s="56"/>
      <c r="N8740" s="56"/>
      <c r="O8740" s="56"/>
    </row>
    <row r="8741" spans="1:15">
      <c r="A8741" s="536" t="s">
        <v>4494</v>
      </c>
      <c r="B8741" s="537" t="str">
        <f>VLOOKUP(A8741,'Materiales '!$C$2:$F$1302,3,0)</f>
        <v>Und</v>
      </c>
      <c r="C8741" s="98" t="str">
        <f>VLOOKUP(A8741,'Materiales '!$C$2:$F$1302,3,0)</f>
        <v>Und</v>
      </c>
      <c r="D8741" s="99">
        <f>VLOOKUP(A8741,'Materiales '!$C$2:$F$1302,4,0)</f>
        <v>9581.8799999999992</v>
      </c>
      <c r="E8741" s="100">
        <v>2</v>
      </c>
      <c r="F8741" s="538">
        <f>E8741*D8741</f>
        <v>19163.759999999998</v>
      </c>
      <c r="G8741" s="539"/>
      <c r="H8741" s="120"/>
      <c r="I8741">
        <f>E8741*G8715</f>
        <v>0</v>
      </c>
      <c r="J8741" s="68"/>
      <c r="K8741" s="56"/>
      <c r="L8741" s="56"/>
      <c r="M8741" s="56"/>
      <c r="N8741" s="56"/>
      <c r="O8741" s="56"/>
    </row>
    <row r="8742" spans="1:15" ht="16.5">
      <c r="A8742" s="540" t="s">
        <v>4099</v>
      </c>
      <c r="B8742" s="541"/>
      <c r="C8742" s="541"/>
      <c r="D8742" s="541"/>
      <c r="E8742" s="541"/>
      <c r="F8742" s="541"/>
      <c r="G8742" s="542"/>
      <c r="H8742" s="116">
        <f>SUM(F8725:F8741)</f>
        <v>11106856.074999999</v>
      </c>
      <c r="J8742" s="68"/>
      <c r="K8742" s="56"/>
      <c r="L8742" s="56"/>
      <c r="M8742" s="56"/>
      <c r="N8742" s="56"/>
      <c r="O8742" s="56"/>
    </row>
    <row r="8743" spans="1:15" ht="16.5">
      <c r="A8743" s="543" t="s">
        <v>4231</v>
      </c>
      <c r="B8743" s="544"/>
      <c r="C8743" s="544"/>
      <c r="D8743" s="544"/>
      <c r="E8743" s="545"/>
      <c r="F8743" s="544"/>
      <c r="G8743" s="544"/>
      <c r="H8743" s="546"/>
      <c r="J8743" s="68"/>
      <c r="K8743" s="56"/>
      <c r="L8743" s="56"/>
      <c r="M8743" s="56"/>
      <c r="N8743" s="56"/>
      <c r="O8743" s="56"/>
    </row>
    <row r="8744" spans="1:15">
      <c r="A8744" s="547" t="s">
        <v>7</v>
      </c>
      <c r="B8744" s="548"/>
      <c r="C8744" s="108" t="s">
        <v>4232</v>
      </c>
      <c r="D8744" s="107" t="s">
        <v>4233</v>
      </c>
      <c r="E8744" s="206" t="s">
        <v>4234</v>
      </c>
      <c r="F8744" s="549" t="s">
        <v>4218</v>
      </c>
      <c r="G8744" s="549"/>
      <c r="H8744" s="119"/>
      <c r="K8744" s="56"/>
      <c r="L8744" s="56"/>
      <c r="M8744" s="56"/>
      <c r="N8744" s="56"/>
      <c r="O8744" s="56"/>
    </row>
    <row r="8745" spans="1:15">
      <c r="A8745" s="550" t="s">
        <v>3928</v>
      </c>
      <c r="B8745" s="551"/>
      <c r="C8745" s="232">
        <v>1</v>
      </c>
      <c r="D8745" s="102">
        <v>0.1</v>
      </c>
      <c r="E8745" s="103">
        <f>VLOOKUP(A8745,'Equip, Herr y Transp'!$B$2:$D$218,3,0)</f>
        <v>160000</v>
      </c>
      <c r="F8745" s="552">
        <f>E8745*D8745*C8745</f>
        <v>16000</v>
      </c>
      <c r="G8745" s="553"/>
      <c r="H8745" s="117"/>
      <c r="M8745" s="56"/>
    </row>
    <row r="8746" spans="1:15" ht="16.5">
      <c r="A8746" s="554" t="s">
        <v>4216</v>
      </c>
      <c r="B8746" s="555"/>
      <c r="C8746" s="555"/>
      <c r="D8746" s="555"/>
      <c r="E8746" s="555"/>
      <c r="F8746" s="555"/>
      <c r="G8746" s="555"/>
      <c r="H8746" s="105">
        <f>F8745</f>
        <v>16000</v>
      </c>
    </row>
    <row r="8747" spans="1:15" ht="16.5">
      <c r="A8747" s="543" t="s">
        <v>4235</v>
      </c>
      <c r="B8747" s="544"/>
      <c r="C8747" s="544"/>
      <c r="D8747" s="544"/>
      <c r="E8747" s="544"/>
      <c r="F8747" s="544"/>
      <c r="G8747" s="544"/>
      <c r="H8747" s="546"/>
    </row>
    <row r="8748" spans="1:15">
      <c r="A8748" s="547" t="s">
        <v>7</v>
      </c>
      <c r="B8748" s="548"/>
      <c r="C8748" s="106" t="s">
        <v>1</v>
      </c>
      <c r="D8748" s="107" t="s">
        <v>4236</v>
      </c>
      <c r="E8748" s="108" t="s">
        <v>4215</v>
      </c>
      <c r="F8748" s="547" t="s">
        <v>5</v>
      </c>
      <c r="G8748" s="556"/>
      <c r="H8748" s="119"/>
    </row>
    <row r="8749" spans="1:15">
      <c r="A8749" s="550" t="s">
        <v>4196</v>
      </c>
      <c r="B8749" s="551"/>
      <c r="C8749" s="101">
        <v>1</v>
      </c>
      <c r="D8749" s="104">
        <f>VLOOKUP(A8749,'Mano Obra'!$B$2:$T$117,19,0)</f>
        <v>166624</v>
      </c>
      <c r="E8749" s="246">
        <f>H8708</f>
        <v>0.3125</v>
      </c>
      <c r="F8749" s="538">
        <f>E8749*D8749*C8749</f>
        <v>52070</v>
      </c>
      <c r="G8749" s="557"/>
      <c r="H8749" s="121"/>
      <c r="I8749" s="69"/>
      <c r="J8749" s="136">
        <f>((('Mano Obra'!$M$4/30)*F8749)/D8749)*G8715</f>
        <v>0</v>
      </c>
    </row>
    <row r="8750" spans="1:15">
      <c r="A8750" s="558" t="s">
        <v>4197</v>
      </c>
      <c r="B8750" s="559">
        <f>VLOOKUP(A8750,'Mano Obra'!$B$3:$D$290,2,0)</f>
        <v>2090000.0000000002</v>
      </c>
      <c r="C8750" s="101">
        <v>2</v>
      </c>
      <c r="D8750" s="104">
        <f>VLOOKUP(A8750,'Mano Obra'!$B$2:$T$117,19,0)</f>
        <v>120456</v>
      </c>
      <c r="E8750" s="246">
        <f>H8708</f>
        <v>0.3125</v>
      </c>
      <c r="F8750" s="538">
        <f t="shared" ref="F8750:F8751" si="510">E8750*D8750*C8750</f>
        <v>75285</v>
      </c>
      <c r="G8750" s="557"/>
      <c r="H8750" s="121"/>
      <c r="J8750" s="136">
        <f>((('Mano Obra'!$M$5/30)*F8750)/D8750)*G8715</f>
        <v>0</v>
      </c>
    </row>
    <row r="8751" spans="1:15">
      <c r="A8751" s="558" t="s">
        <v>4186</v>
      </c>
      <c r="B8751" s="559">
        <f>VLOOKUP(A8751,'Mano Obra'!$B$3:$D$290,2,0)</f>
        <v>1100000</v>
      </c>
      <c r="C8751" s="101">
        <v>2</v>
      </c>
      <c r="D8751" s="104">
        <f>VLOOKUP(A8751,'Mano Obra'!$B$2:$T$117,19,0)</f>
        <v>72664</v>
      </c>
      <c r="E8751" s="246">
        <f>H8708</f>
        <v>0.3125</v>
      </c>
      <c r="F8751" s="538">
        <f t="shared" si="510"/>
        <v>45415</v>
      </c>
      <c r="G8751" s="557"/>
      <c r="H8751" s="120"/>
      <c r="J8751" s="136">
        <f>((('Mano Obra'!$M$6/30)*F8751)/D8751)*G8715</f>
        <v>0</v>
      </c>
    </row>
    <row r="8752" spans="1:15" ht="16.5">
      <c r="A8752" s="560" t="s">
        <v>4101</v>
      </c>
      <c r="B8752" s="560"/>
      <c r="C8752" s="560"/>
      <c r="D8752" s="560"/>
      <c r="E8752" s="560"/>
      <c r="F8752" s="560"/>
      <c r="G8752" s="560"/>
      <c r="H8752" s="105">
        <f>SUM(F8749:F8751)</f>
        <v>172770</v>
      </c>
      <c r="J8752" s="136"/>
    </row>
    <row r="8753" spans="1:14">
      <c r="A8753" s="227" t="s">
        <v>4237</v>
      </c>
      <c r="B8753" s="205"/>
      <c r="C8753" s="205"/>
      <c r="D8753" s="202"/>
      <c r="E8753" s="203"/>
      <c r="F8753" s="204"/>
      <c r="G8753" s="203"/>
      <c r="H8753" s="212"/>
    </row>
    <row r="8754" spans="1:14">
      <c r="A8754" s="561" t="s">
        <v>4224</v>
      </c>
      <c r="B8754" s="562"/>
      <c r="C8754" s="562"/>
      <c r="D8754" s="562"/>
      <c r="E8754" s="200"/>
      <c r="F8754" s="201" t="s">
        <v>4238</v>
      </c>
      <c r="G8754" s="200" t="s">
        <v>4239</v>
      </c>
      <c r="H8754" s="213"/>
    </row>
    <row r="8755" spans="1:14">
      <c r="A8755" s="223" t="s">
        <v>4097</v>
      </c>
      <c r="B8755" s="72"/>
      <c r="C8755" s="72"/>
      <c r="D8755" s="73"/>
      <c r="E8755" s="78"/>
      <c r="F8755" s="79">
        <v>0</v>
      </c>
      <c r="G8755" s="80">
        <f>F8755*H8716</f>
        <v>0</v>
      </c>
      <c r="H8755" s="212"/>
    </row>
    <row r="8756" spans="1:14">
      <c r="A8756" s="224" t="s">
        <v>4240</v>
      </c>
      <c r="B8756" s="81"/>
      <c r="C8756" s="81"/>
      <c r="D8756" s="82"/>
      <c r="E8756" s="78"/>
      <c r="F8756" s="79">
        <v>0</v>
      </c>
      <c r="G8756" s="80">
        <f>F8756*H8716</f>
        <v>0</v>
      </c>
      <c r="H8756" s="212"/>
    </row>
    <row r="8757" spans="1:14">
      <c r="A8757" s="224" t="s">
        <v>4</v>
      </c>
      <c r="B8757" s="81"/>
      <c r="C8757" s="81"/>
      <c r="D8757" s="82"/>
      <c r="E8757" s="78"/>
      <c r="F8757" s="79">
        <v>0</v>
      </c>
      <c r="G8757" s="80">
        <f>F8757*H8716</f>
        <v>0</v>
      </c>
      <c r="H8757" s="212"/>
    </row>
    <row r="8758" spans="1:14">
      <c r="A8758" s="225"/>
      <c r="B8758" s="83"/>
      <c r="C8758" s="75"/>
      <c r="D8758" s="84"/>
      <c r="E8758" s="85"/>
      <c r="F8758" s="86"/>
      <c r="G8758" s="87"/>
      <c r="H8758" s="214"/>
    </row>
    <row r="8759" spans="1:14">
      <c r="A8759" s="226"/>
      <c r="B8759" s="83"/>
      <c r="C8759" s="83"/>
      <c r="D8759" s="84"/>
      <c r="E8759" s="88"/>
      <c r="F8759" s="563" t="s">
        <v>4241</v>
      </c>
      <c r="G8759" s="564"/>
      <c r="H8759" s="233">
        <f>H8716+G8755+G8756+G8757</f>
        <v>11900041.699999999</v>
      </c>
    </row>
    <row r="8760" spans="1:14">
      <c r="A8760" s="83"/>
      <c r="B8760" s="83"/>
      <c r="C8760" s="83"/>
      <c r="D8760" s="84"/>
      <c r="E8760" s="388"/>
      <c r="F8760" s="389"/>
      <c r="G8760" s="389"/>
      <c r="H8760" s="390"/>
    </row>
    <row r="8761" spans="1:14" ht="16.5">
      <c r="A8761" s="90"/>
      <c r="B8761" s="90"/>
      <c r="C8761" s="90"/>
      <c r="D8761" s="90"/>
      <c r="E8761" s="90"/>
      <c r="F8761" s="90"/>
      <c r="G8761" s="90"/>
      <c r="H8761" s="381"/>
    </row>
    <row r="8762" spans="1:14">
      <c r="A8762" s="579" t="s">
        <v>4225</v>
      </c>
      <c r="B8762" s="580"/>
      <c r="C8762" s="580"/>
      <c r="D8762" s="580"/>
      <c r="E8762" s="580"/>
      <c r="F8762" s="580"/>
      <c r="G8762" s="580"/>
      <c r="H8762" s="581"/>
    </row>
    <row r="8763" spans="1:14" ht="16.5">
      <c r="A8763" s="91"/>
      <c r="B8763" s="92"/>
      <c r="C8763" s="92"/>
      <c r="D8763" s="92"/>
      <c r="E8763" s="92"/>
      <c r="F8763" s="93"/>
      <c r="G8763" s="94"/>
      <c r="H8763" s="380">
        <f>ROUND((200/60)/8,4)</f>
        <v>0.41670000000000001</v>
      </c>
      <c r="I8763" s="115"/>
    </row>
    <row r="8764" spans="1:14">
      <c r="A8764" s="582" t="s">
        <v>4220</v>
      </c>
      <c r="B8764" s="584" t="str">
        <f>COSTOS!$C$14</f>
        <v>MODERNIZACION A TECNOLOGIA LED</v>
      </c>
      <c r="C8764" s="584"/>
      <c r="D8764" s="584"/>
      <c r="E8764" s="584"/>
      <c r="F8764" s="584"/>
      <c r="G8764" s="584"/>
      <c r="H8764" s="585" t="s">
        <v>4221</v>
      </c>
    </row>
    <row r="8765" spans="1:14">
      <c r="A8765" s="583"/>
      <c r="B8765" s="584"/>
      <c r="C8765" s="584"/>
      <c r="D8765" s="584"/>
      <c r="E8765" s="584"/>
      <c r="F8765" s="584"/>
      <c r="G8765" s="584"/>
      <c r="H8765" s="585"/>
    </row>
    <row r="8766" spans="1:14">
      <c r="A8766" s="583"/>
      <c r="B8766" s="584"/>
      <c r="C8766" s="584"/>
      <c r="D8766" s="584"/>
      <c r="E8766" s="584"/>
      <c r="F8766" s="584"/>
      <c r="G8766" s="584"/>
      <c r="H8766" s="585"/>
    </row>
    <row r="8767" spans="1:14" ht="15" customHeight="1">
      <c r="A8767" s="583"/>
      <c r="B8767" s="584"/>
      <c r="C8767" s="584"/>
      <c r="D8767" s="584"/>
      <c r="E8767" s="584"/>
      <c r="F8767" s="584"/>
      <c r="G8767" s="584"/>
      <c r="H8767" s="216">
        <f ca="1">TODAY()</f>
        <v>44889</v>
      </c>
      <c r="K8767" t="s">
        <v>4391</v>
      </c>
      <c r="L8767" t="s">
        <v>4392</v>
      </c>
      <c r="M8767" t="s">
        <v>4393</v>
      </c>
      <c r="N8767" t="s">
        <v>4394</v>
      </c>
    </row>
    <row r="8768" spans="1:14" ht="60.75" customHeight="1">
      <c r="A8768" s="228" t="s">
        <v>4222</v>
      </c>
      <c r="B8768" s="565" t="str">
        <f>COSTOS!$D$16</f>
        <v>Luminarias</v>
      </c>
      <c r="C8768" s="565"/>
      <c r="D8768" s="565"/>
      <c r="E8768" s="565"/>
      <c r="F8768" s="565"/>
      <c r="G8768" s="70" t="s">
        <v>4223</v>
      </c>
      <c r="H8768" s="387">
        <v>4.9000000000000004</v>
      </c>
      <c r="K8768" s="62">
        <f>H8797</f>
        <v>19105492.007000003</v>
      </c>
      <c r="L8768" s="62">
        <f>H8807</f>
        <v>230378.42879999999</v>
      </c>
      <c r="M8768" s="62">
        <f>H8777</f>
        <v>805951.97100000002</v>
      </c>
      <c r="N8768" s="62">
        <f>H8801</f>
        <v>16000</v>
      </c>
    </row>
    <row r="8769" spans="1:15" ht="43.15" customHeight="1">
      <c r="A8769" s="229" t="s">
        <v>4224</v>
      </c>
      <c r="B8769" s="566" t="str">
        <f>VLOOKUP(H8768,COSTOS!C:M,2,0)</f>
        <v>Instalacion de CENTRO DE TRANSFORMACION, TRIFASICO, 112,5KVA, 13200-480/240 a Red de Media tension , TIPO HORIZONTAL, en poste existente</v>
      </c>
      <c r="C8769" s="567"/>
      <c r="D8769" s="567"/>
      <c r="E8769" s="568"/>
      <c r="F8769" s="71" t="s">
        <v>0</v>
      </c>
      <c r="G8769" s="356" t="str">
        <f>VLOOKUP(H8768,COSTOS!C:M,8,0)</f>
        <v>Und</v>
      </c>
      <c r="H8769" s="276"/>
      <c r="I8769" s="306"/>
      <c r="J8769" s="308"/>
      <c r="K8769" s="308"/>
      <c r="L8769" s="308"/>
    </row>
    <row r="8770" spans="1:15">
      <c r="A8770" s="230"/>
      <c r="B8770" s="112"/>
      <c r="C8770" s="112"/>
      <c r="D8770" s="112"/>
      <c r="E8770" s="113"/>
      <c r="F8770" s="114" t="s">
        <v>1</v>
      </c>
      <c r="G8770" s="356">
        <f>VLOOKUP(H8768,COSTOS!C:M,9,0)</f>
        <v>0</v>
      </c>
      <c r="H8770" s="357"/>
      <c r="I8770" s="307"/>
    </row>
    <row r="8771" spans="1:15" ht="16.5">
      <c r="A8771" s="231" t="s">
        <v>4226</v>
      </c>
      <c r="B8771" s="75"/>
      <c r="C8771" s="75"/>
      <c r="D8771" s="76"/>
      <c r="E8771" s="209"/>
      <c r="F8771" s="210"/>
      <c r="G8771" s="211" t="s">
        <v>4227</v>
      </c>
      <c r="H8771" s="217">
        <f>H8777+H8797+H8801+H8807</f>
        <v>20157822.406800006</v>
      </c>
    </row>
    <row r="8772" spans="1:15" ht="39">
      <c r="A8772" s="569" t="s">
        <v>4224</v>
      </c>
      <c r="B8772" s="569"/>
      <c r="C8772" s="569"/>
      <c r="D8772" s="77" t="s">
        <v>0</v>
      </c>
      <c r="E8772" s="207" t="s">
        <v>4228</v>
      </c>
      <c r="F8772" s="208" t="s">
        <v>4215</v>
      </c>
      <c r="G8772" s="74" t="s">
        <v>2</v>
      </c>
      <c r="H8772" s="218" t="s">
        <v>4229</v>
      </c>
      <c r="K8772" s="309"/>
    </row>
    <row r="8773" spans="1:15">
      <c r="A8773" s="536" t="s">
        <v>3946</v>
      </c>
      <c r="B8773" s="570" t="str">
        <f>VLOOKUP(A8773,'Equip, Herr y Transp'!$B$2:$D$739,2,0)</f>
        <v>EQU</v>
      </c>
      <c r="C8773" s="570"/>
      <c r="D8773" s="95" t="str">
        <f>VLOOKUP(A8773,'Equip, Herr y Transp'!$B$2:$D$218,2,0)</f>
        <v>EQU</v>
      </c>
      <c r="E8773" s="95">
        <f>VLOOKUP(A8773,'Equip, Herr y Transp'!$B$2:$D$218,3,0)</f>
        <v>14130</v>
      </c>
      <c r="F8773" s="96">
        <f>H8763</f>
        <v>0.41670000000000001</v>
      </c>
      <c r="G8773" s="122">
        <f>F8773*E8773</f>
        <v>5887.9710000000005</v>
      </c>
      <c r="H8773" s="118"/>
    </row>
    <row r="8774" spans="1:15">
      <c r="A8774" s="536" t="s">
        <v>3894</v>
      </c>
      <c r="B8774" s="570" t="str">
        <f>VLOOKUP(A8774,'Equip, Herr y Transp'!$B$2:$D$739,2,0)</f>
        <v>TR</v>
      </c>
      <c r="C8774" s="570"/>
      <c r="D8774" s="95" t="str">
        <f>VLOOKUP(A8774,'Equip, Herr y Transp'!$B$2:$D$218,2,0)</f>
        <v>TR</v>
      </c>
      <c r="E8774" s="95">
        <f>VLOOKUP(A8774,'Equip, Herr y Transp'!$B$2:$D$218,3,0)</f>
        <v>960000</v>
      </c>
      <c r="F8774" s="96">
        <f>H8763</f>
        <v>0.41670000000000001</v>
      </c>
      <c r="G8774" s="122">
        <f>F8774*E8774</f>
        <v>400032</v>
      </c>
      <c r="H8774" s="117"/>
    </row>
    <row r="8775" spans="1:15">
      <c r="A8775" s="536" t="s">
        <v>3895</v>
      </c>
      <c r="B8775" s="570" t="str">
        <f>VLOOKUP(A8775,'Equip, Herr y Transp'!$B$2:$D$739,2,0)</f>
        <v>TR</v>
      </c>
      <c r="C8775" s="570"/>
      <c r="D8775" s="95" t="str">
        <f>VLOOKUP(A8775,'Equip, Herr y Transp'!$B$2:$D$218,2,0)</f>
        <v>TR</v>
      </c>
      <c r="E8775" s="95">
        <f>VLOOKUP(A8775,'Equip, Herr y Transp'!$B$2:$D$218,3,0)</f>
        <v>960000</v>
      </c>
      <c r="F8775" s="96">
        <f>H8763</f>
        <v>0.41670000000000001</v>
      </c>
      <c r="G8775" s="122">
        <f>F8775*E8775</f>
        <v>400032</v>
      </c>
      <c r="H8775" s="117"/>
    </row>
    <row r="8776" spans="1:15">
      <c r="A8776" s="536" t="s">
        <v>8</v>
      </c>
      <c r="B8776" s="570">
        <f>VLOOKUP(A8776,'Equip, Herr y Transp'!$B$2:$D$739,2,0)</f>
        <v>0</v>
      </c>
      <c r="C8776" s="570"/>
      <c r="D8776" s="95">
        <f>VLOOKUP(A8776,'Equip, Herr y Transp'!$B$2:$D$218,2,0)</f>
        <v>0</v>
      </c>
      <c r="E8776" s="95">
        <f>VLOOKUP(A8776,'Equip, Herr y Transp'!$B$2:$D$218,3,0)</f>
        <v>0</v>
      </c>
      <c r="F8776" s="96">
        <f>H8763</f>
        <v>0.41670000000000001</v>
      </c>
      <c r="G8776" s="122">
        <f>F8776*E8776</f>
        <v>0</v>
      </c>
      <c r="H8776" s="117"/>
    </row>
    <row r="8777" spans="1:15" ht="16.5">
      <c r="A8777" s="540" t="s">
        <v>4100</v>
      </c>
      <c r="B8777" s="541"/>
      <c r="C8777" s="541"/>
      <c r="D8777" s="541"/>
      <c r="E8777" s="541"/>
      <c r="F8777" s="541"/>
      <c r="G8777" s="541"/>
      <c r="H8777" s="97">
        <f>SUM(G8773:G8776)</f>
        <v>805951.97100000002</v>
      </c>
    </row>
    <row r="8778" spans="1:15" ht="16.5">
      <c r="A8778" s="571" t="s">
        <v>4230</v>
      </c>
      <c r="B8778" s="572"/>
      <c r="C8778" s="572"/>
      <c r="D8778" s="572"/>
      <c r="E8778" s="572"/>
      <c r="F8778" s="572"/>
      <c r="G8778" s="572"/>
      <c r="H8778" s="573"/>
      <c r="K8778" s="56"/>
      <c r="L8778" s="56"/>
      <c r="M8778" s="56"/>
      <c r="N8778" s="56"/>
      <c r="O8778" s="56"/>
    </row>
    <row r="8779" spans="1:15" ht="30" customHeight="1">
      <c r="A8779" s="574" t="s">
        <v>7</v>
      </c>
      <c r="B8779" s="575"/>
      <c r="C8779" s="109" t="s">
        <v>0</v>
      </c>
      <c r="D8779" s="110" t="s">
        <v>4098</v>
      </c>
      <c r="E8779" s="111" t="s">
        <v>1</v>
      </c>
      <c r="F8779" s="576" t="s">
        <v>4218</v>
      </c>
      <c r="G8779" s="576"/>
      <c r="H8779" s="215"/>
      <c r="K8779" s="56"/>
      <c r="L8779" s="56"/>
      <c r="M8779" s="56"/>
      <c r="N8779" s="56"/>
      <c r="O8779" s="56"/>
    </row>
    <row r="8780" spans="1:15">
      <c r="A8780" s="577" t="s">
        <v>4513</v>
      </c>
      <c r="B8780" s="578"/>
      <c r="C8780" s="98" t="str">
        <f>VLOOKUP(A8780,'Materiales '!$C$2:$F$1302,3,0)</f>
        <v>Und</v>
      </c>
      <c r="D8780" s="99">
        <f>VLOOKUP(A8780,'Materiales '!$C$2:$F$1302,4,0)</f>
        <v>21420</v>
      </c>
      <c r="E8780" s="100">
        <v>3</v>
      </c>
      <c r="F8780" s="538">
        <f>E8780*D8780</f>
        <v>64260</v>
      </c>
      <c r="G8780" s="539"/>
      <c r="H8780" s="121"/>
      <c r="I8780">
        <f>E8780*G8770</f>
        <v>0</v>
      </c>
      <c r="J8780" s="67"/>
      <c r="K8780" s="56"/>
      <c r="L8780" s="56"/>
      <c r="M8780" s="56"/>
      <c r="N8780" s="56"/>
      <c r="O8780" s="56"/>
    </row>
    <row r="8781" spans="1:15">
      <c r="A8781" s="577" t="s">
        <v>4514</v>
      </c>
      <c r="B8781" s="578"/>
      <c r="C8781" s="98" t="str">
        <f>VLOOKUP(A8781,'Materiales '!$C$2:$F$1302,3,0)</f>
        <v>Und</v>
      </c>
      <c r="D8781" s="99">
        <f>VLOOKUP(A8781,'Materiales '!$C$2:$F$1302,4,0)</f>
        <v>18706.8</v>
      </c>
      <c r="E8781" s="100">
        <v>3</v>
      </c>
      <c r="F8781" s="538">
        <f t="shared" ref="F8781:F8787" si="511">E8781*D8781</f>
        <v>56120.399999999994</v>
      </c>
      <c r="G8781" s="539"/>
      <c r="H8781" s="121"/>
      <c r="I8781">
        <f>E8781*G8770</f>
        <v>0</v>
      </c>
      <c r="J8781" s="67"/>
      <c r="K8781" s="56"/>
      <c r="L8781" s="56"/>
      <c r="M8781" s="56"/>
      <c r="N8781" s="56"/>
      <c r="O8781" s="56"/>
    </row>
    <row r="8782" spans="1:15">
      <c r="A8782" s="536" t="s">
        <v>4556</v>
      </c>
      <c r="B8782" s="537" t="str">
        <f>VLOOKUP(A8782,'Materiales '!$C$2:$F$1302,3,0)</f>
        <v>Und</v>
      </c>
      <c r="C8782" s="98" t="str">
        <f>VLOOKUP(A8782,'Materiales '!$C$2:$F$1302,3,0)</f>
        <v>Und</v>
      </c>
      <c r="D8782" s="99">
        <f>VLOOKUP(A8782,'Materiales '!$C$2:$F$1302,4,0)</f>
        <v>7979.6640000000007</v>
      </c>
      <c r="E8782" s="100">
        <v>2</v>
      </c>
      <c r="F8782" s="538">
        <f t="shared" si="511"/>
        <v>15959.328000000001</v>
      </c>
      <c r="G8782" s="539"/>
      <c r="H8782" s="121"/>
      <c r="I8782">
        <f>E8782*G8770</f>
        <v>0</v>
      </c>
      <c r="J8782" s="68"/>
      <c r="K8782" s="56"/>
      <c r="L8782" s="56"/>
      <c r="M8782" s="56"/>
      <c r="N8782" s="56"/>
      <c r="O8782" s="56"/>
    </row>
    <row r="8783" spans="1:15">
      <c r="A8783" s="536" t="s">
        <v>4458</v>
      </c>
      <c r="B8783" s="537" t="str">
        <f>VLOOKUP(A8783,'Materiales '!$C$2:$F$1302,3,0)</f>
        <v>Ml</v>
      </c>
      <c r="C8783" s="98" t="str">
        <f>VLOOKUP(A8783,'Materiales '!$C$2:$F$1302,3,0)</f>
        <v>Ml</v>
      </c>
      <c r="D8783" s="99">
        <f>VLOOKUP(A8783,'Materiales '!$C$2:$F$1302,4,0)</f>
        <v>23386.355999999996</v>
      </c>
      <c r="E8783" s="100">
        <v>20</v>
      </c>
      <c r="F8783" s="538">
        <f t="shared" si="511"/>
        <v>467727.11999999994</v>
      </c>
      <c r="G8783" s="539"/>
      <c r="H8783" s="121"/>
      <c r="I8783">
        <f>E8783*G8770</f>
        <v>0</v>
      </c>
      <c r="J8783" s="68"/>
      <c r="K8783" s="56"/>
      <c r="L8783" s="56"/>
      <c r="M8783" s="56"/>
      <c r="N8783" s="56"/>
      <c r="O8783" s="56"/>
    </row>
    <row r="8784" spans="1:15">
      <c r="A8784" s="536" t="s">
        <v>4445</v>
      </c>
      <c r="B8784" s="537" t="str">
        <f>VLOOKUP(A8784,'Materiales '!$C$2:$F$1302,3,0)</f>
        <v>Ml</v>
      </c>
      <c r="C8784" s="98" t="str">
        <f>VLOOKUP(A8784,'Materiales '!$C$2:$F$1302,3,0)</f>
        <v>Ml</v>
      </c>
      <c r="D8784" s="99">
        <f>VLOOKUP(A8784,'Materiales '!$C$2:$F$1302,4,0)</f>
        <v>4426.8</v>
      </c>
      <c r="E8784" s="100">
        <v>15</v>
      </c>
      <c r="F8784" s="538">
        <f t="shared" si="511"/>
        <v>66402</v>
      </c>
      <c r="G8784" s="539"/>
      <c r="H8784" s="121"/>
      <c r="I8784">
        <f>E8784*G8770</f>
        <v>0</v>
      </c>
      <c r="J8784" s="68"/>
      <c r="K8784" s="56"/>
      <c r="L8784" s="56"/>
      <c r="M8784" s="56"/>
      <c r="N8784" s="56"/>
      <c r="O8784" s="56"/>
    </row>
    <row r="8785" spans="1:15">
      <c r="A8785" s="536" t="s">
        <v>4522</v>
      </c>
      <c r="B8785" s="537" t="str">
        <f>VLOOKUP(A8785,'Materiales '!$C$2:$F$1302,3,0)</f>
        <v>Und</v>
      </c>
      <c r="C8785" s="98" t="str">
        <f>VLOOKUP(A8785,'Materiales '!$C$2:$F$1302,3,0)</f>
        <v>Und</v>
      </c>
      <c r="D8785" s="99">
        <f>VLOOKUP(A8785,'Materiales '!$C$2:$F$1302,4,0)</f>
        <v>428400</v>
      </c>
      <c r="E8785" s="100">
        <v>3</v>
      </c>
      <c r="F8785" s="538">
        <f t="shared" si="511"/>
        <v>1285200</v>
      </c>
      <c r="G8785" s="539"/>
      <c r="H8785" s="121"/>
      <c r="I8785">
        <f>E8785*G8770</f>
        <v>0</v>
      </c>
      <c r="J8785" s="68"/>
      <c r="K8785" s="56"/>
      <c r="L8785" s="56"/>
      <c r="M8785" s="56"/>
      <c r="N8785" s="56"/>
      <c r="O8785" s="56"/>
    </row>
    <row r="8786" spans="1:15">
      <c r="A8786" s="536" t="s">
        <v>4821</v>
      </c>
      <c r="B8786" s="537" t="str">
        <f>VLOOKUP(A8786,'Materiales '!$C$2:$F$1302,3,0)</f>
        <v>Und</v>
      </c>
      <c r="C8786" s="98" t="str">
        <f>VLOOKUP(A8786,'Materiales '!$C$2:$F$1302,3,0)</f>
        <v>Und</v>
      </c>
      <c r="D8786" s="99">
        <f>VLOOKUP(A8786,'Materiales '!$C$2:$F$1302,4,0)</f>
        <v>21420</v>
      </c>
      <c r="E8786" s="100">
        <v>3</v>
      </c>
      <c r="F8786" s="538">
        <f t="shared" si="511"/>
        <v>64260</v>
      </c>
      <c r="G8786" s="539"/>
      <c r="H8786" s="121"/>
      <c r="I8786">
        <f>E8786*G8770</f>
        <v>0</v>
      </c>
      <c r="J8786" s="68"/>
      <c r="K8786" s="56"/>
      <c r="L8786" s="56"/>
      <c r="M8786" s="56"/>
      <c r="N8786" s="56"/>
      <c r="O8786" s="56"/>
    </row>
    <row r="8787" spans="1:15" ht="21.75" customHeight="1">
      <c r="A8787" s="536" t="s">
        <v>4528</v>
      </c>
      <c r="B8787" s="537" t="str">
        <f>VLOOKUP(A8787,'Materiales '!$C$2:$F$1302,3,0)</f>
        <v>Und</v>
      </c>
      <c r="C8787" s="98" t="str">
        <f>VLOOKUP(A8787,'Materiales '!$C$2:$F$1302,3,0)</f>
        <v>Und</v>
      </c>
      <c r="D8787" s="99">
        <f>VLOOKUP(A8787,'Materiales '!$C$2:$F$1302,4,0)</f>
        <v>148155</v>
      </c>
      <c r="E8787" s="100">
        <v>3</v>
      </c>
      <c r="F8787" s="538">
        <f t="shared" si="511"/>
        <v>444465</v>
      </c>
      <c r="G8787" s="539"/>
      <c r="H8787" s="121"/>
      <c r="I8787">
        <f>E8787*G8770</f>
        <v>0</v>
      </c>
      <c r="J8787" s="68"/>
      <c r="K8787" s="56"/>
      <c r="L8787" s="56"/>
      <c r="M8787" s="56"/>
      <c r="N8787" s="56"/>
      <c r="O8787" s="56"/>
    </row>
    <row r="8788" spans="1:15">
      <c r="A8788" s="536" t="s">
        <v>4820</v>
      </c>
      <c r="B8788" s="537" t="str">
        <f>VLOOKUP(A8788,'Materiales '!$C$2:$F$1302,3,0)</f>
        <v>Und</v>
      </c>
      <c r="C8788" s="98" t="str">
        <f>VLOOKUP(A8788,'Materiales '!$C$2:$F$1302,3,0)</f>
        <v>Und</v>
      </c>
      <c r="D8788" s="99">
        <f>VLOOKUP(A8788,'Materiales '!$C$2:$F$1302,4,0)</f>
        <v>14994000</v>
      </c>
      <c r="E8788" s="100">
        <v>1</v>
      </c>
      <c r="F8788" s="538">
        <f>E8788*D8788</f>
        <v>14994000</v>
      </c>
      <c r="G8788" s="539"/>
      <c r="H8788" s="120"/>
      <c r="I8788">
        <f>E8788*G8770</f>
        <v>0</v>
      </c>
      <c r="J8788" s="68"/>
      <c r="K8788" s="56"/>
      <c r="L8788" s="56"/>
      <c r="M8788" s="56"/>
      <c r="N8788" s="56"/>
      <c r="O8788" s="56"/>
    </row>
    <row r="8789" spans="1:15">
      <c r="A8789" s="536" t="s">
        <v>4485</v>
      </c>
      <c r="B8789" s="537" t="str">
        <f>VLOOKUP(A8789,'Materiales '!$C$2:$F$1302,3,0)</f>
        <v>Und</v>
      </c>
      <c r="C8789" s="98" t="str">
        <f>VLOOKUP(A8789,'Materiales '!$C$2:$F$1302,3,0)</f>
        <v>Und</v>
      </c>
      <c r="D8789" s="99">
        <f>VLOOKUP(A8789,'Materiales '!$C$2:$F$1302,4,0)</f>
        <v>33129.599999999999</v>
      </c>
      <c r="E8789" s="100">
        <v>2</v>
      </c>
      <c r="F8789" s="538">
        <f t="shared" ref="F8789:F8794" si="512">E8789*D8789</f>
        <v>66259.199999999997</v>
      </c>
      <c r="G8789" s="539"/>
      <c r="H8789" s="121"/>
      <c r="I8789">
        <f>E8789*G8770</f>
        <v>0</v>
      </c>
      <c r="J8789" s="68"/>
      <c r="K8789" s="56"/>
      <c r="L8789" s="56"/>
      <c r="M8789" s="56"/>
      <c r="N8789" s="56"/>
      <c r="O8789" s="56"/>
    </row>
    <row r="8790" spans="1:15">
      <c r="A8790" s="536" t="s">
        <v>4499</v>
      </c>
      <c r="B8790" s="537" t="str">
        <f>VLOOKUP(A8790,'Materiales '!$C$2:$F$1302,3,0)</f>
        <v>Und</v>
      </c>
      <c r="C8790" s="98" t="str">
        <f>VLOOKUP(A8790,'Materiales '!$C$2:$F$1302,3,0)</f>
        <v>Und</v>
      </c>
      <c r="D8790" s="99">
        <f>VLOOKUP(A8790,'Materiales '!$C$2:$F$1302,4,0)</f>
        <v>198000.05399999997</v>
      </c>
      <c r="E8790" s="100">
        <v>1</v>
      </c>
      <c r="F8790" s="538">
        <f t="shared" si="512"/>
        <v>198000.05399999997</v>
      </c>
      <c r="G8790" s="539"/>
      <c r="H8790" s="121"/>
      <c r="I8790">
        <f>E8790*G8770</f>
        <v>0</v>
      </c>
      <c r="J8790" s="68"/>
      <c r="K8790" s="56"/>
      <c r="L8790" s="56"/>
      <c r="M8790" s="56"/>
      <c r="N8790" s="56"/>
      <c r="O8790" s="56"/>
    </row>
    <row r="8791" spans="1:15">
      <c r="A8791" s="536" t="s">
        <v>4546</v>
      </c>
      <c r="B8791" s="537" t="str">
        <f>VLOOKUP(A8791,'Materiales '!$C$2:$F$1302,3,0)</f>
        <v>Und</v>
      </c>
      <c r="C8791" s="98" t="str">
        <f>VLOOKUP(A8791,'Materiales '!$C$2:$F$1302,3,0)</f>
        <v>Und</v>
      </c>
      <c r="D8791" s="99">
        <f>VLOOKUP(A8791,'Materiales '!$C$2:$F$1302,4,0)</f>
        <v>1060290</v>
      </c>
      <c r="E8791" s="100">
        <v>1</v>
      </c>
      <c r="F8791" s="538">
        <f t="shared" si="512"/>
        <v>1060290</v>
      </c>
      <c r="G8791" s="539"/>
      <c r="H8791" s="121"/>
      <c r="I8791">
        <f>E8791*G8770</f>
        <v>0</v>
      </c>
      <c r="J8791" s="68"/>
      <c r="K8791" s="56"/>
      <c r="L8791" s="56"/>
      <c r="M8791" s="56"/>
      <c r="N8791" s="56"/>
      <c r="O8791" s="56"/>
    </row>
    <row r="8792" spans="1:15">
      <c r="A8792" s="536" t="s">
        <v>4585</v>
      </c>
      <c r="B8792" s="537" t="str">
        <f>VLOOKUP(A8792,'Materiales '!$C$2:$F$1302,3,0)</f>
        <v>Und</v>
      </c>
      <c r="C8792" s="98" t="str">
        <f>VLOOKUP(A8792,'Materiales '!$C$2:$F$1302,3,0)</f>
        <v>Und</v>
      </c>
      <c r="D8792" s="99">
        <f>VLOOKUP(A8792,'Materiales '!$C$2:$F$1302,4,0)</f>
        <v>217484.4</v>
      </c>
      <c r="E8792" s="100">
        <v>1</v>
      </c>
      <c r="F8792" s="538">
        <f t="shared" si="512"/>
        <v>217484.4</v>
      </c>
      <c r="G8792" s="539"/>
      <c r="H8792" s="121"/>
      <c r="I8792">
        <f>E8792*G8770</f>
        <v>0</v>
      </c>
      <c r="J8792" s="68"/>
      <c r="K8792" s="56"/>
      <c r="L8792" s="56"/>
      <c r="M8792" s="56"/>
      <c r="N8792" s="56"/>
      <c r="O8792" s="56"/>
    </row>
    <row r="8793" spans="1:15">
      <c r="A8793" s="536" t="s">
        <v>4549</v>
      </c>
      <c r="B8793" s="537" t="str">
        <f>VLOOKUP(A8793,'Materiales '!$C$2:$F$1302,3,0)</f>
        <v>Und</v>
      </c>
      <c r="C8793" s="98" t="str">
        <f>VLOOKUP(A8793,'Materiales '!$C$2:$F$1302,3,0)</f>
        <v>Und</v>
      </c>
      <c r="D8793" s="99">
        <f>VLOOKUP(A8793,'Materiales '!$C$2:$F$1302,4,0)</f>
        <v>49486.745000000003</v>
      </c>
      <c r="E8793" s="100">
        <v>1</v>
      </c>
      <c r="F8793" s="538">
        <f t="shared" si="512"/>
        <v>49486.745000000003</v>
      </c>
      <c r="G8793" s="539"/>
      <c r="H8793" s="121"/>
      <c r="I8793">
        <f>E8793*G8770</f>
        <v>0</v>
      </c>
      <c r="J8793" s="68"/>
      <c r="K8793" s="56"/>
      <c r="L8793" s="56"/>
      <c r="M8793" s="56"/>
      <c r="N8793" s="56"/>
      <c r="O8793" s="56"/>
    </row>
    <row r="8794" spans="1:15">
      <c r="A8794" s="536" t="s">
        <v>4521</v>
      </c>
      <c r="B8794" s="537" t="str">
        <f>VLOOKUP(A8794,'Materiales '!$C$2:$F$1302,3,0)</f>
        <v>Und</v>
      </c>
      <c r="C8794" s="98" t="str">
        <f>VLOOKUP(A8794,'Materiales '!$C$2:$F$1302,3,0)</f>
        <v>Und</v>
      </c>
      <c r="D8794" s="99">
        <f>VLOOKUP(A8794,'Materiales '!$C$2:$F$1302,4,0)</f>
        <v>9282</v>
      </c>
      <c r="E8794" s="100">
        <v>1</v>
      </c>
      <c r="F8794" s="538">
        <f t="shared" si="512"/>
        <v>9282</v>
      </c>
      <c r="G8794" s="539"/>
      <c r="H8794" s="121"/>
      <c r="I8794">
        <f>E8794*G8770</f>
        <v>0</v>
      </c>
      <c r="J8794" s="68"/>
      <c r="K8794" s="56"/>
      <c r="L8794" s="56"/>
      <c r="M8794" s="56"/>
      <c r="N8794" s="56"/>
      <c r="O8794" s="56"/>
    </row>
    <row r="8795" spans="1:15">
      <c r="A8795" s="536" t="s">
        <v>4496</v>
      </c>
      <c r="B8795" s="537" t="str">
        <f>VLOOKUP(A8795,'Materiales '!$C$2:$F$1302,3,0)</f>
        <v>Ml</v>
      </c>
      <c r="C8795" s="98" t="str">
        <f>VLOOKUP(A8795,'Materiales '!$C$2:$F$1302,3,0)</f>
        <v>Ml</v>
      </c>
      <c r="D8795" s="99">
        <f>VLOOKUP(A8795,'Materiales '!$C$2:$F$1302,4,0)</f>
        <v>13566</v>
      </c>
      <c r="E8795" s="100">
        <v>2</v>
      </c>
      <c r="F8795" s="538">
        <f>E8795*D8795</f>
        <v>27132</v>
      </c>
      <c r="G8795" s="539"/>
      <c r="H8795" s="120"/>
      <c r="I8795">
        <f>E8795*G8770</f>
        <v>0</v>
      </c>
      <c r="J8795" s="68"/>
      <c r="K8795" s="56"/>
      <c r="L8795" s="56"/>
      <c r="M8795" s="56"/>
      <c r="N8795" s="56"/>
      <c r="O8795" s="56"/>
    </row>
    <row r="8796" spans="1:15">
      <c r="A8796" s="536" t="s">
        <v>4494</v>
      </c>
      <c r="B8796" s="537" t="str">
        <f>VLOOKUP(A8796,'Materiales '!$C$2:$F$1302,3,0)</f>
        <v>Und</v>
      </c>
      <c r="C8796" s="98" t="str">
        <f>VLOOKUP(A8796,'Materiales '!$C$2:$F$1302,3,0)</f>
        <v>Und</v>
      </c>
      <c r="D8796" s="99">
        <f>VLOOKUP(A8796,'Materiales '!$C$2:$F$1302,4,0)</f>
        <v>9581.8799999999992</v>
      </c>
      <c r="E8796" s="100">
        <v>2</v>
      </c>
      <c r="F8796" s="538">
        <f>E8796*D8796</f>
        <v>19163.759999999998</v>
      </c>
      <c r="G8796" s="539"/>
      <c r="H8796" s="120"/>
      <c r="I8796">
        <f>E8796*G8770</f>
        <v>0</v>
      </c>
      <c r="J8796" s="68"/>
      <c r="K8796" s="56"/>
      <c r="L8796" s="56"/>
      <c r="M8796" s="56"/>
      <c r="N8796" s="56"/>
      <c r="O8796" s="56"/>
    </row>
    <row r="8797" spans="1:15" ht="16.5">
      <c r="A8797" s="540" t="s">
        <v>4099</v>
      </c>
      <c r="B8797" s="541"/>
      <c r="C8797" s="541"/>
      <c r="D8797" s="541"/>
      <c r="E8797" s="541"/>
      <c r="F8797" s="541"/>
      <c r="G8797" s="542"/>
      <c r="H8797" s="116">
        <f>SUM(F8780:F8796)</f>
        <v>19105492.007000003</v>
      </c>
      <c r="J8797" s="68"/>
      <c r="K8797" s="56"/>
      <c r="L8797" s="56"/>
      <c r="M8797" s="56"/>
      <c r="N8797" s="56"/>
      <c r="O8797" s="56"/>
    </row>
    <row r="8798" spans="1:15" ht="16.5">
      <c r="A8798" s="543" t="s">
        <v>4231</v>
      </c>
      <c r="B8798" s="544"/>
      <c r="C8798" s="544"/>
      <c r="D8798" s="544"/>
      <c r="E8798" s="545"/>
      <c r="F8798" s="544"/>
      <c r="G8798" s="544"/>
      <c r="H8798" s="546"/>
      <c r="J8798" s="68"/>
      <c r="K8798" s="56"/>
      <c r="L8798" s="56"/>
      <c r="M8798" s="56"/>
      <c r="N8798" s="56"/>
      <c r="O8798" s="56"/>
    </row>
    <row r="8799" spans="1:15">
      <c r="A8799" s="547" t="s">
        <v>7</v>
      </c>
      <c r="B8799" s="548"/>
      <c r="C8799" s="108" t="s">
        <v>4232</v>
      </c>
      <c r="D8799" s="107" t="s">
        <v>4233</v>
      </c>
      <c r="E8799" s="206" t="s">
        <v>4234</v>
      </c>
      <c r="F8799" s="549" t="s">
        <v>4218</v>
      </c>
      <c r="G8799" s="549"/>
      <c r="H8799" s="119"/>
      <c r="K8799" s="56"/>
      <c r="L8799" s="56"/>
      <c r="M8799" s="56"/>
      <c r="N8799" s="56"/>
      <c r="O8799" s="56"/>
    </row>
    <row r="8800" spans="1:15">
      <c r="A8800" s="550" t="s">
        <v>3928</v>
      </c>
      <c r="B8800" s="551"/>
      <c r="C8800" s="232">
        <v>1</v>
      </c>
      <c r="D8800" s="102">
        <v>0.1</v>
      </c>
      <c r="E8800" s="103">
        <f>VLOOKUP(A8800,'Equip, Herr y Transp'!$B$2:$D$218,3,0)</f>
        <v>160000</v>
      </c>
      <c r="F8800" s="552">
        <f>E8800*D8800*C8800</f>
        <v>16000</v>
      </c>
      <c r="G8800" s="553"/>
      <c r="H8800" s="117"/>
      <c r="M8800" s="56"/>
    </row>
    <row r="8801" spans="1:10" ht="16.5">
      <c r="A8801" s="554" t="s">
        <v>4216</v>
      </c>
      <c r="B8801" s="555"/>
      <c r="C8801" s="555"/>
      <c r="D8801" s="555"/>
      <c r="E8801" s="555"/>
      <c r="F8801" s="555"/>
      <c r="G8801" s="555"/>
      <c r="H8801" s="105">
        <f>F8800</f>
        <v>16000</v>
      </c>
    </row>
    <row r="8802" spans="1:10" ht="16.5">
      <c r="A8802" s="543" t="s">
        <v>4235</v>
      </c>
      <c r="B8802" s="544"/>
      <c r="C8802" s="544"/>
      <c r="D8802" s="544"/>
      <c r="E8802" s="544"/>
      <c r="F8802" s="544"/>
      <c r="G8802" s="544"/>
      <c r="H8802" s="546"/>
    </row>
    <row r="8803" spans="1:10">
      <c r="A8803" s="547" t="s">
        <v>7</v>
      </c>
      <c r="B8803" s="548"/>
      <c r="C8803" s="106" t="s">
        <v>1</v>
      </c>
      <c r="D8803" s="107" t="s">
        <v>4236</v>
      </c>
      <c r="E8803" s="108" t="s">
        <v>4215</v>
      </c>
      <c r="F8803" s="547" t="s">
        <v>5</v>
      </c>
      <c r="G8803" s="556"/>
      <c r="H8803" s="119"/>
    </row>
    <row r="8804" spans="1:10">
      <c r="A8804" s="550" t="s">
        <v>4196</v>
      </c>
      <c r="B8804" s="551"/>
      <c r="C8804" s="101">
        <v>1</v>
      </c>
      <c r="D8804" s="104">
        <f>VLOOKUP(A8804,'Mano Obra'!$B$2:$T$117,19,0)</f>
        <v>166624</v>
      </c>
      <c r="E8804" s="246">
        <f>H8763</f>
        <v>0.41670000000000001</v>
      </c>
      <c r="F8804" s="538">
        <f>E8804*D8804*C8804</f>
        <v>69432.220799999996</v>
      </c>
      <c r="G8804" s="557"/>
      <c r="H8804" s="121"/>
      <c r="I8804" s="69"/>
      <c r="J8804" s="136">
        <f>((('Mano Obra'!$M$4/30)*F8804)/D8804)*G8770</f>
        <v>0</v>
      </c>
    </row>
    <row r="8805" spans="1:10">
      <c r="A8805" s="558" t="s">
        <v>4197</v>
      </c>
      <c r="B8805" s="559">
        <f>VLOOKUP(A8805,'Mano Obra'!$B$3:$D$290,2,0)</f>
        <v>2090000.0000000002</v>
      </c>
      <c r="C8805" s="101">
        <v>2</v>
      </c>
      <c r="D8805" s="104">
        <f>VLOOKUP(A8805,'Mano Obra'!$B$2:$T$117,19,0)</f>
        <v>120456</v>
      </c>
      <c r="E8805" s="246">
        <f>H8763</f>
        <v>0.41670000000000001</v>
      </c>
      <c r="F8805" s="538">
        <f t="shared" ref="F8805:F8806" si="513">E8805*D8805*C8805</f>
        <v>100388.0304</v>
      </c>
      <c r="G8805" s="557"/>
      <c r="H8805" s="121"/>
      <c r="J8805" s="136">
        <f>((('Mano Obra'!$M$5/30)*F8805)/D8805)*G8770</f>
        <v>0</v>
      </c>
    </row>
    <row r="8806" spans="1:10">
      <c r="A8806" s="558" t="s">
        <v>4186</v>
      </c>
      <c r="B8806" s="559">
        <f>VLOOKUP(A8806,'Mano Obra'!$B$3:$D$290,2,0)</f>
        <v>1100000</v>
      </c>
      <c r="C8806" s="101">
        <v>2</v>
      </c>
      <c r="D8806" s="104">
        <f>VLOOKUP(A8806,'Mano Obra'!$B$2:$T$117,19,0)</f>
        <v>72664</v>
      </c>
      <c r="E8806" s="246">
        <f>H8763</f>
        <v>0.41670000000000001</v>
      </c>
      <c r="F8806" s="538">
        <f t="shared" si="513"/>
        <v>60558.177600000003</v>
      </c>
      <c r="G8806" s="557"/>
      <c r="H8806" s="120"/>
      <c r="J8806" s="136">
        <f>((('Mano Obra'!$M$6/30)*F8806)/D8806)*G8770</f>
        <v>0</v>
      </c>
    </row>
    <row r="8807" spans="1:10" ht="16.5">
      <c r="A8807" s="560" t="s">
        <v>4101</v>
      </c>
      <c r="B8807" s="560"/>
      <c r="C8807" s="560"/>
      <c r="D8807" s="560"/>
      <c r="E8807" s="560"/>
      <c r="F8807" s="560"/>
      <c r="G8807" s="560"/>
      <c r="H8807" s="105">
        <f>SUM(F8804:F8806)</f>
        <v>230378.42879999999</v>
      </c>
      <c r="J8807" s="136"/>
    </row>
    <row r="8808" spans="1:10">
      <c r="A8808" s="227" t="s">
        <v>4237</v>
      </c>
      <c r="B8808" s="205"/>
      <c r="C8808" s="205"/>
      <c r="D8808" s="202"/>
      <c r="E8808" s="203"/>
      <c r="F8808" s="204"/>
      <c r="G8808" s="203"/>
      <c r="H8808" s="212"/>
    </row>
    <row r="8809" spans="1:10">
      <c r="A8809" s="561" t="s">
        <v>4224</v>
      </c>
      <c r="B8809" s="562"/>
      <c r="C8809" s="562"/>
      <c r="D8809" s="562"/>
      <c r="E8809" s="200"/>
      <c r="F8809" s="201" t="s">
        <v>4238</v>
      </c>
      <c r="G8809" s="200" t="s">
        <v>4239</v>
      </c>
      <c r="H8809" s="213"/>
    </row>
    <row r="8810" spans="1:10">
      <c r="A8810" s="223" t="s">
        <v>4097</v>
      </c>
      <c r="B8810" s="72"/>
      <c r="C8810" s="72"/>
      <c r="D8810" s="73"/>
      <c r="E8810" s="78"/>
      <c r="F8810" s="79">
        <v>0</v>
      </c>
      <c r="G8810" s="80">
        <f>F8810*H8771</f>
        <v>0</v>
      </c>
      <c r="H8810" s="212"/>
    </row>
    <row r="8811" spans="1:10">
      <c r="A8811" s="224" t="s">
        <v>4240</v>
      </c>
      <c r="B8811" s="81"/>
      <c r="C8811" s="81"/>
      <c r="D8811" s="82"/>
      <c r="E8811" s="78"/>
      <c r="F8811" s="79">
        <v>0</v>
      </c>
      <c r="G8811" s="80">
        <f>F8811*H8771</f>
        <v>0</v>
      </c>
      <c r="H8811" s="212"/>
    </row>
    <row r="8812" spans="1:10">
      <c r="A8812" s="224" t="s">
        <v>4</v>
      </c>
      <c r="B8812" s="81"/>
      <c r="C8812" s="81"/>
      <c r="D8812" s="82"/>
      <c r="E8812" s="78"/>
      <c r="F8812" s="79">
        <v>0</v>
      </c>
      <c r="G8812" s="80">
        <f>F8812*H8771</f>
        <v>0</v>
      </c>
      <c r="H8812" s="212"/>
    </row>
    <row r="8813" spans="1:10">
      <c r="A8813" s="225"/>
      <c r="B8813" s="83"/>
      <c r="C8813" s="75"/>
      <c r="D8813" s="84"/>
      <c r="E8813" s="85"/>
      <c r="F8813" s="86"/>
      <c r="G8813" s="87"/>
      <c r="H8813" s="214"/>
    </row>
    <row r="8814" spans="1:10">
      <c r="A8814" s="226"/>
      <c r="B8814" s="83"/>
      <c r="C8814" s="83"/>
      <c r="D8814" s="84"/>
      <c r="E8814" s="88"/>
      <c r="F8814" s="563" t="s">
        <v>4241</v>
      </c>
      <c r="G8814" s="564"/>
      <c r="H8814" s="233">
        <f>H8771+G8810+G8811+G8812</f>
        <v>20157822.406800006</v>
      </c>
    </row>
    <row r="8815" spans="1:10">
      <c r="A8815" s="83"/>
      <c r="B8815" s="83"/>
      <c r="C8815" s="83"/>
      <c r="D8815" s="84"/>
      <c r="E8815" s="388"/>
      <c r="F8815" s="389"/>
      <c r="G8815" s="389"/>
      <c r="H8815" s="390"/>
    </row>
    <row r="8816" spans="1:10" ht="16.5">
      <c r="A8816" s="90"/>
      <c r="B8816" s="90"/>
      <c r="C8816" s="90"/>
      <c r="D8816" s="90"/>
      <c r="E8816" s="90"/>
      <c r="F8816" s="90"/>
      <c r="G8816" s="90"/>
      <c r="H8816" s="381"/>
    </row>
    <row r="8817" spans="1:14">
      <c r="A8817" s="579" t="s">
        <v>4225</v>
      </c>
      <c r="B8817" s="580"/>
      <c r="C8817" s="580"/>
      <c r="D8817" s="580"/>
      <c r="E8817" s="580"/>
      <c r="F8817" s="580"/>
      <c r="G8817" s="580"/>
      <c r="H8817" s="581"/>
    </row>
    <row r="8818" spans="1:14" ht="16.5">
      <c r="A8818" s="91"/>
      <c r="B8818" s="92"/>
      <c r="C8818" s="92"/>
      <c r="D8818" s="92"/>
      <c r="E8818" s="92"/>
      <c r="F8818" s="93"/>
      <c r="G8818" s="94"/>
      <c r="H8818" s="380">
        <f>ROUND((200/60)/8,4)</f>
        <v>0.41670000000000001</v>
      </c>
      <c r="I8818" s="115"/>
    </row>
    <row r="8819" spans="1:14">
      <c r="A8819" s="582" t="s">
        <v>4220</v>
      </c>
      <c r="B8819" s="584" t="str">
        <f>COSTOS!$C$14</f>
        <v>MODERNIZACION A TECNOLOGIA LED</v>
      </c>
      <c r="C8819" s="584"/>
      <c r="D8819" s="584"/>
      <c r="E8819" s="584"/>
      <c r="F8819" s="584"/>
      <c r="G8819" s="584"/>
      <c r="H8819" s="585" t="s">
        <v>4221</v>
      </c>
    </row>
    <row r="8820" spans="1:14">
      <c r="A8820" s="583"/>
      <c r="B8820" s="584"/>
      <c r="C8820" s="584"/>
      <c r="D8820" s="584"/>
      <c r="E8820" s="584"/>
      <c r="F8820" s="584"/>
      <c r="G8820" s="584"/>
      <c r="H8820" s="585"/>
    </row>
    <row r="8821" spans="1:14">
      <c r="A8821" s="583"/>
      <c r="B8821" s="584"/>
      <c r="C8821" s="584"/>
      <c r="D8821" s="584"/>
      <c r="E8821" s="584"/>
      <c r="F8821" s="584"/>
      <c r="G8821" s="584"/>
      <c r="H8821" s="585"/>
    </row>
    <row r="8822" spans="1:14" ht="15" customHeight="1">
      <c r="A8822" s="583"/>
      <c r="B8822" s="584"/>
      <c r="C8822" s="584"/>
      <c r="D8822" s="584"/>
      <c r="E8822" s="584"/>
      <c r="F8822" s="584"/>
      <c r="G8822" s="584"/>
      <c r="H8822" s="216">
        <f ca="1">TODAY()</f>
        <v>44889</v>
      </c>
      <c r="K8822" t="s">
        <v>4391</v>
      </c>
      <c r="L8822" t="s">
        <v>4392</v>
      </c>
      <c r="M8822" t="s">
        <v>4393</v>
      </c>
      <c r="N8822" t="s">
        <v>4394</v>
      </c>
    </row>
    <row r="8823" spans="1:14" ht="60.75" customHeight="1">
      <c r="A8823" s="228" t="s">
        <v>4222</v>
      </c>
      <c r="B8823" s="565" t="str">
        <f>COSTOS!$D$16</f>
        <v>Luminarias</v>
      </c>
      <c r="C8823" s="565"/>
      <c r="D8823" s="565"/>
      <c r="E8823" s="565"/>
      <c r="F8823" s="565"/>
      <c r="G8823" s="70" t="s">
        <v>4223</v>
      </c>
      <c r="H8823" s="387" t="s">
        <v>5007</v>
      </c>
      <c r="K8823" s="62">
        <f>H8852</f>
        <v>18105892.006999999</v>
      </c>
      <c r="L8823" s="62">
        <f>H8862</f>
        <v>230378.42879999999</v>
      </c>
      <c r="M8823" s="62">
        <f>H8832</f>
        <v>805951.97100000002</v>
      </c>
      <c r="N8823" s="62">
        <f>H8856</f>
        <v>16000</v>
      </c>
    </row>
    <row r="8824" spans="1:14" ht="43.15" customHeight="1">
      <c r="A8824" s="229" t="s">
        <v>4224</v>
      </c>
      <c r="B8824" s="566" t="str">
        <f>VLOOKUP(H8823,COSTOS!C:M,2,0)</f>
        <v>Instalacion de CENTRO DE TRANSFORMACION, TRIFASICO, 75KVA, 13200-480/240 a Red de Media tension , TIPO HORIZONTAL, en poste existente</v>
      </c>
      <c r="C8824" s="567"/>
      <c r="D8824" s="567"/>
      <c r="E8824" s="568"/>
      <c r="F8824" s="71" t="s">
        <v>0</v>
      </c>
      <c r="G8824" s="356" t="str">
        <f>VLOOKUP(H8823,COSTOS!C:M,8,0)</f>
        <v>Und</v>
      </c>
      <c r="H8824" s="276"/>
      <c r="I8824" s="306"/>
      <c r="J8824" s="308"/>
      <c r="K8824" s="308"/>
      <c r="L8824" s="308"/>
    </row>
    <row r="8825" spans="1:14">
      <c r="A8825" s="230"/>
      <c r="B8825" s="112"/>
      <c r="C8825" s="112"/>
      <c r="D8825" s="112"/>
      <c r="E8825" s="113"/>
      <c r="F8825" s="114" t="s">
        <v>1</v>
      </c>
      <c r="G8825" s="356">
        <f>VLOOKUP(H8823,COSTOS!C:M,9,0)</f>
        <v>0</v>
      </c>
      <c r="H8825" s="357"/>
      <c r="I8825" s="307"/>
    </row>
    <row r="8826" spans="1:14" ht="16.5">
      <c r="A8826" s="231" t="s">
        <v>4226</v>
      </c>
      <c r="B8826" s="75"/>
      <c r="C8826" s="75"/>
      <c r="D8826" s="76"/>
      <c r="E8826" s="209"/>
      <c r="F8826" s="210"/>
      <c r="G8826" s="211" t="s">
        <v>4227</v>
      </c>
      <c r="H8826" s="217">
        <f>H8832+H8852+H8856+H8862</f>
        <v>19158222.406800002</v>
      </c>
    </row>
    <row r="8827" spans="1:14" ht="39">
      <c r="A8827" s="569" t="s">
        <v>4224</v>
      </c>
      <c r="B8827" s="569"/>
      <c r="C8827" s="569"/>
      <c r="D8827" s="77" t="s">
        <v>0</v>
      </c>
      <c r="E8827" s="207" t="s">
        <v>4228</v>
      </c>
      <c r="F8827" s="208" t="s">
        <v>4215</v>
      </c>
      <c r="G8827" s="74" t="s">
        <v>2</v>
      </c>
      <c r="H8827" s="218" t="s">
        <v>4229</v>
      </c>
      <c r="K8827" s="309"/>
    </row>
    <row r="8828" spans="1:14">
      <c r="A8828" s="536" t="s">
        <v>3946</v>
      </c>
      <c r="B8828" s="570" t="str">
        <f>VLOOKUP(A8828,'Equip, Herr y Transp'!$B$2:$D$739,2,0)</f>
        <v>EQU</v>
      </c>
      <c r="C8828" s="570"/>
      <c r="D8828" s="95" t="str">
        <f>VLOOKUP(A8828,'Equip, Herr y Transp'!$B$2:$D$218,2,0)</f>
        <v>EQU</v>
      </c>
      <c r="E8828" s="95">
        <f>VLOOKUP(A8828,'Equip, Herr y Transp'!$B$2:$D$218,3,0)</f>
        <v>14130</v>
      </c>
      <c r="F8828" s="96">
        <f>H8818</f>
        <v>0.41670000000000001</v>
      </c>
      <c r="G8828" s="122">
        <f>F8828*E8828</f>
        <v>5887.9710000000005</v>
      </c>
      <c r="H8828" s="118"/>
    </row>
    <row r="8829" spans="1:14">
      <c r="A8829" s="536" t="s">
        <v>3894</v>
      </c>
      <c r="B8829" s="570" t="str">
        <f>VLOOKUP(A8829,'Equip, Herr y Transp'!$B$2:$D$739,2,0)</f>
        <v>TR</v>
      </c>
      <c r="C8829" s="570"/>
      <c r="D8829" s="95" t="str">
        <f>VLOOKUP(A8829,'Equip, Herr y Transp'!$B$2:$D$218,2,0)</f>
        <v>TR</v>
      </c>
      <c r="E8829" s="95">
        <f>VLOOKUP(A8829,'Equip, Herr y Transp'!$B$2:$D$218,3,0)</f>
        <v>960000</v>
      </c>
      <c r="F8829" s="96">
        <f>H8818</f>
        <v>0.41670000000000001</v>
      </c>
      <c r="G8829" s="122">
        <f>F8829*E8829</f>
        <v>400032</v>
      </c>
      <c r="H8829" s="117"/>
    </row>
    <row r="8830" spans="1:14">
      <c r="A8830" s="536" t="s">
        <v>3895</v>
      </c>
      <c r="B8830" s="570" t="str">
        <f>VLOOKUP(A8830,'Equip, Herr y Transp'!$B$2:$D$739,2,0)</f>
        <v>TR</v>
      </c>
      <c r="C8830" s="570"/>
      <c r="D8830" s="95" t="str">
        <f>VLOOKUP(A8830,'Equip, Herr y Transp'!$B$2:$D$218,2,0)</f>
        <v>TR</v>
      </c>
      <c r="E8830" s="95">
        <f>VLOOKUP(A8830,'Equip, Herr y Transp'!$B$2:$D$218,3,0)</f>
        <v>960000</v>
      </c>
      <c r="F8830" s="96">
        <f>H8818</f>
        <v>0.41670000000000001</v>
      </c>
      <c r="G8830" s="122">
        <f>F8830*E8830</f>
        <v>400032</v>
      </c>
      <c r="H8830" s="117"/>
    </row>
    <row r="8831" spans="1:14">
      <c r="A8831" s="536" t="s">
        <v>8</v>
      </c>
      <c r="B8831" s="570">
        <f>VLOOKUP(A8831,'Equip, Herr y Transp'!$B$2:$D$739,2,0)</f>
        <v>0</v>
      </c>
      <c r="C8831" s="570"/>
      <c r="D8831" s="95">
        <f>VLOOKUP(A8831,'Equip, Herr y Transp'!$B$2:$D$218,2,0)</f>
        <v>0</v>
      </c>
      <c r="E8831" s="95">
        <f>VLOOKUP(A8831,'Equip, Herr y Transp'!$B$2:$D$218,3,0)</f>
        <v>0</v>
      </c>
      <c r="F8831" s="96">
        <f>H8818</f>
        <v>0.41670000000000001</v>
      </c>
      <c r="G8831" s="122">
        <f>F8831*E8831</f>
        <v>0</v>
      </c>
      <c r="H8831" s="117"/>
    </row>
    <row r="8832" spans="1:14" ht="16.5">
      <c r="A8832" s="540" t="s">
        <v>4100</v>
      </c>
      <c r="B8832" s="541"/>
      <c r="C8832" s="541"/>
      <c r="D8832" s="541"/>
      <c r="E8832" s="541"/>
      <c r="F8832" s="541"/>
      <c r="G8832" s="541"/>
      <c r="H8832" s="97">
        <f>SUM(G8828:G8831)</f>
        <v>805951.97100000002</v>
      </c>
    </row>
    <row r="8833" spans="1:15" ht="16.5">
      <c r="A8833" s="571" t="s">
        <v>4230</v>
      </c>
      <c r="B8833" s="572"/>
      <c r="C8833" s="572"/>
      <c r="D8833" s="572"/>
      <c r="E8833" s="572"/>
      <c r="F8833" s="572"/>
      <c r="G8833" s="572"/>
      <c r="H8833" s="573"/>
      <c r="K8833" s="56"/>
      <c r="L8833" s="56"/>
      <c r="M8833" s="56"/>
      <c r="N8833" s="56"/>
      <c r="O8833" s="56"/>
    </row>
    <row r="8834" spans="1:15" ht="30" customHeight="1">
      <c r="A8834" s="574" t="s">
        <v>7</v>
      </c>
      <c r="B8834" s="575"/>
      <c r="C8834" s="109" t="s">
        <v>0</v>
      </c>
      <c r="D8834" s="110" t="s">
        <v>4098</v>
      </c>
      <c r="E8834" s="111" t="s">
        <v>1</v>
      </c>
      <c r="F8834" s="576" t="s">
        <v>4218</v>
      </c>
      <c r="G8834" s="576"/>
      <c r="H8834" s="215"/>
      <c r="K8834" s="56"/>
      <c r="L8834" s="56"/>
      <c r="M8834" s="56"/>
      <c r="N8834" s="56"/>
      <c r="O8834" s="56"/>
    </row>
    <row r="8835" spans="1:15">
      <c r="A8835" s="577" t="s">
        <v>4513</v>
      </c>
      <c r="B8835" s="578"/>
      <c r="C8835" s="98" t="str">
        <f>VLOOKUP(A8835,'Materiales '!$C$2:$F$1302,3,0)</f>
        <v>Und</v>
      </c>
      <c r="D8835" s="99">
        <f>VLOOKUP(A8835,'Materiales '!$C$2:$F$1302,4,0)</f>
        <v>21420</v>
      </c>
      <c r="E8835" s="100">
        <v>3</v>
      </c>
      <c r="F8835" s="538">
        <f>E8835*D8835</f>
        <v>64260</v>
      </c>
      <c r="G8835" s="539"/>
      <c r="H8835" s="121"/>
      <c r="I8835">
        <f>E8835*G8825</f>
        <v>0</v>
      </c>
      <c r="J8835" s="67"/>
      <c r="K8835" s="56"/>
      <c r="L8835" s="56"/>
      <c r="M8835" s="56"/>
      <c r="N8835" s="56"/>
      <c r="O8835" s="56"/>
    </row>
    <row r="8836" spans="1:15">
      <c r="A8836" s="577" t="s">
        <v>4514</v>
      </c>
      <c r="B8836" s="578"/>
      <c r="C8836" s="98" t="str">
        <f>VLOOKUP(A8836,'Materiales '!$C$2:$F$1302,3,0)</f>
        <v>Und</v>
      </c>
      <c r="D8836" s="99">
        <f>VLOOKUP(A8836,'Materiales '!$C$2:$F$1302,4,0)</f>
        <v>18706.8</v>
      </c>
      <c r="E8836" s="100">
        <v>3</v>
      </c>
      <c r="F8836" s="538">
        <f t="shared" ref="F8836:F8842" si="514">E8836*D8836</f>
        <v>56120.399999999994</v>
      </c>
      <c r="G8836" s="539"/>
      <c r="H8836" s="121"/>
      <c r="I8836">
        <f>E8836*G8825</f>
        <v>0</v>
      </c>
      <c r="J8836" s="67"/>
      <c r="K8836" s="56"/>
      <c r="L8836" s="56"/>
      <c r="M8836" s="56"/>
      <c r="N8836" s="56"/>
      <c r="O8836" s="56"/>
    </row>
    <row r="8837" spans="1:15">
      <c r="A8837" s="536" t="s">
        <v>4556</v>
      </c>
      <c r="B8837" s="537" t="str">
        <f>VLOOKUP(A8837,'Materiales '!$C$2:$F$1302,3,0)</f>
        <v>Und</v>
      </c>
      <c r="C8837" s="98" t="str">
        <f>VLOOKUP(A8837,'Materiales '!$C$2:$F$1302,3,0)</f>
        <v>Und</v>
      </c>
      <c r="D8837" s="99">
        <f>VLOOKUP(A8837,'Materiales '!$C$2:$F$1302,4,0)</f>
        <v>7979.6640000000007</v>
      </c>
      <c r="E8837" s="100">
        <v>2</v>
      </c>
      <c r="F8837" s="538">
        <f t="shared" si="514"/>
        <v>15959.328000000001</v>
      </c>
      <c r="G8837" s="539"/>
      <c r="H8837" s="121"/>
      <c r="I8837">
        <f>E8837*G8825</f>
        <v>0</v>
      </c>
      <c r="J8837" s="68"/>
      <c r="K8837" s="56"/>
      <c r="L8837" s="56"/>
      <c r="M8837" s="56"/>
      <c r="N8837" s="56"/>
      <c r="O8837" s="56"/>
    </row>
    <row r="8838" spans="1:15">
      <c r="A8838" s="536" t="s">
        <v>4458</v>
      </c>
      <c r="B8838" s="537" t="str">
        <f>VLOOKUP(A8838,'Materiales '!$C$2:$F$1302,3,0)</f>
        <v>Ml</v>
      </c>
      <c r="C8838" s="98" t="str">
        <f>VLOOKUP(A8838,'Materiales '!$C$2:$F$1302,3,0)</f>
        <v>Ml</v>
      </c>
      <c r="D8838" s="99">
        <f>VLOOKUP(A8838,'Materiales '!$C$2:$F$1302,4,0)</f>
        <v>23386.355999999996</v>
      </c>
      <c r="E8838" s="100">
        <v>20</v>
      </c>
      <c r="F8838" s="538">
        <f t="shared" si="514"/>
        <v>467727.11999999994</v>
      </c>
      <c r="G8838" s="539"/>
      <c r="H8838" s="121"/>
      <c r="I8838">
        <f>E8838*G8825</f>
        <v>0</v>
      </c>
      <c r="J8838" s="68"/>
      <c r="K8838" s="56"/>
      <c r="L8838" s="56"/>
      <c r="M8838" s="56"/>
      <c r="N8838" s="56"/>
      <c r="O8838" s="56"/>
    </row>
    <row r="8839" spans="1:15">
      <c r="A8839" s="536" t="s">
        <v>4445</v>
      </c>
      <c r="B8839" s="537" t="str">
        <f>VLOOKUP(A8839,'Materiales '!$C$2:$F$1302,3,0)</f>
        <v>Ml</v>
      </c>
      <c r="C8839" s="98" t="str">
        <f>VLOOKUP(A8839,'Materiales '!$C$2:$F$1302,3,0)</f>
        <v>Ml</v>
      </c>
      <c r="D8839" s="99">
        <f>VLOOKUP(A8839,'Materiales '!$C$2:$F$1302,4,0)</f>
        <v>4426.8</v>
      </c>
      <c r="E8839" s="100">
        <v>15</v>
      </c>
      <c r="F8839" s="538">
        <f t="shared" si="514"/>
        <v>66402</v>
      </c>
      <c r="G8839" s="539"/>
      <c r="H8839" s="121"/>
      <c r="I8839">
        <f>E8839*G8825</f>
        <v>0</v>
      </c>
      <c r="J8839" s="68"/>
      <c r="K8839" s="56"/>
      <c r="L8839" s="56"/>
      <c r="M8839" s="56"/>
      <c r="N8839" s="56"/>
      <c r="O8839" s="56"/>
    </row>
    <row r="8840" spans="1:15">
      <c r="A8840" s="536" t="s">
        <v>4522</v>
      </c>
      <c r="B8840" s="537" t="str">
        <f>VLOOKUP(A8840,'Materiales '!$C$2:$F$1302,3,0)</f>
        <v>Und</v>
      </c>
      <c r="C8840" s="98" t="str">
        <f>VLOOKUP(A8840,'Materiales '!$C$2:$F$1302,3,0)</f>
        <v>Und</v>
      </c>
      <c r="D8840" s="99">
        <f>VLOOKUP(A8840,'Materiales '!$C$2:$F$1302,4,0)</f>
        <v>428400</v>
      </c>
      <c r="E8840" s="100">
        <v>3</v>
      </c>
      <c r="F8840" s="538">
        <f t="shared" si="514"/>
        <v>1285200</v>
      </c>
      <c r="G8840" s="539"/>
      <c r="H8840" s="121"/>
      <c r="I8840">
        <f>E8840*G8825</f>
        <v>0</v>
      </c>
      <c r="J8840" s="68"/>
      <c r="K8840" s="56"/>
      <c r="L8840" s="56"/>
      <c r="M8840" s="56"/>
      <c r="N8840" s="56"/>
      <c r="O8840" s="56"/>
    </row>
    <row r="8841" spans="1:15">
      <c r="A8841" s="536" t="s">
        <v>4821</v>
      </c>
      <c r="B8841" s="537" t="str">
        <f>VLOOKUP(A8841,'Materiales '!$C$2:$F$1302,3,0)</f>
        <v>Und</v>
      </c>
      <c r="C8841" s="98" t="str">
        <f>VLOOKUP(A8841,'Materiales '!$C$2:$F$1302,3,0)</f>
        <v>Und</v>
      </c>
      <c r="D8841" s="99">
        <f>VLOOKUP(A8841,'Materiales '!$C$2:$F$1302,4,0)</f>
        <v>21420</v>
      </c>
      <c r="E8841" s="100">
        <v>3</v>
      </c>
      <c r="F8841" s="538">
        <f t="shared" si="514"/>
        <v>64260</v>
      </c>
      <c r="G8841" s="539"/>
      <c r="H8841" s="121"/>
      <c r="I8841">
        <f>E8841*G8825</f>
        <v>0</v>
      </c>
      <c r="J8841" s="68"/>
      <c r="K8841" s="56"/>
      <c r="L8841" s="56"/>
      <c r="M8841" s="56"/>
      <c r="N8841" s="56"/>
      <c r="O8841" s="56"/>
    </row>
    <row r="8842" spans="1:15" ht="21.75" customHeight="1">
      <c r="A8842" s="536" t="s">
        <v>4528</v>
      </c>
      <c r="B8842" s="537" t="str">
        <f>VLOOKUP(A8842,'Materiales '!$C$2:$F$1302,3,0)</f>
        <v>Und</v>
      </c>
      <c r="C8842" s="98" t="str">
        <f>VLOOKUP(A8842,'Materiales '!$C$2:$F$1302,3,0)</f>
        <v>Und</v>
      </c>
      <c r="D8842" s="99">
        <f>VLOOKUP(A8842,'Materiales '!$C$2:$F$1302,4,0)</f>
        <v>148155</v>
      </c>
      <c r="E8842" s="100">
        <v>3</v>
      </c>
      <c r="F8842" s="538">
        <f t="shared" si="514"/>
        <v>444465</v>
      </c>
      <c r="G8842" s="539"/>
      <c r="H8842" s="121"/>
      <c r="I8842">
        <f>E8842*G8825</f>
        <v>0</v>
      </c>
      <c r="J8842" s="68"/>
      <c r="K8842" s="56"/>
      <c r="L8842" s="56"/>
      <c r="M8842" s="56"/>
      <c r="N8842" s="56"/>
      <c r="O8842" s="56"/>
    </row>
    <row r="8843" spans="1:15">
      <c r="A8843" s="536" t="s">
        <v>5012</v>
      </c>
      <c r="B8843" s="537" t="str">
        <f>VLOOKUP(A8843,'Materiales '!$C$2:$F$1302,3,0)</f>
        <v>Und</v>
      </c>
      <c r="C8843" s="98" t="str">
        <f>VLOOKUP(A8843,'Materiales '!$C$2:$F$1302,3,0)</f>
        <v>Und</v>
      </c>
      <c r="D8843" s="99">
        <f>VLOOKUP(A8843,'Materiales '!$C$2:$F$1302,4,0)</f>
        <v>13994400</v>
      </c>
      <c r="E8843" s="100">
        <v>1</v>
      </c>
      <c r="F8843" s="538">
        <f>E8843*D8843</f>
        <v>13994400</v>
      </c>
      <c r="G8843" s="539"/>
      <c r="H8843" s="120"/>
      <c r="I8843">
        <f>E8843*G8825</f>
        <v>0</v>
      </c>
      <c r="J8843" s="68"/>
      <c r="K8843" s="56"/>
      <c r="L8843" s="56"/>
      <c r="M8843" s="56"/>
      <c r="N8843" s="56"/>
      <c r="O8843" s="56"/>
    </row>
    <row r="8844" spans="1:15">
      <c r="A8844" s="536" t="s">
        <v>4485</v>
      </c>
      <c r="B8844" s="537" t="str">
        <f>VLOOKUP(A8844,'Materiales '!$C$2:$F$1302,3,0)</f>
        <v>Und</v>
      </c>
      <c r="C8844" s="98" t="str">
        <f>VLOOKUP(A8844,'Materiales '!$C$2:$F$1302,3,0)</f>
        <v>Und</v>
      </c>
      <c r="D8844" s="99">
        <f>VLOOKUP(A8844,'Materiales '!$C$2:$F$1302,4,0)</f>
        <v>33129.599999999999</v>
      </c>
      <c r="E8844" s="100">
        <v>2</v>
      </c>
      <c r="F8844" s="538">
        <f t="shared" ref="F8844:F8849" si="515">E8844*D8844</f>
        <v>66259.199999999997</v>
      </c>
      <c r="G8844" s="539"/>
      <c r="H8844" s="121"/>
      <c r="I8844">
        <f>E8844*G8825</f>
        <v>0</v>
      </c>
      <c r="J8844" s="68"/>
      <c r="K8844" s="56"/>
      <c r="L8844" s="56"/>
      <c r="M8844" s="56"/>
      <c r="N8844" s="56"/>
      <c r="O8844" s="56"/>
    </row>
    <row r="8845" spans="1:15">
      <c r="A8845" s="536" t="s">
        <v>4499</v>
      </c>
      <c r="B8845" s="537" t="str">
        <f>VLOOKUP(A8845,'Materiales '!$C$2:$F$1302,3,0)</f>
        <v>Und</v>
      </c>
      <c r="C8845" s="98" t="str">
        <f>VLOOKUP(A8845,'Materiales '!$C$2:$F$1302,3,0)</f>
        <v>Und</v>
      </c>
      <c r="D8845" s="99">
        <f>VLOOKUP(A8845,'Materiales '!$C$2:$F$1302,4,0)</f>
        <v>198000.05399999997</v>
      </c>
      <c r="E8845" s="100">
        <v>1</v>
      </c>
      <c r="F8845" s="538">
        <f t="shared" si="515"/>
        <v>198000.05399999997</v>
      </c>
      <c r="G8845" s="539"/>
      <c r="H8845" s="121"/>
      <c r="I8845">
        <f>E8845*G8825</f>
        <v>0</v>
      </c>
      <c r="J8845" s="68"/>
      <c r="K8845" s="56"/>
      <c r="L8845" s="56"/>
      <c r="M8845" s="56"/>
      <c r="N8845" s="56"/>
      <c r="O8845" s="56"/>
    </row>
    <row r="8846" spans="1:15">
      <c r="A8846" s="536" t="s">
        <v>4546</v>
      </c>
      <c r="B8846" s="537" t="str">
        <f>VLOOKUP(A8846,'Materiales '!$C$2:$F$1302,3,0)</f>
        <v>Und</v>
      </c>
      <c r="C8846" s="98" t="str">
        <f>VLOOKUP(A8846,'Materiales '!$C$2:$F$1302,3,0)</f>
        <v>Und</v>
      </c>
      <c r="D8846" s="99">
        <f>VLOOKUP(A8846,'Materiales '!$C$2:$F$1302,4,0)</f>
        <v>1060290</v>
      </c>
      <c r="E8846" s="100">
        <v>1</v>
      </c>
      <c r="F8846" s="538">
        <f t="shared" si="515"/>
        <v>1060290</v>
      </c>
      <c r="G8846" s="539"/>
      <c r="H8846" s="121"/>
      <c r="I8846">
        <f>E8846*G8825</f>
        <v>0</v>
      </c>
      <c r="J8846" s="68"/>
      <c r="K8846" s="56"/>
      <c r="L8846" s="56"/>
      <c r="M8846" s="56"/>
      <c r="N8846" s="56"/>
      <c r="O8846" s="56"/>
    </row>
    <row r="8847" spans="1:15">
      <c r="A8847" s="536" t="s">
        <v>4585</v>
      </c>
      <c r="B8847" s="537" t="str">
        <f>VLOOKUP(A8847,'Materiales '!$C$2:$F$1302,3,0)</f>
        <v>Und</v>
      </c>
      <c r="C8847" s="98" t="str">
        <f>VLOOKUP(A8847,'Materiales '!$C$2:$F$1302,3,0)</f>
        <v>Und</v>
      </c>
      <c r="D8847" s="99">
        <f>VLOOKUP(A8847,'Materiales '!$C$2:$F$1302,4,0)</f>
        <v>217484.4</v>
      </c>
      <c r="E8847" s="100">
        <v>1</v>
      </c>
      <c r="F8847" s="538">
        <f t="shared" si="515"/>
        <v>217484.4</v>
      </c>
      <c r="G8847" s="539"/>
      <c r="H8847" s="121"/>
      <c r="I8847">
        <f>E8847*G8825</f>
        <v>0</v>
      </c>
      <c r="J8847" s="68"/>
      <c r="K8847" s="56"/>
      <c r="L8847" s="56"/>
      <c r="M8847" s="56"/>
      <c r="N8847" s="56"/>
      <c r="O8847" s="56"/>
    </row>
    <row r="8848" spans="1:15">
      <c r="A8848" s="536" t="s">
        <v>4549</v>
      </c>
      <c r="B8848" s="537" t="str">
        <f>VLOOKUP(A8848,'Materiales '!$C$2:$F$1302,3,0)</f>
        <v>Und</v>
      </c>
      <c r="C8848" s="98" t="str">
        <f>VLOOKUP(A8848,'Materiales '!$C$2:$F$1302,3,0)</f>
        <v>Und</v>
      </c>
      <c r="D8848" s="99">
        <f>VLOOKUP(A8848,'Materiales '!$C$2:$F$1302,4,0)</f>
        <v>49486.745000000003</v>
      </c>
      <c r="E8848" s="100">
        <v>1</v>
      </c>
      <c r="F8848" s="538">
        <f t="shared" si="515"/>
        <v>49486.745000000003</v>
      </c>
      <c r="G8848" s="539"/>
      <c r="H8848" s="121"/>
      <c r="I8848">
        <f>E8848*G8825</f>
        <v>0</v>
      </c>
      <c r="J8848" s="68"/>
      <c r="K8848" s="56"/>
      <c r="L8848" s="56"/>
      <c r="M8848" s="56"/>
      <c r="N8848" s="56"/>
      <c r="O8848" s="56"/>
    </row>
    <row r="8849" spans="1:15">
      <c r="A8849" s="536" t="s">
        <v>4521</v>
      </c>
      <c r="B8849" s="537" t="str">
        <f>VLOOKUP(A8849,'Materiales '!$C$2:$F$1302,3,0)</f>
        <v>Und</v>
      </c>
      <c r="C8849" s="98" t="str">
        <f>VLOOKUP(A8849,'Materiales '!$C$2:$F$1302,3,0)</f>
        <v>Und</v>
      </c>
      <c r="D8849" s="99">
        <f>VLOOKUP(A8849,'Materiales '!$C$2:$F$1302,4,0)</f>
        <v>9282</v>
      </c>
      <c r="E8849" s="100">
        <v>1</v>
      </c>
      <c r="F8849" s="538">
        <f t="shared" si="515"/>
        <v>9282</v>
      </c>
      <c r="G8849" s="539"/>
      <c r="H8849" s="121"/>
      <c r="I8849">
        <f>E8849*G8825</f>
        <v>0</v>
      </c>
      <c r="J8849" s="68"/>
      <c r="K8849" s="56"/>
      <c r="L8849" s="56"/>
      <c r="M8849" s="56"/>
      <c r="N8849" s="56"/>
      <c r="O8849" s="56"/>
    </row>
    <row r="8850" spans="1:15">
      <c r="A8850" s="536" t="s">
        <v>4496</v>
      </c>
      <c r="B8850" s="537" t="str">
        <f>VLOOKUP(A8850,'Materiales '!$C$2:$F$1302,3,0)</f>
        <v>Ml</v>
      </c>
      <c r="C8850" s="98" t="str">
        <f>VLOOKUP(A8850,'Materiales '!$C$2:$F$1302,3,0)</f>
        <v>Ml</v>
      </c>
      <c r="D8850" s="99">
        <f>VLOOKUP(A8850,'Materiales '!$C$2:$F$1302,4,0)</f>
        <v>13566</v>
      </c>
      <c r="E8850" s="100">
        <v>2</v>
      </c>
      <c r="F8850" s="538">
        <f>E8850*D8850</f>
        <v>27132</v>
      </c>
      <c r="G8850" s="539"/>
      <c r="H8850" s="120"/>
      <c r="I8850">
        <f>E8850*G8825</f>
        <v>0</v>
      </c>
      <c r="J8850" s="68"/>
      <c r="K8850" s="56"/>
      <c r="L8850" s="56"/>
      <c r="M8850" s="56"/>
      <c r="N8850" s="56"/>
      <c r="O8850" s="56"/>
    </row>
    <row r="8851" spans="1:15">
      <c r="A8851" s="536" t="s">
        <v>4494</v>
      </c>
      <c r="B8851" s="537" t="str">
        <f>VLOOKUP(A8851,'Materiales '!$C$2:$F$1302,3,0)</f>
        <v>Und</v>
      </c>
      <c r="C8851" s="98" t="str">
        <f>VLOOKUP(A8851,'Materiales '!$C$2:$F$1302,3,0)</f>
        <v>Und</v>
      </c>
      <c r="D8851" s="99">
        <f>VLOOKUP(A8851,'Materiales '!$C$2:$F$1302,4,0)</f>
        <v>9581.8799999999992</v>
      </c>
      <c r="E8851" s="100">
        <v>2</v>
      </c>
      <c r="F8851" s="538">
        <f>E8851*D8851</f>
        <v>19163.759999999998</v>
      </c>
      <c r="G8851" s="539"/>
      <c r="H8851" s="120"/>
      <c r="I8851">
        <f>E8851*G8825</f>
        <v>0</v>
      </c>
      <c r="J8851" s="68"/>
      <c r="K8851" s="56"/>
      <c r="L8851" s="56"/>
      <c r="M8851" s="56"/>
      <c r="N8851" s="56"/>
      <c r="O8851" s="56"/>
    </row>
    <row r="8852" spans="1:15" ht="16.5">
      <c r="A8852" s="540" t="s">
        <v>4099</v>
      </c>
      <c r="B8852" s="541"/>
      <c r="C8852" s="541"/>
      <c r="D8852" s="541"/>
      <c r="E8852" s="541"/>
      <c r="F8852" s="541"/>
      <c r="G8852" s="542"/>
      <c r="H8852" s="116">
        <f>SUM(F8835:F8851)</f>
        <v>18105892.006999999</v>
      </c>
      <c r="J8852" s="68"/>
      <c r="K8852" s="56"/>
      <c r="L8852" s="56"/>
      <c r="M8852" s="56"/>
      <c r="N8852" s="56"/>
      <c r="O8852" s="56"/>
    </row>
    <row r="8853" spans="1:15" ht="16.5">
      <c r="A8853" s="543" t="s">
        <v>4231</v>
      </c>
      <c r="B8853" s="544"/>
      <c r="C8853" s="544"/>
      <c r="D8853" s="544"/>
      <c r="E8853" s="545"/>
      <c r="F8853" s="544"/>
      <c r="G8853" s="544"/>
      <c r="H8853" s="546"/>
      <c r="J8853" s="68"/>
      <c r="K8853" s="56"/>
      <c r="L8853" s="56"/>
      <c r="M8853" s="56"/>
      <c r="N8853" s="56"/>
      <c r="O8853" s="56"/>
    </row>
    <row r="8854" spans="1:15">
      <c r="A8854" s="547" t="s">
        <v>7</v>
      </c>
      <c r="B8854" s="548"/>
      <c r="C8854" s="108" t="s">
        <v>4232</v>
      </c>
      <c r="D8854" s="107" t="s">
        <v>4233</v>
      </c>
      <c r="E8854" s="206" t="s">
        <v>4234</v>
      </c>
      <c r="F8854" s="549" t="s">
        <v>4218</v>
      </c>
      <c r="G8854" s="549"/>
      <c r="H8854" s="119"/>
      <c r="K8854" s="56"/>
      <c r="L8854" s="56"/>
      <c r="M8854" s="56"/>
      <c r="N8854" s="56"/>
      <c r="O8854" s="56"/>
    </row>
    <row r="8855" spans="1:15">
      <c r="A8855" s="550" t="s">
        <v>3928</v>
      </c>
      <c r="B8855" s="551"/>
      <c r="C8855" s="232">
        <v>1</v>
      </c>
      <c r="D8855" s="102">
        <v>0.1</v>
      </c>
      <c r="E8855" s="103">
        <f>VLOOKUP(A8855,'Equip, Herr y Transp'!$B$2:$D$218,3,0)</f>
        <v>160000</v>
      </c>
      <c r="F8855" s="552">
        <f>E8855*D8855*C8855</f>
        <v>16000</v>
      </c>
      <c r="G8855" s="553"/>
      <c r="H8855" s="117"/>
      <c r="M8855" s="56"/>
    </row>
    <row r="8856" spans="1:15" ht="16.5">
      <c r="A8856" s="554" t="s">
        <v>4216</v>
      </c>
      <c r="B8856" s="555"/>
      <c r="C8856" s="555"/>
      <c r="D8856" s="555"/>
      <c r="E8856" s="555"/>
      <c r="F8856" s="555"/>
      <c r="G8856" s="555"/>
      <c r="H8856" s="105">
        <f>F8855</f>
        <v>16000</v>
      </c>
    </row>
    <row r="8857" spans="1:15" ht="16.5">
      <c r="A8857" s="543" t="s">
        <v>4235</v>
      </c>
      <c r="B8857" s="544"/>
      <c r="C8857" s="544"/>
      <c r="D8857" s="544"/>
      <c r="E8857" s="544"/>
      <c r="F8857" s="544"/>
      <c r="G8857" s="544"/>
      <c r="H8857" s="546"/>
    </row>
    <row r="8858" spans="1:15">
      <c r="A8858" s="547" t="s">
        <v>7</v>
      </c>
      <c r="B8858" s="548"/>
      <c r="C8858" s="106" t="s">
        <v>1</v>
      </c>
      <c r="D8858" s="107" t="s">
        <v>4236</v>
      </c>
      <c r="E8858" s="108" t="s">
        <v>4215</v>
      </c>
      <c r="F8858" s="547" t="s">
        <v>5</v>
      </c>
      <c r="G8858" s="556"/>
      <c r="H8858" s="119"/>
    </row>
    <row r="8859" spans="1:15">
      <c r="A8859" s="550" t="s">
        <v>4196</v>
      </c>
      <c r="B8859" s="551"/>
      <c r="C8859" s="101">
        <v>1</v>
      </c>
      <c r="D8859" s="104">
        <f>VLOOKUP(A8859,'Mano Obra'!$B$2:$T$117,19,0)</f>
        <v>166624</v>
      </c>
      <c r="E8859" s="246">
        <f>H8818</f>
        <v>0.41670000000000001</v>
      </c>
      <c r="F8859" s="538">
        <f>E8859*D8859*C8859</f>
        <v>69432.220799999996</v>
      </c>
      <c r="G8859" s="557"/>
      <c r="H8859" s="121"/>
      <c r="I8859" s="69"/>
      <c r="J8859" s="136">
        <f>((('Mano Obra'!$M$4/30)*F8859)/D8859)*G8825</f>
        <v>0</v>
      </c>
    </row>
    <row r="8860" spans="1:15">
      <c r="A8860" s="558" t="s">
        <v>4197</v>
      </c>
      <c r="B8860" s="559">
        <f>VLOOKUP(A8860,'Mano Obra'!$B$3:$D$290,2,0)</f>
        <v>2090000.0000000002</v>
      </c>
      <c r="C8860" s="101">
        <v>2</v>
      </c>
      <c r="D8860" s="104">
        <f>VLOOKUP(A8860,'Mano Obra'!$B$2:$T$117,19,0)</f>
        <v>120456</v>
      </c>
      <c r="E8860" s="246">
        <f>H8818</f>
        <v>0.41670000000000001</v>
      </c>
      <c r="F8860" s="538">
        <f t="shared" ref="F8860:F8861" si="516">E8860*D8860*C8860</f>
        <v>100388.0304</v>
      </c>
      <c r="G8860" s="557"/>
      <c r="H8860" s="121"/>
      <c r="J8860" s="136">
        <f>((('Mano Obra'!$M$5/30)*F8860)/D8860)*G8825</f>
        <v>0</v>
      </c>
    </row>
    <row r="8861" spans="1:15">
      <c r="A8861" s="558" t="s">
        <v>4186</v>
      </c>
      <c r="B8861" s="559">
        <f>VLOOKUP(A8861,'Mano Obra'!$B$3:$D$290,2,0)</f>
        <v>1100000</v>
      </c>
      <c r="C8861" s="101">
        <v>2</v>
      </c>
      <c r="D8861" s="104">
        <f>VLOOKUP(A8861,'Mano Obra'!$B$2:$T$117,19,0)</f>
        <v>72664</v>
      </c>
      <c r="E8861" s="246">
        <f>H8818</f>
        <v>0.41670000000000001</v>
      </c>
      <c r="F8861" s="538">
        <f t="shared" si="516"/>
        <v>60558.177600000003</v>
      </c>
      <c r="G8861" s="557"/>
      <c r="H8861" s="120"/>
      <c r="J8861" s="136">
        <f>((('Mano Obra'!$M$6/30)*F8861)/D8861)*G8825</f>
        <v>0</v>
      </c>
    </row>
    <row r="8862" spans="1:15" ht="16.5">
      <c r="A8862" s="560" t="s">
        <v>4101</v>
      </c>
      <c r="B8862" s="560"/>
      <c r="C8862" s="560"/>
      <c r="D8862" s="560"/>
      <c r="E8862" s="560"/>
      <c r="F8862" s="560"/>
      <c r="G8862" s="560"/>
      <c r="H8862" s="105">
        <f>SUM(F8859:F8861)</f>
        <v>230378.42879999999</v>
      </c>
      <c r="J8862" s="136"/>
    </row>
    <row r="8863" spans="1:15">
      <c r="A8863" s="227" t="s">
        <v>4237</v>
      </c>
      <c r="B8863" s="205"/>
      <c r="C8863" s="205"/>
      <c r="D8863" s="202"/>
      <c r="E8863" s="203"/>
      <c r="F8863" s="204"/>
      <c r="G8863" s="203"/>
      <c r="H8863" s="212"/>
    </row>
    <row r="8864" spans="1:15">
      <c r="A8864" s="561" t="s">
        <v>4224</v>
      </c>
      <c r="B8864" s="562"/>
      <c r="C8864" s="562"/>
      <c r="D8864" s="562"/>
      <c r="E8864" s="200"/>
      <c r="F8864" s="201" t="s">
        <v>4238</v>
      </c>
      <c r="G8864" s="200" t="s">
        <v>4239</v>
      </c>
      <c r="H8864" s="213"/>
    </row>
    <row r="8865" spans="1:14">
      <c r="A8865" s="223" t="s">
        <v>4097</v>
      </c>
      <c r="B8865" s="72"/>
      <c r="C8865" s="72"/>
      <c r="D8865" s="73"/>
      <c r="E8865" s="78"/>
      <c r="F8865" s="79">
        <v>0</v>
      </c>
      <c r="G8865" s="80">
        <f>F8865*H8826</f>
        <v>0</v>
      </c>
      <c r="H8865" s="212"/>
    </row>
    <row r="8866" spans="1:14">
      <c r="A8866" s="224" t="s">
        <v>4240</v>
      </c>
      <c r="B8866" s="81"/>
      <c r="C8866" s="81"/>
      <c r="D8866" s="82"/>
      <c r="E8866" s="78"/>
      <c r="F8866" s="79">
        <v>0</v>
      </c>
      <c r="G8866" s="80">
        <f>F8866*H8826</f>
        <v>0</v>
      </c>
      <c r="H8866" s="212"/>
    </row>
    <row r="8867" spans="1:14">
      <c r="A8867" s="224" t="s">
        <v>4</v>
      </c>
      <c r="B8867" s="81"/>
      <c r="C8867" s="81"/>
      <c r="D8867" s="82"/>
      <c r="E8867" s="78"/>
      <c r="F8867" s="79">
        <v>0</v>
      </c>
      <c r="G8867" s="80">
        <f>F8867*H8826</f>
        <v>0</v>
      </c>
      <c r="H8867" s="212"/>
    </row>
    <row r="8868" spans="1:14">
      <c r="A8868" s="225"/>
      <c r="B8868" s="83"/>
      <c r="C8868" s="75"/>
      <c r="D8868" s="84"/>
      <c r="E8868" s="85"/>
      <c r="F8868" s="86"/>
      <c r="G8868" s="87"/>
      <c r="H8868" s="214"/>
    </row>
    <row r="8869" spans="1:14">
      <c r="A8869" s="226"/>
      <c r="B8869" s="83"/>
      <c r="C8869" s="83"/>
      <c r="D8869" s="84"/>
      <c r="E8869" s="88"/>
      <c r="F8869" s="563" t="s">
        <v>4241</v>
      </c>
      <c r="G8869" s="564"/>
      <c r="H8869" s="233">
        <f>H8826+G8865+G8866+G8867</f>
        <v>19158222.406800002</v>
      </c>
    </row>
    <row r="8870" spans="1:14">
      <c r="A8870" s="83"/>
      <c r="B8870" s="83"/>
      <c r="C8870" s="83"/>
      <c r="D8870" s="84"/>
      <c r="E8870" s="388"/>
      <c r="F8870" s="389"/>
      <c r="G8870" s="389"/>
      <c r="H8870" s="390"/>
    </row>
    <row r="8871" spans="1:14" ht="16.5">
      <c r="A8871" s="90"/>
      <c r="B8871" s="90"/>
      <c r="C8871" s="90"/>
      <c r="D8871" s="90"/>
      <c r="E8871" s="90"/>
      <c r="F8871" s="90"/>
      <c r="G8871" s="90"/>
      <c r="H8871" s="381"/>
    </row>
    <row r="8872" spans="1:14">
      <c r="A8872" s="579" t="s">
        <v>4225</v>
      </c>
      <c r="B8872" s="580"/>
      <c r="C8872" s="580"/>
      <c r="D8872" s="580"/>
      <c r="E8872" s="580"/>
      <c r="F8872" s="580"/>
      <c r="G8872" s="580"/>
      <c r="H8872" s="581"/>
    </row>
    <row r="8873" spans="1:14" ht="16.5">
      <c r="A8873" s="91"/>
      <c r="B8873" s="92"/>
      <c r="C8873" s="92"/>
      <c r="D8873" s="92"/>
      <c r="E8873" s="92"/>
      <c r="F8873" s="93"/>
      <c r="G8873" s="94"/>
      <c r="H8873" s="380">
        <f>ROUND((60/60)/8,4)</f>
        <v>0.125</v>
      </c>
      <c r="I8873" s="115"/>
    </row>
    <row r="8874" spans="1:14">
      <c r="A8874" s="582" t="s">
        <v>4220</v>
      </c>
      <c r="B8874" s="584" t="str">
        <f>COSTOS!$C$14</f>
        <v>MODERNIZACION A TECNOLOGIA LED</v>
      </c>
      <c r="C8874" s="584"/>
      <c r="D8874" s="584"/>
      <c r="E8874" s="584"/>
      <c r="F8874" s="584"/>
      <c r="G8874" s="584"/>
      <c r="H8874" s="585" t="s">
        <v>4221</v>
      </c>
    </row>
    <row r="8875" spans="1:14">
      <c r="A8875" s="583"/>
      <c r="B8875" s="584"/>
      <c r="C8875" s="584"/>
      <c r="D8875" s="584"/>
      <c r="E8875" s="584"/>
      <c r="F8875" s="584"/>
      <c r="G8875" s="584"/>
      <c r="H8875" s="585"/>
    </row>
    <row r="8876" spans="1:14">
      <c r="A8876" s="583"/>
      <c r="B8876" s="584"/>
      <c r="C8876" s="584"/>
      <c r="D8876" s="584"/>
      <c r="E8876" s="584"/>
      <c r="F8876" s="584"/>
      <c r="G8876" s="584"/>
      <c r="H8876" s="585"/>
    </row>
    <row r="8877" spans="1:14" ht="15" customHeight="1">
      <c r="A8877" s="583"/>
      <c r="B8877" s="584"/>
      <c r="C8877" s="584"/>
      <c r="D8877" s="584"/>
      <c r="E8877" s="584"/>
      <c r="F8877" s="584"/>
      <c r="G8877" s="584"/>
      <c r="H8877" s="216">
        <f ca="1">TODAY()</f>
        <v>44889</v>
      </c>
      <c r="K8877" t="s">
        <v>4391</v>
      </c>
      <c r="L8877" t="s">
        <v>4392</v>
      </c>
      <c r="M8877" t="s">
        <v>4393</v>
      </c>
      <c r="N8877" t="s">
        <v>4394</v>
      </c>
    </row>
    <row r="8878" spans="1:14" ht="60.75" customHeight="1">
      <c r="A8878" s="228" t="s">
        <v>4222</v>
      </c>
      <c r="B8878" s="565" t="str">
        <f>COSTOS!$D$16</f>
        <v>Luminarias</v>
      </c>
      <c r="C8878" s="565"/>
      <c r="D8878" s="565"/>
      <c r="E8878" s="565"/>
      <c r="F8878" s="565"/>
      <c r="G8878" s="70" t="s">
        <v>4223</v>
      </c>
      <c r="H8878" s="391">
        <v>4.1100000000000003</v>
      </c>
      <c r="K8878" s="62">
        <f>H8899</f>
        <v>242165.00000000003</v>
      </c>
      <c r="L8878" s="62">
        <f>H8909</f>
        <v>54051</v>
      </c>
      <c r="M8878" s="62">
        <f>H8887</f>
        <v>5725.3125</v>
      </c>
      <c r="N8878" s="62">
        <f>H8903</f>
        <v>16000</v>
      </c>
    </row>
    <row r="8879" spans="1:14" ht="43.15" customHeight="1">
      <c r="A8879" s="229" t="s">
        <v>4224</v>
      </c>
      <c r="B8879" s="566" t="str">
        <f>VLOOKUP(H8878,COSTOS!C:M,2,0)</f>
        <v>Medidor 2f 3h 220/110</v>
      </c>
      <c r="C8879" s="567"/>
      <c r="D8879" s="567"/>
      <c r="E8879" s="568"/>
      <c r="F8879" s="71" t="s">
        <v>0</v>
      </c>
      <c r="G8879" s="356" t="str">
        <f>VLOOKUP(H8878,COSTOS!C:M,8,0)</f>
        <v>Und</v>
      </c>
      <c r="H8879" s="276"/>
      <c r="I8879" s="306"/>
      <c r="J8879" s="308"/>
      <c r="K8879" s="308"/>
      <c r="L8879" s="308"/>
    </row>
    <row r="8880" spans="1:14">
      <c r="A8880" s="230"/>
      <c r="B8880" s="112"/>
      <c r="C8880" s="112"/>
      <c r="D8880" s="112"/>
      <c r="E8880" s="113"/>
      <c r="F8880" s="114" t="s">
        <v>1</v>
      </c>
      <c r="G8880" s="356">
        <f>VLOOKUP(H8878,COSTOS!C:M,9,0)</f>
        <v>0</v>
      </c>
      <c r="H8880" s="357"/>
      <c r="I8880" s="307"/>
    </row>
    <row r="8881" spans="1:15" ht="16.5">
      <c r="A8881" s="231" t="s">
        <v>4226</v>
      </c>
      <c r="B8881" s="75"/>
      <c r="C8881" s="75"/>
      <c r="D8881" s="76"/>
      <c r="E8881" s="209"/>
      <c r="F8881" s="210"/>
      <c r="G8881" s="211" t="s">
        <v>4227</v>
      </c>
      <c r="H8881" s="217">
        <f>H8887+H8899+H8903+H8909</f>
        <v>317941.3125</v>
      </c>
    </row>
    <row r="8882" spans="1:15" ht="39">
      <c r="A8882" s="569" t="s">
        <v>4224</v>
      </c>
      <c r="B8882" s="569"/>
      <c r="C8882" s="569"/>
      <c r="D8882" s="77" t="s">
        <v>0</v>
      </c>
      <c r="E8882" s="207" t="s">
        <v>4228</v>
      </c>
      <c r="F8882" s="208" t="s">
        <v>4215</v>
      </c>
      <c r="G8882" s="74" t="s">
        <v>2</v>
      </c>
      <c r="H8882" s="218" t="s">
        <v>4229</v>
      </c>
      <c r="K8882" s="309"/>
    </row>
    <row r="8883" spans="1:15">
      <c r="A8883" s="536" t="s">
        <v>3946</v>
      </c>
      <c r="B8883" s="570" t="str">
        <f>VLOOKUP(A8883,'Equip, Herr y Transp'!$B$2:$D$739,2,0)</f>
        <v>EQU</v>
      </c>
      <c r="C8883" s="570"/>
      <c r="D8883" s="95" t="str">
        <f>VLOOKUP(A8883,'Equip, Herr y Transp'!$B$2:$D$218,2,0)</f>
        <v>EQU</v>
      </c>
      <c r="E8883" s="95">
        <f>VLOOKUP(A8883,'Equip, Herr y Transp'!$B$2:$D$218,3,0)</f>
        <v>14130</v>
      </c>
      <c r="F8883" s="96">
        <f>H8873</f>
        <v>0.125</v>
      </c>
      <c r="G8883" s="122">
        <f>F8883*E8883</f>
        <v>1766.25</v>
      </c>
      <c r="H8883" s="118"/>
    </row>
    <row r="8884" spans="1:15">
      <c r="A8884" s="536" t="s">
        <v>3904</v>
      </c>
      <c r="B8884" s="570" t="str">
        <f>VLOOKUP(A8884,'Equip, Herr y Transp'!$B$2:$D$739,2,0)</f>
        <v>EQU</v>
      </c>
      <c r="C8884" s="570"/>
      <c r="D8884" s="95" t="str">
        <f>VLOOKUP(A8884,'Equip, Herr y Transp'!$B$2:$D$218,2,0)</f>
        <v>EQU</v>
      </c>
      <c r="E8884" s="95">
        <f>VLOOKUP(A8884,'Equip, Herr y Transp'!$B$2:$D$218,3,0)</f>
        <v>26672.5</v>
      </c>
      <c r="F8884" s="96">
        <f>H8873</f>
        <v>0.125</v>
      </c>
      <c r="G8884" s="122">
        <f>F8884*E8884</f>
        <v>3334.0625</v>
      </c>
      <c r="H8884" s="117"/>
    </row>
    <row r="8885" spans="1:15">
      <c r="A8885" s="536" t="s">
        <v>3909</v>
      </c>
      <c r="B8885" s="570" t="str">
        <f>VLOOKUP(A8885,'Equip, Herr y Transp'!$B$2:$D$739,2,0)</f>
        <v>ELEC</v>
      </c>
      <c r="C8885" s="570"/>
      <c r="D8885" s="95" t="str">
        <f>VLOOKUP(A8885,'Equip, Herr y Transp'!$B$2:$D$218,2,0)</f>
        <v>ELEC</v>
      </c>
      <c r="E8885" s="95">
        <f>VLOOKUP(A8885,'Equip, Herr y Transp'!$B$2:$D$218,3,0)</f>
        <v>5000</v>
      </c>
      <c r="F8885" s="96">
        <f>H8873</f>
        <v>0.125</v>
      </c>
      <c r="G8885" s="122">
        <f>F8885*E8885</f>
        <v>625</v>
      </c>
      <c r="H8885" s="117"/>
    </row>
    <row r="8886" spans="1:15">
      <c r="A8886" s="536" t="s">
        <v>8</v>
      </c>
      <c r="B8886" s="570">
        <f>VLOOKUP(A8886,'Equip, Herr y Transp'!$B$2:$D$739,2,0)</f>
        <v>0</v>
      </c>
      <c r="C8886" s="570"/>
      <c r="D8886" s="95">
        <f>VLOOKUP(A8886,'Equip, Herr y Transp'!$B$2:$D$218,2,0)</f>
        <v>0</v>
      </c>
      <c r="E8886" s="95">
        <f>VLOOKUP(A8886,'Equip, Herr y Transp'!$B$2:$D$218,3,0)</f>
        <v>0</v>
      </c>
      <c r="F8886" s="96">
        <f>H8873</f>
        <v>0.125</v>
      </c>
      <c r="G8886" s="122">
        <f>F8886*E8886</f>
        <v>0</v>
      </c>
      <c r="H8886" s="117"/>
    </row>
    <row r="8887" spans="1:15" ht="16.5">
      <c r="A8887" s="540" t="s">
        <v>4100</v>
      </c>
      <c r="B8887" s="541"/>
      <c r="C8887" s="541"/>
      <c r="D8887" s="541"/>
      <c r="E8887" s="541"/>
      <c r="F8887" s="541"/>
      <c r="G8887" s="541"/>
      <c r="H8887" s="97">
        <f>SUM(G8883:G8886)</f>
        <v>5725.3125</v>
      </c>
    </row>
    <row r="8888" spans="1:15" ht="16.5">
      <c r="A8888" s="571" t="s">
        <v>4230</v>
      </c>
      <c r="B8888" s="572"/>
      <c r="C8888" s="572"/>
      <c r="D8888" s="572"/>
      <c r="E8888" s="572"/>
      <c r="F8888" s="572"/>
      <c r="G8888" s="572"/>
      <c r="H8888" s="573"/>
      <c r="K8888" s="56"/>
      <c r="L8888" s="56"/>
      <c r="M8888" s="56"/>
      <c r="N8888" s="56"/>
      <c r="O8888" s="56"/>
    </row>
    <row r="8889" spans="1:15" ht="30" customHeight="1">
      <c r="A8889" s="574" t="s">
        <v>7</v>
      </c>
      <c r="B8889" s="575"/>
      <c r="C8889" s="109" t="s">
        <v>0</v>
      </c>
      <c r="D8889" s="110" t="s">
        <v>4098</v>
      </c>
      <c r="E8889" s="111" t="s">
        <v>1</v>
      </c>
      <c r="F8889" s="576" t="s">
        <v>4218</v>
      </c>
      <c r="G8889" s="576"/>
      <c r="H8889" s="215"/>
      <c r="K8889" s="56"/>
      <c r="L8889" s="56"/>
      <c r="M8889" s="56"/>
      <c r="N8889" s="56"/>
      <c r="O8889" s="56"/>
    </row>
    <row r="8890" spans="1:15">
      <c r="A8890" s="577" t="s">
        <v>5013</v>
      </c>
      <c r="B8890" s="578"/>
      <c r="C8890" s="98" t="str">
        <f>VLOOKUP(A8890,'Materiales '!$C$2:$F$1302,3,0)</f>
        <v>Und</v>
      </c>
      <c r="D8890" s="99">
        <f>VLOOKUP(A8890,'Materiales '!$C$2:$F$1302,4,0)</f>
        <v>242165.00000000003</v>
      </c>
      <c r="E8890" s="100">
        <v>1</v>
      </c>
      <c r="F8890" s="538">
        <f>E8890*D8890</f>
        <v>242165.00000000003</v>
      </c>
      <c r="G8890" s="539"/>
      <c r="H8890" s="121"/>
      <c r="I8890">
        <f>E8890*G8880</f>
        <v>0</v>
      </c>
      <c r="J8890" s="67"/>
      <c r="K8890" s="56"/>
      <c r="L8890" s="56"/>
      <c r="M8890" s="56"/>
      <c r="N8890" s="56"/>
      <c r="O8890" s="56"/>
    </row>
    <row r="8891" spans="1:15">
      <c r="A8891" s="577" t="s">
        <v>8</v>
      </c>
      <c r="B8891" s="578"/>
      <c r="C8891" s="98" t="str">
        <f>VLOOKUP(A8891,'Materiales '!$C$2:$F$1302,3,0)</f>
        <v>-</v>
      </c>
      <c r="D8891" s="99">
        <f>VLOOKUP(A8891,'Materiales '!$C$2:$F$1302,4,0)</f>
        <v>0</v>
      </c>
      <c r="E8891" s="100">
        <v>2</v>
      </c>
      <c r="F8891" s="538">
        <f t="shared" ref="F8891:F8897" si="517">E8891*D8891</f>
        <v>0</v>
      </c>
      <c r="G8891" s="539"/>
      <c r="H8891" s="121"/>
      <c r="I8891">
        <f>E8891*G8880</f>
        <v>0</v>
      </c>
      <c r="J8891" s="67"/>
      <c r="K8891" s="56"/>
      <c r="L8891" s="56"/>
      <c r="M8891" s="56"/>
      <c r="N8891" s="56"/>
      <c r="O8891" s="56"/>
    </row>
    <row r="8892" spans="1:15">
      <c r="A8892" s="536" t="s">
        <v>8</v>
      </c>
      <c r="B8892" s="537" t="str">
        <f>VLOOKUP(A8892,'Materiales '!$C$2:$F$1302,3,0)</f>
        <v>-</v>
      </c>
      <c r="C8892" s="98" t="str">
        <f>VLOOKUP(A8892,'Materiales '!$C$2:$F$1302,3,0)</f>
        <v>-</v>
      </c>
      <c r="D8892" s="99">
        <f>VLOOKUP(A8892,'Materiales '!$C$2:$F$1302,4,0)</f>
        <v>0</v>
      </c>
      <c r="E8892" s="100">
        <v>2</v>
      </c>
      <c r="F8892" s="538">
        <f t="shared" si="517"/>
        <v>0</v>
      </c>
      <c r="G8892" s="539"/>
      <c r="H8892" s="121"/>
      <c r="I8892">
        <f>E8892*G8880</f>
        <v>0</v>
      </c>
      <c r="J8892" s="68"/>
      <c r="K8892" s="56"/>
      <c r="L8892" s="56"/>
      <c r="M8892" s="56"/>
      <c r="N8892" s="56"/>
      <c r="O8892" s="56"/>
    </row>
    <row r="8893" spans="1:15">
      <c r="A8893" s="536" t="s">
        <v>8</v>
      </c>
      <c r="B8893" s="537" t="str">
        <f>VLOOKUP(A8893,'Materiales '!$C$2:$F$1302,3,0)</f>
        <v>-</v>
      </c>
      <c r="C8893" s="98" t="str">
        <f>VLOOKUP(A8893,'Materiales '!$C$2:$F$1302,3,0)</f>
        <v>-</v>
      </c>
      <c r="D8893" s="99">
        <f>VLOOKUP(A8893,'Materiales '!$C$2:$F$1302,4,0)</f>
        <v>0</v>
      </c>
      <c r="E8893" s="100">
        <v>20</v>
      </c>
      <c r="F8893" s="538">
        <f t="shared" si="517"/>
        <v>0</v>
      </c>
      <c r="G8893" s="539"/>
      <c r="H8893" s="121"/>
      <c r="I8893">
        <f>E8893*G8880</f>
        <v>0</v>
      </c>
      <c r="J8893" s="68"/>
      <c r="K8893" s="56"/>
      <c r="L8893" s="56"/>
      <c r="M8893" s="56"/>
      <c r="N8893" s="56"/>
      <c r="O8893" s="56"/>
    </row>
    <row r="8894" spans="1:15">
      <c r="A8894" s="536" t="s">
        <v>8</v>
      </c>
      <c r="B8894" s="537" t="str">
        <f>VLOOKUP(A8894,'Materiales '!$C$2:$F$1302,3,0)</f>
        <v>-</v>
      </c>
      <c r="C8894" s="98" t="str">
        <f>VLOOKUP(A8894,'Materiales '!$C$2:$F$1302,3,0)</f>
        <v>-</v>
      </c>
      <c r="D8894" s="99">
        <f>VLOOKUP(A8894,'Materiales '!$C$2:$F$1302,4,0)</f>
        <v>0</v>
      </c>
      <c r="E8894" s="100">
        <v>15</v>
      </c>
      <c r="F8894" s="538">
        <f t="shared" si="517"/>
        <v>0</v>
      </c>
      <c r="G8894" s="539"/>
      <c r="H8894" s="121"/>
      <c r="I8894">
        <f>E8894*G8880</f>
        <v>0</v>
      </c>
      <c r="J8894" s="68"/>
      <c r="K8894" s="56"/>
      <c r="L8894" s="56"/>
      <c r="M8894" s="56"/>
      <c r="N8894" s="56"/>
      <c r="O8894" s="56"/>
    </row>
    <row r="8895" spans="1:15">
      <c r="A8895" s="536" t="s">
        <v>8</v>
      </c>
      <c r="B8895" s="537" t="str">
        <f>VLOOKUP(A8895,'Materiales '!$C$2:$F$1302,3,0)</f>
        <v>-</v>
      </c>
      <c r="C8895" s="98" t="str">
        <f>VLOOKUP(A8895,'Materiales '!$C$2:$F$1302,3,0)</f>
        <v>-</v>
      </c>
      <c r="D8895" s="99">
        <f>VLOOKUP(A8895,'Materiales '!$C$2:$F$1302,4,0)</f>
        <v>0</v>
      </c>
      <c r="E8895" s="100">
        <v>2</v>
      </c>
      <c r="F8895" s="538">
        <f t="shared" si="517"/>
        <v>0</v>
      </c>
      <c r="G8895" s="539"/>
      <c r="H8895" s="121"/>
      <c r="I8895">
        <f>E8895*G8880</f>
        <v>0</v>
      </c>
      <c r="J8895" s="68"/>
      <c r="K8895" s="56"/>
      <c r="L8895" s="56"/>
      <c r="M8895" s="56"/>
      <c r="N8895" s="56"/>
      <c r="O8895" s="56"/>
    </row>
    <row r="8896" spans="1:15">
      <c r="A8896" s="536" t="s">
        <v>8</v>
      </c>
      <c r="B8896" s="537" t="str">
        <f>VLOOKUP(A8896,'Materiales '!$C$2:$F$1302,3,0)</f>
        <v>-</v>
      </c>
      <c r="C8896" s="98" t="str">
        <f>VLOOKUP(A8896,'Materiales '!$C$2:$F$1302,3,0)</f>
        <v>-</v>
      </c>
      <c r="D8896" s="99">
        <f>VLOOKUP(A8896,'Materiales '!$C$2:$F$1302,4,0)</f>
        <v>0</v>
      </c>
      <c r="E8896" s="100">
        <v>1</v>
      </c>
      <c r="F8896" s="538">
        <f t="shared" si="517"/>
        <v>0</v>
      </c>
      <c r="G8896" s="539"/>
      <c r="H8896" s="121"/>
      <c r="I8896">
        <f>E8896*G8880</f>
        <v>0</v>
      </c>
      <c r="J8896" s="68"/>
      <c r="K8896" s="56"/>
      <c r="L8896" s="56"/>
      <c r="M8896" s="56"/>
      <c r="N8896" s="56"/>
      <c r="O8896" s="56"/>
    </row>
    <row r="8897" spans="1:15">
      <c r="A8897" s="536" t="s">
        <v>8</v>
      </c>
      <c r="B8897" s="537" t="str">
        <f>VLOOKUP(A8897,'Materiales '!$C$2:$F$1302,3,0)</f>
        <v>-</v>
      </c>
      <c r="C8897" s="98" t="str">
        <f>VLOOKUP(A8897,'Materiales '!$C$2:$F$1302,3,0)</f>
        <v>-</v>
      </c>
      <c r="D8897" s="99">
        <f>VLOOKUP(A8897,'Materiales '!$C$2:$F$1302,4,0)</f>
        <v>0</v>
      </c>
      <c r="E8897" s="100">
        <v>1</v>
      </c>
      <c r="F8897" s="538">
        <f t="shared" si="517"/>
        <v>0</v>
      </c>
      <c r="G8897" s="539"/>
      <c r="H8897" s="121"/>
      <c r="I8897">
        <f>E8897*G8880</f>
        <v>0</v>
      </c>
      <c r="J8897" s="68"/>
      <c r="K8897" s="56"/>
      <c r="L8897" s="56"/>
      <c r="M8897" s="56"/>
      <c r="N8897" s="56"/>
      <c r="O8897" s="56"/>
    </row>
    <row r="8898" spans="1:15">
      <c r="A8898" s="536" t="s">
        <v>8</v>
      </c>
      <c r="B8898" s="537" t="str">
        <f>VLOOKUP(A8898,'Materiales '!$C$2:$F$1302,3,0)</f>
        <v>-</v>
      </c>
      <c r="C8898" s="98" t="str">
        <f>VLOOKUP(A8898,'Materiales '!$C$2:$F$1302,3,0)</f>
        <v>-</v>
      </c>
      <c r="D8898" s="99">
        <f>VLOOKUP(A8898,'Materiales '!$C$2:$F$1302,4,0)</f>
        <v>0</v>
      </c>
      <c r="E8898" s="100">
        <v>2</v>
      </c>
      <c r="F8898" s="538">
        <f>E8898*D8898</f>
        <v>0</v>
      </c>
      <c r="G8898" s="539"/>
      <c r="H8898" s="120"/>
      <c r="I8898">
        <f>E8898*G8880</f>
        <v>0</v>
      </c>
      <c r="J8898" s="68"/>
      <c r="K8898" s="56"/>
      <c r="L8898" s="56"/>
      <c r="M8898" s="56"/>
      <c r="N8898" s="56"/>
      <c r="O8898" s="56"/>
    </row>
    <row r="8899" spans="1:15" ht="16.5">
      <c r="A8899" s="540" t="s">
        <v>4099</v>
      </c>
      <c r="B8899" s="541"/>
      <c r="C8899" s="541"/>
      <c r="D8899" s="541"/>
      <c r="E8899" s="541"/>
      <c r="F8899" s="541"/>
      <c r="G8899" s="542"/>
      <c r="H8899" s="116">
        <f>SUM(F8890:F8898)</f>
        <v>242165.00000000003</v>
      </c>
      <c r="J8899" s="68"/>
      <c r="K8899" s="56"/>
      <c r="L8899" s="56"/>
      <c r="M8899" s="56"/>
      <c r="N8899" s="56"/>
      <c r="O8899" s="56"/>
    </row>
    <row r="8900" spans="1:15" ht="16.5">
      <c r="A8900" s="543" t="s">
        <v>4231</v>
      </c>
      <c r="B8900" s="544"/>
      <c r="C8900" s="544"/>
      <c r="D8900" s="544"/>
      <c r="E8900" s="545"/>
      <c r="F8900" s="544"/>
      <c r="G8900" s="544"/>
      <c r="H8900" s="546"/>
      <c r="J8900" s="68"/>
      <c r="K8900" s="56"/>
      <c r="L8900" s="56"/>
      <c r="M8900" s="56"/>
      <c r="N8900" s="56"/>
      <c r="O8900" s="56"/>
    </row>
    <row r="8901" spans="1:15">
      <c r="A8901" s="547" t="s">
        <v>7</v>
      </c>
      <c r="B8901" s="548"/>
      <c r="C8901" s="108" t="s">
        <v>4232</v>
      </c>
      <c r="D8901" s="107" t="s">
        <v>4233</v>
      </c>
      <c r="E8901" s="206" t="s">
        <v>4234</v>
      </c>
      <c r="F8901" s="549" t="s">
        <v>4218</v>
      </c>
      <c r="G8901" s="549"/>
      <c r="H8901" s="119"/>
      <c r="K8901" s="56"/>
      <c r="L8901" s="56"/>
      <c r="M8901" s="56"/>
      <c r="N8901" s="56"/>
      <c r="O8901" s="56"/>
    </row>
    <row r="8902" spans="1:15">
      <c r="A8902" s="550" t="s">
        <v>3928</v>
      </c>
      <c r="B8902" s="551"/>
      <c r="C8902" s="232">
        <v>1</v>
      </c>
      <c r="D8902" s="102">
        <v>0.1</v>
      </c>
      <c r="E8902" s="103">
        <f>VLOOKUP(A8902,'Equip, Herr y Transp'!$B$2:$D$218,3,0)</f>
        <v>160000</v>
      </c>
      <c r="F8902" s="552">
        <f>E8902*D8902*C8902</f>
        <v>16000</v>
      </c>
      <c r="G8902" s="553"/>
      <c r="H8902" s="117"/>
      <c r="M8902" s="56"/>
    </row>
    <row r="8903" spans="1:15" ht="16.5">
      <c r="A8903" s="554" t="s">
        <v>4216</v>
      </c>
      <c r="B8903" s="555"/>
      <c r="C8903" s="555"/>
      <c r="D8903" s="555"/>
      <c r="E8903" s="555"/>
      <c r="F8903" s="555"/>
      <c r="G8903" s="555"/>
      <c r="H8903" s="105">
        <f>F8902</f>
        <v>16000</v>
      </c>
    </row>
    <row r="8904" spans="1:15" ht="16.5">
      <c r="A8904" s="543" t="s">
        <v>4235</v>
      </c>
      <c r="B8904" s="544"/>
      <c r="C8904" s="544"/>
      <c r="D8904" s="544"/>
      <c r="E8904" s="544"/>
      <c r="F8904" s="544"/>
      <c r="G8904" s="544"/>
      <c r="H8904" s="546"/>
    </row>
    <row r="8905" spans="1:15">
      <c r="A8905" s="547" t="s">
        <v>7</v>
      </c>
      <c r="B8905" s="548"/>
      <c r="C8905" s="106" t="s">
        <v>1</v>
      </c>
      <c r="D8905" s="107" t="s">
        <v>4236</v>
      </c>
      <c r="E8905" s="108" t="s">
        <v>4215</v>
      </c>
      <c r="F8905" s="547" t="s">
        <v>5</v>
      </c>
      <c r="G8905" s="556"/>
      <c r="H8905" s="119"/>
    </row>
    <row r="8906" spans="1:15">
      <c r="A8906" s="550" t="s">
        <v>4196</v>
      </c>
      <c r="B8906" s="551"/>
      <c r="C8906" s="101">
        <v>1</v>
      </c>
      <c r="D8906" s="104">
        <f>VLOOKUP(A8906,'Mano Obra'!$B$2:$T$117,19,0)</f>
        <v>166624</v>
      </c>
      <c r="E8906" s="246">
        <f>H8873</f>
        <v>0.125</v>
      </c>
      <c r="F8906" s="538">
        <f>E8906*D8906*C8906</f>
        <v>20828</v>
      </c>
      <c r="G8906" s="557"/>
      <c r="H8906" s="121"/>
      <c r="I8906" s="69"/>
      <c r="J8906" s="136">
        <f>((('Mano Obra'!$M$4/30)*F8906)/D8906)*G8880</f>
        <v>0</v>
      </c>
    </row>
    <row r="8907" spans="1:15">
      <c r="A8907" s="558" t="s">
        <v>4197</v>
      </c>
      <c r="B8907" s="559">
        <f>VLOOKUP(A8907,'Mano Obra'!$B$3:$D$290,2,0)</f>
        <v>2090000.0000000002</v>
      </c>
      <c r="C8907" s="101">
        <v>1</v>
      </c>
      <c r="D8907" s="104">
        <f>VLOOKUP(A8907,'Mano Obra'!$B$2:$T$117,19,0)</f>
        <v>120456</v>
      </c>
      <c r="E8907" s="246">
        <f>H8873</f>
        <v>0.125</v>
      </c>
      <c r="F8907" s="538">
        <f t="shared" ref="F8907:F8908" si="518">E8907*D8907*C8907</f>
        <v>15057</v>
      </c>
      <c r="G8907" s="557"/>
      <c r="H8907" s="121"/>
      <c r="J8907" s="136">
        <f>((('Mano Obra'!$M$5/30)*F8907)/D8907)*G8880</f>
        <v>0</v>
      </c>
    </row>
    <row r="8908" spans="1:15">
      <c r="A8908" s="558" t="s">
        <v>4186</v>
      </c>
      <c r="B8908" s="559">
        <f>VLOOKUP(A8908,'Mano Obra'!$B$3:$D$290,2,0)</f>
        <v>1100000</v>
      </c>
      <c r="C8908" s="101">
        <v>2</v>
      </c>
      <c r="D8908" s="104">
        <f>VLOOKUP(A8908,'Mano Obra'!$B$2:$T$117,19,0)</f>
        <v>72664</v>
      </c>
      <c r="E8908" s="246">
        <f>H8873</f>
        <v>0.125</v>
      </c>
      <c r="F8908" s="538">
        <f t="shared" si="518"/>
        <v>18166</v>
      </c>
      <c r="G8908" s="557"/>
      <c r="H8908" s="120"/>
      <c r="J8908" s="136">
        <f>((('Mano Obra'!$M$6/30)*F8908)/D8908)*G8880</f>
        <v>0</v>
      </c>
    </row>
    <row r="8909" spans="1:15" ht="16.5">
      <c r="A8909" s="560" t="s">
        <v>4101</v>
      </c>
      <c r="B8909" s="560"/>
      <c r="C8909" s="560"/>
      <c r="D8909" s="560"/>
      <c r="E8909" s="560"/>
      <c r="F8909" s="560"/>
      <c r="G8909" s="560"/>
      <c r="H8909" s="105">
        <f>SUM(F8906:F8908)</f>
        <v>54051</v>
      </c>
      <c r="J8909" s="136"/>
    </row>
    <row r="8910" spans="1:15">
      <c r="A8910" s="227" t="s">
        <v>4237</v>
      </c>
      <c r="B8910" s="205"/>
      <c r="C8910" s="205"/>
      <c r="D8910" s="202"/>
      <c r="E8910" s="203"/>
      <c r="F8910" s="204"/>
      <c r="G8910" s="203"/>
      <c r="H8910" s="212"/>
    </row>
    <row r="8911" spans="1:15">
      <c r="A8911" s="561" t="s">
        <v>4224</v>
      </c>
      <c r="B8911" s="562"/>
      <c r="C8911" s="562"/>
      <c r="D8911" s="562"/>
      <c r="E8911" s="200"/>
      <c r="F8911" s="201" t="s">
        <v>4238</v>
      </c>
      <c r="G8911" s="200" t="s">
        <v>4239</v>
      </c>
      <c r="H8911" s="213"/>
    </row>
    <row r="8912" spans="1:15">
      <c r="A8912" s="223" t="s">
        <v>4097</v>
      </c>
      <c r="B8912" s="72"/>
      <c r="C8912" s="72"/>
      <c r="D8912" s="73"/>
      <c r="E8912" s="78"/>
      <c r="F8912" s="79">
        <v>0</v>
      </c>
      <c r="G8912" s="80">
        <f>F8912*H8881</f>
        <v>0</v>
      </c>
      <c r="H8912" s="212"/>
    </row>
    <row r="8913" spans="1:14">
      <c r="A8913" s="224" t="s">
        <v>4240</v>
      </c>
      <c r="B8913" s="81"/>
      <c r="C8913" s="81"/>
      <c r="D8913" s="82"/>
      <c r="E8913" s="78"/>
      <c r="F8913" s="79">
        <v>0</v>
      </c>
      <c r="G8913" s="80">
        <f>F8913*H8881</f>
        <v>0</v>
      </c>
      <c r="H8913" s="212"/>
    </row>
    <row r="8914" spans="1:14">
      <c r="A8914" s="224" t="s">
        <v>4</v>
      </c>
      <c r="B8914" s="81"/>
      <c r="C8914" s="81"/>
      <c r="D8914" s="82"/>
      <c r="E8914" s="78"/>
      <c r="F8914" s="79">
        <v>0</v>
      </c>
      <c r="G8914" s="80">
        <f>F8914*H8881</f>
        <v>0</v>
      </c>
      <c r="H8914" s="212"/>
    </row>
    <row r="8915" spans="1:14">
      <c r="A8915" s="225"/>
      <c r="B8915" s="83"/>
      <c r="C8915" s="75"/>
      <c r="D8915" s="84"/>
      <c r="E8915" s="85"/>
      <c r="F8915" s="86"/>
      <c r="G8915" s="87"/>
      <c r="H8915" s="214"/>
    </row>
    <row r="8916" spans="1:14">
      <c r="A8916" s="226"/>
      <c r="B8916" s="83"/>
      <c r="C8916" s="83"/>
      <c r="D8916" s="84"/>
      <c r="E8916" s="88"/>
      <c r="F8916" s="563" t="s">
        <v>4241</v>
      </c>
      <c r="G8916" s="564"/>
      <c r="H8916" s="233">
        <f>H8881+G8912+G8913+G8914</f>
        <v>317941.3125</v>
      </c>
    </row>
    <row r="8917" spans="1:14">
      <c r="A8917" s="83"/>
      <c r="B8917" s="83"/>
      <c r="C8917" s="83"/>
      <c r="D8917" s="84"/>
      <c r="E8917" s="388"/>
      <c r="F8917" s="389"/>
      <c r="G8917" s="389"/>
      <c r="H8917" s="390"/>
    </row>
    <row r="8919" spans="1:14" ht="16.5">
      <c r="A8919" s="90"/>
      <c r="B8919" s="90"/>
      <c r="C8919" s="90"/>
      <c r="D8919" s="90"/>
      <c r="E8919" s="90"/>
      <c r="F8919" s="90"/>
      <c r="G8919" s="90"/>
      <c r="H8919" s="381"/>
    </row>
    <row r="8920" spans="1:14">
      <c r="A8920" s="579" t="s">
        <v>4225</v>
      </c>
      <c r="B8920" s="580"/>
      <c r="C8920" s="580"/>
      <c r="D8920" s="580"/>
      <c r="E8920" s="580"/>
      <c r="F8920" s="580"/>
      <c r="G8920" s="580"/>
      <c r="H8920" s="581"/>
    </row>
    <row r="8921" spans="1:14" ht="16.5">
      <c r="A8921" s="91"/>
      <c r="B8921" s="92"/>
      <c r="C8921" s="92"/>
      <c r="D8921" s="92"/>
      <c r="E8921" s="92"/>
      <c r="F8921" s="93"/>
      <c r="G8921" s="94"/>
      <c r="H8921" s="380">
        <f>ROUND((80/60)/8,4)</f>
        <v>0.16669999999999999</v>
      </c>
      <c r="I8921" s="115"/>
    </row>
    <row r="8922" spans="1:14">
      <c r="A8922" s="582" t="s">
        <v>4220</v>
      </c>
      <c r="B8922" s="584" t="str">
        <f>COSTOS!$C$14</f>
        <v>MODERNIZACION A TECNOLOGIA LED</v>
      </c>
      <c r="C8922" s="584"/>
      <c r="D8922" s="584"/>
      <c r="E8922" s="584"/>
      <c r="F8922" s="584"/>
      <c r="G8922" s="584"/>
      <c r="H8922" s="585" t="s">
        <v>4221</v>
      </c>
    </row>
    <row r="8923" spans="1:14">
      <c r="A8923" s="583"/>
      <c r="B8923" s="584"/>
      <c r="C8923" s="584"/>
      <c r="D8923" s="584"/>
      <c r="E8923" s="584"/>
      <c r="F8923" s="584"/>
      <c r="G8923" s="584"/>
      <c r="H8923" s="585"/>
    </row>
    <row r="8924" spans="1:14">
      <c r="A8924" s="583"/>
      <c r="B8924" s="584"/>
      <c r="C8924" s="584"/>
      <c r="D8924" s="584"/>
      <c r="E8924" s="584"/>
      <c r="F8924" s="584"/>
      <c r="G8924" s="584"/>
      <c r="H8924" s="585"/>
    </row>
    <row r="8925" spans="1:14" ht="15" customHeight="1">
      <c r="A8925" s="583"/>
      <c r="B8925" s="584"/>
      <c r="C8925" s="584"/>
      <c r="D8925" s="584"/>
      <c r="E8925" s="584"/>
      <c r="F8925" s="584"/>
      <c r="G8925" s="584"/>
      <c r="H8925" s="216">
        <f ca="1">TODAY()</f>
        <v>44889</v>
      </c>
      <c r="K8925" t="s">
        <v>4391</v>
      </c>
      <c r="L8925" t="s">
        <v>4392</v>
      </c>
      <c r="M8925" t="s">
        <v>4393</v>
      </c>
      <c r="N8925" t="s">
        <v>4394</v>
      </c>
    </row>
    <row r="8926" spans="1:14" ht="60.75" customHeight="1">
      <c r="A8926" s="228" t="s">
        <v>4222</v>
      </c>
      <c r="B8926" s="565" t="str">
        <f>COSTOS!$D$16</f>
        <v>Luminarias</v>
      </c>
      <c r="C8926" s="565"/>
      <c r="D8926" s="565"/>
      <c r="E8926" s="565"/>
      <c r="F8926" s="565"/>
      <c r="G8926" s="70" t="s">
        <v>4223</v>
      </c>
      <c r="H8926" s="387">
        <v>5.0999999999999996</v>
      </c>
      <c r="K8926" s="62">
        <f>H8955</f>
        <v>227580.36</v>
      </c>
      <c r="L8926" s="62">
        <f>H8965</f>
        <v>59969.324799999995</v>
      </c>
      <c r="M8926" s="62">
        <f>H8935</f>
        <v>6801.7767499999991</v>
      </c>
      <c r="N8926" s="62">
        <f>H8959</f>
        <v>16000</v>
      </c>
    </row>
    <row r="8927" spans="1:14" ht="43.15" customHeight="1">
      <c r="A8927" s="229" t="s">
        <v>4224</v>
      </c>
      <c r="B8927" s="566" t="str">
        <f>VLOOKUP(H8926,COSTOS!C:M,2,0)</f>
        <v>Sistema de puesta a tierra Stavol</v>
      </c>
      <c r="C8927" s="567"/>
      <c r="D8927" s="567"/>
      <c r="E8927" s="568"/>
      <c r="F8927" s="71" t="s">
        <v>0</v>
      </c>
      <c r="G8927" s="356" t="str">
        <f>VLOOKUP(H8926,COSTOS!C:M,8,0)</f>
        <v>Und</v>
      </c>
      <c r="H8927" s="276"/>
      <c r="I8927" s="306"/>
      <c r="J8927" s="308"/>
      <c r="K8927" s="308"/>
      <c r="L8927" s="308"/>
    </row>
    <row r="8928" spans="1:14">
      <c r="A8928" s="230"/>
      <c r="B8928" s="112"/>
      <c r="C8928" s="112"/>
      <c r="D8928" s="112"/>
      <c r="E8928" s="113"/>
      <c r="F8928" s="114" t="s">
        <v>1</v>
      </c>
      <c r="G8928" s="356">
        <f>VLOOKUP(H8926,COSTOS!C:M,9,0)</f>
        <v>0</v>
      </c>
      <c r="H8928" s="357"/>
      <c r="I8928" s="307"/>
    </row>
    <row r="8929" spans="1:15" ht="16.5">
      <c r="A8929" s="231" t="s">
        <v>4226</v>
      </c>
      <c r="B8929" s="75"/>
      <c r="C8929" s="75"/>
      <c r="D8929" s="76"/>
      <c r="E8929" s="209"/>
      <c r="F8929" s="210"/>
      <c r="G8929" s="211" t="s">
        <v>4227</v>
      </c>
      <c r="H8929" s="217">
        <f>H8935+H8955+H8959+H8965</f>
        <v>310351.46154999995</v>
      </c>
    </row>
    <row r="8930" spans="1:15" ht="39">
      <c r="A8930" s="569" t="s">
        <v>4224</v>
      </c>
      <c r="B8930" s="569"/>
      <c r="C8930" s="569"/>
      <c r="D8930" s="77" t="s">
        <v>0</v>
      </c>
      <c r="E8930" s="207" t="s">
        <v>4228</v>
      </c>
      <c r="F8930" s="208" t="s">
        <v>4215</v>
      </c>
      <c r="G8930" s="74" t="s">
        <v>2</v>
      </c>
      <c r="H8930" s="218" t="s">
        <v>4229</v>
      </c>
      <c r="K8930" s="309"/>
    </row>
    <row r="8931" spans="1:15">
      <c r="A8931" s="536" t="s">
        <v>3946</v>
      </c>
      <c r="B8931" s="570" t="str">
        <f>VLOOKUP(A8931,'Equip, Herr y Transp'!$B$2:$D$739,2,0)</f>
        <v>EQU</v>
      </c>
      <c r="C8931" s="570"/>
      <c r="D8931" s="95" t="str">
        <f>VLOOKUP(A8931,'Equip, Herr y Transp'!$B$2:$D$218,2,0)</f>
        <v>EQU</v>
      </c>
      <c r="E8931" s="95">
        <f>VLOOKUP(A8931,'Equip, Herr y Transp'!$B$2:$D$218,3,0)</f>
        <v>14130</v>
      </c>
      <c r="F8931" s="96">
        <f>H8921</f>
        <v>0.16669999999999999</v>
      </c>
      <c r="G8931" s="122">
        <f>F8931*E8931</f>
        <v>2355.471</v>
      </c>
      <c r="H8931" s="118"/>
    </row>
    <row r="8932" spans="1:15">
      <c r="A8932" s="536" t="s">
        <v>3904</v>
      </c>
      <c r="B8932" s="570" t="str">
        <f>VLOOKUP(A8932,'Equip, Herr y Transp'!$B$2:$D$739,2,0)</f>
        <v>EQU</v>
      </c>
      <c r="C8932" s="570"/>
      <c r="D8932" s="95" t="str">
        <f>VLOOKUP(A8932,'Equip, Herr y Transp'!$B$2:$D$218,2,0)</f>
        <v>EQU</v>
      </c>
      <c r="E8932" s="95">
        <f>VLOOKUP(A8932,'Equip, Herr y Transp'!$B$2:$D$218,3,0)</f>
        <v>26672.5</v>
      </c>
      <c r="F8932" s="96">
        <f>H8921</f>
        <v>0.16669999999999999</v>
      </c>
      <c r="G8932" s="122">
        <f>F8932*E8932</f>
        <v>4446.3057499999995</v>
      </c>
      <c r="H8932" s="117"/>
    </row>
    <row r="8933" spans="1:15">
      <c r="A8933" s="536" t="s">
        <v>8</v>
      </c>
      <c r="B8933" s="570">
        <f>VLOOKUP(A8933,'Equip, Herr y Transp'!$B$2:$D$739,2,0)</f>
        <v>0</v>
      </c>
      <c r="C8933" s="570"/>
      <c r="D8933" s="95">
        <f>VLOOKUP(A8933,'Equip, Herr y Transp'!$B$2:$D$218,2,0)</f>
        <v>0</v>
      </c>
      <c r="E8933" s="95">
        <f>VLOOKUP(A8933,'Equip, Herr y Transp'!$B$2:$D$218,3,0)</f>
        <v>0</v>
      </c>
      <c r="F8933" s="96">
        <f>H8921</f>
        <v>0.16669999999999999</v>
      </c>
      <c r="G8933" s="122">
        <f>F8933*E8933</f>
        <v>0</v>
      </c>
      <c r="H8933" s="117"/>
    </row>
    <row r="8934" spans="1:15">
      <c r="A8934" s="536" t="s">
        <v>8</v>
      </c>
      <c r="B8934" s="570">
        <f>VLOOKUP(A8934,'Equip, Herr y Transp'!$B$2:$D$739,2,0)</f>
        <v>0</v>
      </c>
      <c r="C8934" s="570"/>
      <c r="D8934" s="95">
        <f>VLOOKUP(A8934,'Equip, Herr y Transp'!$B$2:$D$218,2,0)</f>
        <v>0</v>
      </c>
      <c r="E8934" s="95">
        <f>VLOOKUP(A8934,'Equip, Herr y Transp'!$B$2:$D$218,3,0)</f>
        <v>0</v>
      </c>
      <c r="F8934" s="96">
        <f>H8921</f>
        <v>0.16669999999999999</v>
      </c>
      <c r="G8934" s="122">
        <f>F8934*E8934</f>
        <v>0</v>
      </c>
      <c r="H8934" s="117"/>
    </row>
    <row r="8935" spans="1:15" ht="16.5">
      <c r="A8935" s="540" t="s">
        <v>4100</v>
      </c>
      <c r="B8935" s="541"/>
      <c r="C8935" s="541"/>
      <c r="D8935" s="541"/>
      <c r="E8935" s="541"/>
      <c r="F8935" s="541"/>
      <c r="G8935" s="541"/>
      <c r="H8935" s="97">
        <f>SUM(G8931:G8934)</f>
        <v>6801.7767499999991</v>
      </c>
    </row>
    <row r="8936" spans="1:15" ht="16.5">
      <c r="A8936" s="571" t="s">
        <v>4230</v>
      </c>
      <c r="B8936" s="572"/>
      <c r="C8936" s="572"/>
      <c r="D8936" s="572"/>
      <c r="E8936" s="572"/>
      <c r="F8936" s="572"/>
      <c r="G8936" s="572"/>
      <c r="H8936" s="573"/>
      <c r="K8936" s="56"/>
      <c r="L8936" s="56"/>
      <c r="M8936" s="56"/>
      <c r="N8936" s="56"/>
      <c r="O8936" s="56"/>
    </row>
    <row r="8937" spans="1:15" ht="30" customHeight="1">
      <c r="A8937" s="574" t="s">
        <v>7</v>
      </c>
      <c r="B8937" s="575"/>
      <c r="C8937" s="109" t="s">
        <v>0</v>
      </c>
      <c r="D8937" s="110" t="s">
        <v>4098</v>
      </c>
      <c r="E8937" s="111" t="s">
        <v>1</v>
      </c>
      <c r="F8937" s="576" t="s">
        <v>4218</v>
      </c>
      <c r="G8937" s="576"/>
      <c r="H8937" s="215"/>
      <c r="K8937" s="56"/>
      <c r="L8937" s="56"/>
      <c r="M8937" s="56"/>
      <c r="N8937" s="56"/>
      <c r="O8937" s="56"/>
    </row>
    <row r="8938" spans="1:15">
      <c r="A8938" s="577" t="s">
        <v>4541</v>
      </c>
      <c r="B8938" s="578"/>
      <c r="C8938" s="98" t="str">
        <f>VLOOKUP(A8938,'Materiales '!$C$2:$F$1302,3,0)</f>
        <v>Und</v>
      </c>
      <c r="D8938" s="99">
        <f>VLOOKUP(A8938,'Materiales '!$C$2:$F$1302,4,0)</f>
        <v>217770</v>
      </c>
      <c r="E8938" s="100">
        <v>1</v>
      </c>
      <c r="F8938" s="538">
        <f>E8938*D8938</f>
        <v>217770</v>
      </c>
      <c r="G8938" s="539"/>
      <c r="H8938" s="121"/>
      <c r="I8938">
        <f>E8938*G8928</f>
        <v>0</v>
      </c>
      <c r="J8938" s="67"/>
      <c r="K8938" s="56"/>
      <c r="L8938" s="56"/>
      <c r="M8938" s="56"/>
      <c r="N8938" s="56"/>
      <c r="O8938" s="56"/>
    </row>
    <row r="8939" spans="1:15">
      <c r="A8939" s="577" t="s">
        <v>4475</v>
      </c>
      <c r="B8939" s="578"/>
      <c r="C8939" s="98" t="str">
        <f>VLOOKUP(A8939,'Materiales '!$C$2:$F$1302,3,0)</f>
        <v>Ml</v>
      </c>
      <c r="D8939" s="99">
        <f>VLOOKUP(A8939,'Materiales '!$C$2:$F$1302,4,0)</f>
        <v>2499</v>
      </c>
      <c r="E8939" s="100">
        <v>3</v>
      </c>
      <c r="F8939" s="538">
        <f t="shared" ref="F8939:F8945" si="519">E8939*D8939</f>
        <v>7497</v>
      </c>
      <c r="G8939" s="539"/>
      <c r="H8939" s="121"/>
      <c r="I8939">
        <f>E8939*G8928</f>
        <v>0</v>
      </c>
      <c r="J8939" s="67"/>
      <c r="K8939" s="56"/>
      <c r="L8939" s="56"/>
      <c r="M8939" s="56"/>
      <c r="N8939" s="56"/>
      <c r="O8939" s="56"/>
    </row>
    <row r="8940" spans="1:15">
      <c r="A8940" s="536" t="s">
        <v>4538</v>
      </c>
      <c r="B8940" s="537" t="str">
        <f>VLOOKUP(A8940,'Materiales '!$C$2:$F$1302,3,0)</f>
        <v>Und</v>
      </c>
      <c r="C8940" s="98" t="str">
        <f>VLOOKUP(A8940,'Materiales '!$C$2:$F$1302,3,0)</f>
        <v>Und</v>
      </c>
      <c r="D8940" s="99">
        <f>VLOOKUP(A8940,'Materiales '!$C$2:$F$1302,4,0)</f>
        <v>771.12</v>
      </c>
      <c r="E8940" s="100">
        <v>3</v>
      </c>
      <c r="F8940" s="538">
        <f t="shared" si="519"/>
        <v>2313.36</v>
      </c>
      <c r="G8940" s="539"/>
      <c r="H8940" s="121"/>
      <c r="I8940">
        <f>E8940*G8928</f>
        <v>0</v>
      </c>
      <c r="J8940" s="68"/>
      <c r="K8940" s="56"/>
      <c r="L8940" s="56"/>
      <c r="M8940" s="56"/>
      <c r="N8940" s="56"/>
      <c r="O8940" s="56"/>
    </row>
    <row r="8941" spans="1:15">
      <c r="A8941" s="536" t="s">
        <v>8</v>
      </c>
      <c r="B8941" s="537" t="str">
        <f>VLOOKUP(A8941,'Materiales '!$C$2:$F$1302,3,0)</f>
        <v>-</v>
      </c>
      <c r="C8941" s="98" t="str">
        <f>VLOOKUP(A8941,'Materiales '!$C$2:$F$1302,3,0)</f>
        <v>-</v>
      </c>
      <c r="D8941" s="99">
        <f>VLOOKUP(A8941,'Materiales '!$C$2:$F$1302,4,0)</f>
        <v>0</v>
      </c>
      <c r="E8941" s="100"/>
      <c r="F8941" s="538">
        <f t="shared" si="519"/>
        <v>0</v>
      </c>
      <c r="G8941" s="539"/>
      <c r="H8941" s="121"/>
      <c r="I8941">
        <f>E8941*G8928</f>
        <v>0</v>
      </c>
      <c r="J8941" s="68"/>
      <c r="K8941" s="56"/>
      <c r="L8941" s="56"/>
      <c r="M8941" s="56"/>
      <c r="N8941" s="56"/>
      <c r="O8941" s="56"/>
    </row>
    <row r="8942" spans="1:15">
      <c r="A8942" s="536" t="s">
        <v>8</v>
      </c>
      <c r="B8942" s="537" t="str">
        <f>VLOOKUP(A8942,'Materiales '!$C$2:$F$1302,3,0)</f>
        <v>-</v>
      </c>
      <c r="C8942" s="98" t="str">
        <f>VLOOKUP(A8942,'Materiales '!$C$2:$F$1302,3,0)</f>
        <v>-</v>
      </c>
      <c r="D8942" s="99">
        <f>VLOOKUP(A8942,'Materiales '!$C$2:$F$1302,4,0)</f>
        <v>0</v>
      </c>
      <c r="E8942" s="100"/>
      <c r="F8942" s="538">
        <f t="shared" si="519"/>
        <v>0</v>
      </c>
      <c r="G8942" s="539"/>
      <c r="H8942" s="121"/>
      <c r="I8942">
        <f>E8942*G8928</f>
        <v>0</v>
      </c>
      <c r="J8942" s="68"/>
      <c r="K8942" s="56"/>
      <c r="L8942" s="56"/>
      <c r="M8942" s="56"/>
      <c r="N8942" s="56"/>
      <c r="O8942" s="56"/>
    </row>
    <row r="8943" spans="1:15">
      <c r="A8943" s="536" t="s">
        <v>8</v>
      </c>
      <c r="B8943" s="537" t="str">
        <f>VLOOKUP(A8943,'Materiales '!$C$2:$F$1302,3,0)</f>
        <v>-</v>
      </c>
      <c r="C8943" s="98" t="str">
        <f>VLOOKUP(A8943,'Materiales '!$C$2:$F$1302,3,0)</f>
        <v>-</v>
      </c>
      <c r="D8943" s="99">
        <f>VLOOKUP(A8943,'Materiales '!$C$2:$F$1302,4,0)</f>
        <v>0</v>
      </c>
      <c r="E8943" s="100"/>
      <c r="F8943" s="538">
        <f t="shared" si="519"/>
        <v>0</v>
      </c>
      <c r="G8943" s="539"/>
      <c r="H8943" s="121"/>
      <c r="I8943">
        <f>E8943*G8928</f>
        <v>0</v>
      </c>
      <c r="J8943" s="68"/>
      <c r="K8943" s="56"/>
      <c r="L8943" s="56"/>
      <c r="M8943" s="56"/>
      <c r="N8943" s="56"/>
      <c r="O8943" s="56"/>
    </row>
    <row r="8944" spans="1:15">
      <c r="A8944" s="536" t="s">
        <v>8</v>
      </c>
      <c r="B8944" s="537" t="str">
        <f>VLOOKUP(A8944,'Materiales '!$C$2:$F$1302,3,0)</f>
        <v>-</v>
      </c>
      <c r="C8944" s="98" t="str">
        <f>VLOOKUP(A8944,'Materiales '!$C$2:$F$1302,3,0)</f>
        <v>-</v>
      </c>
      <c r="D8944" s="99">
        <f>VLOOKUP(A8944,'Materiales '!$C$2:$F$1302,4,0)</f>
        <v>0</v>
      </c>
      <c r="E8944" s="100"/>
      <c r="F8944" s="538">
        <f t="shared" si="519"/>
        <v>0</v>
      </c>
      <c r="G8944" s="539"/>
      <c r="H8944" s="121"/>
      <c r="I8944">
        <f>E8944*G8928</f>
        <v>0</v>
      </c>
      <c r="J8944" s="68"/>
      <c r="K8944" s="56"/>
      <c r="L8944" s="56"/>
      <c r="M8944" s="56"/>
      <c r="N8944" s="56"/>
      <c r="O8944" s="56"/>
    </row>
    <row r="8945" spans="1:15" ht="21.75" customHeight="1">
      <c r="A8945" s="536" t="s">
        <v>8</v>
      </c>
      <c r="B8945" s="537" t="str">
        <f>VLOOKUP(A8945,'Materiales '!$C$2:$F$1302,3,0)</f>
        <v>-</v>
      </c>
      <c r="C8945" s="98" t="str">
        <f>VLOOKUP(A8945,'Materiales '!$C$2:$F$1302,3,0)</f>
        <v>-</v>
      </c>
      <c r="D8945" s="99">
        <f>VLOOKUP(A8945,'Materiales '!$C$2:$F$1302,4,0)</f>
        <v>0</v>
      </c>
      <c r="E8945" s="100"/>
      <c r="F8945" s="538">
        <f t="shared" si="519"/>
        <v>0</v>
      </c>
      <c r="G8945" s="539"/>
      <c r="H8945" s="121"/>
      <c r="I8945">
        <f>E8945*G8928</f>
        <v>0</v>
      </c>
      <c r="J8945" s="68"/>
      <c r="K8945" s="56"/>
      <c r="L8945" s="56"/>
      <c r="M8945" s="56"/>
      <c r="N8945" s="56"/>
      <c r="O8945" s="56"/>
    </row>
    <row r="8946" spans="1:15">
      <c r="A8946" s="536" t="s">
        <v>8</v>
      </c>
      <c r="B8946" s="537" t="str">
        <f>VLOOKUP(A8946,'Materiales '!$C$2:$F$1302,3,0)</f>
        <v>-</v>
      </c>
      <c r="C8946" s="98" t="str">
        <f>VLOOKUP(A8946,'Materiales '!$C$2:$F$1302,3,0)</f>
        <v>-</v>
      </c>
      <c r="D8946" s="99">
        <f>VLOOKUP(A8946,'Materiales '!$C$2:$F$1302,4,0)</f>
        <v>0</v>
      </c>
      <c r="E8946" s="100"/>
      <c r="F8946" s="538">
        <f>E8946*D8946</f>
        <v>0</v>
      </c>
      <c r="G8946" s="539"/>
      <c r="H8946" s="120"/>
      <c r="I8946">
        <f>E8946*G8928</f>
        <v>0</v>
      </c>
      <c r="J8946" s="68"/>
      <c r="K8946" s="56"/>
      <c r="L8946" s="56"/>
      <c r="M8946" s="56"/>
      <c r="N8946" s="56"/>
      <c r="O8946" s="56"/>
    </row>
    <row r="8947" spans="1:15">
      <c r="A8947" s="536" t="s">
        <v>8</v>
      </c>
      <c r="B8947" s="537" t="str">
        <f>VLOOKUP(A8947,'Materiales '!$C$2:$F$1302,3,0)</f>
        <v>-</v>
      </c>
      <c r="C8947" s="98" t="str">
        <f>VLOOKUP(A8947,'Materiales '!$C$2:$F$1302,3,0)</f>
        <v>-</v>
      </c>
      <c r="D8947" s="99">
        <f>VLOOKUP(A8947,'Materiales '!$C$2:$F$1302,4,0)</f>
        <v>0</v>
      </c>
      <c r="E8947" s="100"/>
      <c r="F8947" s="538">
        <f t="shared" ref="F8947:F8952" si="520">E8947*D8947</f>
        <v>0</v>
      </c>
      <c r="G8947" s="539"/>
      <c r="H8947" s="121"/>
      <c r="I8947">
        <f>E8947*G8928</f>
        <v>0</v>
      </c>
      <c r="J8947" s="68"/>
      <c r="K8947" s="56"/>
      <c r="L8947" s="56"/>
      <c r="M8947" s="56"/>
      <c r="N8947" s="56"/>
      <c r="O8947" s="56"/>
    </row>
    <row r="8948" spans="1:15">
      <c r="A8948" s="536" t="s">
        <v>8</v>
      </c>
      <c r="B8948" s="537" t="str">
        <f>VLOOKUP(A8948,'Materiales '!$C$2:$F$1302,3,0)</f>
        <v>-</v>
      </c>
      <c r="C8948" s="98" t="str">
        <f>VLOOKUP(A8948,'Materiales '!$C$2:$F$1302,3,0)</f>
        <v>-</v>
      </c>
      <c r="D8948" s="99">
        <f>VLOOKUP(A8948,'Materiales '!$C$2:$F$1302,4,0)</f>
        <v>0</v>
      </c>
      <c r="E8948" s="100"/>
      <c r="F8948" s="538">
        <f t="shared" si="520"/>
        <v>0</v>
      </c>
      <c r="G8948" s="539"/>
      <c r="H8948" s="121"/>
      <c r="I8948">
        <f>E8948*G8928</f>
        <v>0</v>
      </c>
      <c r="J8948" s="68"/>
      <c r="K8948" s="56"/>
      <c r="L8948" s="56"/>
      <c r="M8948" s="56"/>
      <c r="N8948" s="56"/>
      <c r="O8948" s="56"/>
    </row>
    <row r="8949" spans="1:15">
      <c r="A8949" s="536" t="s">
        <v>8</v>
      </c>
      <c r="B8949" s="537" t="str">
        <f>VLOOKUP(A8949,'Materiales '!$C$2:$F$1302,3,0)</f>
        <v>-</v>
      </c>
      <c r="C8949" s="98" t="str">
        <f>VLOOKUP(A8949,'Materiales '!$C$2:$F$1302,3,0)</f>
        <v>-</v>
      </c>
      <c r="D8949" s="99">
        <f>VLOOKUP(A8949,'Materiales '!$C$2:$F$1302,4,0)</f>
        <v>0</v>
      </c>
      <c r="E8949" s="100"/>
      <c r="F8949" s="538">
        <f t="shared" si="520"/>
        <v>0</v>
      </c>
      <c r="G8949" s="539"/>
      <c r="H8949" s="121"/>
      <c r="I8949">
        <f>E8949*G8928</f>
        <v>0</v>
      </c>
      <c r="J8949" s="68"/>
      <c r="K8949" s="56"/>
      <c r="L8949" s="56"/>
      <c r="M8949" s="56"/>
      <c r="N8949" s="56"/>
      <c r="O8949" s="56"/>
    </row>
    <row r="8950" spans="1:15">
      <c r="A8950" s="536" t="s">
        <v>8</v>
      </c>
      <c r="B8950" s="537" t="str">
        <f>VLOOKUP(A8950,'Materiales '!$C$2:$F$1302,3,0)</f>
        <v>-</v>
      </c>
      <c r="C8950" s="98" t="str">
        <f>VLOOKUP(A8950,'Materiales '!$C$2:$F$1302,3,0)</f>
        <v>-</v>
      </c>
      <c r="D8950" s="99">
        <f>VLOOKUP(A8950,'Materiales '!$C$2:$F$1302,4,0)</f>
        <v>0</v>
      </c>
      <c r="E8950" s="100"/>
      <c r="F8950" s="538">
        <f t="shared" si="520"/>
        <v>0</v>
      </c>
      <c r="G8950" s="539"/>
      <c r="H8950" s="121"/>
      <c r="I8950">
        <f>E8950*G8928</f>
        <v>0</v>
      </c>
      <c r="J8950" s="68"/>
      <c r="K8950" s="56"/>
      <c r="L8950" s="56"/>
      <c r="M8950" s="56"/>
      <c r="N8950" s="56"/>
      <c r="O8950" s="56"/>
    </row>
    <row r="8951" spans="1:15">
      <c r="A8951" s="536" t="s">
        <v>8</v>
      </c>
      <c r="B8951" s="537" t="str">
        <f>VLOOKUP(A8951,'Materiales '!$C$2:$F$1302,3,0)</f>
        <v>-</v>
      </c>
      <c r="C8951" s="98" t="str">
        <f>VLOOKUP(A8951,'Materiales '!$C$2:$F$1302,3,0)</f>
        <v>-</v>
      </c>
      <c r="D8951" s="99">
        <f>VLOOKUP(A8951,'Materiales '!$C$2:$F$1302,4,0)</f>
        <v>0</v>
      </c>
      <c r="E8951" s="100"/>
      <c r="F8951" s="538">
        <f t="shared" si="520"/>
        <v>0</v>
      </c>
      <c r="G8951" s="539"/>
      <c r="H8951" s="121"/>
      <c r="I8951">
        <f>E8951*G8928</f>
        <v>0</v>
      </c>
      <c r="J8951" s="68"/>
      <c r="K8951" s="56"/>
      <c r="L8951" s="56"/>
      <c r="M8951" s="56"/>
      <c r="N8951" s="56"/>
      <c r="O8951" s="56"/>
    </row>
    <row r="8952" spans="1:15">
      <c r="A8952" s="536" t="s">
        <v>8</v>
      </c>
      <c r="B8952" s="537" t="str">
        <f>VLOOKUP(A8952,'Materiales '!$C$2:$F$1302,3,0)</f>
        <v>-</v>
      </c>
      <c r="C8952" s="98" t="str">
        <f>VLOOKUP(A8952,'Materiales '!$C$2:$F$1302,3,0)</f>
        <v>-</v>
      </c>
      <c r="D8952" s="99">
        <f>VLOOKUP(A8952,'Materiales '!$C$2:$F$1302,4,0)</f>
        <v>0</v>
      </c>
      <c r="E8952" s="100"/>
      <c r="F8952" s="538">
        <f t="shared" si="520"/>
        <v>0</v>
      </c>
      <c r="G8952" s="539"/>
      <c r="H8952" s="121"/>
      <c r="I8952">
        <f>E8952*G8928</f>
        <v>0</v>
      </c>
      <c r="J8952" s="68"/>
      <c r="K8952" s="56"/>
      <c r="L8952" s="56"/>
      <c r="M8952" s="56"/>
      <c r="N8952" s="56"/>
      <c r="O8952" s="56"/>
    </row>
    <row r="8953" spans="1:15">
      <c r="A8953" s="536" t="s">
        <v>8</v>
      </c>
      <c r="B8953" s="537" t="str">
        <f>VLOOKUP(A8953,'Materiales '!$C$2:$F$1302,3,0)</f>
        <v>-</v>
      </c>
      <c r="C8953" s="98" t="str">
        <f>VLOOKUP(A8953,'Materiales '!$C$2:$F$1302,3,0)</f>
        <v>-</v>
      </c>
      <c r="D8953" s="99">
        <f>VLOOKUP(A8953,'Materiales '!$C$2:$F$1302,4,0)</f>
        <v>0</v>
      </c>
      <c r="E8953" s="100"/>
      <c r="F8953" s="538">
        <f>E8953*D8953</f>
        <v>0</v>
      </c>
      <c r="G8953" s="539"/>
      <c r="H8953" s="120"/>
      <c r="I8953">
        <f>E8953*G8928</f>
        <v>0</v>
      </c>
      <c r="J8953" s="68"/>
      <c r="K8953" s="56"/>
      <c r="L8953" s="56"/>
      <c r="M8953" s="56"/>
      <c r="N8953" s="56"/>
      <c r="O8953" s="56"/>
    </row>
    <row r="8954" spans="1:15">
      <c r="A8954" s="536" t="s">
        <v>8</v>
      </c>
      <c r="B8954" s="537" t="str">
        <f>VLOOKUP(A8954,'Materiales '!$C$2:$F$1302,3,0)</f>
        <v>-</v>
      </c>
      <c r="C8954" s="98" t="str">
        <f>VLOOKUP(A8954,'Materiales '!$C$2:$F$1302,3,0)</f>
        <v>-</v>
      </c>
      <c r="D8954" s="99">
        <f>VLOOKUP(A8954,'Materiales '!$C$2:$F$1302,4,0)</f>
        <v>0</v>
      </c>
      <c r="E8954" s="100"/>
      <c r="F8954" s="538">
        <f>E8954*D8954</f>
        <v>0</v>
      </c>
      <c r="G8954" s="539"/>
      <c r="H8954" s="120"/>
      <c r="I8954">
        <f>E8954*G8928</f>
        <v>0</v>
      </c>
      <c r="J8954" s="68"/>
      <c r="K8954" s="56"/>
      <c r="L8954" s="56"/>
      <c r="M8954" s="56"/>
      <c r="N8954" s="56"/>
      <c r="O8954" s="56"/>
    </row>
    <row r="8955" spans="1:15" ht="16.5">
      <c r="A8955" s="540" t="s">
        <v>4099</v>
      </c>
      <c r="B8955" s="541"/>
      <c r="C8955" s="541"/>
      <c r="D8955" s="541"/>
      <c r="E8955" s="541"/>
      <c r="F8955" s="541"/>
      <c r="G8955" s="542"/>
      <c r="H8955" s="116">
        <f>SUM(F8938:F8954)</f>
        <v>227580.36</v>
      </c>
      <c r="J8955" s="68"/>
      <c r="K8955" s="56"/>
      <c r="L8955" s="56"/>
      <c r="M8955" s="56"/>
      <c r="N8955" s="56"/>
      <c r="O8955" s="56"/>
    </row>
    <row r="8956" spans="1:15" ht="16.5">
      <c r="A8956" s="543" t="s">
        <v>4231</v>
      </c>
      <c r="B8956" s="544"/>
      <c r="C8956" s="544"/>
      <c r="D8956" s="544"/>
      <c r="E8956" s="545"/>
      <c r="F8956" s="544"/>
      <c r="G8956" s="544"/>
      <c r="H8956" s="546"/>
      <c r="J8956" s="68"/>
      <c r="K8956" s="56"/>
      <c r="L8956" s="56"/>
      <c r="M8956" s="56"/>
      <c r="N8956" s="56"/>
      <c r="O8956" s="56"/>
    </row>
    <row r="8957" spans="1:15">
      <c r="A8957" s="547" t="s">
        <v>7</v>
      </c>
      <c r="B8957" s="548"/>
      <c r="C8957" s="108" t="s">
        <v>4232</v>
      </c>
      <c r="D8957" s="107" t="s">
        <v>4233</v>
      </c>
      <c r="E8957" s="206" t="s">
        <v>4234</v>
      </c>
      <c r="F8957" s="549" t="s">
        <v>4218</v>
      </c>
      <c r="G8957" s="549"/>
      <c r="H8957" s="119"/>
      <c r="K8957" s="56"/>
      <c r="L8957" s="56"/>
      <c r="M8957" s="56"/>
      <c r="N8957" s="56"/>
      <c r="O8957" s="56"/>
    </row>
    <row r="8958" spans="1:15">
      <c r="A8958" s="550" t="s">
        <v>3928</v>
      </c>
      <c r="B8958" s="551"/>
      <c r="C8958" s="232">
        <v>1</v>
      </c>
      <c r="D8958" s="102">
        <v>0.1</v>
      </c>
      <c r="E8958" s="103">
        <f>VLOOKUP(A8958,'Equip, Herr y Transp'!$B$2:$D$218,3,0)</f>
        <v>160000</v>
      </c>
      <c r="F8958" s="552">
        <f>E8958*D8958*C8958</f>
        <v>16000</v>
      </c>
      <c r="G8958" s="553"/>
      <c r="H8958" s="117"/>
      <c r="M8958" s="56"/>
    </row>
    <row r="8959" spans="1:15" ht="16.5">
      <c r="A8959" s="554" t="s">
        <v>4216</v>
      </c>
      <c r="B8959" s="555"/>
      <c r="C8959" s="555"/>
      <c r="D8959" s="555"/>
      <c r="E8959" s="555"/>
      <c r="F8959" s="555"/>
      <c r="G8959" s="555"/>
      <c r="H8959" s="105">
        <f>F8958</f>
        <v>16000</v>
      </c>
    </row>
    <row r="8960" spans="1:15" ht="16.5">
      <c r="A8960" s="543" t="s">
        <v>4235</v>
      </c>
      <c r="B8960" s="544"/>
      <c r="C8960" s="544"/>
      <c r="D8960" s="544"/>
      <c r="E8960" s="544"/>
      <c r="F8960" s="544"/>
      <c r="G8960" s="544"/>
      <c r="H8960" s="546"/>
    </row>
    <row r="8961" spans="1:10">
      <c r="A8961" s="547" t="s">
        <v>7</v>
      </c>
      <c r="B8961" s="548"/>
      <c r="C8961" s="106" t="s">
        <v>1</v>
      </c>
      <c r="D8961" s="107" t="s">
        <v>4236</v>
      </c>
      <c r="E8961" s="108" t="s">
        <v>4215</v>
      </c>
      <c r="F8961" s="547" t="s">
        <v>5</v>
      </c>
      <c r="G8961" s="556"/>
      <c r="H8961" s="119"/>
    </row>
    <row r="8962" spans="1:10">
      <c r="A8962" s="550" t="s">
        <v>4196</v>
      </c>
      <c r="B8962" s="551"/>
      <c r="C8962" s="101">
        <v>1</v>
      </c>
      <c r="D8962" s="104">
        <f>VLOOKUP(A8962,'Mano Obra'!$B$2:$T$117,19,0)</f>
        <v>166624</v>
      </c>
      <c r="E8962" s="246">
        <f>H8921</f>
        <v>0.16669999999999999</v>
      </c>
      <c r="F8962" s="538">
        <f>E8962*D8962*C8962</f>
        <v>27776.220799999999</v>
      </c>
      <c r="G8962" s="557"/>
      <c r="H8962" s="121"/>
      <c r="I8962" s="69"/>
      <c r="J8962" s="136">
        <f>((('Mano Obra'!$M$4/30)*F8962)/D8962)*G8928</f>
        <v>0</v>
      </c>
    </row>
    <row r="8963" spans="1:10">
      <c r="A8963" s="558" t="s">
        <v>4197</v>
      </c>
      <c r="B8963" s="559">
        <f>VLOOKUP(A8963,'Mano Obra'!$B$3:$D$290,2,0)</f>
        <v>2090000.0000000002</v>
      </c>
      <c r="C8963" s="101">
        <v>1</v>
      </c>
      <c r="D8963" s="104">
        <f>VLOOKUP(A8963,'Mano Obra'!$B$2:$T$117,19,0)</f>
        <v>120456</v>
      </c>
      <c r="E8963" s="246">
        <f>H8921</f>
        <v>0.16669999999999999</v>
      </c>
      <c r="F8963" s="538">
        <f t="shared" ref="F8963:F8964" si="521">E8963*D8963*C8963</f>
        <v>20080.015199999998</v>
      </c>
      <c r="G8963" s="557"/>
      <c r="H8963" s="121"/>
      <c r="J8963" s="136">
        <f>((('Mano Obra'!$M$5/30)*F8963)/D8963)*G8928</f>
        <v>0</v>
      </c>
    </row>
    <row r="8964" spans="1:10">
      <c r="A8964" s="558" t="s">
        <v>4186</v>
      </c>
      <c r="B8964" s="559">
        <f>VLOOKUP(A8964,'Mano Obra'!$B$3:$D$290,2,0)</f>
        <v>1100000</v>
      </c>
      <c r="C8964" s="101">
        <v>1</v>
      </c>
      <c r="D8964" s="104">
        <f>VLOOKUP(A8964,'Mano Obra'!$B$2:$T$117,19,0)</f>
        <v>72664</v>
      </c>
      <c r="E8964" s="246">
        <f>H8921</f>
        <v>0.16669999999999999</v>
      </c>
      <c r="F8964" s="538">
        <f t="shared" si="521"/>
        <v>12113.0888</v>
      </c>
      <c r="G8964" s="557"/>
      <c r="H8964" s="120"/>
      <c r="J8964" s="136">
        <f>((('Mano Obra'!$M$6/30)*F8964)/D8964)*G8928</f>
        <v>0</v>
      </c>
    </row>
    <row r="8965" spans="1:10" ht="16.5">
      <c r="A8965" s="560" t="s">
        <v>4101</v>
      </c>
      <c r="B8965" s="560"/>
      <c r="C8965" s="560"/>
      <c r="D8965" s="560"/>
      <c r="E8965" s="560"/>
      <c r="F8965" s="560"/>
      <c r="G8965" s="560"/>
      <c r="H8965" s="105">
        <f>SUM(F8962:F8964)</f>
        <v>59969.324799999995</v>
      </c>
      <c r="J8965" s="136"/>
    </row>
    <row r="8966" spans="1:10">
      <c r="A8966" s="227" t="s">
        <v>4237</v>
      </c>
      <c r="B8966" s="205"/>
      <c r="C8966" s="205"/>
      <c r="D8966" s="202"/>
      <c r="E8966" s="203"/>
      <c r="F8966" s="204"/>
      <c r="G8966" s="203"/>
      <c r="H8966" s="212"/>
    </row>
    <row r="8967" spans="1:10">
      <c r="A8967" s="561" t="s">
        <v>4224</v>
      </c>
      <c r="B8967" s="562"/>
      <c r="C8967" s="562"/>
      <c r="D8967" s="562"/>
      <c r="E8967" s="200"/>
      <c r="F8967" s="201" t="s">
        <v>4238</v>
      </c>
      <c r="G8967" s="200" t="s">
        <v>4239</v>
      </c>
      <c r="H8967" s="213"/>
    </row>
    <row r="8968" spans="1:10">
      <c r="A8968" s="223" t="s">
        <v>4097</v>
      </c>
      <c r="B8968" s="72"/>
      <c r="C8968" s="72"/>
      <c r="D8968" s="73"/>
      <c r="E8968" s="78"/>
      <c r="F8968" s="79">
        <v>0</v>
      </c>
      <c r="G8968" s="80">
        <f>F8968*H8929</f>
        <v>0</v>
      </c>
      <c r="H8968" s="212"/>
    </row>
    <row r="8969" spans="1:10">
      <c r="A8969" s="224" t="s">
        <v>4240</v>
      </c>
      <c r="B8969" s="81"/>
      <c r="C8969" s="81"/>
      <c r="D8969" s="82"/>
      <c r="E8969" s="78"/>
      <c r="F8969" s="79">
        <v>0</v>
      </c>
      <c r="G8969" s="80">
        <f>F8969*H8929</f>
        <v>0</v>
      </c>
      <c r="H8969" s="212"/>
    </row>
    <row r="8970" spans="1:10">
      <c r="A8970" s="224" t="s">
        <v>4</v>
      </c>
      <c r="B8970" s="81"/>
      <c r="C8970" s="81"/>
      <c r="D8970" s="82"/>
      <c r="E8970" s="78"/>
      <c r="F8970" s="79">
        <v>0</v>
      </c>
      <c r="G8970" s="80">
        <f>F8970*H8929</f>
        <v>0</v>
      </c>
      <c r="H8970" s="212"/>
    </row>
    <row r="8971" spans="1:10">
      <c r="A8971" s="225"/>
      <c r="B8971" s="83"/>
      <c r="C8971" s="75"/>
      <c r="D8971" s="84"/>
      <c r="E8971" s="85"/>
      <c r="F8971" s="86"/>
      <c r="G8971" s="87"/>
      <c r="H8971" s="214"/>
    </row>
    <row r="8972" spans="1:10">
      <c r="A8972" s="226"/>
      <c r="B8972" s="83"/>
      <c r="C8972" s="83"/>
      <c r="D8972" s="84"/>
      <c r="E8972" s="88"/>
      <c r="F8972" s="563" t="s">
        <v>4241</v>
      </c>
      <c r="G8972" s="564"/>
      <c r="H8972" s="233">
        <f>H8929+G8968+G8969+G8970</f>
        <v>310351.46154999995</v>
      </c>
    </row>
    <row r="8973" spans="1:10">
      <c r="A8973" s="83"/>
      <c r="B8973" s="83"/>
      <c r="C8973" s="83"/>
      <c r="D8973" s="84"/>
      <c r="E8973" s="388"/>
      <c r="F8973" s="389"/>
      <c r="G8973" s="389"/>
      <c r="H8973" s="390"/>
    </row>
    <row r="8974" spans="1:10" ht="16.5">
      <c r="A8974" s="90"/>
      <c r="B8974" s="90"/>
      <c r="C8974" s="90"/>
      <c r="D8974" s="90"/>
      <c r="E8974" s="90"/>
      <c r="F8974" s="90"/>
      <c r="G8974" s="90"/>
      <c r="H8974" s="381"/>
    </row>
    <row r="8975" spans="1:10">
      <c r="A8975" s="579" t="s">
        <v>4225</v>
      </c>
      <c r="B8975" s="580"/>
      <c r="C8975" s="580"/>
      <c r="D8975" s="580"/>
      <c r="E8975" s="580"/>
      <c r="F8975" s="580"/>
      <c r="G8975" s="580"/>
      <c r="H8975" s="581"/>
    </row>
    <row r="8976" spans="1:10" ht="16.5">
      <c r="A8976" s="91"/>
      <c r="B8976" s="92"/>
      <c r="C8976" s="92"/>
      <c r="D8976" s="92"/>
      <c r="E8976" s="92"/>
      <c r="F8976" s="93"/>
      <c r="G8976" s="94"/>
      <c r="H8976" s="380">
        <f>ROUND((180/60)/8,4)</f>
        <v>0.375</v>
      </c>
      <c r="I8976" s="115"/>
    </row>
    <row r="8977" spans="1:15">
      <c r="A8977" s="582" t="s">
        <v>4220</v>
      </c>
      <c r="B8977" s="584" t="str">
        <f>COSTOS!$C$14</f>
        <v>MODERNIZACION A TECNOLOGIA LED</v>
      </c>
      <c r="C8977" s="584"/>
      <c r="D8977" s="584"/>
      <c r="E8977" s="584"/>
      <c r="F8977" s="584"/>
      <c r="G8977" s="584"/>
      <c r="H8977" s="585" t="s">
        <v>4221</v>
      </c>
    </row>
    <row r="8978" spans="1:15">
      <c r="A8978" s="583"/>
      <c r="B8978" s="584"/>
      <c r="C8978" s="584"/>
      <c r="D8978" s="584"/>
      <c r="E8978" s="584"/>
      <c r="F8978" s="584"/>
      <c r="G8978" s="584"/>
      <c r="H8978" s="585"/>
    </row>
    <row r="8979" spans="1:15">
      <c r="A8979" s="583"/>
      <c r="B8979" s="584"/>
      <c r="C8979" s="584"/>
      <c r="D8979" s="584"/>
      <c r="E8979" s="584"/>
      <c r="F8979" s="584"/>
      <c r="G8979" s="584"/>
      <c r="H8979" s="585"/>
    </row>
    <row r="8980" spans="1:15" ht="15" customHeight="1">
      <c r="A8980" s="583"/>
      <c r="B8980" s="584"/>
      <c r="C8980" s="584"/>
      <c r="D8980" s="584"/>
      <c r="E8980" s="584"/>
      <c r="F8980" s="584"/>
      <c r="G8980" s="584"/>
      <c r="H8980" s="216">
        <f ca="1">TODAY()</f>
        <v>44889</v>
      </c>
      <c r="K8980" t="s">
        <v>4391</v>
      </c>
      <c r="L8980" t="s">
        <v>4392</v>
      </c>
      <c r="M8980" t="s">
        <v>4393</v>
      </c>
      <c r="N8980" t="s">
        <v>4394</v>
      </c>
    </row>
    <row r="8981" spans="1:15" ht="60.75" customHeight="1">
      <c r="A8981" s="228" t="s">
        <v>4222</v>
      </c>
      <c r="B8981" s="565" t="str">
        <f>COSTOS!$D$16</f>
        <v>Luminarias</v>
      </c>
      <c r="C8981" s="565"/>
      <c r="D8981" s="565"/>
      <c r="E8981" s="565"/>
      <c r="F8981" s="565"/>
      <c r="G8981" s="70" t="s">
        <v>4223</v>
      </c>
      <c r="H8981" s="387">
        <v>5.2</v>
      </c>
      <c r="K8981" s="62">
        <f>H9010</f>
        <v>173930.4</v>
      </c>
      <c r="L8981" s="62">
        <f>H9020</f>
        <v>134904</v>
      </c>
      <c r="M8981" s="62">
        <f>H8990</f>
        <v>6344.0625</v>
      </c>
      <c r="N8981" s="62">
        <f>H9014</f>
        <v>8000</v>
      </c>
    </row>
    <row r="8982" spans="1:15" ht="43.15" customHeight="1">
      <c r="A8982" s="229" t="s">
        <v>4224</v>
      </c>
      <c r="B8982" s="566" t="str">
        <f>VLOOKUP(H8981,COSTOS!C:M,2,0)</f>
        <v>Registro concreto 40x40x60</v>
      </c>
      <c r="C8982" s="567"/>
      <c r="D8982" s="567"/>
      <c r="E8982" s="568"/>
      <c r="F8982" s="71" t="s">
        <v>0</v>
      </c>
      <c r="G8982" s="356" t="str">
        <f>VLOOKUP(H8981,COSTOS!C:M,8,0)</f>
        <v>Und</v>
      </c>
      <c r="H8982" s="276"/>
      <c r="I8982" s="306"/>
      <c r="J8982" s="308"/>
      <c r="K8982" s="308"/>
      <c r="L8982" s="308"/>
    </row>
    <row r="8983" spans="1:15">
      <c r="A8983" s="230"/>
      <c r="B8983" s="112"/>
      <c r="C8983" s="112"/>
      <c r="D8983" s="112"/>
      <c r="E8983" s="113"/>
      <c r="F8983" s="114" t="s">
        <v>1</v>
      </c>
      <c r="G8983" s="356">
        <f>VLOOKUP(H8981,COSTOS!C:M,9,0)</f>
        <v>1</v>
      </c>
      <c r="H8983" s="357"/>
      <c r="I8983" s="307"/>
    </row>
    <row r="8984" spans="1:15" ht="16.5">
      <c r="A8984" s="231" t="s">
        <v>4226</v>
      </c>
      <c r="B8984" s="75"/>
      <c r="C8984" s="75"/>
      <c r="D8984" s="76"/>
      <c r="E8984" s="209"/>
      <c r="F8984" s="210"/>
      <c r="G8984" s="211" t="s">
        <v>4227</v>
      </c>
      <c r="H8984" s="217">
        <f>H8990+H9010+H9014+H9020</f>
        <v>323178.46250000002</v>
      </c>
    </row>
    <row r="8985" spans="1:15" ht="39">
      <c r="A8985" s="569" t="s">
        <v>4224</v>
      </c>
      <c r="B8985" s="569"/>
      <c r="C8985" s="569"/>
      <c r="D8985" s="77" t="s">
        <v>0</v>
      </c>
      <c r="E8985" s="207" t="s">
        <v>4228</v>
      </c>
      <c r="F8985" s="208" t="s">
        <v>4215</v>
      </c>
      <c r="G8985" s="74" t="s">
        <v>2</v>
      </c>
      <c r="H8985" s="218" t="s">
        <v>4229</v>
      </c>
      <c r="K8985" s="309"/>
    </row>
    <row r="8986" spans="1:15">
      <c r="A8986" s="536" t="s">
        <v>3946</v>
      </c>
      <c r="B8986" s="570" t="str">
        <f>VLOOKUP(A8986,'Equip, Herr y Transp'!$B$2:$D$739,2,0)</f>
        <v>EQU</v>
      </c>
      <c r="C8986" s="570"/>
      <c r="D8986" s="95" t="str">
        <f>VLOOKUP(A8986,'Equip, Herr y Transp'!$B$2:$D$218,2,0)</f>
        <v>EQU</v>
      </c>
      <c r="E8986" s="95">
        <f>VLOOKUP(A8986,'Equip, Herr y Transp'!$B$2:$D$218,3,0)</f>
        <v>14130</v>
      </c>
      <c r="F8986" s="96">
        <f>H8976</f>
        <v>0.375</v>
      </c>
      <c r="G8986" s="122">
        <f>F8986*E8986</f>
        <v>5298.75</v>
      </c>
      <c r="H8986" s="118"/>
    </row>
    <row r="8987" spans="1:15">
      <c r="A8987" s="536" t="s">
        <v>3927</v>
      </c>
      <c r="B8987" s="570" t="str">
        <f>VLOOKUP(A8987,'Equip, Herr y Transp'!$B$2:$D$739,2,0)</f>
        <v>EQU</v>
      </c>
      <c r="C8987" s="570"/>
      <c r="D8987" s="95" t="str">
        <f>VLOOKUP(A8987,'Equip, Herr y Transp'!$B$2:$D$218,2,0)</f>
        <v>EQU</v>
      </c>
      <c r="E8987" s="95">
        <f>VLOOKUP(A8987,'Equip, Herr y Transp'!$B$2:$D$218,3,0)</f>
        <v>287.5</v>
      </c>
      <c r="F8987" s="96">
        <f>H8976</f>
        <v>0.375</v>
      </c>
      <c r="G8987" s="122">
        <f>F8987*E8987</f>
        <v>107.8125</v>
      </c>
      <c r="H8987" s="117"/>
    </row>
    <row r="8988" spans="1:15">
      <c r="A8988" s="536" t="s">
        <v>4135</v>
      </c>
      <c r="B8988" s="570" t="str">
        <f>VLOOKUP(A8988,'Equip, Herr y Transp'!$B$2:$D$739,2,0)</f>
        <v>EQU</v>
      </c>
      <c r="C8988" s="570"/>
      <c r="D8988" s="95" t="str">
        <f>VLOOKUP(A8988,'Equip, Herr y Transp'!$B$2:$D$218,2,0)</f>
        <v>EQU</v>
      </c>
      <c r="E8988" s="95">
        <f>VLOOKUP(A8988,'Equip, Herr y Transp'!$B$2:$D$218,3,0)</f>
        <v>2500</v>
      </c>
      <c r="F8988" s="96">
        <f>H8976</f>
        <v>0.375</v>
      </c>
      <c r="G8988" s="122">
        <f>F8988*E8988</f>
        <v>937.5</v>
      </c>
      <c r="H8988" s="117"/>
    </row>
    <row r="8989" spans="1:15">
      <c r="A8989" s="536" t="s">
        <v>8</v>
      </c>
      <c r="B8989" s="570">
        <f>VLOOKUP(A8989,'Equip, Herr y Transp'!$B$2:$D$739,2,0)</f>
        <v>0</v>
      </c>
      <c r="C8989" s="570"/>
      <c r="D8989" s="95">
        <f>VLOOKUP(A8989,'Equip, Herr y Transp'!$B$2:$D$218,2,0)</f>
        <v>0</v>
      </c>
      <c r="E8989" s="95">
        <f>VLOOKUP(A8989,'Equip, Herr y Transp'!$B$2:$D$218,3,0)</f>
        <v>0</v>
      </c>
      <c r="F8989" s="96">
        <f>H8976</f>
        <v>0.375</v>
      </c>
      <c r="G8989" s="122">
        <f>F8989*E8989</f>
        <v>0</v>
      </c>
      <c r="H8989" s="117"/>
    </row>
    <row r="8990" spans="1:15" ht="16.5">
      <c r="A8990" s="540" t="s">
        <v>4100</v>
      </c>
      <c r="B8990" s="541"/>
      <c r="C8990" s="541"/>
      <c r="D8990" s="541"/>
      <c r="E8990" s="541"/>
      <c r="F8990" s="541"/>
      <c r="G8990" s="541"/>
      <c r="H8990" s="97">
        <f>SUM(G8986:G8989)</f>
        <v>6344.0625</v>
      </c>
    </row>
    <row r="8991" spans="1:15" ht="16.5">
      <c r="A8991" s="571" t="s">
        <v>4230</v>
      </c>
      <c r="B8991" s="572"/>
      <c r="C8991" s="572"/>
      <c r="D8991" s="572"/>
      <c r="E8991" s="572"/>
      <c r="F8991" s="572"/>
      <c r="G8991" s="572"/>
      <c r="H8991" s="573"/>
      <c r="K8991" s="56"/>
      <c r="L8991" s="56"/>
      <c r="M8991" s="56"/>
      <c r="N8991" s="56"/>
      <c r="O8991" s="56"/>
    </row>
    <row r="8992" spans="1:15" ht="30" customHeight="1">
      <c r="A8992" s="574" t="s">
        <v>7</v>
      </c>
      <c r="B8992" s="575"/>
      <c r="C8992" s="109" t="s">
        <v>0</v>
      </c>
      <c r="D8992" s="110" t="s">
        <v>4098</v>
      </c>
      <c r="E8992" s="111" t="s">
        <v>1</v>
      </c>
      <c r="F8992" s="576" t="s">
        <v>4218</v>
      </c>
      <c r="G8992" s="576"/>
      <c r="H8992" s="215"/>
      <c r="K8992" s="56"/>
      <c r="L8992" s="56"/>
      <c r="M8992" s="56"/>
      <c r="N8992" s="56"/>
      <c r="O8992" s="56"/>
    </row>
    <row r="8993" spans="1:15">
      <c r="A8993" s="577" t="s">
        <v>4639</v>
      </c>
      <c r="B8993" s="578"/>
      <c r="C8993" s="98" t="str">
        <f>VLOOKUP(A8993,'Materiales '!$C$2:$F$1302,3,0)</f>
        <v>Und</v>
      </c>
      <c r="D8993" s="99">
        <f>VLOOKUP(A8993,'Materiales '!$C$2:$F$1302,4,0)</f>
        <v>35700</v>
      </c>
      <c r="E8993" s="100">
        <v>1</v>
      </c>
      <c r="F8993" s="538">
        <f>E8993*D8993</f>
        <v>35700</v>
      </c>
      <c r="G8993" s="539"/>
      <c r="H8993" s="121"/>
      <c r="I8993">
        <f>E8993*G8983</f>
        <v>1</v>
      </c>
      <c r="J8993" s="67"/>
      <c r="K8993" s="56"/>
      <c r="L8993" s="56"/>
      <c r="M8993" s="56"/>
      <c r="N8993" s="56"/>
      <c r="O8993" s="56"/>
    </row>
    <row r="8994" spans="1:15">
      <c r="A8994" s="577" t="s">
        <v>4628</v>
      </c>
      <c r="B8994" s="578"/>
      <c r="C8994" s="98" t="str">
        <f>VLOOKUP(A8994,'Materiales '!$C$2:$F$1302,3,0)</f>
        <v>Rollo</v>
      </c>
      <c r="D8994" s="99">
        <f>VLOOKUP(A8994,'Materiales '!$C$2:$F$1302,4,0)</f>
        <v>138230.39999999999</v>
      </c>
      <c r="E8994" s="100">
        <v>1</v>
      </c>
      <c r="F8994" s="538">
        <f t="shared" ref="F8994:F9000" si="522">E8994*D8994</f>
        <v>138230.39999999999</v>
      </c>
      <c r="G8994" s="539"/>
      <c r="H8994" s="121"/>
      <c r="I8994">
        <f>E8994*G8983</f>
        <v>1</v>
      </c>
      <c r="J8994" s="67"/>
      <c r="K8994" s="56"/>
      <c r="L8994" s="56"/>
      <c r="M8994" s="56"/>
      <c r="N8994" s="56"/>
      <c r="O8994" s="56"/>
    </row>
    <row r="8995" spans="1:15">
      <c r="A8995" s="536" t="s">
        <v>8</v>
      </c>
      <c r="B8995" s="537" t="str">
        <f>VLOOKUP(A8995,'Materiales '!$C$2:$F$1302,3,0)</f>
        <v>-</v>
      </c>
      <c r="C8995" s="98" t="str">
        <f>VLOOKUP(A8995,'Materiales '!$C$2:$F$1302,3,0)</f>
        <v>-</v>
      </c>
      <c r="D8995" s="99">
        <f>VLOOKUP(A8995,'Materiales '!$C$2:$F$1302,4,0)</f>
        <v>0</v>
      </c>
      <c r="E8995" s="100"/>
      <c r="F8995" s="538">
        <f t="shared" si="522"/>
        <v>0</v>
      </c>
      <c r="G8995" s="539"/>
      <c r="H8995" s="121"/>
      <c r="I8995">
        <f>E8995*G8983</f>
        <v>0</v>
      </c>
      <c r="J8995" s="68"/>
      <c r="K8995" s="56"/>
      <c r="L8995" s="56"/>
      <c r="M8995" s="56"/>
      <c r="N8995" s="56"/>
      <c r="O8995" s="56"/>
    </row>
    <row r="8996" spans="1:15">
      <c r="A8996" s="536" t="s">
        <v>8</v>
      </c>
      <c r="B8996" s="537" t="str">
        <f>VLOOKUP(A8996,'Materiales '!$C$2:$F$1302,3,0)</f>
        <v>-</v>
      </c>
      <c r="C8996" s="98" t="str">
        <f>VLOOKUP(A8996,'Materiales '!$C$2:$F$1302,3,0)</f>
        <v>-</v>
      </c>
      <c r="D8996" s="99">
        <f>VLOOKUP(A8996,'Materiales '!$C$2:$F$1302,4,0)</f>
        <v>0</v>
      </c>
      <c r="E8996" s="100"/>
      <c r="F8996" s="538">
        <f t="shared" si="522"/>
        <v>0</v>
      </c>
      <c r="G8996" s="539"/>
      <c r="H8996" s="121"/>
      <c r="I8996">
        <f>E8996*G8983</f>
        <v>0</v>
      </c>
      <c r="J8996" s="68"/>
      <c r="K8996" s="56"/>
      <c r="L8996" s="56"/>
      <c r="M8996" s="56"/>
      <c r="N8996" s="56"/>
      <c r="O8996" s="56"/>
    </row>
    <row r="8997" spans="1:15">
      <c r="A8997" s="536" t="s">
        <v>8</v>
      </c>
      <c r="B8997" s="537" t="str">
        <f>VLOOKUP(A8997,'Materiales '!$C$2:$F$1302,3,0)</f>
        <v>-</v>
      </c>
      <c r="C8997" s="98" t="str">
        <f>VLOOKUP(A8997,'Materiales '!$C$2:$F$1302,3,0)</f>
        <v>-</v>
      </c>
      <c r="D8997" s="99">
        <f>VLOOKUP(A8997,'Materiales '!$C$2:$F$1302,4,0)</f>
        <v>0</v>
      </c>
      <c r="E8997" s="100"/>
      <c r="F8997" s="538">
        <f t="shared" si="522"/>
        <v>0</v>
      </c>
      <c r="G8997" s="539"/>
      <c r="H8997" s="121"/>
      <c r="I8997">
        <f>E8997*G8983</f>
        <v>0</v>
      </c>
      <c r="J8997" s="68"/>
      <c r="K8997" s="56"/>
      <c r="L8997" s="56"/>
      <c r="M8997" s="56"/>
      <c r="N8997" s="56"/>
      <c r="O8997" s="56"/>
    </row>
    <row r="8998" spans="1:15">
      <c r="A8998" s="536" t="s">
        <v>8</v>
      </c>
      <c r="B8998" s="537" t="str">
        <f>VLOOKUP(A8998,'Materiales '!$C$2:$F$1302,3,0)</f>
        <v>-</v>
      </c>
      <c r="C8998" s="98" t="str">
        <f>VLOOKUP(A8998,'Materiales '!$C$2:$F$1302,3,0)</f>
        <v>-</v>
      </c>
      <c r="D8998" s="99">
        <f>VLOOKUP(A8998,'Materiales '!$C$2:$F$1302,4,0)</f>
        <v>0</v>
      </c>
      <c r="E8998" s="100"/>
      <c r="F8998" s="538">
        <f t="shared" si="522"/>
        <v>0</v>
      </c>
      <c r="G8998" s="539"/>
      <c r="H8998" s="121"/>
      <c r="I8998">
        <f>E8998*G8983</f>
        <v>0</v>
      </c>
      <c r="J8998" s="68"/>
      <c r="K8998" s="56"/>
      <c r="L8998" s="56"/>
      <c r="M8998" s="56"/>
      <c r="N8998" s="56"/>
      <c r="O8998" s="56"/>
    </row>
    <row r="8999" spans="1:15">
      <c r="A8999" s="536" t="s">
        <v>8</v>
      </c>
      <c r="B8999" s="537" t="str">
        <f>VLOOKUP(A8999,'Materiales '!$C$2:$F$1302,3,0)</f>
        <v>-</v>
      </c>
      <c r="C8999" s="98" t="str">
        <f>VLOOKUP(A8999,'Materiales '!$C$2:$F$1302,3,0)</f>
        <v>-</v>
      </c>
      <c r="D8999" s="99">
        <f>VLOOKUP(A8999,'Materiales '!$C$2:$F$1302,4,0)</f>
        <v>0</v>
      </c>
      <c r="E8999" s="100"/>
      <c r="F8999" s="538">
        <f t="shared" si="522"/>
        <v>0</v>
      </c>
      <c r="G8999" s="539"/>
      <c r="H8999" s="121"/>
      <c r="I8999">
        <f>E8999*G8983</f>
        <v>0</v>
      </c>
      <c r="J8999" s="68"/>
      <c r="K8999" s="56"/>
      <c r="L8999" s="56"/>
      <c r="M8999" s="56"/>
      <c r="N8999" s="56"/>
      <c r="O8999" s="56"/>
    </row>
    <row r="9000" spans="1:15" ht="21.75" customHeight="1">
      <c r="A9000" s="536" t="s">
        <v>8</v>
      </c>
      <c r="B9000" s="537" t="str">
        <f>VLOOKUP(A9000,'Materiales '!$C$2:$F$1302,3,0)</f>
        <v>-</v>
      </c>
      <c r="C9000" s="98" t="str">
        <f>VLOOKUP(A9000,'Materiales '!$C$2:$F$1302,3,0)</f>
        <v>-</v>
      </c>
      <c r="D9000" s="99">
        <f>VLOOKUP(A9000,'Materiales '!$C$2:$F$1302,4,0)</f>
        <v>0</v>
      </c>
      <c r="E9000" s="100"/>
      <c r="F9000" s="538">
        <f t="shared" si="522"/>
        <v>0</v>
      </c>
      <c r="G9000" s="539"/>
      <c r="H9000" s="121"/>
      <c r="I9000">
        <f>E9000*G8983</f>
        <v>0</v>
      </c>
      <c r="J9000" s="68"/>
      <c r="K9000" s="56"/>
      <c r="L9000" s="56"/>
      <c r="M9000" s="56"/>
      <c r="N9000" s="56"/>
      <c r="O9000" s="56"/>
    </row>
    <row r="9001" spans="1:15">
      <c r="A9001" s="536" t="s">
        <v>8</v>
      </c>
      <c r="B9001" s="537" t="str">
        <f>VLOOKUP(A9001,'Materiales '!$C$2:$F$1302,3,0)</f>
        <v>-</v>
      </c>
      <c r="C9001" s="98" t="str">
        <f>VLOOKUP(A9001,'Materiales '!$C$2:$F$1302,3,0)</f>
        <v>-</v>
      </c>
      <c r="D9001" s="99">
        <f>VLOOKUP(A9001,'Materiales '!$C$2:$F$1302,4,0)</f>
        <v>0</v>
      </c>
      <c r="E9001" s="100"/>
      <c r="F9001" s="538">
        <f>E9001*D9001</f>
        <v>0</v>
      </c>
      <c r="G9001" s="539"/>
      <c r="H9001" s="120"/>
      <c r="I9001">
        <f>E9001*G8983</f>
        <v>0</v>
      </c>
      <c r="J9001" s="68"/>
      <c r="K9001" s="56"/>
      <c r="L9001" s="56"/>
      <c r="M9001" s="56"/>
      <c r="N9001" s="56"/>
      <c r="O9001" s="56"/>
    </row>
    <row r="9002" spans="1:15">
      <c r="A9002" s="536" t="s">
        <v>8</v>
      </c>
      <c r="B9002" s="537" t="str">
        <f>VLOOKUP(A9002,'Materiales '!$C$2:$F$1302,3,0)</f>
        <v>-</v>
      </c>
      <c r="C9002" s="98" t="str">
        <f>VLOOKUP(A9002,'Materiales '!$C$2:$F$1302,3,0)</f>
        <v>-</v>
      </c>
      <c r="D9002" s="99">
        <f>VLOOKUP(A9002,'Materiales '!$C$2:$F$1302,4,0)</f>
        <v>0</v>
      </c>
      <c r="E9002" s="100"/>
      <c r="F9002" s="538">
        <f t="shared" ref="F9002:F9007" si="523">E9002*D9002</f>
        <v>0</v>
      </c>
      <c r="G9002" s="539"/>
      <c r="H9002" s="121"/>
      <c r="I9002">
        <f>E9002*G8983</f>
        <v>0</v>
      </c>
      <c r="J9002" s="68"/>
      <c r="K9002" s="56"/>
      <c r="L9002" s="56"/>
      <c r="M9002" s="56"/>
      <c r="N9002" s="56"/>
      <c r="O9002" s="56"/>
    </row>
    <row r="9003" spans="1:15">
      <c r="A9003" s="536" t="s">
        <v>8</v>
      </c>
      <c r="B9003" s="537" t="str">
        <f>VLOOKUP(A9003,'Materiales '!$C$2:$F$1302,3,0)</f>
        <v>-</v>
      </c>
      <c r="C9003" s="98" t="str">
        <f>VLOOKUP(A9003,'Materiales '!$C$2:$F$1302,3,0)</f>
        <v>-</v>
      </c>
      <c r="D9003" s="99">
        <f>VLOOKUP(A9003,'Materiales '!$C$2:$F$1302,4,0)</f>
        <v>0</v>
      </c>
      <c r="E9003" s="100"/>
      <c r="F9003" s="538">
        <f t="shared" si="523"/>
        <v>0</v>
      </c>
      <c r="G9003" s="539"/>
      <c r="H9003" s="121"/>
      <c r="I9003">
        <f>E9003*G8983</f>
        <v>0</v>
      </c>
      <c r="J9003" s="68"/>
      <c r="K9003" s="56"/>
      <c r="L9003" s="56"/>
      <c r="M9003" s="56"/>
      <c r="N9003" s="56"/>
      <c r="O9003" s="56"/>
    </row>
    <row r="9004" spans="1:15">
      <c r="A9004" s="536" t="s">
        <v>8</v>
      </c>
      <c r="B9004" s="537" t="str">
        <f>VLOOKUP(A9004,'Materiales '!$C$2:$F$1302,3,0)</f>
        <v>-</v>
      </c>
      <c r="C9004" s="98" t="str">
        <f>VLOOKUP(A9004,'Materiales '!$C$2:$F$1302,3,0)</f>
        <v>-</v>
      </c>
      <c r="D9004" s="99">
        <f>VLOOKUP(A9004,'Materiales '!$C$2:$F$1302,4,0)</f>
        <v>0</v>
      </c>
      <c r="E9004" s="100"/>
      <c r="F9004" s="538">
        <f t="shared" si="523"/>
        <v>0</v>
      </c>
      <c r="G9004" s="539"/>
      <c r="H9004" s="121"/>
      <c r="I9004">
        <f>E9004*G8983</f>
        <v>0</v>
      </c>
      <c r="J9004" s="68"/>
      <c r="K9004" s="56"/>
      <c r="L9004" s="56"/>
      <c r="M9004" s="56"/>
      <c r="N9004" s="56"/>
      <c r="O9004" s="56"/>
    </row>
    <row r="9005" spans="1:15">
      <c r="A9005" s="536" t="s">
        <v>8</v>
      </c>
      <c r="B9005" s="537" t="str">
        <f>VLOOKUP(A9005,'Materiales '!$C$2:$F$1302,3,0)</f>
        <v>-</v>
      </c>
      <c r="C9005" s="98" t="str">
        <f>VLOOKUP(A9005,'Materiales '!$C$2:$F$1302,3,0)</f>
        <v>-</v>
      </c>
      <c r="D9005" s="99">
        <f>VLOOKUP(A9005,'Materiales '!$C$2:$F$1302,4,0)</f>
        <v>0</v>
      </c>
      <c r="E9005" s="100"/>
      <c r="F9005" s="538">
        <f t="shared" si="523"/>
        <v>0</v>
      </c>
      <c r="G9005" s="539"/>
      <c r="H9005" s="121"/>
      <c r="I9005">
        <f>E9005*G8983</f>
        <v>0</v>
      </c>
      <c r="J9005" s="68"/>
      <c r="K9005" s="56"/>
      <c r="L9005" s="56"/>
      <c r="M9005" s="56"/>
      <c r="N9005" s="56"/>
      <c r="O9005" s="56"/>
    </row>
    <row r="9006" spans="1:15">
      <c r="A9006" s="536" t="s">
        <v>8</v>
      </c>
      <c r="B9006" s="537" t="str">
        <f>VLOOKUP(A9006,'Materiales '!$C$2:$F$1302,3,0)</f>
        <v>-</v>
      </c>
      <c r="C9006" s="98" t="str">
        <f>VLOOKUP(A9006,'Materiales '!$C$2:$F$1302,3,0)</f>
        <v>-</v>
      </c>
      <c r="D9006" s="99">
        <f>VLOOKUP(A9006,'Materiales '!$C$2:$F$1302,4,0)</f>
        <v>0</v>
      </c>
      <c r="E9006" s="100"/>
      <c r="F9006" s="538">
        <f t="shared" si="523"/>
        <v>0</v>
      </c>
      <c r="G9006" s="539"/>
      <c r="H9006" s="121"/>
      <c r="I9006">
        <f>E9006*G8983</f>
        <v>0</v>
      </c>
      <c r="J9006" s="68"/>
      <c r="K9006" s="56"/>
      <c r="L9006" s="56"/>
      <c r="M9006" s="56"/>
      <c r="N9006" s="56"/>
      <c r="O9006" s="56"/>
    </row>
    <row r="9007" spans="1:15">
      <c r="A9007" s="536" t="s">
        <v>8</v>
      </c>
      <c r="B9007" s="537" t="str">
        <f>VLOOKUP(A9007,'Materiales '!$C$2:$F$1302,3,0)</f>
        <v>-</v>
      </c>
      <c r="C9007" s="98" t="str">
        <f>VLOOKUP(A9007,'Materiales '!$C$2:$F$1302,3,0)</f>
        <v>-</v>
      </c>
      <c r="D9007" s="99">
        <f>VLOOKUP(A9007,'Materiales '!$C$2:$F$1302,4,0)</f>
        <v>0</v>
      </c>
      <c r="E9007" s="100"/>
      <c r="F9007" s="538">
        <f t="shared" si="523"/>
        <v>0</v>
      </c>
      <c r="G9007" s="539"/>
      <c r="H9007" s="121"/>
      <c r="I9007">
        <f>E9007*G8983</f>
        <v>0</v>
      </c>
      <c r="J9007" s="68"/>
      <c r="K9007" s="56"/>
      <c r="L9007" s="56"/>
      <c r="M9007" s="56"/>
      <c r="N9007" s="56"/>
      <c r="O9007" s="56"/>
    </row>
    <row r="9008" spans="1:15">
      <c r="A9008" s="536" t="s">
        <v>8</v>
      </c>
      <c r="B9008" s="537" t="str">
        <f>VLOOKUP(A9008,'Materiales '!$C$2:$F$1302,3,0)</f>
        <v>-</v>
      </c>
      <c r="C9008" s="98" t="str">
        <f>VLOOKUP(A9008,'Materiales '!$C$2:$F$1302,3,0)</f>
        <v>-</v>
      </c>
      <c r="D9008" s="99">
        <f>VLOOKUP(A9008,'Materiales '!$C$2:$F$1302,4,0)</f>
        <v>0</v>
      </c>
      <c r="E9008" s="100"/>
      <c r="F9008" s="538">
        <f>E9008*D9008</f>
        <v>0</v>
      </c>
      <c r="G9008" s="539"/>
      <c r="H9008" s="120"/>
      <c r="I9008">
        <f>E9008*G8983</f>
        <v>0</v>
      </c>
      <c r="J9008" s="68"/>
      <c r="K9008" s="56"/>
      <c r="L9008" s="56"/>
      <c r="M9008" s="56"/>
      <c r="N9008" s="56"/>
      <c r="O9008" s="56"/>
    </row>
    <row r="9009" spans="1:15">
      <c r="A9009" s="536" t="s">
        <v>8</v>
      </c>
      <c r="B9009" s="537" t="str">
        <f>VLOOKUP(A9009,'Materiales '!$C$2:$F$1302,3,0)</f>
        <v>-</v>
      </c>
      <c r="C9009" s="98" t="str">
        <f>VLOOKUP(A9009,'Materiales '!$C$2:$F$1302,3,0)</f>
        <v>-</v>
      </c>
      <c r="D9009" s="99">
        <f>VLOOKUP(A9009,'Materiales '!$C$2:$F$1302,4,0)</f>
        <v>0</v>
      </c>
      <c r="E9009" s="100"/>
      <c r="F9009" s="538">
        <f>E9009*D9009</f>
        <v>0</v>
      </c>
      <c r="G9009" s="539"/>
      <c r="H9009" s="120"/>
      <c r="I9009">
        <f>E9009*G8983</f>
        <v>0</v>
      </c>
      <c r="J9009" s="68"/>
      <c r="K9009" s="56"/>
      <c r="L9009" s="56"/>
      <c r="M9009" s="56"/>
      <c r="N9009" s="56"/>
      <c r="O9009" s="56"/>
    </row>
    <row r="9010" spans="1:15" ht="16.5">
      <c r="A9010" s="540" t="s">
        <v>4099</v>
      </c>
      <c r="B9010" s="541"/>
      <c r="C9010" s="541"/>
      <c r="D9010" s="541"/>
      <c r="E9010" s="541"/>
      <c r="F9010" s="541"/>
      <c r="G9010" s="542"/>
      <c r="H9010" s="116">
        <f>SUM(F8993:F9009)</f>
        <v>173930.4</v>
      </c>
      <c r="J9010" s="68"/>
      <c r="K9010" s="56"/>
      <c r="L9010" s="56"/>
      <c r="M9010" s="56"/>
      <c r="N9010" s="56"/>
      <c r="O9010" s="56"/>
    </row>
    <row r="9011" spans="1:15" ht="16.5">
      <c r="A9011" s="543" t="s">
        <v>4231</v>
      </c>
      <c r="B9011" s="544"/>
      <c r="C9011" s="544"/>
      <c r="D9011" s="544"/>
      <c r="E9011" s="545"/>
      <c r="F9011" s="544"/>
      <c r="G9011" s="544"/>
      <c r="H9011" s="546"/>
      <c r="J9011" s="68"/>
      <c r="K9011" s="56"/>
      <c r="L9011" s="56"/>
      <c r="M9011" s="56"/>
      <c r="N9011" s="56"/>
      <c r="O9011" s="56"/>
    </row>
    <row r="9012" spans="1:15">
      <c r="A9012" s="547" t="s">
        <v>7</v>
      </c>
      <c r="B9012" s="548"/>
      <c r="C9012" s="108" t="s">
        <v>4232</v>
      </c>
      <c r="D9012" s="107" t="s">
        <v>4233</v>
      </c>
      <c r="E9012" s="206" t="s">
        <v>4234</v>
      </c>
      <c r="F9012" s="549" t="s">
        <v>4218</v>
      </c>
      <c r="G9012" s="549"/>
      <c r="H9012" s="119"/>
      <c r="K9012" s="56"/>
      <c r="L9012" s="56"/>
      <c r="M9012" s="56"/>
      <c r="N9012" s="56"/>
      <c r="O9012" s="56"/>
    </row>
    <row r="9013" spans="1:15">
      <c r="A9013" s="550" t="s">
        <v>3928</v>
      </c>
      <c r="B9013" s="551"/>
      <c r="C9013" s="232">
        <v>1</v>
      </c>
      <c r="D9013" s="102">
        <v>0.05</v>
      </c>
      <c r="E9013" s="103">
        <f>VLOOKUP(A9013,'Equip, Herr y Transp'!$B$2:$D$218,3,0)</f>
        <v>160000</v>
      </c>
      <c r="F9013" s="552">
        <f>E9013*D9013*C9013</f>
        <v>8000</v>
      </c>
      <c r="G9013" s="553"/>
      <c r="H9013" s="117"/>
      <c r="M9013" s="56"/>
    </row>
    <row r="9014" spans="1:15" ht="16.5">
      <c r="A9014" s="554" t="s">
        <v>4216</v>
      </c>
      <c r="B9014" s="555"/>
      <c r="C9014" s="555"/>
      <c r="D9014" s="555"/>
      <c r="E9014" s="555"/>
      <c r="F9014" s="555"/>
      <c r="G9014" s="555"/>
      <c r="H9014" s="105">
        <f>F9013</f>
        <v>8000</v>
      </c>
    </row>
    <row r="9015" spans="1:15" ht="16.5">
      <c r="A9015" s="543" t="s">
        <v>4235</v>
      </c>
      <c r="B9015" s="544"/>
      <c r="C9015" s="544"/>
      <c r="D9015" s="544"/>
      <c r="E9015" s="544"/>
      <c r="F9015" s="544"/>
      <c r="G9015" s="544"/>
      <c r="H9015" s="546"/>
    </row>
    <row r="9016" spans="1:15">
      <c r="A9016" s="547" t="s">
        <v>7</v>
      </c>
      <c r="B9016" s="548"/>
      <c r="C9016" s="106" t="s">
        <v>1</v>
      </c>
      <c r="D9016" s="107" t="s">
        <v>4236</v>
      </c>
      <c r="E9016" s="108" t="s">
        <v>4215</v>
      </c>
      <c r="F9016" s="547" t="s">
        <v>5</v>
      </c>
      <c r="G9016" s="556"/>
      <c r="H9016" s="119"/>
    </row>
    <row r="9017" spans="1:15">
      <c r="A9017" s="550" t="s">
        <v>4196</v>
      </c>
      <c r="B9017" s="551"/>
      <c r="C9017" s="101">
        <v>1</v>
      </c>
      <c r="D9017" s="104">
        <f>VLOOKUP(A9017,'Mano Obra'!$B$2:$T$117,19,0)</f>
        <v>166624</v>
      </c>
      <c r="E9017" s="246">
        <f>H8976</f>
        <v>0.375</v>
      </c>
      <c r="F9017" s="538">
        <f>E9017*D9017*C9017</f>
        <v>62484</v>
      </c>
      <c r="G9017" s="557"/>
      <c r="H9017" s="121"/>
      <c r="I9017" s="69"/>
      <c r="J9017" s="136">
        <f>((('Mano Obra'!$M$4/30)*F9017)/D9017)*G8983</f>
        <v>4057.7983541666663</v>
      </c>
    </row>
    <row r="9018" spans="1:15">
      <c r="A9018" s="558" t="s">
        <v>4197</v>
      </c>
      <c r="B9018" s="559">
        <f>VLOOKUP(A9018,'Mano Obra'!$B$3:$D$290,2,0)</f>
        <v>2090000.0000000002</v>
      </c>
      <c r="C9018" s="101">
        <v>1</v>
      </c>
      <c r="D9018" s="104">
        <f>VLOOKUP(A9018,'Mano Obra'!$B$2:$T$117,19,0)</f>
        <v>120456</v>
      </c>
      <c r="E9018" s="246">
        <f>H8976</f>
        <v>0.375</v>
      </c>
      <c r="F9018" s="538">
        <f t="shared" ref="F9018:F9019" si="524">E9018*D9018*C9018</f>
        <v>45171</v>
      </c>
      <c r="G9018" s="557"/>
      <c r="H9018" s="121"/>
      <c r="J9018" s="136">
        <f>((('Mano Obra'!$M$5/30)*F9018)/D9018)*G8983</f>
        <v>4057.7983541666667</v>
      </c>
    </row>
    <row r="9019" spans="1:15">
      <c r="A9019" s="558" t="s">
        <v>4186</v>
      </c>
      <c r="B9019" s="559">
        <f>VLOOKUP(A9019,'Mano Obra'!$B$3:$D$290,2,0)</f>
        <v>1100000</v>
      </c>
      <c r="C9019" s="101">
        <v>1</v>
      </c>
      <c r="D9019" s="104">
        <f>VLOOKUP(A9019,'Mano Obra'!$B$2:$T$117,19,0)</f>
        <v>72664</v>
      </c>
      <c r="E9019" s="246">
        <f>H8976</f>
        <v>0.375</v>
      </c>
      <c r="F9019" s="538">
        <f t="shared" si="524"/>
        <v>27249</v>
      </c>
      <c r="G9019" s="557"/>
      <c r="H9019" s="120"/>
      <c r="J9019" s="136">
        <f>((('Mano Obra'!$M$6/30)*F9019)/D9019)*G8983</f>
        <v>4057.7983541666663</v>
      </c>
    </row>
    <row r="9020" spans="1:15" ht="16.5">
      <c r="A9020" s="560" t="s">
        <v>4101</v>
      </c>
      <c r="B9020" s="560"/>
      <c r="C9020" s="560"/>
      <c r="D9020" s="560"/>
      <c r="E9020" s="560"/>
      <c r="F9020" s="560"/>
      <c r="G9020" s="560"/>
      <c r="H9020" s="105">
        <f>SUM(F9017:F9019)</f>
        <v>134904</v>
      </c>
      <c r="J9020" s="136"/>
    </row>
    <row r="9021" spans="1:15">
      <c r="A9021" s="227" t="s">
        <v>4237</v>
      </c>
      <c r="B9021" s="205"/>
      <c r="C9021" s="205"/>
      <c r="D9021" s="202"/>
      <c r="E9021" s="203"/>
      <c r="F9021" s="204"/>
      <c r="G9021" s="203"/>
      <c r="H9021" s="212"/>
    </row>
    <row r="9022" spans="1:15">
      <c r="A9022" s="561" t="s">
        <v>4224</v>
      </c>
      <c r="B9022" s="562"/>
      <c r="C9022" s="562"/>
      <c r="D9022" s="562"/>
      <c r="E9022" s="200"/>
      <c r="F9022" s="201" t="s">
        <v>4238</v>
      </c>
      <c r="G9022" s="200" t="s">
        <v>4239</v>
      </c>
      <c r="H9022" s="213"/>
    </row>
    <row r="9023" spans="1:15">
      <c r="A9023" s="223" t="s">
        <v>4097</v>
      </c>
      <c r="B9023" s="72"/>
      <c r="C9023" s="72"/>
      <c r="D9023" s="73"/>
      <c r="E9023" s="78"/>
      <c r="F9023" s="79">
        <v>0</v>
      </c>
      <c r="G9023" s="80">
        <f>F9023*H8984</f>
        <v>0</v>
      </c>
      <c r="H9023" s="212"/>
    </row>
    <row r="9024" spans="1:15">
      <c r="A9024" s="224" t="s">
        <v>4240</v>
      </c>
      <c r="B9024" s="81"/>
      <c r="C9024" s="81"/>
      <c r="D9024" s="82"/>
      <c r="E9024" s="78"/>
      <c r="F9024" s="79">
        <v>0</v>
      </c>
      <c r="G9024" s="80">
        <f>F9024*H8984</f>
        <v>0</v>
      </c>
      <c r="H9024" s="212"/>
    </row>
    <row r="9025" spans="1:14">
      <c r="A9025" s="224" t="s">
        <v>4</v>
      </c>
      <c r="B9025" s="81"/>
      <c r="C9025" s="81"/>
      <c r="D9025" s="82"/>
      <c r="E9025" s="78"/>
      <c r="F9025" s="79">
        <v>0</v>
      </c>
      <c r="G9025" s="80">
        <f>F9025*H8984</f>
        <v>0</v>
      </c>
      <c r="H9025" s="212"/>
    </row>
    <row r="9026" spans="1:14">
      <c r="A9026" s="225"/>
      <c r="B9026" s="83"/>
      <c r="C9026" s="75"/>
      <c r="D9026" s="84"/>
      <c r="E9026" s="85"/>
      <c r="F9026" s="86"/>
      <c r="G9026" s="87"/>
      <c r="H9026" s="214"/>
    </row>
    <row r="9027" spans="1:14">
      <c r="A9027" s="226"/>
      <c r="B9027" s="83"/>
      <c r="C9027" s="83"/>
      <c r="D9027" s="84"/>
      <c r="E9027" s="88"/>
      <c r="F9027" s="563" t="s">
        <v>4241</v>
      </c>
      <c r="G9027" s="564"/>
      <c r="H9027" s="233">
        <f>H8984+G9023+G9024+G9025</f>
        <v>323178.46250000002</v>
      </c>
    </row>
    <row r="9028" spans="1:14">
      <c r="A9028" s="83"/>
      <c r="B9028" s="83"/>
      <c r="C9028" s="83"/>
      <c r="D9028" s="84"/>
      <c r="E9028" s="388"/>
      <c r="F9028" s="389"/>
      <c r="G9028" s="389"/>
      <c r="H9028" s="390"/>
    </row>
    <row r="9029" spans="1:14" ht="16.5">
      <c r="A9029" s="90"/>
      <c r="B9029" s="90"/>
      <c r="C9029" s="90"/>
      <c r="D9029" s="90"/>
      <c r="E9029" s="90"/>
      <c r="F9029" s="90"/>
      <c r="G9029" s="90"/>
      <c r="H9029" s="381"/>
    </row>
    <row r="9030" spans="1:14">
      <c r="A9030" s="579" t="s">
        <v>4225</v>
      </c>
      <c r="B9030" s="580"/>
      <c r="C9030" s="580"/>
      <c r="D9030" s="580"/>
      <c r="E9030" s="580"/>
      <c r="F9030" s="580"/>
      <c r="G9030" s="580"/>
      <c r="H9030" s="581"/>
    </row>
    <row r="9031" spans="1:14" ht="16.5">
      <c r="A9031" s="91"/>
      <c r="B9031" s="92"/>
      <c r="C9031" s="92"/>
      <c r="D9031" s="92"/>
      <c r="E9031" s="92"/>
      <c r="F9031" s="93"/>
      <c r="G9031" s="94"/>
      <c r="H9031" s="380">
        <f>ROUND((140/60)/8,4)</f>
        <v>0.29170000000000001</v>
      </c>
      <c r="I9031" s="115"/>
    </row>
    <row r="9032" spans="1:14">
      <c r="A9032" s="582" t="s">
        <v>4220</v>
      </c>
      <c r="B9032" s="584" t="str">
        <f>COSTOS!$C$14</f>
        <v>MODERNIZACION A TECNOLOGIA LED</v>
      </c>
      <c r="C9032" s="584"/>
      <c r="D9032" s="584"/>
      <c r="E9032" s="584"/>
      <c r="F9032" s="584"/>
      <c r="G9032" s="584"/>
      <c r="H9032" s="585" t="s">
        <v>4221</v>
      </c>
    </row>
    <row r="9033" spans="1:14">
      <c r="A9033" s="583"/>
      <c r="B9033" s="584"/>
      <c r="C9033" s="584"/>
      <c r="D9033" s="584"/>
      <c r="E9033" s="584"/>
      <c r="F9033" s="584"/>
      <c r="G9033" s="584"/>
      <c r="H9033" s="585"/>
    </row>
    <row r="9034" spans="1:14">
      <c r="A9034" s="583"/>
      <c r="B9034" s="584"/>
      <c r="C9034" s="584"/>
      <c r="D9034" s="584"/>
      <c r="E9034" s="584"/>
      <c r="F9034" s="584"/>
      <c r="G9034" s="584"/>
      <c r="H9034" s="585"/>
    </row>
    <row r="9035" spans="1:14" ht="15" customHeight="1">
      <c r="A9035" s="583"/>
      <c r="B9035" s="584"/>
      <c r="C9035" s="584"/>
      <c r="D9035" s="584"/>
      <c r="E9035" s="584"/>
      <c r="F9035" s="584"/>
      <c r="G9035" s="584"/>
      <c r="H9035" s="216">
        <f ca="1">TODAY()</f>
        <v>44889</v>
      </c>
      <c r="K9035" t="s">
        <v>4391</v>
      </c>
      <c r="L9035" t="s">
        <v>4392</v>
      </c>
      <c r="M9035" t="s">
        <v>4393</v>
      </c>
      <c r="N9035" t="s">
        <v>4394</v>
      </c>
    </row>
    <row r="9036" spans="1:14" ht="60.75" customHeight="1">
      <c r="A9036" s="228" t="s">
        <v>4222</v>
      </c>
      <c r="B9036" s="565" t="str">
        <f>COSTOS!$D$16</f>
        <v>Luminarias</v>
      </c>
      <c r="C9036" s="565"/>
      <c r="D9036" s="565"/>
      <c r="E9036" s="565"/>
      <c r="F9036" s="565"/>
      <c r="G9036" s="70" t="s">
        <v>4223</v>
      </c>
      <c r="H9036" s="387">
        <v>5.3</v>
      </c>
      <c r="K9036" s="62">
        <f>H9065</f>
        <v>685859.83199999994</v>
      </c>
      <c r="L9036" s="62">
        <f>H9075</f>
        <v>104937.3248</v>
      </c>
      <c r="M9036" s="62">
        <f>H9045</f>
        <v>4616.8817500000005</v>
      </c>
      <c r="N9036" s="62">
        <f>H9069</f>
        <v>8000</v>
      </c>
    </row>
    <row r="9037" spans="1:14" ht="43.15" customHeight="1">
      <c r="A9037" s="229" t="s">
        <v>4224</v>
      </c>
      <c r="B9037" s="566" t="str">
        <f>VLOOKUP(H9036,COSTOS!C:M,2,0)</f>
        <v>Sistema de puesta a tierra Varilla cobre</v>
      </c>
      <c r="C9037" s="567"/>
      <c r="D9037" s="567"/>
      <c r="E9037" s="568"/>
      <c r="F9037" s="71" t="s">
        <v>0</v>
      </c>
      <c r="G9037" s="356" t="str">
        <f>VLOOKUP(H9036,COSTOS!C:M,8,0)</f>
        <v>Und</v>
      </c>
      <c r="H9037" s="276"/>
      <c r="I9037" s="306"/>
      <c r="J9037" s="308"/>
      <c r="K9037" s="308"/>
      <c r="L9037" s="308"/>
    </row>
    <row r="9038" spans="1:14">
      <c r="A9038" s="230"/>
      <c r="B9038" s="112"/>
      <c r="C9038" s="112"/>
      <c r="D9038" s="112"/>
      <c r="E9038" s="113"/>
      <c r="F9038" s="114" t="s">
        <v>1</v>
      </c>
      <c r="G9038" s="356">
        <f>VLOOKUP(H9036,COSTOS!C:M,9,0)</f>
        <v>1</v>
      </c>
      <c r="H9038" s="357"/>
      <c r="I9038" s="307"/>
    </row>
    <row r="9039" spans="1:14" ht="16.5">
      <c r="A9039" s="231" t="s">
        <v>4226</v>
      </c>
      <c r="B9039" s="75"/>
      <c r="C9039" s="75"/>
      <c r="D9039" s="76"/>
      <c r="E9039" s="209"/>
      <c r="F9039" s="210"/>
      <c r="G9039" s="211" t="s">
        <v>4227</v>
      </c>
      <c r="H9039" s="217">
        <f>H9045+H9065+H9069+H9075</f>
        <v>803414.03854999994</v>
      </c>
    </row>
    <row r="9040" spans="1:14" ht="39">
      <c r="A9040" s="569" t="s">
        <v>4224</v>
      </c>
      <c r="B9040" s="569"/>
      <c r="C9040" s="569"/>
      <c r="D9040" s="77" t="s">
        <v>0</v>
      </c>
      <c r="E9040" s="207" t="s">
        <v>4228</v>
      </c>
      <c r="F9040" s="208" t="s">
        <v>4215</v>
      </c>
      <c r="G9040" s="74" t="s">
        <v>2</v>
      </c>
      <c r="H9040" s="218" t="s">
        <v>4229</v>
      </c>
      <c r="K9040" s="309"/>
    </row>
    <row r="9041" spans="1:15">
      <c r="A9041" s="536" t="s">
        <v>3946</v>
      </c>
      <c r="B9041" s="570" t="str">
        <f>VLOOKUP(A9041,'Equip, Herr y Transp'!$B$2:$D$739,2,0)</f>
        <v>EQU</v>
      </c>
      <c r="C9041" s="570"/>
      <c r="D9041" s="95" t="str">
        <f>VLOOKUP(A9041,'Equip, Herr y Transp'!$B$2:$D$218,2,0)</f>
        <v>EQU</v>
      </c>
      <c r="E9041" s="95">
        <f>VLOOKUP(A9041,'Equip, Herr y Transp'!$B$2:$D$218,3,0)</f>
        <v>14130</v>
      </c>
      <c r="F9041" s="96">
        <f>H9031</f>
        <v>0.29170000000000001</v>
      </c>
      <c r="G9041" s="122">
        <f>F9041*E9041</f>
        <v>4121.7210000000005</v>
      </c>
      <c r="H9041" s="118"/>
    </row>
    <row r="9042" spans="1:15">
      <c r="A9042" s="536" t="s">
        <v>4138</v>
      </c>
      <c r="B9042" s="570" t="str">
        <f>VLOOKUP(A9042,'Equip, Herr y Transp'!$B$2:$D$739,2,0)</f>
        <v>EQU</v>
      </c>
      <c r="C9042" s="570"/>
      <c r="D9042" s="95" t="str">
        <f>VLOOKUP(A9042,'Equip, Herr y Transp'!$B$2:$D$218,2,0)</f>
        <v>EQU</v>
      </c>
      <c r="E9042" s="95">
        <f>VLOOKUP(A9042,'Equip, Herr y Transp'!$B$2:$D$218,3,0)</f>
        <v>1697.5</v>
      </c>
      <c r="F9042" s="96">
        <f>H9031</f>
        <v>0.29170000000000001</v>
      </c>
      <c r="G9042" s="122">
        <f>F9042*E9042</f>
        <v>495.16075000000001</v>
      </c>
      <c r="H9042" s="117"/>
    </row>
    <row r="9043" spans="1:15">
      <c r="A9043" s="536" t="s">
        <v>8</v>
      </c>
      <c r="B9043" s="570">
        <f>VLOOKUP(A9043,'Equip, Herr y Transp'!$B$2:$D$739,2,0)</f>
        <v>0</v>
      </c>
      <c r="C9043" s="570"/>
      <c r="D9043" s="95">
        <f>VLOOKUP(A9043,'Equip, Herr y Transp'!$B$2:$D$218,2,0)</f>
        <v>0</v>
      </c>
      <c r="E9043" s="95">
        <f>VLOOKUP(A9043,'Equip, Herr y Transp'!$B$2:$D$218,3,0)</f>
        <v>0</v>
      </c>
      <c r="F9043" s="96">
        <f>H9031</f>
        <v>0.29170000000000001</v>
      </c>
      <c r="G9043" s="122">
        <f>F9043*E9043</f>
        <v>0</v>
      </c>
      <c r="H9043" s="117"/>
    </row>
    <row r="9044" spans="1:15">
      <c r="A9044" s="536" t="s">
        <v>8</v>
      </c>
      <c r="B9044" s="570">
        <f>VLOOKUP(A9044,'Equip, Herr y Transp'!$B$2:$D$739,2,0)</f>
        <v>0</v>
      </c>
      <c r="C9044" s="570"/>
      <c r="D9044" s="95">
        <f>VLOOKUP(A9044,'Equip, Herr y Transp'!$B$2:$D$218,2,0)</f>
        <v>0</v>
      </c>
      <c r="E9044" s="95">
        <f>VLOOKUP(A9044,'Equip, Herr y Transp'!$B$2:$D$218,3,0)</f>
        <v>0</v>
      </c>
      <c r="F9044" s="96">
        <f>H9031</f>
        <v>0.29170000000000001</v>
      </c>
      <c r="G9044" s="122">
        <f>F9044*E9044</f>
        <v>0</v>
      </c>
      <c r="H9044" s="117"/>
    </row>
    <row r="9045" spans="1:15" ht="16.5">
      <c r="A9045" s="540" t="s">
        <v>4100</v>
      </c>
      <c r="B9045" s="541"/>
      <c r="C9045" s="541"/>
      <c r="D9045" s="541"/>
      <c r="E9045" s="541"/>
      <c r="F9045" s="541"/>
      <c r="G9045" s="541"/>
      <c r="H9045" s="97">
        <f>SUM(G9041:G9044)</f>
        <v>4616.8817500000005</v>
      </c>
    </row>
    <row r="9046" spans="1:15" ht="16.5">
      <c r="A9046" s="571" t="s">
        <v>4230</v>
      </c>
      <c r="B9046" s="572"/>
      <c r="C9046" s="572"/>
      <c r="D9046" s="572"/>
      <c r="E9046" s="572"/>
      <c r="F9046" s="572"/>
      <c r="G9046" s="572"/>
      <c r="H9046" s="573"/>
      <c r="K9046" s="56"/>
      <c r="L9046" s="56"/>
      <c r="M9046" s="56"/>
      <c r="N9046" s="56"/>
      <c r="O9046" s="56"/>
    </row>
    <row r="9047" spans="1:15" ht="30" customHeight="1">
      <c r="A9047" s="574" t="s">
        <v>7</v>
      </c>
      <c r="B9047" s="575"/>
      <c r="C9047" s="109" t="s">
        <v>0</v>
      </c>
      <c r="D9047" s="110" t="s">
        <v>4098</v>
      </c>
      <c r="E9047" s="111" t="s">
        <v>1</v>
      </c>
      <c r="F9047" s="576" t="s">
        <v>4218</v>
      </c>
      <c r="G9047" s="576"/>
      <c r="H9047" s="215"/>
      <c r="K9047" s="56"/>
      <c r="L9047" s="56"/>
      <c r="M9047" s="56"/>
      <c r="N9047" s="56"/>
      <c r="O9047" s="56"/>
    </row>
    <row r="9048" spans="1:15">
      <c r="A9048" s="577" t="s">
        <v>4639</v>
      </c>
      <c r="B9048" s="578"/>
      <c r="C9048" s="98" t="str">
        <f>VLOOKUP(A9048,'Materiales '!$C$2:$F$1302,3,0)</f>
        <v>Und</v>
      </c>
      <c r="D9048" s="99">
        <f>VLOOKUP(A9048,'Materiales '!$C$2:$F$1302,4,0)</f>
        <v>35700</v>
      </c>
      <c r="E9048" s="100">
        <v>1</v>
      </c>
      <c r="F9048" s="538">
        <f>E9048*D9048</f>
        <v>35700</v>
      </c>
      <c r="G9048" s="539"/>
      <c r="H9048" s="121"/>
      <c r="I9048">
        <f>E9048*G9038</f>
        <v>1</v>
      </c>
      <c r="J9048" s="67"/>
      <c r="K9048" s="56"/>
      <c r="L9048" s="56"/>
      <c r="M9048" s="56"/>
      <c r="N9048" s="56"/>
      <c r="O9048" s="56"/>
    </row>
    <row r="9049" spans="1:15">
      <c r="A9049" s="577" t="s">
        <v>4458</v>
      </c>
      <c r="B9049" s="578"/>
      <c r="C9049" s="98" t="str">
        <f>VLOOKUP(A9049,'Materiales '!$C$2:$F$1302,3,0)</f>
        <v>Ml</v>
      </c>
      <c r="D9049" s="99">
        <f>VLOOKUP(A9049,'Materiales '!$C$2:$F$1302,4,0)</f>
        <v>23386.355999999996</v>
      </c>
      <c r="E9049" s="100">
        <v>15</v>
      </c>
      <c r="F9049" s="538">
        <f t="shared" ref="F9049:F9055" si="525">E9049*D9049</f>
        <v>350795.33999999997</v>
      </c>
      <c r="G9049" s="539"/>
      <c r="H9049" s="121"/>
      <c r="I9049">
        <f>E9049*G9038</f>
        <v>15</v>
      </c>
      <c r="J9049" s="67"/>
      <c r="K9049" s="56"/>
      <c r="L9049" s="56"/>
      <c r="M9049" s="56"/>
      <c r="N9049" s="56"/>
      <c r="O9049" s="56"/>
    </row>
    <row r="9050" spans="1:15">
      <c r="A9050" s="536" t="s">
        <v>4604</v>
      </c>
      <c r="B9050" s="537" t="str">
        <f>VLOOKUP(A9050,'Materiales '!$C$2:$F$1302,3,0)</f>
        <v>Und</v>
      </c>
      <c r="C9050" s="98" t="str">
        <f>VLOOKUP(A9050,'Materiales '!$C$2:$F$1302,3,0)</f>
        <v>Und</v>
      </c>
      <c r="D9050" s="99">
        <f>VLOOKUP(A9050,'Materiales '!$C$2:$F$1302,4,0)</f>
        <v>294366.49199999997</v>
      </c>
      <c r="E9050" s="100">
        <v>1</v>
      </c>
      <c r="F9050" s="538">
        <f t="shared" si="525"/>
        <v>294366.49199999997</v>
      </c>
      <c r="G9050" s="539"/>
      <c r="H9050" s="121"/>
      <c r="I9050">
        <f>E9050*G9038</f>
        <v>1</v>
      </c>
      <c r="J9050" s="68"/>
      <c r="K9050" s="56"/>
      <c r="L9050" s="56"/>
      <c r="M9050" s="56"/>
      <c r="N9050" s="56"/>
      <c r="O9050" s="56"/>
    </row>
    <row r="9051" spans="1:15">
      <c r="A9051" s="536" t="s">
        <v>4515</v>
      </c>
      <c r="B9051" s="537" t="str">
        <f>VLOOKUP(A9051,'Materiales '!$C$2:$F$1302,3,0)</f>
        <v>Und</v>
      </c>
      <c r="C9051" s="98" t="str">
        <f>VLOOKUP(A9051,'Materiales '!$C$2:$F$1302,3,0)</f>
        <v>Und</v>
      </c>
      <c r="D9051" s="99">
        <f>VLOOKUP(A9051,'Materiales '!$C$2:$F$1302,4,0)</f>
        <v>4998</v>
      </c>
      <c r="E9051" s="100">
        <v>1</v>
      </c>
      <c r="F9051" s="538">
        <f t="shared" si="525"/>
        <v>4998</v>
      </c>
      <c r="G9051" s="539"/>
      <c r="H9051" s="121"/>
      <c r="I9051">
        <f>E9051*G9038</f>
        <v>1</v>
      </c>
      <c r="J9051" s="68"/>
      <c r="K9051" s="56"/>
      <c r="L9051" s="56"/>
      <c r="M9051" s="56"/>
      <c r="N9051" s="56"/>
      <c r="O9051" s="56"/>
    </row>
    <row r="9052" spans="1:15">
      <c r="A9052" s="536" t="s">
        <v>8</v>
      </c>
      <c r="B9052" s="537" t="str">
        <f>VLOOKUP(A9052,'Materiales '!$C$2:$F$1302,3,0)</f>
        <v>-</v>
      </c>
      <c r="C9052" s="98" t="str">
        <f>VLOOKUP(A9052,'Materiales '!$C$2:$F$1302,3,0)</f>
        <v>-</v>
      </c>
      <c r="D9052" s="99">
        <f>VLOOKUP(A9052,'Materiales '!$C$2:$F$1302,4,0)</f>
        <v>0</v>
      </c>
      <c r="E9052" s="100"/>
      <c r="F9052" s="538">
        <f t="shared" si="525"/>
        <v>0</v>
      </c>
      <c r="G9052" s="539"/>
      <c r="H9052" s="121"/>
      <c r="I9052">
        <f>E9052*G9038</f>
        <v>0</v>
      </c>
      <c r="J9052" s="68"/>
      <c r="K9052" s="56"/>
      <c r="L9052" s="56"/>
      <c r="M9052" s="56"/>
      <c r="N9052" s="56"/>
      <c r="O9052" s="56"/>
    </row>
    <row r="9053" spans="1:15">
      <c r="A9053" s="536" t="s">
        <v>8</v>
      </c>
      <c r="B9053" s="537" t="str">
        <f>VLOOKUP(A9053,'Materiales '!$C$2:$F$1302,3,0)</f>
        <v>-</v>
      </c>
      <c r="C9053" s="98" t="str">
        <f>VLOOKUP(A9053,'Materiales '!$C$2:$F$1302,3,0)</f>
        <v>-</v>
      </c>
      <c r="D9053" s="99">
        <f>VLOOKUP(A9053,'Materiales '!$C$2:$F$1302,4,0)</f>
        <v>0</v>
      </c>
      <c r="E9053" s="100"/>
      <c r="F9053" s="538">
        <f t="shared" si="525"/>
        <v>0</v>
      </c>
      <c r="G9053" s="539"/>
      <c r="H9053" s="121"/>
      <c r="I9053">
        <f>E9053*G9038</f>
        <v>0</v>
      </c>
      <c r="J9053" s="68"/>
      <c r="K9053" s="56"/>
      <c r="L9053" s="56"/>
      <c r="M9053" s="56"/>
      <c r="N9053" s="56"/>
      <c r="O9053" s="56"/>
    </row>
    <row r="9054" spans="1:15">
      <c r="A9054" s="536" t="s">
        <v>8</v>
      </c>
      <c r="B9054" s="537" t="str">
        <f>VLOOKUP(A9054,'Materiales '!$C$2:$F$1302,3,0)</f>
        <v>-</v>
      </c>
      <c r="C9054" s="98" t="str">
        <f>VLOOKUP(A9054,'Materiales '!$C$2:$F$1302,3,0)</f>
        <v>-</v>
      </c>
      <c r="D9054" s="99">
        <f>VLOOKUP(A9054,'Materiales '!$C$2:$F$1302,4,0)</f>
        <v>0</v>
      </c>
      <c r="E9054" s="100"/>
      <c r="F9054" s="538">
        <f t="shared" si="525"/>
        <v>0</v>
      </c>
      <c r="G9054" s="539"/>
      <c r="H9054" s="121"/>
      <c r="I9054">
        <f>E9054*G9038</f>
        <v>0</v>
      </c>
      <c r="J9054" s="68"/>
      <c r="K9054" s="56"/>
      <c r="L9054" s="56"/>
      <c r="M9054" s="56"/>
      <c r="N9054" s="56"/>
      <c r="O9054" s="56"/>
    </row>
    <row r="9055" spans="1:15" ht="21.75" customHeight="1">
      <c r="A9055" s="536" t="s">
        <v>8</v>
      </c>
      <c r="B9055" s="537" t="str">
        <f>VLOOKUP(A9055,'Materiales '!$C$2:$F$1302,3,0)</f>
        <v>-</v>
      </c>
      <c r="C9055" s="98" t="str">
        <f>VLOOKUP(A9055,'Materiales '!$C$2:$F$1302,3,0)</f>
        <v>-</v>
      </c>
      <c r="D9055" s="99">
        <f>VLOOKUP(A9055,'Materiales '!$C$2:$F$1302,4,0)</f>
        <v>0</v>
      </c>
      <c r="E9055" s="100"/>
      <c r="F9055" s="538">
        <f t="shared" si="525"/>
        <v>0</v>
      </c>
      <c r="G9055" s="539"/>
      <c r="H9055" s="121"/>
      <c r="I9055">
        <f>E9055*G9038</f>
        <v>0</v>
      </c>
      <c r="J9055" s="68"/>
      <c r="K9055" s="56"/>
      <c r="L9055" s="56"/>
      <c r="M9055" s="56"/>
      <c r="N9055" s="56"/>
      <c r="O9055" s="56"/>
    </row>
    <row r="9056" spans="1:15">
      <c r="A9056" s="536" t="s">
        <v>8</v>
      </c>
      <c r="B9056" s="537" t="str">
        <f>VLOOKUP(A9056,'Materiales '!$C$2:$F$1302,3,0)</f>
        <v>-</v>
      </c>
      <c r="C9056" s="98" t="str">
        <f>VLOOKUP(A9056,'Materiales '!$C$2:$F$1302,3,0)</f>
        <v>-</v>
      </c>
      <c r="D9056" s="99">
        <f>VLOOKUP(A9056,'Materiales '!$C$2:$F$1302,4,0)</f>
        <v>0</v>
      </c>
      <c r="E9056" s="100"/>
      <c r="F9056" s="538">
        <f>E9056*D9056</f>
        <v>0</v>
      </c>
      <c r="G9056" s="539"/>
      <c r="H9056" s="120"/>
      <c r="I9056">
        <f>E9056*G9038</f>
        <v>0</v>
      </c>
      <c r="J9056" s="68"/>
      <c r="K9056" s="56"/>
      <c r="L9056" s="56"/>
      <c r="M9056" s="56"/>
      <c r="N9056" s="56"/>
      <c r="O9056" s="56"/>
    </row>
    <row r="9057" spans="1:15">
      <c r="A9057" s="536" t="s">
        <v>8</v>
      </c>
      <c r="B9057" s="537" t="str">
        <f>VLOOKUP(A9057,'Materiales '!$C$2:$F$1302,3,0)</f>
        <v>-</v>
      </c>
      <c r="C9057" s="98" t="str">
        <f>VLOOKUP(A9057,'Materiales '!$C$2:$F$1302,3,0)</f>
        <v>-</v>
      </c>
      <c r="D9057" s="99">
        <f>VLOOKUP(A9057,'Materiales '!$C$2:$F$1302,4,0)</f>
        <v>0</v>
      </c>
      <c r="E9057" s="100"/>
      <c r="F9057" s="538">
        <f t="shared" ref="F9057:F9062" si="526">E9057*D9057</f>
        <v>0</v>
      </c>
      <c r="G9057" s="539"/>
      <c r="H9057" s="121"/>
      <c r="I9057">
        <f>E9057*G9038</f>
        <v>0</v>
      </c>
      <c r="J9057" s="68"/>
      <c r="K9057" s="56"/>
      <c r="L9057" s="56"/>
      <c r="M9057" s="56"/>
      <c r="N9057" s="56"/>
      <c r="O9057" s="56"/>
    </row>
    <row r="9058" spans="1:15">
      <c r="A9058" s="536" t="s">
        <v>8</v>
      </c>
      <c r="B9058" s="537" t="str">
        <f>VLOOKUP(A9058,'Materiales '!$C$2:$F$1302,3,0)</f>
        <v>-</v>
      </c>
      <c r="C9058" s="98" t="str">
        <f>VLOOKUP(A9058,'Materiales '!$C$2:$F$1302,3,0)</f>
        <v>-</v>
      </c>
      <c r="D9058" s="99">
        <f>VLOOKUP(A9058,'Materiales '!$C$2:$F$1302,4,0)</f>
        <v>0</v>
      </c>
      <c r="E9058" s="100"/>
      <c r="F9058" s="538">
        <f t="shared" si="526"/>
        <v>0</v>
      </c>
      <c r="G9058" s="539"/>
      <c r="H9058" s="121"/>
      <c r="I9058">
        <f>E9058*G9038</f>
        <v>0</v>
      </c>
      <c r="J9058" s="68"/>
      <c r="K9058" s="56"/>
      <c r="L9058" s="56"/>
      <c r="M9058" s="56"/>
      <c r="N9058" s="56"/>
      <c r="O9058" s="56"/>
    </row>
    <row r="9059" spans="1:15">
      <c r="A9059" s="536" t="s">
        <v>8</v>
      </c>
      <c r="B9059" s="537" t="str">
        <f>VLOOKUP(A9059,'Materiales '!$C$2:$F$1302,3,0)</f>
        <v>-</v>
      </c>
      <c r="C9059" s="98" t="str">
        <f>VLOOKUP(A9059,'Materiales '!$C$2:$F$1302,3,0)</f>
        <v>-</v>
      </c>
      <c r="D9059" s="99">
        <f>VLOOKUP(A9059,'Materiales '!$C$2:$F$1302,4,0)</f>
        <v>0</v>
      </c>
      <c r="E9059" s="100"/>
      <c r="F9059" s="538">
        <f t="shared" si="526"/>
        <v>0</v>
      </c>
      <c r="G9059" s="539"/>
      <c r="H9059" s="121"/>
      <c r="I9059">
        <f>E9059*G9038</f>
        <v>0</v>
      </c>
      <c r="J9059" s="68"/>
      <c r="K9059" s="56"/>
      <c r="L9059" s="56"/>
      <c r="M9059" s="56"/>
      <c r="N9059" s="56"/>
      <c r="O9059" s="56"/>
    </row>
    <row r="9060" spans="1:15">
      <c r="A9060" s="536" t="s">
        <v>8</v>
      </c>
      <c r="B9060" s="537" t="str">
        <f>VLOOKUP(A9060,'Materiales '!$C$2:$F$1302,3,0)</f>
        <v>-</v>
      </c>
      <c r="C9060" s="98" t="str">
        <f>VLOOKUP(A9060,'Materiales '!$C$2:$F$1302,3,0)</f>
        <v>-</v>
      </c>
      <c r="D9060" s="99">
        <f>VLOOKUP(A9060,'Materiales '!$C$2:$F$1302,4,0)</f>
        <v>0</v>
      </c>
      <c r="E9060" s="100"/>
      <c r="F9060" s="538">
        <f t="shared" si="526"/>
        <v>0</v>
      </c>
      <c r="G9060" s="539"/>
      <c r="H9060" s="121"/>
      <c r="I9060">
        <f>E9060*G9038</f>
        <v>0</v>
      </c>
      <c r="J9060" s="68"/>
      <c r="K9060" s="56"/>
      <c r="L9060" s="56"/>
      <c r="M9060" s="56"/>
      <c r="N9060" s="56"/>
      <c r="O9060" s="56"/>
    </row>
    <row r="9061" spans="1:15">
      <c r="A9061" s="536" t="s">
        <v>8</v>
      </c>
      <c r="B9061" s="537" t="str">
        <f>VLOOKUP(A9061,'Materiales '!$C$2:$F$1302,3,0)</f>
        <v>-</v>
      </c>
      <c r="C9061" s="98" t="str">
        <f>VLOOKUP(A9061,'Materiales '!$C$2:$F$1302,3,0)</f>
        <v>-</v>
      </c>
      <c r="D9061" s="99">
        <f>VLOOKUP(A9061,'Materiales '!$C$2:$F$1302,4,0)</f>
        <v>0</v>
      </c>
      <c r="E9061" s="100"/>
      <c r="F9061" s="538">
        <f t="shared" si="526"/>
        <v>0</v>
      </c>
      <c r="G9061" s="539"/>
      <c r="H9061" s="121"/>
      <c r="I9061">
        <f>E9061*G9038</f>
        <v>0</v>
      </c>
      <c r="J9061" s="68"/>
      <c r="K9061" s="56"/>
      <c r="L9061" s="56"/>
      <c r="M9061" s="56"/>
      <c r="N9061" s="56"/>
      <c r="O9061" s="56"/>
    </row>
    <row r="9062" spans="1:15">
      <c r="A9062" s="536" t="s">
        <v>8</v>
      </c>
      <c r="B9062" s="537" t="str">
        <f>VLOOKUP(A9062,'Materiales '!$C$2:$F$1302,3,0)</f>
        <v>-</v>
      </c>
      <c r="C9062" s="98" t="str">
        <f>VLOOKUP(A9062,'Materiales '!$C$2:$F$1302,3,0)</f>
        <v>-</v>
      </c>
      <c r="D9062" s="99">
        <f>VLOOKUP(A9062,'Materiales '!$C$2:$F$1302,4,0)</f>
        <v>0</v>
      </c>
      <c r="E9062" s="100"/>
      <c r="F9062" s="538">
        <f t="shared" si="526"/>
        <v>0</v>
      </c>
      <c r="G9062" s="539"/>
      <c r="H9062" s="121"/>
      <c r="I9062">
        <f>E9062*G9038</f>
        <v>0</v>
      </c>
      <c r="J9062" s="68"/>
      <c r="K9062" s="56"/>
      <c r="L9062" s="56"/>
      <c r="M9062" s="56"/>
      <c r="N9062" s="56"/>
      <c r="O9062" s="56"/>
    </row>
    <row r="9063" spans="1:15">
      <c r="A9063" s="536" t="s">
        <v>8</v>
      </c>
      <c r="B9063" s="537" t="str">
        <f>VLOOKUP(A9063,'Materiales '!$C$2:$F$1302,3,0)</f>
        <v>-</v>
      </c>
      <c r="C9063" s="98" t="str">
        <f>VLOOKUP(A9063,'Materiales '!$C$2:$F$1302,3,0)</f>
        <v>-</v>
      </c>
      <c r="D9063" s="99">
        <f>VLOOKUP(A9063,'Materiales '!$C$2:$F$1302,4,0)</f>
        <v>0</v>
      </c>
      <c r="E9063" s="100"/>
      <c r="F9063" s="538">
        <f>E9063*D9063</f>
        <v>0</v>
      </c>
      <c r="G9063" s="539"/>
      <c r="H9063" s="120"/>
      <c r="I9063">
        <f>E9063*G9038</f>
        <v>0</v>
      </c>
      <c r="J9063" s="68"/>
      <c r="K9063" s="56"/>
      <c r="L9063" s="56"/>
      <c r="M9063" s="56"/>
      <c r="N9063" s="56"/>
      <c r="O9063" s="56"/>
    </row>
    <row r="9064" spans="1:15">
      <c r="A9064" s="536" t="s">
        <v>8</v>
      </c>
      <c r="B9064" s="537" t="str">
        <f>VLOOKUP(A9064,'Materiales '!$C$2:$F$1302,3,0)</f>
        <v>-</v>
      </c>
      <c r="C9064" s="98" t="str">
        <f>VLOOKUP(A9064,'Materiales '!$C$2:$F$1302,3,0)</f>
        <v>-</v>
      </c>
      <c r="D9064" s="99">
        <f>VLOOKUP(A9064,'Materiales '!$C$2:$F$1302,4,0)</f>
        <v>0</v>
      </c>
      <c r="E9064" s="100"/>
      <c r="F9064" s="538">
        <f>E9064*D9064</f>
        <v>0</v>
      </c>
      <c r="G9064" s="539"/>
      <c r="H9064" s="120"/>
      <c r="I9064">
        <f>E9064*G9038</f>
        <v>0</v>
      </c>
      <c r="J9064" s="68"/>
      <c r="K9064" s="56"/>
      <c r="L9064" s="56"/>
      <c r="M9064" s="56"/>
      <c r="N9064" s="56"/>
      <c r="O9064" s="56"/>
    </row>
    <row r="9065" spans="1:15" ht="16.5">
      <c r="A9065" s="540" t="s">
        <v>4099</v>
      </c>
      <c r="B9065" s="541"/>
      <c r="C9065" s="541"/>
      <c r="D9065" s="541"/>
      <c r="E9065" s="541"/>
      <c r="F9065" s="541"/>
      <c r="G9065" s="542"/>
      <c r="H9065" s="116">
        <f>SUM(F9048:F9064)</f>
        <v>685859.83199999994</v>
      </c>
      <c r="J9065" s="68"/>
      <c r="K9065" s="56"/>
      <c r="L9065" s="56"/>
      <c r="M9065" s="56"/>
      <c r="N9065" s="56"/>
      <c r="O9065" s="56"/>
    </row>
    <row r="9066" spans="1:15" ht="16.5">
      <c r="A9066" s="543" t="s">
        <v>4231</v>
      </c>
      <c r="B9066" s="544"/>
      <c r="C9066" s="544"/>
      <c r="D9066" s="544"/>
      <c r="E9066" s="545"/>
      <c r="F9066" s="544"/>
      <c r="G9066" s="544"/>
      <c r="H9066" s="546"/>
      <c r="J9066" s="68"/>
      <c r="K9066" s="56"/>
      <c r="L9066" s="56"/>
      <c r="M9066" s="56"/>
      <c r="N9066" s="56"/>
      <c r="O9066" s="56"/>
    </row>
    <row r="9067" spans="1:15">
      <c r="A9067" s="547" t="s">
        <v>7</v>
      </c>
      <c r="B9067" s="548"/>
      <c r="C9067" s="108" t="s">
        <v>4232</v>
      </c>
      <c r="D9067" s="107" t="s">
        <v>4233</v>
      </c>
      <c r="E9067" s="206" t="s">
        <v>4234</v>
      </c>
      <c r="F9067" s="549" t="s">
        <v>4218</v>
      </c>
      <c r="G9067" s="549"/>
      <c r="H9067" s="119"/>
      <c r="K9067" s="56"/>
      <c r="L9067" s="56"/>
      <c r="M9067" s="56"/>
      <c r="N9067" s="56"/>
      <c r="O9067" s="56"/>
    </row>
    <row r="9068" spans="1:15">
      <c r="A9068" s="550" t="s">
        <v>3928</v>
      </c>
      <c r="B9068" s="551"/>
      <c r="C9068" s="232">
        <v>1</v>
      </c>
      <c r="D9068" s="102">
        <v>0.05</v>
      </c>
      <c r="E9068" s="103">
        <f>VLOOKUP(A9068,'Equip, Herr y Transp'!$B$2:$D$218,3,0)</f>
        <v>160000</v>
      </c>
      <c r="F9068" s="552">
        <f>E9068*D9068*C9068</f>
        <v>8000</v>
      </c>
      <c r="G9068" s="553"/>
      <c r="H9068" s="117"/>
      <c r="M9068" s="56"/>
    </row>
    <row r="9069" spans="1:15" ht="16.5">
      <c r="A9069" s="554" t="s">
        <v>4216</v>
      </c>
      <c r="B9069" s="555"/>
      <c r="C9069" s="555"/>
      <c r="D9069" s="555"/>
      <c r="E9069" s="555"/>
      <c r="F9069" s="555"/>
      <c r="G9069" s="555"/>
      <c r="H9069" s="105">
        <f>F9068</f>
        <v>8000</v>
      </c>
    </row>
    <row r="9070" spans="1:15" ht="16.5">
      <c r="A9070" s="543" t="s">
        <v>4235</v>
      </c>
      <c r="B9070" s="544"/>
      <c r="C9070" s="544"/>
      <c r="D9070" s="544"/>
      <c r="E9070" s="544"/>
      <c r="F9070" s="544"/>
      <c r="G9070" s="544"/>
      <c r="H9070" s="546"/>
    </row>
    <row r="9071" spans="1:15">
      <c r="A9071" s="547" t="s">
        <v>7</v>
      </c>
      <c r="B9071" s="548"/>
      <c r="C9071" s="106" t="s">
        <v>1</v>
      </c>
      <c r="D9071" s="107" t="s">
        <v>4236</v>
      </c>
      <c r="E9071" s="108" t="s">
        <v>4215</v>
      </c>
      <c r="F9071" s="547" t="s">
        <v>5</v>
      </c>
      <c r="G9071" s="556"/>
      <c r="H9071" s="119"/>
    </row>
    <row r="9072" spans="1:15">
      <c r="A9072" s="550" t="s">
        <v>4196</v>
      </c>
      <c r="B9072" s="551"/>
      <c r="C9072" s="101">
        <v>1</v>
      </c>
      <c r="D9072" s="104">
        <f>VLOOKUP(A9072,'Mano Obra'!$B$2:$T$117,19,0)</f>
        <v>166624</v>
      </c>
      <c r="E9072" s="246">
        <f>H9031</f>
        <v>0.29170000000000001</v>
      </c>
      <c r="F9072" s="538">
        <f>E9072*D9072*C9072</f>
        <v>48604.220800000003</v>
      </c>
      <c r="G9072" s="557"/>
      <c r="H9072" s="121"/>
      <c r="I9072" s="69"/>
      <c r="J9072" s="136">
        <f>((('Mano Obra'!$M$4/30)*F9072)/D9072)*G9038</f>
        <v>3156.4260797611114</v>
      </c>
    </row>
    <row r="9073" spans="1:10">
      <c r="A9073" s="558" t="s">
        <v>4197</v>
      </c>
      <c r="B9073" s="559">
        <f>VLOOKUP(A9073,'Mano Obra'!$B$3:$D$290,2,0)</f>
        <v>2090000.0000000002</v>
      </c>
      <c r="C9073" s="101">
        <v>1</v>
      </c>
      <c r="D9073" s="104">
        <f>VLOOKUP(A9073,'Mano Obra'!$B$2:$T$117,19,0)</f>
        <v>120456</v>
      </c>
      <c r="E9073" s="246">
        <f>H9031</f>
        <v>0.29170000000000001</v>
      </c>
      <c r="F9073" s="538">
        <f t="shared" ref="F9073:F9074" si="527">E9073*D9073*C9073</f>
        <v>35137.015200000002</v>
      </c>
      <c r="G9073" s="557"/>
      <c r="H9073" s="121"/>
      <c r="J9073" s="136">
        <f>((('Mano Obra'!$M$5/30)*F9073)/D9073)*G9038</f>
        <v>3156.4260797611109</v>
      </c>
    </row>
    <row r="9074" spans="1:10">
      <c r="A9074" s="558" t="s">
        <v>4186</v>
      </c>
      <c r="B9074" s="559">
        <f>VLOOKUP(A9074,'Mano Obra'!$B$3:$D$290,2,0)</f>
        <v>1100000</v>
      </c>
      <c r="C9074" s="101">
        <v>1</v>
      </c>
      <c r="D9074" s="104">
        <f>VLOOKUP(A9074,'Mano Obra'!$B$2:$T$117,19,0)</f>
        <v>72664</v>
      </c>
      <c r="E9074" s="246">
        <f>H9031</f>
        <v>0.29170000000000001</v>
      </c>
      <c r="F9074" s="538">
        <f t="shared" si="527"/>
        <v>21196.088800000001</v>
      </c>
      <c r="G9074" s="557"/>
      <c r="H9074" s="120"/>
      <c r="J9074" s="136">
        <f>((('Mano Obra'!$M$6/30)*F9074)/D9074)*G9038</f>
        <v>3156.4260797611109</v>
      </c>
    </row>
    <row r="9075" spans="1:10" ht="16.5">
      <c r="A9075" s="560" t="s">
        <v>4101</v>
      </c>
      <c r="B9075" s="560"/>
      <c r="C9075" s="560"/>
      <c r="D9075" s="560"/>
      <c r="E9075" s="560"/>
      <c r="F9075" s="560"/>
      <c r="G9075" s="560"/>
      <c r="H9075" s="105">
        <f>SUM(F9072:F9074)</f>
        <v>104937.3248</v>
      </c>
      <c r="J9075" s="136"/>
    </row>
    <row r="9076" spans="1:10">
      <c r="A9076" s="227" t="s">
        <v>4237</v>
      </c>
      <c r="B9076" s="205"/>
      <c r="C9076" s="205"/>
      <c r="D9076" s="202"/>
      <c r="E9076" s="203"/>
      <c r="F9076" s="204"/>
      <c r="G9076" s="203"/>
      <c r="H9076" s="212"/>
    </row>
    <row r="9077" spans="1:10">
      <c r="A9077" s="561" t="s">
        <v>4224</v>
      </c>
      <c r="B9077" s="562"/>
      <c r="C9077" s="562"/>
      <c r="D9077" s="562"/>
      <c r="E9077" s="200"/>
      <c r="F9077" s="201" t="s">
        <v>4238</v>
      </c>
      <c r="G9077" s="200" t="s">
        <v>4239</v>
      </c>
      <c r="H9077" s="213"/>
    </row>
    <row r="9078" spans="1:10">
      <c r="A9078" s="223" t="s">
        <v>4097</v>
      </c>
      <c r="B9078" s="72"/>
      <c r="C9078" s="72"/>
      <c r="D9078" s="73"/>
      <c r="E9078" s="78"/>
      <c r="F9078" s="79">
        <v>0</v>
      </c>
      <c r="G9078" s="80">
        <f>F9078*H9039</f>
        <v>0</v>
      </c>
      <c r="H9078" s="212"/>
    </row>
    <row r="9079" spans="1:10">
      <c r="A9079" s="224" t="s">
        <v>4240</v>
      </c>
      <c r="B9079" s="81"/>
      <c r="C9079" s="81"/>
      <c r="D9079" s="82"/>
      <c r="E9079" s="78"/>
      <c r="F9079" s="79">
        <v>0</v>
      </c>
      <c r="G9079" s="80">
        <f>F9079*H9039</f>
        <v>0</v>
      </c>
      <c r="H9079" s="212"/>
    </row>
    <row r="9080" spans="1:10">
      <c r="A9080" s="224" t="s">
        <v>4</v>
      </c>
      <c r="B9080" s="81"/>
      <c r="C9080" s="81"/>
      <c r="D9080" s="82"/>
      <c r="E9080" s="78"/>
      <c r="F9080" s="79">
        <v>0</v>
      </c>
      <c r="G9080" s="80">
        <f>F9080*H9039</f>
        <v>0</v>
      </c>
      <c r="H9080" s="212"/>
    </row>
    <row r="9081" spans="1:10">
      <c r="A9081" s="225"/>
      <c r="B9081" s="83"/>
      <c r="C9081" s="75"/>
      <c r="D9081" s="84"/>
      <c r="E9081" s="85"/>
      <c r="F9081" s="86"/>
      <c r="G9081" s="87"/>
      <c r="H9081" s="214"/>
    </row>
    <row r="9082" spans="1:10">
      <c r="A9082" s="226"/>
      <c r="B9082" s="83"/>
      <c r="C9082" s="83"/>
      <c r="D9082" s="84"/>
      <c r="E9082" s="88"/>
      <c r="F9082" s="563" t="s">
        <v>4241</v>
      </c>
      <c r="G9082" s="564"/>
      <c r="H9082" s="233">
        <f>H9039+G9078+G9079+G9080</f>
        <v>803414.03854999994</v>
      </c>
    </row>
    <row r="9083" spans="1:10">
      <c r="A9083" s="83"/>
      <c r="B9083" s="83"/>
      <c r="C9083" s="83"/>
      <c r="D9083" s="84"/>
      <c r="E9083" s="388"/>
      <c r="F9083" s="389"/>
      <c r="G9083" s="389"/>
      <c r="H9083" s="390"/>
    </row>
    <row r="9084" spans="1:10">
      <c r="A9084" s="83"/>
      <c r="B9084" s="83"/>
      <c r="C9084" s="83"/>
      <c r="D9084" s="84"/>
      <c r="E9084" s="388"/>
      <c r="F9084" s="389"/>
      <c r="G9084" s="389"/>
      <c r="H9084" s="390"/>
    </row>
    <row r="9085" spans="1:10">
      <c r="A9085" s="83"/>
      <c r="B9085" s="83"/>
      <c r="C9085" s="83"/>
      <c r="D9085" s="84"/>
      <c r="E9085" s="388"/>
      <c r="F9085" s="389"/>
      <c r="G9085" s="389"/>
      <c r="H9085" s="390"/>
    </row>
    <row r="9087" spans="1:10" ht="16.5">
      <c r="A9087" s="90"/>
      <c r="B9087" s="90"/>
      <c r="C9087" s="90"/>
      <c r="D9087" s="90"/>
      <c r="E9087" s="90"/>
      <c r="F9087" s="90"/>
      <c r="G9087" s="90"/>
      <c r="H9087" s="381"/>
    </row>
    <row r="9088" spans="1:10">
      <c r="A9088" s="579" t="s">
        <v>4225</v>
      </c>
      <c r="B9088" s="580"/>
      <c r="C9088" s="580"/>
      <c r="D9088" s="580"/>
      <c r="E9088" s="580"/>
      <c r="F9088" s="580"/>
      <c r="G9088" s="580"/>
      <c r="H9088" s="581"/>
    </row>
    <row r="9089" spans="1:15" ht="16.5">
      <c r="A9089" s="91"/>
      <c r="B9089" s="92"/>
      <c r="C9089" s="92"/>
      <c r="D9089" s="92"/>
      <c r="E9089" s="92"/>
      <c r="F9089" s="93"/>
      <c r="G9089" s="94"/>
      <c r="H9089" s="380">
        <f>ROUND((250/60)/8,4)</f>
        <v>0.52080000000000004</v>
      </c>
      <c r="I9089" s="115"/>
    </row>
    <row r="9090" spans="1:15">
      <c r="A9090" s="582" t="s">
        <v>4220</v>
      </c>
      <c r="B9090" s="584" t="str">
        <f>COSTOS!$C$14</f>
        <v>MODERNIZACION A TECNOLOGIA LED</v>
      </c>
      <c r="C9090" s="584"/>
      <c r="D9090" s="584"/>
      <c r="E9090" s="584"/>
      <c r="F9090" s="584"/>
      <c r="G9090" s="584"/>
      <c r="H9090" s="585" t="s">
        <v>4221</v>
      </c>
    </row>
    <row r="9091" spans="1:15">
      <c r="A9091" s="583"/>
      <c r="B9091" s="584"/>
      <c r="C9091" s="584"/>
      <c r="D9091" s="584"/>
      <c r="E9091" s="584"/>
      <c r="F9091" s="584"/>
      <c r="G9091" s="584"/>
      <c r="H9091" s="585"/>
    </row>
    <row r="9092" spans="1:15">
      <c r="A9092" s="583"/>
      <c r="B9092" s="584"/>
      <c r="C9092" s="584"/>
      <c r="D9092" s="584"/>
      <c r="E9092" s="584"/>
      <c r="F9092" s="584"/>
      <c r="G9092" s="584"/>
      <c r="H9092" s="585"/>
    </row>
    <row r="9093" spans="1:15" ht="15" customHeight="1">
      <c r="A9093" s="583"/>
      <c r="B9093" s="584"/>
      <c r="C9093" s="584"/>
      <c r="D9093" s="584"/>
      <c r="E9093" s="584"/>
      <c r="F9093" s="584"/>
      <c r="G9093" s="584"/>
      <c r="H9093" s="216">
        <f ca="1">TODAY()</f>
        <v>44889</v>
      </c>
      <c r="K9093" t="s">
        <v>4391</v>
      </c>
      <c r="L9093" t="s">
        <v>4392</v>
      </c>
      <c r="M9093" t="s">
        <v>4393</v>
      </c>
      <c r="N9093" t="s">
        <v>4394</v>
      </c>
    </row>
    <row r="9094" spans="1:15" ht="60.75" customHeight="1">
      <c r="A9094" s="228" t="s">
        <v>4222</v>
      </c>
      <c r="B9094" s="565" t="str">
        <f>COSTOS!$D$16</f>
        <v>Luminarias</v>
      </c>
      <c r="C9094" s="565"/>
      <c r="D9094" s="565"/>
      <c r="E9094" s="565"/>
      <c r="F9094" s="565"/>
      <c r="G9094" s="70" t="s">
        <v>4223</v>
      </c>
      <c r="H9094" s="387">
        <v>6.1</v>
      </c>
      <c r="K9094" s="62">
        <f>H9120</f>
        <v>270606</v>
      </c>
      <c r="L9094" s="62">
        <f>H9130</f>
        <v>187354.67520000003</v>
      </c>
      <c r="M9094" s="62">
        <f>H9103</f>
        <v>21249.942000000003</v>
      </c>
      <c r="N9094" s="62">
        <f>H9124</f>
        <v>16000</v>
      </c>
    </row>
    <row r="9095" spans="1:15" ht="43.15" customHeight="1">
      <c r="A9095" s="229" t="s">
        <v>4224</v>
      </c>
      <c r="B9095" s="566" t="str">
        <f>VLOOKUP(H9094,COSTOS!C:M,2,0)</f>
        <v>caja para control 20x40cm tipo exterior</v>
      </c>
      <c r="C9095" s="567"/>
      <c r="D9095" s="567"/>
      <c r="E9095" s="568"/>
      <c r="F9095" s="71" t="s">
        <v>0</v>
      </c>
      <c r="G9095" s="356" t="str">
        <f>VLOOKUP(H9094,COSTOS!C:M,8,0)</f>
        <v>Und</v>
      </c>
      <c r="H9095" s="276"/>
      <c r="I9095" s="306"/>
      <c r="J9095" s="308"/>
      <c r="K9095" s="308"/>
      <c r="L9095" s="308"/>
    </row>
    <row r="9096" spans="1:15">
      <c r="A9096" s="230"/>
      <c r="B9096" s="112"/>
      <c r="C9096" s="112"/>
      <c r="D9096" s="112"/>
      <c r="E9096" s="113"/>
      <c r="F9096" s="114" t="s">
        <v>1</v>
      </c>
      <c r="G9096" s="356">
        <f>VLOOKUP(H9094,COSTOS!C:M,9,0)</f>
        <v>1</v>
      </c>
      <c r="H9096" s="357"/>
      <c r="I9096" s="307"/>
    </row>
    <row r="9097" spans="1:15" ht="16.5">
      <c r="A9097" s="231" t="s">
        <v>4226</v>
      </c>
      <c r="B9097" s="75"/>
      <c r="C9097" s="75"/>
      <c r="D9097" s="76"/>
      <c r="E9097" s="209"/>
      <c r="F9097" s="210"/>
      <c r="G9097" s="211" t="s">
        <v>4227</v>
      </c>
      <c r="H9097" s="217">
        <f>H9103+H9120+H9124+H9130</f>
        <v>495210.61719999998</v>
      </c>
    </row>
    <row r="9098" spans="1:15" ht="39">
      <c r="A9098" s="569" t="s">
        <v>4224</v>
      </c>
      <c r="B9098" s="569"/>
      <c r="C9098" s="569"/>
      <c r="D9098" s="77" t="s">
        <v>0</v>
      </c>
      <c r="E9098" s="207" t="s">
        <v>4228</v>
      </c>
      <c r="F9098" s="208" t="s">
        <v>4215</v>
      </c>
      <c r="G9098" s="74" t="s">
        <v>2</v>
      </c>
      <c r="H9098" s="218" t="s">
        <v>4229</v>
      </c>
      <c r="K9098" s="309"/>
    </row>
    <row r="9099" spans="1:15">
      <c r="A9099" s="536" t="s">
        <v>3946</v>
      </c>
      <c r="B9099" s="570" t="str">
        <f>VLOOKUP(A9099,'Equip, Herr y Transp'!$B$2:$D$739,2,0)</f>
        <v>EQU</v>
      </c>
      <c r="C9099" s="570"/>
      <c r="D9099" s="95" t="str">
        <f>VLOOKUP(A9099,'Equip, Herr y Transp'!$B$2:$D$218,2,0)</f>
        <v>EQU</v>
      </c>
      <c r="E9099" s="95">
        <f>VLOOKUP(A9099,'Equip, Herr y Transp'!$B$2:$D$218,3,0)</f>
        <v>14130</v>
      </c>
      <c r="F9099" s="96">
        <f>H9089</f>
        <v>0.52080000000000004</v>
      </c>
      <c r="G9099" s="122">
        <f>F9099*E9099</f>
        <v>7358.9040000000005</v>
      </c>
      <c r="H9099" s="118"/>
    </row>
    <row r="9100" spans="1:15">
      <c r="A9100" s="536" t="s">
        <v>3904</v>
      </c>
      <c r="B9100" s="570" t="str">
        <f>VLOOKUP(A9100,'Equip, Herr y Transp'!$B$2:$D$739,2,0)</f>
        <v>EQU</v>
      </c>
      <c r="C9100" s="570"/>
      <c r="D9100" s="95" t="str">
        <f>VLOOKUP(A9100,'Equip, Herr y Transp'!$B$2:$D$218,2,0)</f>
        <v>EQU</v>
      </c>
      <c r="E9100" s="95">
        <f>VLOOKUP(A9100,'Equip, Herr y Transp'!$B$2:$D$218,3,0)</f>
        <v>26672.5</v>
      </c>
      <c r="F9100" s="96">
        <f>H9089</f>
        <v>0.52080000000000004</v>
      </c>
      <c r="G9100" s="122">
        <f>F9100*E9100</f>
        <v>13891.038</v>
      </c>
      <c r="H9100" s="117"/>
    </row>
    <row r="9101" spans="1:15">
      <c r="A9101" s="536" t="s">
        <v>8</v>
      </c>
      <c r="B9101" s="570">
        <f>VLOOKUP(A9101,'Equip, Herr y Transp'!$B$2:$D$739,2,0)</f>
        <v>0</v>
      </c>
      <c r="C9101" s="570"/>
      <c r="D9101" s="95">
        <f>VLOOKUP(A9101,'Equip, Herr y Transp'!$B$2:$D$218,2,0)</f>
        <v>0</v>
      </c>
      <c r="E9101" s="95">
        <f>VLOOKUP(A9101,'Equip, Herr y Transp'!$B$2:$D$218,3,0)</f>
        <v>0</v>
      </c>
      <c r="F9101" s="96">
        <f>H9089</f>
        <v>0.52080000000000004</v>
      </c>
      <c r="G9101" s="122">
        <f>F9101*E9101</f>
        <v>0</v>
      </c>
      <c r="H9101" s="117"/>
    </row>
    <row r="9102" spans="1:15">
      <c r="A9102" s="536" t="s">
        <v>8</v>
      </c>
      <c r="B9102" s="570">
        <f>VLOOKUP(A9102,'Equip, Herr y Transp'!$B$2:$D$739,2,0)</f>
        <v>0</v>
      </c>
      <c r="C9102" s="570"/>
      <c r="D9102" s="95">
        <f>VLOOKUP(A9102,'Equip, Herr y Transp'!$B$2:$D$218,2,0)</f>
        <v>0</v>
      </c>
      <c r="E9102" s="95">
        <f>VLOOKUP(A9102,'Equip, Herr y Transp'!$B$2:$D$218,3,0)</f>
        <v>0</v>
      </c>
      <c r="F9102" s="96">
        <f>H9089</f>
        <v>0.52080000000000004</v>
      </c>
      <c r="G9102" s="122">
        <f>F9102*E9102</f>
        <v>0</v>
      </c>
      <c r="H9102" s="117"/>
    </row>
    <row r="9103" spans="1:15" ht="16.5">
      <c r="A9103" s="540" t="s">
        <v>4100</v>
      </c>
      <c r="B9103" s="541"/>
      <c r="C9103" s="541"/>
      <c r="D9103" s="541"/>
      <c r="E9103" s="541"/>
      <c r="F9103" s="541"/>
      <c r="G9103" s="541"/>
      <c r="H9103" s="97">
        <f>SUM(G9099:G9102)</f>
        <v>21249.942000000003</v>
      </c>
    </row>
    <row r="9104" spans="1:15" ht="16.5">
      <c r="A9104" s="571" t="s">
        <v>4230</v>
      </c>
      <c r="B9104" s="572"/>
      <c r="C9104" s="572"/>
      <c r="D9104" s="572"/>
      <c r="E9104" s="572"/>
      <c r="F9104" s="572"/>
      <c r="G9104" s="572"/>
      <c r="H9104" s="573"/>
      <c r="K9104" s="56"/>
      <c r="L9104" s="56"/>
      <c r="M9104" s="56"/>
      <c r="N9104" s="56"/>
      <c r="O9104" s="56"/>
    </row>
    <row r="9105" spans="1:15" ht="30" customHeight="1">
      <c r="A9105" s="574" t="s">
        <v>7</v>
      </c>
      <c r="B9105" s="575"/>
      <c r="C9105" s="109" t="s">
        <v>0</v>
      </c>
      <c r="D9105" s="110" t="s">
        <v>4098</v>
      </c>
      <c r="E9105" s="111" t="s">
        <v>1</v>
      </c>
      <c r="F9105" s="576" t="s">
        <v>4218</v>
      </c>
      <c r="G9105" s="576"/>
      <c r="H9105" s="215"/>
      <c r="K9105" s="56"/>
      <c r="L9105" s="56"/>
      <c r="M9105" s="56"/>
      <c r="N9105" s="56"/>
      <c r="O9105" s="56"/>
    </row>
    <row r="9106" spans="1:15">
      <c r="A9106" s="577" t="s">
        <v>4660</v>
      </c>
      <c r="B9106" s="578"/>
      <c r="C9106" s="98" t="str">
        <f>VLOOKUP(A9106,'Materiales '!$C$2:$F$1302,3,0)</f>
        <v>Und</v>
      </c>
      <c r="D9106" s="99">
        <f>VLOOKUP(A9106,'Materiales '!$C$2:$F$1302,4,0)</f>
        <v>77112</v>
      </c>
      <c r="E9106" s="100">
        <v>1</v>
      </c>
      <c r="F9106" s="538">
        <f>E9106*D9106</f>
        <v>77112</v>
      </c>
      <c r="G9106" s="539"/>
      <c r="H9106" s="121"/>
      <c r="I9106">
        <f>E9106*G9096</f>
        <v>1</v>
      </c>
      <c r="J9106" s="67"/>
      <c r="K9106" s="56"/>
      <c r="L9106" s="56"/>
      <c r="M9106" s="56"/>
      <c r="N9106" s="56"/>
      <c r="O9106" s="56"/>
    </row>
    <row r="9107" spans="1:15">
      <c r="A9107" s="577" t="s">
        <v>4639</v>
      </c>
      <c r="B9107" s="578"/>
      <c r="C9107" s="98" t="str">
        <f>VLOOKUP(A9107,'Materiales '!$C$2:$F$1302,3,0)</f>
        <v>Und</v>
      </c>
      <c r="D9107" s="99">
        <f>VLOOKUP(A9107,'Materiales '!$C$2:$F$1302,4,0)</f>
        <v>35700</v>
      </c>
      <c r="E9107" s="100">
        <v>0.3</v>
      </c>
      <c r="F9107" s="538">
        <f t="shared" ref="F9107:F9113" si="528">E9107*D9107</f>
        <v>10710</v>
      </c>
      <c r="G9107" s="539"/>
      <c r="H9107" s="121"/>
      <c r="I9107">
        <f>E9107*G9096</f>
        <v>0.3</v>
      </c>
      <c r="J9107" s="67"/>
      <c r="K9107" s="56"/>
      <c r="L9107" s="56"/>
      <c r="M9107" s="56"/>
      <c r="N9107" s="56"/>
      <c r="O9107" s="56"/>
    </row>
    <row r="9108" spans="1:15">
      <c r="A9108" s="536" t="s">
        <v>4662</v>
      </c>
      <c r="B9108" s="537" t="str">
        <f>VLOOKUP(A9108,'Materiales '!$C$2:$F$1302,3,0)</f>
        <v>Und</v>
      </c>
      <c r="C9108" s="98" t="str">
        <f>VLOOKUP(A9108,'Materiales '!$C$2:$F$1302,3,0)</f>
        <v>Und</v>
      </c>
      <c r="D9108" s="99">
        <f>VLOOKUP(A9108,'Materiales '!$C$2:$F$1302,4,0)</f>
        <v>71400</v>
      </c>
      <c r="E9108" s="100">
        <v>1</v>
      </c>
      <c r="F9108" s="538">
        <f t="shared" si="528"/>
        <v>71400</v>
      </c>
      <c r="G9108" s="539"/>
      <c r="H9108" s="121"/>
      <c r="I9108">
        <f>E9108*G9096</f>
        <v>1</v>
      </c>
      <c r="J9108" s="68"/>
      <c r="K9108" s="56"/>
      <c r="L9108" s="56"/>
      <c r="M9108" s="56"/>
      <c r="N9108" s="56"/>
      <c r="O9108" s="56"/>
    </row>
    <row r="9109" spans="1:15">
      <c r="A9109" s="536" t="s">
        <v>4663</v>
      </c>
      <c r="B9109" s="537" t="str">
        <f>VLOOKUP(A9109,'Materiales '!$C$2:$F$1302,3,0)</f>
        <v>Und</v>
      </c>
      <c r="C9109" s="98" t="str">
        <f>VLOOKUP(A9109,'Materiales '!$C$2:$F$1302,3,0)</f>
        <v>Und</v>
      </c>
      <c r="D9109" s="99">
        <f>VLOOKUP(A9109,'Materiales '!$C$2:$F$1302,4,0)</f>
        <v>111384</v>
      </c>
      <c r="E9109" s="100">
        <v>1</v>
      </c>
      <c r="F9109" s="538">
        <f t="shared" si="528"/>
        <v>111384</v>
      </c>
      <c r="G9109" s="539"/>
      <c r="H9109" s="121"/>
      <c r="I9109">
        <f>E9109*G9096</f>
        <v>1</v>
      </c>
      <c r="J9109" s="68"/>
      <c r="K9109" s="56"/>
      <c r="L9109" s="56"/>
      <c r="M9109" s="56"/>
      <c r="N9109" s="56"/>
      <c r="O9109" s="56"/>
    </row>
    <row r="9110" spans="1:15">
      <c r="A9110" s="536" t="s">
        <v>8</v>
      </c>
      <c r="B9110" s="537" t="str">
        <f>VLOOKUP(A9110,'Materiales '!$C$2:$F$1302,3,0)</f>
        <v>-</v>
      </c>
      <c r="C9110" s="98" t="str">
        <f>VLOOKUP(A9110,'Materiales '!$C$2:$F$1302,3,0)</f>
        <v>-</v>
      </c>
      <c r="D9110" s="99">
        <f>VLOOKUP(A9110,'Materiales '!$C$2:$F$1302,4,0)</f>
        <v>0</v>
      </c>
      <c r="E9110" s="100"/>
      <c r="F9110" s="538">
        <f t="shared" si="528"/>
        <v>0</v>
      </c>
      <c r="G9110" s="539"/>
      <c r="H9110" s="121"/>
      <c r="I9110">
        <f>E9110*G9096</f>
        <v>0</v>
      </c>
      <c r="J9110" s="68"/>
      <c r="K9110" s="56"/>
      <c r="L9110" s="56"/>
      <c r="M9110" s="56"/>
      <c r="N9110" s="56"/>
      <c r="O9110" s="56"/>
    </row>
    <row r="9111" spans="1:15">
      <c r="A9111" s="536" t="s">
        <v>8</v>
      </c>
      <c r="B9111" s="537" t="str">
        <f>VLOOKUP(A9111,'Materiales '!$C$2:$F$1302,3,0)</f>
        <v>-</v>
      </c>
      <c r="C9111" s="98" t="str">
        <f>VLOOKUP(A9111,'Materiales '!$C$2:$F$1302,3,0)</f>
        <v>-</v>
      </c>
      <c r="D9111" s="99">
        <f>VLOOKUP(A9111,'Materiales '!$C$2:$F$1302,4,0)</f>
        <v>0</v>
      </c>
      <c r="E9111" s="100"/>
      <c r="F9111" s="538">
        <f t="shared" si="528"/>
        <v>0</v>
      </c>
      <c r="G9111" s="539"/>
      <c r="H9111" s="121"/>
      <c r="I9111">
        <f>E9111*G9096</f>
        <v>0</v>
      </c>
      <c r="J9111" s="68"/>
      <c r="K9111" s="56"/>
      <c r="L9111" s="56"/>
      <c r="M9111" s="56"/>
      <c r="N9111" s="56"/>
      <c r="O9111" s="56"/>
    </row>
    <row r="9112" spans="1:15">
      <c r="A9112" s="536" t="s">
        <v>8</v>
      </c>
      <c r="B9112" s="537" t="str">
        <f>VLOOKUP(A9112,'Materiales '!$C$2:$F$1302,3,0)</f>
        <v>-</v>
      </c>
      <c r="C9112" s="98" t="str">
        <f>VLOOKUP(A9112,'Materiales '!$C$2:$F$1302,3,0)</f>
        <v>-</v>
      </c>
      <c r="D9112" s="99">
        <f>VLOOKUP(A9112,'Materiales '!$C$2:$F$1302,4,0)</f>
        <v>0</v>
      </c>
      <c r="E9112" s="100"/>
      <c r="F9112" s="538">
        <f t="shared" si="528"/>
        <v>0</v>
      </c>
      <c r="G9112" s="539"/>
      <c r="H9112" s="121"/>
      <c r="I9112">
        <f>E9112*G9096</f>
        <v>0</v>
      </c>
      <c r="J9112" s="68"/>
      <c r="K9112" s="56"/>
      <c r="L9112" s="56"/>
      <c r="M9112" s="56"/>
      <c r="N9112" s="56"/>
      <c r="O9112" s="56"/>
    </row>
    <row r="9113" spans="1:15" ht="21.75" customHeight="1">
      <c r="A9113" s="536" t="s">
        <v>8</v>
      </c>
      <c r="B9113" s="537" t="str">
        <f>VLOOKUP(A9113,'Materiales '!$C$2:$F$1302,3,0)</f>
        <v>-</v>
      </c>
      <c r="C9113" s="98" t="str">
        <f>VLOOKUP(A9113,'Materiales '!$C$2:$F$1302,3,0)</f>
        <v>-</v>
      </c>
      <c r="D9113" s="99">
        <f>VLOOKUP(A9113,'Materiales '!$C$2:$F$1302,4,0)</f>
        <v>0</v>
      </c>
      <c r="E9113" s="100"/>
      <c r="F9113" s="538">
        <f t="shared" si="528"/>
        <v>0</v>
      </c>
      <c r="G9113" s="539"/>
      <c r="H9113" s="121"/>
      <c r="I9113">
        <f>E9113*G9096</f>
        <v>0</v>
      </c>
      <c r="J9113" s="68"/>
      <c r="K9113" s="56"/>
      <c r="L9113" s="56"/>
      <c r="M9113" s="56"/>
      <c r="N9113" s="56"/>
      <c r="O9113" s="56"/>
    </row>
    <row r="9114" spans="1:15">
      <c r="A9114" s="536" t="s">
        <v>8</v>
      </c>
      <c r="B9114" s="537" t="str">
        <f>VLOOKUP(A9114,'Materiales '!$C$2:$F$1302,3,0)</f>
        <v>-</v>
      </c>
      <c r="C9114" s="98" t="str">
        <f>VLOOKUP(A9114,'Materiales '!$C$2:$F$1302,3,0)</f>
        <v>-</v>
      </c>
      <c r="D9114" s="99">
        <f>VLOOKUP(A9114,'Materiales '!$C$2:$F$1302,4,0)</f>
        <v>0</v>
      </c>
      <c r="E9114" s="100"/>
      <c r="F9114" s="538">
        <f>E9114*D9114</f>
        <v>0</v>
      </c>
      <c r="G9114" s="539"/>
      <c r="H9114" s="120"/>
      <c r="I9114">
        <f>E9114*G9096</f>
        <v>0</v>
      </c>
      <c r="J9114" s="68"/>
      <c r="K9114" s="56"/>
      <c r="L9114" s="56"/>
      <c r="M9114" s="56"/>
      <c r="N9114" s="56"/>
      <c r="O9114" s="56"/>
    </row>
    <row r="9115" spans="1:15">
      <c r="A9115" s="536" t="s">
        <v>8</v>
      </c>
      <c r="B9115" s="537" t="str">
        <f>VLOOKUP(A9115,'Materiales '!$C$2:$F$1302,3,0)</f>
        <v>-</v>
      </c>
      <c r="C9115" s="98" t="str">
        <f>VLOOKUP(A9115,'Materiales '!$C$2:$F$1302,3,0)</f>
        <v>-</v>
      </c>
      <c r="D9115" s="99">
        <f>VLOOKUP(A9115,'Materiales '!$C$2:$F$1302,4,0)</f>
        <v>0</v>
      </c>
      <c r="E9115" s="100"/>
      <c r="F9115" s="538">
        <f t="shared" ref="F9115:F9118" si="529">E9115*D9115</f>
        <v>0</v>
      </c>
      <c r="G9115" s="539"/>
      <c r="H9115" s="121"/>
      <c r="I9115">
        <f>E9115*G9096</f>
        <v>0</v>
      </c>
      <c r="J9115" s="68"/>
      <c r="K9115" s="56"/>
      <c r="L9115" s="56"/>
      <c r="M9115" s="56"/>
      <c r="N9115" s="56"/>
      <c r="O9115" s="56"/>
    </row>
    <row r="9116" spans="1:15">
      <c r="A9116" s="536" t="s">
        <v>8</v>
      </c>
      <c r="B9116" s="537" t="str">
        <f>VLOOKUP(A9116,'Materiales '!$C$2:$F$1302,3,0)</f>
        <v>-</v>
      </c>
      <c r="C9116" s="98" t="str">
        <f>VLOOKUP(A9116,'Materiales '!$C$2:$F$1302,3,0)</f>
        <v>-</v>
      </c>
      <c r="D9116" s="99">
        <f>VLOOKUP(A9116,'Materiales '!$C$2:$F$1302,4,0)</f>
        <v>0</v>
      </c>
      <c r="E9116" s="100"/>
      <c r="F9116" s="538">
        <f t="shared" si="529"/>
        <v>0</v>
      </c>
      <c r="G9116" s="539"/>
      <c r="H9116" s="121"/>
      <c r="I9116">
        <f>E9116*G9096</f>
        <v>0</v>
      </c>
      <c r="J9116" s="68"/>
      <c r="K9116" s="56"/>
      <c r="L9116" s="56"/>
      <c r="M9116" s="56"/>
      <c r="N9116" s="56"/>
      <c r="O9116" s="56"/>
    </row>
    <row r="9117" spans="1:15">
      <c r="A9117" s="536" t="s">
        <v>8</v>
      </c>
      <c r="B9117" s="537" t="str">
        <f>VLOOKUP(A9117,'Materiales '!$C$2:$F$1302,3,0)</f>
        <v>-</v>
      </c>
      <c r="C9117" s="98" t="str">
        <f>VLOOKUP(A9117,'Materiales '!$C$2:$F$1302,3,0)</f>
        <v>-</v>
      </c>
      <c r="D9117" s="99">
        <f>VLOOKUP(A9117,'Materiales '!$C$2:$F$1302,4,0)</f>
        <v>0</v>
      </c>
      <c r="E9117" s="100"/>
      <c r="F9117" s="538">
        <f t="shared" si="529"/>
        <v>0</v>
      </c>
      <c r="G9117" s="539"/>
      <c r="H9117" s="121"/>
      <c r="I9117">
        <f>E9117*G9096</f>
        <v>0</v>
      </c>
      <c r="J9117" s="68"/>
      <c r="K9117" s="56"/>
      <c r="L9117" s="56"/>
      <c r="M9117" s="56"/>
      <c r="N9117" s="56"/>
      <c r="O9117" s="56"/>
    </row>
    <row r="9118" spans="1:15">
      <c r="A9118" s="536" t="s">
        <v>8</v>
      </c>
      <c r="B9118" s="537" t="str">
        <f>VLOOKUP(A9118,'Materiales '!$C$2:$F$1302,3,0)</f>
        <v>-</v>
      </c>
      <c r="C9118" s="98" t="str">
        <f>VLOOKUP(A9118,'Materiales '!$C$2:$F$1302,3,0)</f>
        <v>-</v>
      </c>
      <c r="D9118" s="99">
        <f>VLOOKUP(A9118,'Materiales '!$C$2:$F$1302,4,0)</f>
        <v>0</v>
      </c>
      <c r="E9118" s="100"/>
      <c r="F9118" s="538">
        <f t="shared" si="529"/>
        <v>0</v>
      </c>
      <c r="G9118" s="539"/>
      <c r="H9118" s="121"/>
      <c r="I9118">
        <f>E9118*G9096</f>
        <v>0</v>
      </c>
      <c r="J9118" s="68"/>
      <c r="K9118" s="56"/>
      <c r="L9118" s="56"/>
      <c r="M9118" s="56"/>
      <c r="N9118" s="56"/>
      <c r="O9118" s="56"/>
    </row>
    <row r="9119" spans="1:15">
      <c r="A9119" s="536" t="s">
        <v>8</v>
      </c>
      <c r="B9119" s="537" t="str">
        <f>VLOOKUP(A9119,'Materiales '!$C$2:$F$1302,3,0)</f>
        <v>-</v>
      </c>
      <c r="C9119" s="98" t="str">
        <f>VLOOKUP(A9119,'Materiales '!$C$2:$F$1302,3,0)</f>
        <v>-</v>
      </c>
      <c r="D9119" s="99">
        <f>VLOOKUP(A9119,'Materiales '!$C$2:$F$1302,4,0)</f>
        <v>0</v>
      </c>
      <c r="E9119" s="100"/>
      <c r="F9119" s="538">
        <f>E9119*D9119</f>
        <v>0</v>
      </c>
      <c r="G9119" s="539"/>
      <c r="H9119" s="120"/>
      <c r="I9119">
        <f>E9119*G9096</f>
        <v>0</v>
      </c>
      <c r="J9119" s="68"/>
      <c r="K9119" s="56"/>
      <c r="L9119" s="56"/>
      <c r="M9119" s="56"/>
      <c r="N9119" s="56"/>
      <c r="O9119" s="56"/>
    </row>
    <row r="9120" spans="1:15" ht="16.5">
      <c r="A9120" s="540" t="s">
        <v>4099</v>
      </c>
      <c r="B9120" s="541"/>
      <c r="C9120" s="541"/>
      <c r="D9120" s="541"/>
      <c r="E9120" s="541"/>
      <c r="F9120" s="541"/>
      <c r="G9120" s="542"/>
      <c r="H9120" s="116">
        <f>SUM(F9106:F9119)</f>
        <v>270606</v>
      </c>
      <c r="J9120" s="68"/>
      <c r="K9120" s="56"/>
      <c r="L9120" s="56"/>
      <c r="M9120" s="56"/>
      <c r="N9120" s="56"/>
      <c r="O9120" s="56"/>
    </row>
    <row r="9121" spans="1:15" ht="16.5">
      <c r="A9121" s="543" t="s">
        <v>4231</v>
      </c>
      <c r="B9121" s="544"/>
      <c r="C9121" s="544"/>
      <c r="D9121" s="544"/>
      <c r="E9121" s="545"/>
      <c r="F9121" s="544"/>
      <c r="G9121" s="544"/>
      <c r="H9121" s="546"/>
      <c r="J9121" s="68"/>
      <c r="K9121" s="56"/>
      <c r="L9121" s="56"/>
      <c r="M9121" s="56"/>
      <c r="N9121" s="56"/>
      <c r="O9121" s="56"/>
    </row>
    <row r="9122" spans="1:15">
      <c r="A9122" s="547" t="s">
        <v>7</v>
      </c>
      <c r="B9122" s="548"/>
      <c r="C9122" s="108" t="s">
        <v>4232</v>
      </c>
      <c r="D9122" s="107" t="s">
        <v>4233</v>
      </c>
      <c r="E9122" s="206" t="s">
        <v>4234</v>
      </c>
      <c r="F9122" s="549" t="s">
        <v>4218</v>
      </c>
      <c r="G9122" s="549"/>
      <c r="H9122" s="119"/>
      <c r="K9122" s="56"/>
      <c r="L9122" s="56"/>
      <c r="M9122" s="56"/>
      <c r="N9122" s="56"/>
      <c r="O9122" s="56"/>
    </row>
    <row r="9123" spans="1:15">
      <c r="A9123" s="550" t="s">
        <v>3928</v>
      </c>
      <c r="B9123" s="551"/>
      <c r="C9123" s="232">
        <v>1</v>
      </c>
      <c r="D9123" s="102">
        <v>0.1</v>
      </c>
      <c r="E9123" s="103">
        <f>VLOOKUP(A9123,'Equip, Herr y Transp'!$B$2:$D$218,3,0)</f>
        <v>160000</v>
      </c>
      <c r="F9123" s="552">
        <f>E9123*D9123*C9123</f>
        <v>16000</v>
      </c>
      <c r="G9123" s="553"/>
      <c r="H9123" s="117"/>
      <c r="M9123" s="56"/>
    </row>
    <row r="9124" spans="1:15" ht="16.5">
      <c r="A9124" s="554" t="s">
        <v>4216</v>
      </c>
      <c r="B9124" s="555"/>
      <c r="C9124" s="555"/>
      <c r="D9124" s="555"/>
      <c r="E9124" s="555"/>
      <c r="F9124" s="555"/>
      <c r="G9124" s="555"/>
      <c r="H9124" s="105">
        <f>F9123</f>
        <v>16000</v>
      </c>
    </row>
    <row r="9125" spans="1:15" ht="16.5">
      <c r="A9125" s="543" t="s">
        <v>4235</v>
      </c>
      <c r="B9125" s="544"/>
      <c r="C9125" s="544"/>
      <c r="D9125" s="544"/>
      <c r="E9125" s="544"/>
      <c r="F9125" s="544"/>
      <c r="G9125" s="544"/>
      <c r="H9125" s="546"/>
    </row>
    <row r="9126" spans="1:15">
      <c r="A9126" s="547" t="s">
        <v>7</v>
      </c>
      <c r="B9126" s="548"/>
      <c r="C9126" s="106" t="s">
        <v>1</v>
      </c>
      <c r="D9126" s="107" t="s">
        <v>4236</v>
      </c>
      <c r="E9126" s="108" t="s">
        <v>4215</v>
      </c>
      <c r="F9126" s="547" t="s">
        <v>5</v>
      </c>
      <c r="G9126" s="556"/>
      <c r="H9126" s="119"/>
    </row>
    <row r="9127" spans="1:15">
      <c r="A9127" s="550" t="s">
        <v>4196</v>
      </c>
      <c r="B9127" s="551"/>
      <c r="C9127" s="101">
        <v>1</v>
      </c>
      <c r="D9127" s="104">
        <f>VLOOKUP(A9127,'Mano Obra'!$B$2:$T$117,19,0)</f>
        <v>166624</v>
      </c>
      <c r="E9127" s="246">
        <f>H9089</f>
        <v>0.52080000000000004</v>
      </c>
      <c r="F9127" s="538">
        <f>E9127*D9127*C9127</f>
        <v>86777.779200000004</v>
      </c>
      <c r="G9127" s="557"/>
      <c r="H9127" s="121"/>
      <c r="I9127" s="69"/>
      <c r="J9127" s="136">
        <f>((('Mano Obra'!$M$4/30)*F9127)/D9127)*G9096</f>
        <v>5635.4703542666666</v>
      </c>
    </row>
    <row r="9128" spans="1:15">
      <c r="A9128" s="558" t="s">
        <v>4197</v>
      </c>
      <c r="B9128" s="559">
        <f>VLOOKUP(A9128,'Mano Obra'!$B$3:$D$290,2,0)</f>
        <v>2090000.0000000002</v>
      </c>
      <c r="C9128" s="101">
        <v>1</v>
      </c>
      <c r="D9128" s="104">
        <f>VLOOKUP(A9128,'Mano Obra'!$B$2:$T$117,19,0)</f>
        <v>120456</v>
      </c>
      <c r="E9128" s="246">
        <f>H9089</f>
        <v>0.52080000000000004</v>
      </c>
      <c r="F9128" s="538">
        <f t="shared" ref="F9128:F9129" si="530">E9128*D9128*C9128</f>
        <v>62733.484800000006</v>
      </c>
      <c r="G9128" s="557"/>
      <c r="H9128" s="121"/>
      <c r="J9128" s="136">
        <f>((('Mano Obra'!$M$5/30)*F9128)/D9128)*G9096</f>
        <v>5635.4703542666675</v>
      </c>
    </row>
    <row r="9129" spans="1:15">
      <c r="A9129" s="558" t="s">
        <v>4186</v>
      </c>
      <c r="B9129" s="559">
        <f>VLOOKUP(A9129,'Mano Obra'!$B$3:$D$290,2,0)</f>
        <v>1100000</v>
      </c>
      <c r="C9129" s="101">
        <v>1</v>
      </c>
      <c r="D9129" s="104">
        <f>VLOOKUP(A9129,'Mano Obra'!$B$2:$T$117,19,0)</f>
        <v>72664</v>
      </c>
      <c r="E9129" s="246">
        <f>H9089</f>
        <v>0.52080000000000004</v>
      </c>
      <c r="F9129" s="538">
        <f t="shared" si="530"/>
        <v>37843.411200000002</v>
      </c>
      <c r="G9129" s="557"/>
      <c r="H9129" s="120"/>
      <c r="J9129" s="136">
        <f>((('Mano Obra'!$M$6/30)*F9129)/D9129)*G9096</f>
        <v>5635.4703542666666</v>
      </c>
    </row>
    <row r="9130" spans="1:15" ht="16.5">
      <c r="A9130" s="560" t="s">
        <v>4101</v>
      </c>
      <c r="B9130" s="560"/>
      <c r="C9130" s="560"/>
      <c r="D9130" s="560"/>
      <c r="E9130" s="560"/>
      <c r="F9130" s="560"/>
      <c r="G9130" s="560"/>
      <c r="H9130" s="105">
        <f>SUM(F9127:F9129)</f>
        <v>187354.67520000003</v>
      </c>
      <c r="J9130" s="136"/>
    </row>
    <row r="9131" spans="1:15">
      <c r="A9131" s="227" t="s">
        <v>4237</v>
      </c>
      <c r="B9131" s="205"/>
      <c r="C9131" s="205"/>
      <c r="D9131" s="202"/>
      <c r="E9131" s="203"/>
      <c r="F9131" s="204"/>
      <c r="G9131" s="203"/>
      <c r="H9131" s="212"/>
    </row>
    <row r="9132" spans="1:15">
      <c r="A9132" s="561" t="s">
        <v>4224</v>
      </c>
      <c r="B9132" s="562"/>
      <c r="C9132" s="562"/>
      <c r="D9132" s="562"/>
      <c r="E9132" s="200"/>
      <c r="F9132" s="201" t="s">
        <v>4238</v>
      </c>
      <c r="G9132" s="200" t="s">
        <v>4239</v>
      </c>
      <c r="H9132" s="213"/>
    </row>
    <row r="9133" spans="1:15">
      <c r="A9133" s="223" t="s">
        <v>4097</v>
      </c>
      <c r="B9133" s="72"/>
      <c r="C9133" s="72"/>
      <c r="D9133" s="73"/>
      <c r="E9133" s="78"/>
      <c r="F9133" s="79">
        <v>0</v>
      </c>
      <c r="G9133" s="80">
        <f>F9133*H9097</f>
        <v>0</v>
      </c>
      <c r="H9133" s="212"/>
    </row>
    <row r="9134" spans="1:15">
      <c r="A9134" s="224" t="s">
        <v>4240</v>
      </c>
      <c r="B9134" s="81"/>
      <c r="C9134" s="81"/>
      <c r="D9134" s="82"/>
      <c r="E9134" s="78"/>
      <c r="F9134" s="79">
        <v>0</v>
      </c>
      <c r="G9134" s="80">
        <f>F9134*H9097</f>
        <v>0</v>
      </c>
      <c r="H9134" s="212"/>
    </row>
    <row r="9135" spans="1:15">
      <c r="A9135" s="224" t="s">
        <v>4</v>
      </c>
      <c r="B9135" s="81"/>
      <c r="C9135" s="81"/>
      <c r="D9135" s="82"/>
      <c r="E9135" s="78"/>
      <c r="F9135" s="79">
        <v>0</v>
      </c>
      <c r="G9135" s="80">
        <f>F9135*H9097</f>
        <v>0</v>
      </c>
      <c r="H9135" s="212"/>
    </row>
    <row r="9136" spans="1:15">
      <c r="A9136" s="225"/>
      <c r="B9136" s="83"/>
      <c r="C9136" s="75"/>
      <c r="D9136" s="84"/>
      <c r="E9136" s="85"/>
      <c r="F9136" s="86"/>
      <c r="G9136" s="87"/>
      <c r="H9136" s="214"/>
    </row>
    <row r="9137" spans="1:14">
      <c r="A9137" s="226"/>
      <c r="B9137" s="83"/>
      <c r="C9137" s="83"/>
      <c r="D9137" s="84"/>
      <c r="E9137" s="88"/>
      <c r="F9137" s="563" t="s">
        <v>4241</v>
      </c>
      <c r="G9137" s="564"/>
      <c r="H9137" s="233">
        <f>H9097+G9133+G9134+G9135</f>
        <v>495210.61719999998</v>
      </c>
    </row>
    <row r="9139" spans="1:14" ht="16.5">
      <c r="A9139" s="90"/>
      <c r="B9139" s="90"/>
      <c r="C9139" s="90"/>
      <c r="D9139" s="90"/>
      <c r="E9139" s="90"/>
      <c r="F9139" s="90"/>
      <c r="G9139" s="90"/>
      <c r="H9139" s="381"/>
    </row>
    <row r="9140" spans="1:14">
      <c r="A9140" s="579" t="s">
        <v>4225</v>
      </c>
      <c r="B9140" s="580"/>
      <c r="C9140" s="580"/>
      <c r="D9140" s="580"/>
      <c r="E9140" s="580"/>
      <c r="F9140" s="580"/>
      <c r="G9140" s="580"/>
      <c r="H9140" s="581"/>
    </row>
    <row r="9141" spans="1:14" ht="16.5">
      <c r="A9141" s="91"/>
      <c r="B9141" s="92"/>
      <c r="C9141" s="92"/>
      <c r="D9141" s="92"/>
      <c r="E9141" s="92"/>
      <c r="F9141" s="93"/>
      <c r="G9141" s="94"/>
      <c r="H9141" s="380">
        <f>ROUND((480/60)/8,4)</f>
        <v>1</v>
      </c>
      <c r="I9141" s="115"/>
    </row>
    <row r="9142" spans="1:14">
      <c r="A9142" s="582" t="s">
        <v>4220</v>
      </c>
      <c r="B9142" s="584" t="str">
        <f>COSTOS!$C$14</f>
        <v>MODERNIZACION A TECNOLOGIA LED</v>
      </c>
      <c r="C9142" s="584"/>
      <c r="D9142" s="584"/>
      <c r="E9142" s="584"/>
      <c r="F9142" s="584"/>
      <c r="G9142" s="584"/>
      <c r="H9142" s="585" t="s">
        <v>4221</v>
      </c>
    </row>
    <row r="9143" spans="1:14">
      <c r="A9143" s="583"/>
      <c r="B9143" s="584"/>
      <c r="C9143" s="584"/>
      <c r="D9143" s="584"/>
      <c r="E9143" s="584"/>
      <c r="F9143" s="584"/>
      <c r="G9143" s="584"/>
      <c r="H9143" s="585"/>
    </row>
    <row r="9144" spans="1:14">
      <c r="A9144" s="583"/>
      <c r="B9144" s="584"/>
      <c r="C9144" s="584"/>
      <c r="D9144" s="584"/>
      <c r="E9144" s="584"/>
      <c r="F9144" s="584"/>
      <c r="G9144" s="584"/>
      <c r="H9144" s="585"/>
    </row>
    <row r="9145" spans="1:14" ht="15" customHeight="1">
      <c r="A9145" s="583"/>
      <c r="B9145" s="584"/>
      <c r="C9145" s="584"/>
      <c r="D9145" s="584"/>
      <c r="E9145" s="584"/>
      <c r="F9145" s="584"/>
      <c r="G9145" s="584"/>
      <c r="H9145" s="216">
        <f ca="1">TODAY()</f>
        <v>44889</v>
      </c>
      <c r="K9145" t="s">
        <v>4391</v>
      </c>
      <c r="L9145" t="s">
        <v>4392</v>
      </c>
      <c r="M9145" t="s">
        <v>4393</v>
      </c>
      <c r="N9145" t="s">
        <v>4394</v>
      </c>
    </row>
    <row r="9146" spans="1:14" ht="60.75" customHeight="1">
      <c r="A9146" s="228" t="s">
        <v>4222</v>
      </c>
      <c r="B9146" s="565" t="str">
        <f>COSTOS!$D$16</f>
        <v>Luminarias</v>
      </c>
      <c r="C9146" s="565"/>
      <c r="D9146" s="565"/>
      <c r="E9146" s="565"/>
      <c r="F9146" s="565"/>
      <c r="G9146" s="70" t="s">
        <v>4223</v>
      </c>
      <c r="H9146" s="387">
        <v>6.2</v>
      </c>
      <c r="K9146" s="62">
        <f>H9172</f>
        <v>713552.9</v>
      </c>
      <c r="L9146" s="62">
        <f>H9182</f>
        <v>480200</v>
      </c>
      <c r="M9146" s="62">
        <f>H9155</f>
        <v>19130</v>
      </c>
      <c r="N9146" s="62">
        <f>H9176</f>
        <v>16000</v>
      </c>
    </row>
    <row r="9147" spans="1:14" ht="43.15" customHeight="1">
      <c r="A9147" s="229" t="s">
        <v>4224</v>
      </c>
      <c r="B9147" s="566" t="str">
        <f>VLOOKUP(H9146,COSTOS!C:M,2,0)</f>
        <v>Instalación y montaje de gabinete de control y medida (alimentador a red bt existente). La instalacion del gabinete es empotrada en fachada existente (ver plano)</v>
      </c>
      <c r="C9147" s="567"/>
      <c r="D9147" s="567"/>
      <c r="E9147" s="568"/>
      <c r="F9147" s="71" t="s">
        <v>0</v>
      </c>
      <c r="G9147" s="356" t="str">
        <f>VLOOKUP(H9146,COSTOS!C:M,8,0)</f>
        <v>Und</v>
      </c>
      <c r="H9147" s="276"/>
      <c r="I9147" s="306"/>
      <c r="J9147" s="308"/>
      <c r="K9147" s="308"/>
      <c r="L9147" s="308"/>
    </row>
    <row r="9148" spans="1:14">
      <c r="A9148" s="230"/>
      <c r="B9148" s="112"/>
      <c r="C9148" s="112"/>
      <c r="D9148" s="112"/>
      <c r="E9148" s="113"/>
      <c r="F9148" s="114" t="s">
        <v>1</v>
      </c>
      <c r="G9148" s="356">
        <f>VLOOKUP(H9146,COSTOS!C:M,9,0)</f>
        <v>0</v>
      </c>
      <c r="H9148" s="357"/>
      <c r="I9148" s="307"/>
    </row>
    <row r="9149" spans="1:14" ht="16.5">
      <c r="A9149" s="231" t="s">
        <v>4226</v>
      </c>
      <c r="B9149" s="75"/>
      <c r="C9149" s="75"/>
      <c r="D9149" s="76"/>
      <c r="E9149" s="209"/>
      <c r="F9149" s="210"/>
      <c r="G9149" s="211" t="s">
        <v>4227</v>
      </c>
      <c r="H9149" s="217">
        <f>H9155+H9172+H9176+H9182</f>
        <v>1228882.8999999999</v>
      </c>
    </row>
    <row r="9150" spans="1:14" ht="39">
      <c r="A9150" s="569" t="s">
        <v>4224</v>
      </c>
      <c r="B9150" s="569"/>
      <c r="C9150" s="569"/>
      <c r="D9150" s="77" t="s">
        <v>0</v>
      </c>
      <c r="E9150" s="207" t="s">
        <v>4228</v>
      </c>
      <c r="F9150" s="208" t="s">
        <v>4215</v>
      </c>
      <c r="G9150" s="74" t="s">
        <v>2</v>
      </c>
      <c r="H9150" s="218" t="s">
        <v>4229</v>
      </c>
      <c r="K9150" s="309"/>
    </row>
    <row r="9151" spans="1:14">
      <c r="A9151" s="536" t="s">
        <v>3946</v>
      </c>
      <c r="B9151" s="570" t="str">
        <f>VLOOKUP(A9151,'Equip, Herr y Transp'!$B$2:$D$739,2,0)</f>
        <v>EQU</v>
      </c>
      <c r="C9151" s="570"/>
      <c r="D9151" s="95" t="str">
        <f>VLOOKUP(A9151,'Equip, Herr y Transp'!$B$2:$D$218,2,0)</f>
        <v>EQU</v>
      </c>
      <c r="E9151" s="95">
        <f>VLOOKUP(A9151,'Equip, Herr y Transp'!$B$2:$D$218,3,0)</f>
        <v>14130</v>
      </c>
      <c r="F9151" s="96">
        <f>H9141</f>
        <v>1</v>
      </c>
      <c r="G9151" s="122">
        <f>F9151*E9151</f>
        <v>14130</v>
      </c>
      <c r="H9151" s="118"/>
    </row>
    <row r="9152" spans="1:14">
      <c r="A9152" s="536" t="s">
        <v>3909</v>
      </c>
      <c r="B9152" s="570" t="str">
        <f>VLOOKUP(A9152,'Equip, Herr y Transp'!$B$2:$D$739,2,0)</f>
        <v>ELEC</v>
      </c>
      <c r="C9152" s="570"/>
      <c r="D9152" s="95" t="str">
        <f>VLOOKUP(A9152,'Equip, Herr y Transp'!$B$2:$D$218,2,0)</f>
        <v>ELEC</v>
      </c>
      <c r="E9152" s="95">
        <f>VLOOKUP(A9152,'Equip, Herr y Transp'!$B$2:$D$218,3,0)</f>
        <v>5000</v>
      </c>
      <c r="F9152" s="96">
        <f>H9141</f>
        <v>1</v>
      </c>
      <c r="G9152" s="122">
        <f>F9152*E9152</f>
        <v>5000</v>
      </c>
      <c r="H9152" s="117"/>
    </row>
    <row r="9153" spans="1:15">
      <c r="A9153" s="536" t="s">
        <v>8</v>
      </c>
      <c r="B9153" s="570">
        <f>VLOOKUP(A9153,'Equip, Herr y Transp'!$B$2:$D$739,2,0)</f>
        <v>0</v>
      </c>
      <c r="C9153" s="570"/>
      <c r="D9153" s="95">
        <f>VLOOKUP(A9153,'Equip, Herr y Transp'!$B$2:$D$218,2,0)</f>
        <v>0</v>
      </c>
      <c r="E9153" s="95">
        <f>VLOOKUP(A9153,'Equip, Herr y Transp'!$B$2:$D$218,3,0)</f>
        <v>0</v>
      </c>
      <c r="F9153" s="96">
        <f>H9141</f>
        <v>1</v>
      </c>
      <c r="G9153" s="122">
        <f>F9153*E9153</f>
        <v>0</v>
      </c>
      <c r="H9153" s="117"/>
    </row>
    <row r="9154" spans="1:15">
      <c r="A9154" s="536" t="s">
        <v>8</v>
      </c>
      <c r="B9154" s="570">
        <f>VLOOKUP(A9154,'Equip, Herr y Transp'!$B$2:$D$739,2,0)</f>
        <v>0</v>
      </c>
      <c r="C9154" s="570"/>
      <c r="D9154" s="95">
        <f>VLOOKUP(A9154,'Equip, Herr y Transp'!$B$2:$D$218,2,0)</f>
        <v>0</v>
      </c>
      <c r="E9154" s="95">
        <f>VLOOKUP(A9154,'Equip, Herr y Transp'!$B$2:$D$218,3,0)</f>
        <v>0</v>
      </c>
      <c r="F9154" s="96">
        <f>H9141</f>
        <v>1</v>
      </c>
      <c r="G9154" s="122">
        <f>F9154*E9154</f>
        <v>0</v>
      </c>
      <c r="H9154" s="117"/>
    </row>
    <row r="9155" spans="1:15" ht="16.5">
      <c r="A9155" s="540" t="s">
        <v>4100</v>
      </c>
      <c r="B9155" s="541"/>
      <c r="C9155" s="541"/>
      <c r="D9155" s="541"/>
      <c r="E9155" s="541"/>
      <c r="F9155" s="541"/>
      <c r="G9155" s="541"/>
      <c r="H9155" s="97">
        <f>SUM(G9151:G9154)</f>
        <v>19130</v>
      </c>
    </row>
    <row r="9156" spans="1:15" ht="16.5">
      <c r="A9156" s="571" t="s">
        <v>4230</v>
      </c>
      <c r="B9156" s="572"/>
      <c r="C9156" s="572"/>
      <c r="D9156" s="572"/>
      <c r="E9156" s="572"/>
      <c r="F9156" s="572"/>
      <c r="G9156" s="572"/>
      <c r="H9156" s="573"/>
      <c r="K9156" s="56"/>
      <c r="L9156" s="56"/>
      <c r="M9156" s="56"/>
      <c r="N9156" s="56"/>
      <c r="O9156" s="56"/>
    </row>
    <row r="9157" spans="1:15" ht="30" customHeight="1">
      <c r="A9157" s="574" t="s">
        <v>7</v>
      </c>
      <c r="B9157" s="575"/>
      <c r="C9157" s="109" t="s">
        <v>0</v>
      </c>
      <c r="D9157" s="110" t="s">
        <v>4098</v>
      </c>
      <c r="E9157" s="111" t="s">
        <v>1</v>
      </c>
      <c r="F9157" s="576" t="s">
        <v>4218</v>
      </c>
      <c r="G9157" s="576"/>
      <c r="H9157" s="215"/>
      <c r="K9157" s="56"/>
      <c r="L9157" s="56"/>
      <c r="M9157" s="56"/>
      <c r="N9157" s="56"/>
      <c r="O9157" s="56"/>
    </row>
    <row r="9158" spans="1:15">
      <c r="A9158" s="577" t="s">
        <v>4661</v>
      </c>
      <c r="B9158" s="578"/>
      <c r="C9158" s="98" t="str">
        <f>VLOOKUP(A9158,'Materiales '!$C$2:$F$1302,3,0)</f>
        <v>Und</v>
      </c>
      <c r="D9158" s="99">
        <f>VLOOKUP(A9158,'Materiales '!$C$2:$F$1302,4,0)</f>
        <v>425544</v>
      </c>
      <c r="E9158" s="100">
        <v>1</v>
      </c>
      <c r="F9158" s="538">
        <f>E9158*D9158</f>
        <v>425544</v>
      </c>
      <c r="G9158" s="539"/>
      <c r="H9158" s="121"/>
      <c r="I9158">
        <f>E9158*G9148</f>
        <v>0</v>
      </c>
      <c r="J9158" s="67"/>
      <c r="K9158" s="56"/>
      <c r="L9158" s="56"/>
      <c r="M9158" s="56"/>
      <c r="N9158" s="56"/>
      <c r="O9158" s="56"/>
    </row>
    <row r="9159" spans="1:15">
      <c r="A9159" s="577" t="s">
        <v>4639</v>
      </c>
      <c r="B9159" s="578"/>
      <c r="C9159" s="98" t="str">
        <f>VLOOKUP(A9159,'Materiales '!$C$2:$F$1302,3,0)</f>
        <v>Und</v>
      </c>
      <c r="D9159" s="99">
        <f>VLOOKUP(A9159,'Materiales '!$C$2:$F$1302,4,0)</f>
        <v>35700</v>
      </c>
      <c r="E9159" s="100">
        <v>1</v>
      </c>
      <c r="F9159" s="538">
        <f t="shared" ref="F9159:F9165" si="531">E9159*D9159</f>
        <v>35700</v>
      </c>
      <c r="G9159" s="539"/>
      <c r="H9159" s="121"/>
      <c r="I9159">
        <f>E9159*G9148</f>
        <v>0</v>
      </c>
      <c r="J9159" s="67"/>
      <c r="K9159" s="56"/>
      <c r="L9159" s="56"/>
      <c r="M9159" s="56"/>
      <c r="N9159" s="56"/>
      <c r="O9159" s="56"/>
    </row>
    <row r="9160" spans="1:15">
      <c r="A9160" s="536" t="s">
        <v>4662</v>
      </c>
      <c r="B9160" s="537" t="str">
        <f>VLOOKUP(A9160,'Materiales '!$C$2:$F$1302,3,0)</f>
        <v>Und</v>
      </c>
      <c r="C9160" s="98" t="str">
        <f>VLOOKUP(A9160,'Materiales '!$C$2:$F$1302,3,0)</f>
        <v>Und</v>
      </c>
      <c r="D9160" s="99">
        <f>VLOOKUP(A9160,'Materiales '!$C$2:$F$1302,4,0)</f>
        <v>71400</v>
      </c>
      <c r="E9160" s="100">
        <v>1</v>
      </c>
      <c r="F9160" s="538">
        <f t="shared" si="531"/>
        <v>71400</v>
      </c>
      <c r="G9160" s="539"/>
      <c r="H9160" s="121"/>
      <c r="I9160">
        <f>E9160*G9148</f>
        <v>0</v>
      </c>
      <c r="J9160" s="68"/>
      <c r="K9160" s="56"/>
      <c r="L9160" s="56"/>
      <c r="M9160" s="56"/>
      <c r="N9160" s="56"/>
      <c r="O9160" s="56"/>
    </row>
    <row r="9161" spans="1:15">
      <c r="A9161" s="536" t="s">
        <v>4663</v>
      </c>
      <c r="B9161" s="537" t="str">
        <f>VLOOKUP(A9161,'Materiales '!$C$2:$F$1302,3,0)</f>
        <v>Und</v>
      </c>
      <c r="C9161" s="98" t="str">
        <f>VLOOKUP(A9161,'Materiales '!$C$2:$F$1302,3,0)</f>
        <v>Und</v>
      </c>
      <c r="D9161" s="99">
        <f>VLOOKUP(A9161,'Materiales '!$C$2:$F$1302,4,0)</f>
        <v>111384</v>
      </c>
      <c r="E9161" s="100">
        <v>1</v>
      </c>
      <c r="F9161" s="538">
        <f t="shared" si="531"/>
        <v>111384</v>
      </c>
      <c r="G9161" s="539"/>
      <c r="H9161" s="121"/>
      <c r="I9161">
        <f>E9161*G9148</f>
        <v>0</v>
      </c>
      <c r="J9161" s="68"/>
      <c r="K9161" s="56"/>
      <c r="L9161" s="56"/>
      <c r="M9161" s="56"/>
      <c r="N9161" s="56"/>
      <c r="O9161" s="56"/>
    </row>
    <row r="9162" spans="1:15">
      <c r="A9162" s="536" t="s">
        <v>4664</v>
      </c>
      <c r="B9162" s="537" t="str">
        <f>VLOOKUP(A9162,'Materiales '!$C$2:$F$1302,3,0)</f>
        <v>Glb</v>
      </c>
      <c r="C9162" s="98" t="str">
        <f>VLOOKUP(A9162,'Materiales '!$C$2:$F$1302,3,0)</f>
        <v>Glb</v>
      </c>
      <c r="D9162" s="99">
        <f>VLOOKUP(A9162,'Materiales '!$C$2:$F$1302,4,0)</f>
        <v>21420</v>
      </c>
      <c r="E9162" s="100">
        <v>0.5</v>
      </c>
      <c r="F9162" s="538">
        <f t="shared" si="531"/>
        <v>10710</v>
      </c>
      <c r="G9162" s="539"/>
      <c r="H9162" s="121"/>
      <c r="I9162">
        <f>E9162*G9148</f>
        <v>0</v>
      </c>
      <c r="J9162" s="68"/>
      <c r="K9162" s="56"/>
      <c r="L9162" s="56"/>
      <c r="M9162" s="56"/>
      <c r="N9162" s="56"/>
      <c r="O9162" s="56"/>
    </row>
    <row r="9163" spans="1:15">
      <c r="A9163" s="536" t="s">
        <v>4665</v>
      </c>
      <c r="B9163" s="537" t="str">
        <f>VLOOKUP(A9163,'Materiales '!$C$2:$F$1302,3,0)</f>
        <v>Und</v>
      </c>
      <c r="C9163" s="98" t="str">
        <f>VLOOKUP(A9163,'Materiales '!$C$2:$F$1302,3,0)</f>
        <v>Und</v>
      </c>
      <c r="D9163" s="99">
        <f>VLOOKUP(A9163,'Materiales '!$C$2:$F$1302,4,0)</f>
        <v>29886.000000000004</v>
      </c>
      <c r="E9163" s="100">
        <v>1</v>
      </c>
      <c r="F9163" s="538">
        <f t="shared" si="531"/>
        <v>29886.000000000004</v>
      </c>
      <c r="G9163" s="539"/>
      <c r="H9163" s="121"/>
      <c r="I9163">
        <f>E9163*G9148</f>
        <v>0</v>
      </c>
      <c r="J9163" s="68"/>
      <c r="K9163" s="56"/>
      <c r="L9163" s="56"/>
      <c r="M9163" s="56"/>
      <c r="N9163" s="56"/>
      <c r="O9163" s="56"/>
    </row>
    <row r="9164" spans="1:15">
      <c r="A9164" s="536" t="s">
        <v>4548</v>
      </c>
      <c r="B9164" s="537" t="str">
        <f>VLOOKUP(A9164,'Materiales '!$C$2:$F$1302,3,0)</f>
        <v>Und</v>
      </c>
      <c r="C9164" s="98" t="str">
        <f>VLOOKUP(A9164,'Materiales '!$C$2:$F$1302,3,0)</f>
        <v>Und</v>
      </c>
      <c r="D9164" s="99">
        <f>VLOOKUP(A9164,'Materiales '!$C$2:$F$1302,4,0)</f>
        <v>28928.9</v>
      </c>
      <c r="E9164" s="100">
        <v>1</v>
      </c>
      <c r="F9164" s="538">
        <f t="shared" si="531"/>
        <v>28928.9</v>
      </c>
      <c r="G9164" s="539"/>
      <c r="H9164" s="121"/>
      <c r="I9164">
        <f>E9164*G9148</f>
        <v>0</v>
      </c>
      <c r="J9164" s="68"/>
      <c r="K9164" s="56"/>
      <c r="L9164" s="56"/>
      <c r="M9164" s="56"/>
      <c r="N9164" s="56"/>
      <c r="O9164" s="56"/>
    </row>
    <row r="9165" spans="1:15" ht="21.75" customHeight="1">
      <c r="A9165" s="536" t="s">
        <v>8</v>
      </c>
      <c r="B9165" s="537" t="str">
        <f>VLOOKUP(A9165,'Materiales '!$C$2:$F$1302,3,0)</f>
        <v>-</v>
      </c>
      <c r="C9165" s="98" t="str">
        <f>VLOOKUP(A9165,'Materiales '!$C$2:$F$1302,3,0)</f>
        <v>-</v>
      </c>
      <c r="D9165" s="99">
        <f>VLOOKUP(A9165,'Materiales '!$C$2:$F$1302,4,0)</f>
        <v>0</v>
      </c>
      <c r="E9165" s="100"/>
      <c r="F9165" s="538">
        <f t="shared" si="531"/>
        <v>0</v>
      </c>
      <c r="G9165" s="539"/>
      <c r="H9165" s="121"/>
      <c r="I9165">
        <f>E9165*G9148</f>
        <v>0</v>
      </c>
      <c r="J9165" s="68"/>
      <c r="K9165" s="56"/>
      <c r="L9165" s="56"/>
      <c r="M9165" s="56"/>
      <c r="N9165" s="56"/>
      <c r="O9165" s="56"/>
    </row>
    <row r="9166" spans="1:15">
      <c r="A9166" s="536" t="s">
        <v>8</v>
      </c>
      <c r="B9166" s="537" t="str">
        <f>VLOOKUP(A9166,'Materiales '!$C$2:$F$1302,3,0)</f>
        <v>-</v>
      </c>
      <c r="C9166" s="98" t="str">
        <f>VLOOKUP(A9166,'Materiales '!$C$2:$F$1302,3,0)</f>
        <v>-</v>
      </c>
      <c r="D9166" s="99">
        <f>VLOOKUP(A9166,'Materiales '!$C$2:$F$1302,4,0)</f>
        <v>0</v>
      </c>
      <c r="E9166" s="100"/>
      <c r="F9166" s="538">
        <f>E9166*D9166</f>
        <v>0</v>
      </c>
      <c r="G9166" s="539"/>
      <c r="H9166" s="120"/>
      <c r="I9166">
        <f>E9166*G9148</f>
        <v>0</v>
      </c>
      <c r="J9166" s="68"/>
      <c r="K9166" s="56"/>
      <c r="L9166" s="56"/>
      <c r="M9166" s="56"/>
      <c r="N9166" s="56"/>
      <c r="O9166" s="56"/>
    </row>
    <row r="9167" spans="1:15">
      <c r="A9167" s="536" t="s">
        <v>8</v>
      </c>
      <c r="B9167" s="537" t="str">
        <f>VLOOKUP(A9167,'Materiales '!$C$2:$F$1302,3,0)</f>
        <v>-</v>
      </c>
      <c r="C9167" s="98" t="str">
        <f>VLOOKUP(A9167,'Materiales '!$C$2:$F$1302,3,0)</f>
        <v>-</v>
      </c>
      <c r="D9167" s="99">
        <f>VLOOKUP(A9167,'Materiales '!$C$2:$F$1302,4,0)</f>
        <v>0</v>
      </c>
      <c r="E9167" s="100"/>
      <c r="F9167" s="538">
        <f t="shared" ref="F9167:F9170" si="532">E9167*D9167</f>
        <v>0</v>
      </c>
      <c r="G9167" s="539"/>
      <c r="H9167" s="121"/>
      <c r="I9167">
        <f>E9167*G9148</f>
        <v>0</v>
      </c>
      <c r="J9167" s="68"/>
      <c r="K9167" s="56"/>
      <c r="L9167" s="56"/>
      <c r="M9167" s="56"/>
      <c r="N9167" s="56"/>
      <c r="O9167" s="56"/>
    </row>
    <row r="9168" spans="1:15">
      <c r="A9168" s="536" t="s">
        <v>8</v>
      </c>
      <c r="B9168" s="537" t="str">
        <f>VLOOKUP(A9168,'Materiales '!$C$2:$F$1302,3,0)</f>
        <v>-</v>
      </c>
      <c r="C9168" s="98" t="str">
        <f>VLOOKUP(A9168,'Materiales '!$C$2:$F$1302,3,0)</f>
        <v>-</v>
      </c>
      <c r="D9168" s="99">
        <f>VLOOKUP(A9168,'Materiales '!$C$2:$F$1302,4,0)</f>
        <v>0</v>
      </c>
      <c r="E9168" s="100"/>
      <c r="F9168" s="538">
        <f t="shared" si="532"/>
        <v>0</v>
      </c>
      <c r="G9168" s="539"/>
      <c r="H9168" s="121"/>
      <c r="I9168">
        <f>E9168*G9148</f>
        <v>0</v>
      </c>
      <c r="J9168" s="68"/>
      <c r="K9168" s="56"/>
      <c r="L9168" s="56"/>
      <c r="M9168" s="56"/>
      <c r="N9168" s="56"/>
      <c r="O9168" s="56"/>
    </row>
    <row r="9169" spans="1:15">
      <c r="A9169" s="536" t="s">
        <v>8</v>
      </c>
      <c r="B9169" s="537" t="str">
        <f>VLOOKUP(A9169,'Materiales '!$C$2:$F$1302,3,0)</f>
        <v>-</v>
      </c>
      <c r="C9169" s="98" t="str">
        <f>VLOOKUP(A9169,'Materiales '!$C$2:$F$1302,3,0)</f>
        <v>-</v>
      </c>
      <c r="D9169" s="99">
        <f>VLOOKUP(A9169,'Materiales '!$C$2:$F$1302,4,0)</f>
        <v>0</v>
      </c>
      <c r="E9169" s="100"/>
      <c r="F9169" s="538">
        <f t="shared" si="532"/>
        <v>0</v>
      </c>
      <c r="G9169" s="539"/>
      <c r="H9169" s="121"/>
      <c r="I9169">
        <f>E9169*G9148</f>
        <v>0</v>
      </c>
      <c r="J9169" s="68"/>
      <c r="K9169" s="56"/>
      <c r="L9169" s="56"/>
      <c r="M9169" s="56"/>
      <c r="N9169" s="56"/>
      <c r="O9169" s="56"/>
    </row>
    <row r="9170" spans="1:15">
      <c r="A9170" s="536" t="s">
        <v>8</v>
      </c>
      <c r="B9170" s="537" t="str">
        <f>VLOOKUP(A9170,'Materiales '!$C$2:$F$1302,3,0)</f>
        <v>-</v>
      </c>
      <c r="C9170" s="98" t="str">
        <f>VLOOKUP(A9170,'Materiales '!$C$2:$F$1302,3,0)</f>
        <v>-</v>
      </c>
      <c r="D9170" s="99">
        <f>VLOOKUP(A9170,'Materiales '!$C$2:$F$1302,4,0)</f>
        <v>0</v>
      </c>
      <c r="E9170" s="100"/>
      <c r="F9170" s="538">
        <f t="shared" si="532"/>
        <v>0</v>
      </c>
      <c r="G9170" s="539"/>
      <c r="H9170" s="121"/>
      <c r="I9170">
        <f>E9170*G9148</f>
        <v>0</v>
      </c>
      <c r="J9170" s="68"/>
      <c r="K9170" s="56"/>
      <c r="L9170" s="56"/>
      <c r="M9170" s="56"/>
      <c r="N9170" s="56"/>
      <c r="O9170" s="56"/>
    </row>
    <row r="9171" spans="1:15">
      <c r="A9171" s="536" t="s">
        <v>8</v>
      </c>
      <c r="B9171" s="537" t="str">
        <f>VLOOKUP(A9171,'Materiales '!$C$2:$F$1302,3,0)</f>
        <v>-</v>
      </c>
      <c r="C9171" s="98" t="str">
        <f>VLOOKUP(A9171,'Materiales '!$C$2:$F$1302,3,0)</f>
        <v>-</v>
      </c>
      <c r="D9171" s="99">
        <f>VLOOKUP(A9171,'Materiales '!$C$2:$F$1302,4,0)</f>
        <v>0</v>
      </c>
      <c r="E9171" s="100"/>
      <c r="F9171" s="538">
        <f>E9171*D9171</f>
        <v>0</v>
      </c>
      <c r="G9171" s="539"/>
      <c r="H9171" s="120"/>
      <c r="I9171">
        <f>E9171*G9148</f>
        <v>0</v>
      </c>
      <c r="J9171" s="68"/>
      <c r="K9171" s="56"/>
      <c r="L9171" s="56"/>
      <c r="M9171" s="56"/>
      <c r="N9171" s="56"/>
      <c r="O9171" s="56"/>
    </row>
    <row r="9172" spans="1:15" ht="16.5">
      <c r="A9172" s="540" t="s">
        <v>4099</v>
      </c>
      <c r="B9172" s="541"/>
      <c r="C9172" s="541"/>
      <c r="D9172" s="541"/>
      <c r="E9172" s="541"/>
      <c r="F9172" s="541"/>
      <c r="G9172" s="542"/>
      <c r="H9172" s="116">
        <f>SUM(F9158:F9171)</f>
        <v>713552.9</v>
      </c>
      <c r="J9172" s="68"/>
      <c r="K9172" s="56"/>
      <c r="L9172" s="56"/>
      <c r="M9172" s="56"/>
      <c r="N9172" s="56"/>
      <c r="O9172" s="56"/>
    </row>
    <row r="9173" spans="1:15" ht="16.5">
      <c r="A9173" s="543" t="s">
        <v>4231</v>
      </c>
      <c r="B9173" s="544"/>
      <c r="C9173" s="544"/>
      <c r="D9173" s="544"/>
      <c r="E9173" s="545"/>
      <c r="F9173" s="544"/>
      <c r="G9173" s="544"/>
      <c r="H9173" s="546"/>
      <c r="J9173" s="68"/>
      <c r="K9173" s="56"/>
      <c r="L9173" s="56"/>
      <c r="M9173" s="56"/>
      <c r="N9173" s="56"/>
      <c r="O9173" s="56"/>
    </row>
    <row r="9174" spans="1:15">
      <c r="A9174" s="547" t="s">
        <v>7</v>
      </c>
      <c r="B9174" s="548"/>
      <c r="C9174" s="108" t="s">
        <v>4232</v>
      </c>
      <c r="D9174" s="107" t="s">
        <v>4233</v>
      </c>
      <c r="E9174" s="206" t="s">
        <v>4234</v>
      </c>
      <c r="F9174" s="549" t="s">
        <v>4218</v>
      </c>
      <c r="G9174" s="549"/>
      <c r="H9174" s="119"/>
      <c r="K9174" s="56"/>
      <c r="L9174" s="56"/>
      <c r="M9174" s="56"/>
      <c r="N9174" s="56"/>
      <c r="O9174" s="56"/>
    </row>
    <row r="9175" spans="1:15">
      <c r="A9175" s="550" t="s">
        <v>3928</v>
      </c>
      <c r="B9175" s="551"/>
      <c r="C9175" s="232">
        <v>1</v>
      </c>
      <c r="D9175" s="102">
        <v>0.1</v>
      </c>
      <c r="E9175" s="103">
        <f>VLOOKUP(A9175,'Equip, Herr y Transp'!$B$2:$D$218,3,0)</f>
        <v>160000</v>
      </c>
      <c r="F9175" s="552">
        <f>E9175*D9175*C9175</f>
        <v>16000</v>
      </c>
      <c r="G9175" s="553"/>
      <c r="H9175" s="117"/>
      <c r="M9175" s="56"/>
    </row>
    <row r="9176" spans="1:15" ht="16.5">
      <c r="A9176" s="554" t="s">
        <v>4216</v>
      </c>
      <c r="B9176" s="555"/>
      <c r="C9176" s="555"/>
      <c r="D9176" s="555"/>
      <c r="E9176" s="555"/>
      <c r="F9176" s="555"/>
      <c r="G9176" s="555"/>
      <c r="H9176" s="105">
        <f>F9175</f>
        <v>16000</v>
      </c>
    </row>
    <row r="9177" spans="1:15" ht="16.5">
      <c r="A9177" s="543" t="s">
        <v>4235</v>
      </c>
      <c r="B9177" s="544"/>
      <c r="C9177" s="544"/>
      <c r="D9177" s="544"/>
      <c r="E9177" s="544"/>
      <c r="F9177" s="544"/>
      <c r="G9177" s="544"/>
      <c r="H9177" s="546"/>
    </row>
    <row r="9178" spans="1:15">
      <c r="A9178" s="547" t="s">
        <v>7</v>
      </c>
      <c r="B9178" s="548"/>
      <c r="C9178" s="106" t="s">
        <v>1</v>
      </c>
      <c r="D9178" s="107" t="s">
        <v>4236</v>
      </c>
      <c r="E9178" s="108" t="s">
        <v>4215</v>
      </c>
      <c r="F9178" s="547" t="s">
        <v>5</v>
      </c>
      <c r="G9178" s="556"/>
      <c r="H9178" s="119"/>
    </row>
    <row r="9179" spans="1:15">
      <c r="A9179" s="550" t="s">
        <v>4196</v>
      </c>
      <c r="B9179" s="551"/>
      <c r="C9179" s="101">
        <v>1</v>
      </c>
      <c r="D9179" s="104">
        <f>VLOOKUP(A9179,'Mano Obra'!$B$2:$T$117,19,0)</f>
        <v>166624</v>
      </c>
      <c r="E9179" s="246">
        <f>H9141</f>
        <v>1</v>
      </c>
      <c r="F9179" s="538">
        <f>E9179*D9179*C9179</f>
        <v>166624</v>
      </c>
      <c r="G9179" s="557"/>
      <c r="H9179" s="121"/>
      <c r="I9179" s="69"/>
      <c r="J9179" s="136">
        <f>((('Mano Obra'!$M$4/30)*F9179)/D9179)*G9148</f>
        <v>0</v>
      </c>
    </row>
    <row r="9180" spans="1:15">
      <c r="A9180" s="558" t="s">
        <v>4197</v>
      </c>
      <c r="B9180" s="559">
        <f>VLOOKUP(A9180,'Mano Obra'!$B$3:$D$290,2,0)</f>
        <v>2090000.0000000002</v>
      </c>
      <c r="C9180" s="101">
        <v>2</v>
      </c>
      <c r="D9180" s="104">
        <f>VLOOKUP(A9180,'Mano Obra'!$B$2:$T$117,19,0)</f>
        <v>120456</v>
      </c>
      <c r="E9180" s="246">
        <f>H9141</f>
        <v>1</v>
      </c>
      <c r="F9180" s="538">
        <f t="shared" ref="F9180:F9181" si="533">E9180*D9180*C9180</f>
        <v>240912</v>
      </c>
      <c r="G9180" s="557"/>
      <c r="H9180" s="121"/>
      <c r="J9180" s="136">
        <f>((('Mano Obra'!$M$5/30)*F9180)/D9180)*G9148</f>
        <v>0</v>
      </c>
    </row>
    <row r="9181" spans="1:15">
      <c r="A9181" s="558" t="s">
        <v>4186</v>
      </c>
      <c r="B9181" s="559">
        <f>VLOOKUP(A9181,'Mano Obra'!$B$3:$D$290,2,0)</f>
        <v>1100000</v>
      </c>
      <c r="C9181" s="101">
        <v>1</v>
      </c>
      <c r="D9181" s="104">
        <f>VLOOKUP(A9181,'Mano Obra'!$B$2:$T$117,19,0)</f>
        <v>72664</v>
      </c>
      <c r="E9181" s="246">
        <f>H9141</f>
        <v>1</v>
      </c>
      <c r="F9181" s="538">
        <f t="shared" si="533"/>
        <v>72664</v>
      </c>
      <c r="G9181" s="557"/>
      <c r="H9181" s="120"/>
      <c r="J9181" s="136">
        <f>((('Mano Obra'!$M$6/30)*F9181)/D9181)*G9148</f>
        <v>0</v>
      </c>
    </row>
    <row r="9182" spans="1:15" ht="16.5">
      <c r="A9182" s="560" t="s">
        <v>4101</v>
      </c>
      <c r="B9182" s="560"/>
      <c r="C9182" s="560"/>
      <c r="D9182" s="560"/>
      <c r="E9182" s="560"/>
      <c r="F9182" s="560"/>
      <c r="G9182" s="560"/>
      <c r="H9182" s="105">
        <f>SUM(F9179:F9181)</f>
        <v>480200</v>
      </c>
      <c r="J9182" s="136"/>
    </row>
    <row r="9183" spans="1:15">
      <c r="A9183" s="227" t="s">
        <v>4237</v>
      </c>
      <c r="B9183" s="205"/>
      <c r="C9183" s="205"/>
      <c r="D9183" s="202"/>
      <c r="E9183" s="203"/>
      <c r="F9183" s="204"/>
      <c r="G9183" s="203"/>
      <c r="H9183" s="212"/>
    </row>
    <row r="9184" spans="1:15">
      <c r="A9184" s="561" t="s">
        <v>4224</v>
      </c>
      <c r="B9184" s="562"/>
      <c r="C9184" s="562"/>
      <c r="D9184" s="562"/>
      <c r="E9184" s="200"/>
      <c r="F9184" s="201" t="s">
        <v>4238</v>
      </c>
      <c r="G9184" s="200" t="s">
        <v>4239</v>
      </c>
      <c r="H9184" s="213"/>
    </row>
    <row r="9185" spans="1:14">
      <c r="A9185" s="223" t="s">
        <v>4097</v>
      </c>
      <c r="B9185" s="72"/>
      <c r="C9185" s="72"/>
      <c r="D9185" s="73"/>
      <c r="E9185" s="78"/>
      <c r="F9185" s="79">
        <v>0</v>
      </c>
      <c r="G9185" s="80">
        <f>F9185*H9149</f>
        <v>0</v>
      </c>
      <c r="H9185" s="212"/>
    </row>
    <row r="9186" spans="1:14">
      <c r="A9186" s="224" t="s">
        <v>4240</v>
      </c>
      <c r="B9186" s="81"/>
      <c r="C9186" s="81"/>
      <c r="D9186" s="82"/>
      <c r="E9186" s="78"/>
      <c r="F9186" s="79">
        <v>0</v>
      </c>
      <c r="G9186" s="80">
        <f>F9186*H9149</f>
        <v>0</v>
      </c>
      <c r="H9186" s="212"/>
    </row>
    <row r="9187" spans="1:14">
      <c r="A9187" s="224" t="s">
        <v>4</v>
      </c>
      <c r="B9187" s="81"/>
      <c r="C9187" s="81"/>
      <c r="D9187" s="82"/>
      <c r="E9187" s="78"/>
      <c r="F9187" s="79">
        <v>0</v>
      </c>
      <c r="G9187" s="80">
        <f>F9187*H9149</f>
        <v>0</v>
      </c>
      <c r="H9187" s="212"/>
    </row>
    <row r="9188" spans="1:14">
      <c r="A9188" s="225"/>
      <c r="B9188" s="83"/>
      <c r="C9188" s="75"/>
      <c r="D9188" s="84"/>
      <c r="E9188" s="85"/>
      <c r="F9188" s="86"/>
      <c r="G9188" s="87"/>
      <c r="H9188" s="214"/>
    </row>
    <row r="9189" spans="1:14">
      <c r="A9189" s="226"/>
      <c r="B9189" s="83"/>
      <c r="C9189" s="83"/>
      <c r="D9189" s="84"/>
      <c r="E9189" s="88"/>
      <c r="F9189" s="563" t="s">
        <v>4241</v>
      </c>
      <c r="G9189" s="564"/>
      <c r="H9189" s="233">
        <f>H9149+G9185+G9186+G9187</f>
        <v>1228882.8999999999</v>
      </c>
    </row>
    <row r="9191" spans="1:14" ht="16.5">
      <c r="A9191" s="90"/>
      <c r="B9191" s="90"/>
      <c r="C9191" s="90"/>
      <c r="D9191" s="90"/>
      <c r="E9191" s="90"/>
      <c r="F9191" s="90"/>
      <c r="G9191" s="90"/>
      <c r="H9191" s="381"/>
    </row>
    <row r="9192" spans="1:14">
      <c r="A9192" s="579" t="s">
        <v>4225</v>
      </c>
      <c r="B9192" s="580"/>
      <c r="C9192" s="580"/>
      <c r="D9192" s="580"/>
      <c r="E9192" s="580"/>
      <c r="F9192" s="580"/>
      <c r="G9192" s="580"/>
      <c r="H9192" s="581"/>
    </row>
    <row r="9193" spans="1:14" ht="16.5">
      <c r="A9193" s="91"/>
      <c r="B9193" s="92"/>
      <c r="C9193" s="92"/>
      <c r="D9193" s="92"/>
      <c r="E9193" s="92"/>
      <c r="F9193" s="93"/>
      <c r="G9193" s="94"/>
      <c r="H9193" s="380">
        <f>ROUND((480/60)/8,4)</f>
        <v>1</v>
      </c>
      <c r="I9193" s="115"/>
    </row>
    <row r="9194" spans="1:14">
      <c r="A9194" s="582" t="s">
        <v>4220</v>
      </c>
      <c r="B9194" s="584" t="str">
        <f>COSTOS!$C$14</f>
        <v>MODERNIZACION A TECNOLOGIA LED</v>
      </c>
      <c r="C9194" s="584"/>
      <c r="D9194" s="584"/>
      <c r="E9194" s="584"/>
      <c r="F9194" s="584"/>
      <c r="G9194" s="584"/>
      <c r="H9194" s="585" t="s">
        <v>4221</v>
      </c>
    </row>
    <row r="9195" spans="1:14">
      <c r="A9195" s="583"/>
      <c r="B9195" s="584"/>
      <c r="C9195" s="584"/>
      <c r="D9195" s="584"/>
      <c r="E9195" s="584"/>
      <c r="F9195" s="584"/>
      <c r="G9195" s="584"/>
      <c r="H9195" s="585"/>
    </row>
    <row r="9196" spans="1:14">
      <c r="A9196" s="583"/>
      <c r="B9196" s="584"/>
      <c r="C9196" s="584"/>
      <c r="D9196" s="584"/>
      <c r="E9196" s="584"/>
      <c r="F9196" s="584"/>
      <c r="G9196" s="584"/>
      <c r="H9196" s="585"/>
    </row>
    <row r="9197" spans="1:14" ht="15" customHeight="1">
      <c r="A9197" s="583"/>
      <c r="B9197" s="584"/>
      <c r="C9197" s="584"/>
      <c r="D9197" s="584"/>
      <c r="E9197" s="584"/>
      <c r="F9197" s="584"/>
      <c r="G9197" s="584"/>
      <c r="H9197" s="216">
        <f ca="1">TODAY()</f>
        <v>44889</v>
      </c>
      <c r="K9197" t="s">
        <v>4391</v>
      </c>
      <c r="L9197" t="s">
        <v>4392</v>
      </c>
      <c r="M9197" t="s">
        <v>4393</v>
      </c>
      <c r="N9197" t="s">
        <v>4394</v>
      </c>
    </row>
    <row r="9198" spans="1:14" ht="60.75" customHeight="1">
      <c r="A9198" s="228" t="s">
        <v>4222</v>
      </c>
      <c r="B9198" s="565" t="str">
        <f>COSTOS!$D$16</f>
        <v>Luminarias</v>
      </c>
      <c r="C9198" s="565"/>
      <c r="D9198" s="565"/>
      <c r="E9198" s="565"/>
      <c r="F9198" s="565"/>
      <c r="G9198" s="70" t="s">
        <v>4223</v>
      </c>
      <c r="H9198" s="387">
        <v>6.3</v>
      </c>
      <c r="K9198" s="62">
        <f>H9224</f>
        <v>726122.15600000008</v>
      </c>
      <c r="L9198" s="62">
        <f>H9234</f>
        <v>480200</v>
      </c>
      <c r="M9198" s="62">
        <f>H9207</f>
        <v>45802.5</v>
      </c>
      <c r="N9198" s="62">
        <f>H9228</f>
        <v>16000</v>
      </c>
    </row>
    <row r="9199" spans="1:14" ht="43.15" customHeight="1">
      <c r="A9199" s="229" t="s">
        <v>4224</v>
      </c>
      <c r="B9199" s="566" t="str">
        <f>VLOOKUP(H9198,COSTOS!C:M,2,0)</f>
        <v>Gabinete en poste</v>
      </c>
      <c r="C9199" s="567"/>
      <c r="D9199" s="567"/>
      <c r="E9199" s="568"/>
      <c r="F9199" s="71" t="s">
        <v>0</v>
      </c>
      <c r="G9199" s="356" t="str">
        <f>VLOOKUP(H9198,COSTOS!C:M,8,0)</f>
        <v>Und</v>
      </c>
      <c r="H9199" s="276"/>
      <c r="I9199" s="306"/>
      <c r="J9199" s="308"/>
      <c r="K9199" s="308"/>
      <c r="L9199" s="308"/>
    </row>
    <row r="9200" spans="1:14">
      <c r="A9200" s="230"/>
      <c r="B9200" s="112"/>
      <c r="C9200" s="112"/>
      <c r="D9200" s="112"/>
      <c r="E9200" s="113"/>
      <c r="F9200" s="114" t="s">
        <v>1</v>
      </c>
      <c r="G9200" s="356">
        <f>VLOOKUP(H9198,COSTOS!C:M,9,0)</f>
        <v>0</v>
      </c>
      <c r="H9200" s="357"/>
      <c r="I9200" s="307"/>
    </row>
    <row r="9201" spans="1:15" ht="16.5">
      <c r="A9201" s="231" t="s">
        <v>4226</v>
      </c>
      <c r="B9201" s="75"/>
      <c r="C9201" s="75"/>
      <c r="D9201" s="76"/>
      <c r="E9201" s="209"/>
      <c r="F9201" s="210"/>
      <c r="G9201" s="211" t="s">
        <v>4227</v>
      </c>
      <c r="H9201" s="217">
        <f>H9207+H9224+H9228+H9234</f>
        <v>1268124.656</v>
      </c>
    </row>
    <row r="9202" spans="1:15" ht="39">
      <c r="A9202" s="569" t="s">
        <v>4224</v>
      </c>
      <c r="B9202" s="569"/>
      <c r="C9202" s="569"/>
      <c r="D9202" s="77" t="s">
        <v>0</v>
      </c>
      <c r="E9202" s="207" t="s">
        <v>4228</v>
      </c>
      <c r="F9202" s="208" t="s">
        <v>4215</v>
      </c>
      <c r="G9202" s="74" t="s">
        <v>2</v>
      </c>
      <c r="H9202" s="218" t="s">
        <v>4229</v>
      </c>
      <c r="K9202" s="309"/>
    </row>
    <row r="9203" spans="1:15">
      <c r="A9203" s="536" t="s">
        <v>3946</v>
      </c>
      <c r="B9203" s="570" t="str">
        <f>VLOOKUP(A9203,'Equip, Herr y Transp'!$B$2:$D$739,2,0)</f>
        <v>EQU</v>
      </c>
      <c r="C9203" s="570"/>
      <c r="D9203" s="95" t="str">
        <f>VLOOKUP(A9203,'Equip, Herr y Transp'!$B$2:$D$218,2,0)</f>
        <v>EQU</v>
      </c>
      <c r="E9203" s="95">
        <f>VLOOKUP(A9203,'Equip, Herr y Transp'!$B$2:$D$218,3,0)</f>
        <v>14130</v>
      </c>
      <c r="F9203" s="96">
        <f>H9193</f>
        <v>1</v>
      </c>
      <c r="G9203" s="122">
        <f>F9203*E9203</f>
        <v>14130</v>
      </c>
      <c r="H9203" s="118"/>
    </row>
    <row r="9204" spans="1:15">
      <c r="A9204" s="536" t="s">
        <v>3909</v>
      </c>
      <c r="B9204" s="570" t="str">
        <f>VLOOKUP(A9204,'Equip, Herr y Transp'!$B$2:$D$739,2,0)</f>
        <v>ELEC</v>
      </c>
      <c r="C9204" s="570"/>
      <c r="D9204" s="95" t="str">
        <f>VLOOKUP(A9204,'Equip, Herr y Transp'!$B$2:$D$218,2,0)</f>
        <v>ELEC</v>
      </c>
      <c r="E9204" s="95">
        <f>VLOOKUP(A9204,'Equip, Herr y Transp'!$B$2:$D$218,3,0)</f>
        <v>5000</v>
      </c>
      <c r="F9204" s="96">
        <f>H9193</f>
        <v>1</v>
      </c>
      <c r="G9204" s="122">
        <f>F9204*E9204</f>
        <v>5000</v>
      </c>
      <c r="H9204" s="117"/>
    </row>
    <row r="9205" spans="1:15">
      <c r="A9205" s="536" t="s">
        <v>3904</v>
      </c>
      <c r="B9205" s="570" t="str">
        <f>VLOOKUP(A9205,'Equip, Herr y Transp'!$B$2:$D$739,2,0)</f>
        <v>EQU</v>
      </c>
      <c r="C9205" s="570"/>
      <c r="D9205" s="95" t="str">
        <f>VLOOKUP(A9205,'Equip, Herr y Transp'!$B$2:$D$218,2,0)</f>
        <v>EQU</v>
      </c>
      <c r="E9205" s="95">
        <f>VLOOKUP(A9205,'Equip, Herr y Transp'!$B$2:$D$218,3,0)</f>
        <v>26672.5</v>
      </c>
      <c r="F9205" s="96">
        <f>H9193</f>
        <v>1</v>
      </c>
      <c r="G9205" s="122">
        <f>F9205*E9205</f>
        <v>26672.5</v>
      </c>
      <c r="H9205" s="117"/>
    </row>
    <row r="9206" spans="1:15">
      <c r="A9206" s="536" t="s">
        <v>8</v>
      </c>
      <c r="B9206" s="570">
        <f>VLOOKUP(A9206,'Equip, Herr y Transp'!$B$2:$D$739,2,0)</f>
        <v>0</v>
      </c>
      <c r="C9206" s="570"/>
      <c r="D9206" s="95">
        <f>VLOOKUP(A9206,'Equip, Herr y Transp'!$B$2:$D$218,2,0)</f>
        <v>0</v>
      </c>
      <c r="E9206" s="95">
        <f>VLOOKUP(A9206,'Equip, Herr y Transp'!$B$2:$D$218,3,0)</f>
        <v>0</v>
      </c>
      <c r="F9206" s="96">
        <f>H9193</f>
        <v>1</v>
      </c>
      <c r="G9206" s="122">
        <f>F9206*E9206</f>
        <v>0</v>
      </c>
      <c r="H9206" s="117"/>
    </row>
    <row r="9207" spans="1:15" ht="16.5">
      <c r="A9207" s="540" t="s">
        <v>4100</v>
      </c>
      <c r="B9207" s="541"/>
      <c r="C9207" s="541"/>
      <c r="D9207" s="541"/>
      <c r="E9207" s="541"/>
      <c r="F9207" s="541"/>
      <c r="G9207" s="541"/>
      <c r="H9207" s="97">
        <f>SUM(G9203:G9206)</f>
        <v>45802.5</v>
      </c>
    </row>
    <row r="9208" spans="1:15" ht="16.5">
      <c r="A9208" s="571" t="s">
        <v>4230</v>
      </c>
      <c r="B9208" s="572"/>
      <c r="C9208" s="572"/>
      <c r="D9208" s="572"/>
      <c r="E9208" s="572"/>
      <c r="F9208" s="572"/>
      <c r="G9208" s="572"/>
      <c r="H9208" s="573"/>
      <c r="K9208" s="56"/>
      <c r="L9208" s="56"/>
      <c r="M9208" s="56"/>
      <c r="N9208" s="56"/>
      <c r="O9208" s="56"/>
    </row>
    <row r="9209" spans="1:15" ht="30" customHeight="1">
      <c r="A9209" s="574" t="s">
        <v>7</v>
      </c>
      <c r="B9209" s="575"/>
      <c r="C9209" s="109" t="s">
        <v>0</v>
      </c>
      <c r="D9209" s="110" t="s">
        <v>4098</v>
      </c>
      <c r="E9209" s="111" t="s">
        <v>1</v>
      </c>
      <c r="F9209" s="576" t="s">
        <v>4218</v>
      </c>
      <c r="G9209" s="576"/>
      <c r="H9209" s="215"/>
      <c r="K9209" s="56"/>
      <c r="L9209" s="56"/>
      <c r="M9209" s="56"/>
      <c r="N9209" s="56"/>
      <c r="O9209" s="56"/>
    </row>
    <row r="9210" spans="1:15">
      <c r="A9210" s="577" t="s">
        <v>4661</v>
      </c>
      <c r="B9210" s="578"/>
      <c r="C9210" s="98" t="str">
        <f>VLOOKUP(A9210,'Materiales '!$C$2:$F$1302,3,0)</f>
        <v>Und</v>
      </c>
      <c r="D9210" s="99">
        <f>VLOOKUP(A9210,'Materiales '!$C$2:$F$1302,4,0)</f>
        <v>425544</v>
      </c>
      <c r="E9210" s="100">
        <v>1</v>
      </c>
      <c r="F9210" s="538">
        <f>E9210*D9210</f>
        <v>425544</v>
      </c>
      <c r="G9210" s="539"/>
      <c r="H9210" s="121"/>
      <c r="I9210">
        <f>E9210*G9200</f>
        <v>0</v>
      </c>
      <c r="J9210" s="67"/>
      <c r="K9210" s="56"/>
      <c r="L9210" s="56"/>
      <c r="M9210" s="56"/>
      <c r="N9210" s="56"/>
      <c r="O9210" s="56"/>
    </row>
    <row r="9211" spans="1:15">
      <c r="A9211" s="577" t="s">
        <v>4639</v>
      </c>
      <c r="B9211" s="578"/>
      <c r="C9211" s="98" t="str">
        <f>VLOOKUP(A9211,'Materiales '!$C$2:$F$1302,3,0)</f>
        <v>Und</v>
      </c>
      <c r="D9211" s="99">
        <f>VLOOKUP(A9211,'Materiales '!$C$2:$F$1302,4,0)</f>
        <v>35700</v>
      </c>
      <c r="E9211" s="100">
        <v>1</v>
      </c>
      <c r="F9211" s="538">
        <f t="shared" ref="F9211:F9217" si="534">E9211*D9211</f>
        <v>35700</v>
      </c>
      <c r="G9211" s="539"/>
      <c r="H9211" s="121"/>
      <c r="I9211">
        <f>E9211*G9200</f>
        <v>0</v>
      </c>
      <c r="J9211" s="67"/>
      <c r="K9211" s="56"/>
      <c r="L9211" s="56"/>
      <c r="M9211" s="56"/>
      <c r="N9211" s="56"/>
      <c r="O9211" s="56"/>
    </row>
    <row r="9212" spans="1:15">
      <c r="A9212" s="536" t="s">
        <v>4662</v>
      </c>
      <c r="B9212" s="537" t="str">
        <f>VLOOKUP(A9212,'Materiales '!$C$2:$F$1302,3,0)</f>
        <v>Und</v>
      </c>
      <c r="C9212" s="98" t="str">
        <f>VLOOKUP(A9212,'Materiales '!$C$2:$F$1302,3,0)</f>
        <v>Und</v>
      </c>
      <c r="D9212" s="99">
        <f>VLOOKUP(A9212,'Materiales '!$C$2:$F$1302,4,0)</f>
        <v>71400</v>
      </c>
      <c r="E9212" s="100">
        <v>1</v>
      </c>
      <c r="F9212" s="538">
        <f t="shared" si="534"/>
        <v>71400</v>
      </c>
      <c r="G9212" s="539"/>
      <c r="H9212" s="121"/>
      <c r="I9212">
        <f>E9212*G9200</f>
        <v>0</v>
      </c>
      <c r="J9212" s="68"/>
      <c r="K9212" s="56"/>
      <c r="L9212" s="56"/>
      <c r="M9212" s="56"/>
      <c r="N9212" s="56"/>
      <c r="O9212" s="56"/>
    </row>
    <row r="9213" spans="1:15">
      <c r="A9213" s="536" t="s">
        <v>4663</v>
      </c>
      <c r="B9213" s="537" t="str">
        <f>VLOOKUP(A9213,'Materiales '!$C$2:$F$1302,3,0)</f>
        <v>Und</v>
      </c>
      <c r="C9213" s="98" t="str">
        <f>VLOOKUP(A9213,'Materiales '!$C$2:$F$1302,3,0)</f>
        <v>Und</v>
      </c>
      <c r="D9213" s="99">
        <f>VLOOKUP(A9213,'Materiales '!$C$2:$F$1302,4,0)</f>
        <v>111384</v>
      </c>
      <c r="E9213" s="100">
        <v>1</v>
      </c>
      <c r="F9213" s="538">
        <f t="shared" si="534"/>
        <v>111384</v>
      </c>
      <c r="G9213" s="539"/>
      <c r="H9213" s="121"/>
      <c r="I9213">
        <f>E9213*G9200</f>
        <v>0</v>
      </c>
      <c r="J9213" s="68"/>
      <c r="K9213" s="56"/>
      <c r="L9213" s="56"/>
      <c r="M9213" s="56"/>
      <c r="N9213" s="56"/>
      <c r="O9213" s="56"/>
    </row>
    <row r="9214" spans="1:15">
      <c r="A9214" s="536" t="s">
        <v>4664</v>
      </c>
      <c r="B9214" s="537" t="str">
        <f>VLOOKUP(A9214,'Materiales '!$C$2:$F$1302,3,0)</f>
        <v>Glb</v>
      </c>
      <c r="C9214" s="98" t="str">
        <f>VLOOKUP(A9214,'Materiales '!$C$2:$F$1302,3,0)</f>
        <v>Glb</v>
      </c>
      <c r="D9214" s="99">
        <f>VLOOKUP(A9214,'Materiales '!$C$2:$F$1302,4,0)</f>
        <v>21420</v>
      </c>
      <c r="E9214" s="100">
        <v>0.5</v>
      </c>
      <c r="F9214" s="538">
        <f t="shared" si="534"/>
        <v>10710</v>
      </c>
      <c r="G9214" s="539"/>
      <c r="H9214" s="121"/>
      <c r="I9214">
        <f>E9214*G9200</f>
        <v>0</v>
      </c>
      <c r="J9214" s="68"/>
      <c r="K9214" s="56"/>
      <c r="L9214" s="56"/>
      <c r="M9214" s="56"/>
      <c r="N9214" s="56"/>
      <c r="O9214" s="56"/>
    </row>
    <row r="9215" spans="1:15">
      <c r="A9215" s="536" t="s">
        <v>4665</v>
      </c>
      <c r="B9215" s="537" t="str">
        <f>VLOOKUP(A9215,'Materiales '!$C$2:$F$1302,3,0)</f>
        <v>Und</v>
      </c>
      <c r="C9215" s="98" t="str">
        <f>VLOOKUP(A9215,'Materiales '!$C$2:$F$1302,3,0)</f>
        <v>Und</v>
      </c>
      <c r="D9215" s="99">
        <f>VLOOKUP(A9215,'Materiales '!$C$2:$F$1302,4,0)</f>
        <v>29886.000000000004</v>
      </c>
      <c r="E9215" s="100">
        <v>1</v>
      </c>
      <c r="F9215" s="538">
        <f t="shared" si="534"/>
        <v>29886.000000000004</v>
      </c>
      <c r="G9215" s="539"/>
      <c r="H9215" s="121"/>
      <c r="I9215">
        <f>E9215*G9200</f>
        <v>0</v>
      </c>
      <c r="J9215" s="68"/>
      <c r="K9215" s="56"/>
      <c r="L9215" s="56"/>
      <c r="M9215" s="56"/>
      <c r="N9215" s="56"/>
      <c r="O9215" s="56"/>
    </row>
    <row r="9216" spans="1:15">
      <c r="A9216" s="536" t="s">
        <v>4548</v>
      </c>
      <c r="B9216" s="537" t="str">
        <f>VLOOKUP(A9216,'Materiales '!$C$2:$F$1302,3,0)</f>
        <v>Und</v>
      </c>
      <c r="C9216" s="98" t="str">
        <f>VLOOKUP(A9216,'Materiales '!$C$2:$F$1302,3,0)</f>
        <v>Und</v>
      </c>
      <c r="D9216" s="99">
        <f>VLOOKUP(A9216,'Materiales '!$C$2:$F$1302,4,0)</f>
        <v>28928.9</v>
      </c>
      <c r="E9216" s="100">
        <v>1</v>
      </c>
      <c r="F9216" s="538">
        <f t="shared" si="534"/>
        <v>28928.9</v>
      </c>
      <c r="G9216" s="539"/>
      <c r="H9216" s="121"/>
      <c r="I9216">
        <f>E9216*G9200</f>
        <v>0</v>
      </c>
      <c r="J9216" s="68"/>
      <c r="K9216" s="56"/>
      <c r="L9216" s="56"/>
      <c r="M9216" s="56"/>
      <c r="N9216" s="56"/>
      <c r="O9216" s="56"/>
    </row>
    <row r="9217" spans="1:15" ht="21.75" customHeight="1">
      <c r="A9217" s="536" t="s">
        <v>4476</v>
      </c>
      <c r="B9217" s="537" t="str">
        <f>VLOOKUP(A9217,'Materiales '!$C$2:$F$1302,3,0)</f>
        <v>Ml</v>
      </c>
      <c r="C9217" s="98" t="str">
        <f>VLOOKUP(A9217,'Materiales '!$C$2:$F$1302,3,0)</f>
        <v>Ml</v>
      </c>
      <c r="D9217" s="99">
        <f>VLOOKUP(A9217,'Materiales '!$C$2:$F$1302,4,0)</f>
        <v>3732.7919999999995</v>
      </c>
      <c r="E9217" s="100">
        <v>3</v>
      </c>
      <c r="F9217" s="538">
        <f t="shared" si="534"/>
        <v>11198.375999999998</v>
      </c>
      <c r="G9217" s="539"/>
      <c r="H9217" s="121"/>
      <c r="I9217">
        <f>E9217*G9200</f>
        <v>0</v>
      </c>
      <c r="J9217" s="68"/>
      <c r="K9217" s="56"/>
      <c r="L9217" s="56"/>
      <c r="M9217" s="56"/>
      <c r="N9217" s="56"/>
      <c r="O9217" s="56"/>
    </row>
    <row r="9218" spans="1:15">
      <c r="A9218" s="536" t="s">
        <v>4540</v>
      </c>
      <c r="B9218" s="537" t="str">
        <f>VLOOKUP(A9218,'Materiales '!$C$2:$F$1302,3,0)</f>
        <v>Und</v>
      </c>
      <c r="C9218" s="98" t="str">
        <f>VLOOKUP(A9218,'Materiales '!$C$2:$F$1302,3,0)</f>
        <v>Und</v>
      </c>
      <c r="D9218" s="99">
        <f>VLOOKUP(A9218,'Materiales '!$C$2:$F$1302,4,0)</f>
        <v>685.43999999999994</v>
      </c>
      <c r="E9218" s="100">
        <v>2</v>
      </c>
      <c r="F9218" s="538">
        <f>E9218*D9218</f>
        <v>1370.8799999999999</v>
      </c>
      <c r="G9218" s="539"/>
      <c r="H9218" s="120"/>
      <c r="I9218">
        <f>E9218*G9200</f>
        <v>0</v>
      </c>
      <c r="J9218" s="68"/>
      <c r="K9218" s="56"/>
      <c r="L9218" s="56"/>
      <c r="M9218" s="56"/>
      <c r="N9218" s="56"/>
      <c r="O9218" s="56"/>
    </row>
    <row r="9219" spans="1:15">
      <c r="A9219" s="536" t="s">
        <v>8</v>
      </c>
      <c r="B9219" s="537" t="str">
        <f>VLOOKUP(A9219,'Materiales '!$C$2:$F$1302,3,0)</f>
        <v>-</v>
      </c>
      <c r="C9219" s="98" t="str">
        <f>VLOOKUP(A9219,'Materiales '!$C$2:$F$1302,3,0)</f>
        <v>-</v>
      </c>
      <c r="D9219" s="99">
        <f>VLOOKUP(A9219,'Materiales '!$C$2:$F$1302,4,0)</f>
        <v>0</v>
      </c>
      <c r="E9219" s="100"/>
      <c r="F9219" s="538">
        <f t="shared" ref="F9219:F9222" si="535">E9219*D9219</f>
        <v>0</v>
      </c>
      <c r="G9219" s="539"/>
      <c r="H9219" s="121"/>
      <c r="I9219">
        <f>E9219*G9200</f>
        <v>0</v>
      </c>
      <c r="J9219" s="68"/>
      <c r="K9219" s="56"/>
      <c r="L9219" s="56"/>
      <c r="M9219" s="56"/>
      <c r="N9219" s="56"/>
      <c r="O9219" s="56"/>
    </row>
    <row r="9220" spans="1:15">
      <c r="A9220" s="536" t="s">
        <v>8</v>
      </c>
      <c r="B9220" s="537" t="str">
        <f>VLOOKUP(A9220,'Materiales '!$C$2:$F$1302,3,0)</f>
        <v>-</v>
      </c>
      <c r="C9220" s="98" t="str">
        <f>VLOOKUP(A9220,'Materiales '!$C$2:$F$1302,3,0)</f>
        <v>-</v>
      </c>
      <c r="D9220" s="99">
        <f>VLOOKUP(A9220,'Materiales '!$C$2:$F$1302,4,0)</f>
        <v>0</v>
      </c>
      <c r="E9220" s="100"/>
      <c r="F9220" s="538">
        <f t="shared" si="535"/>
        <v>0</v>
      </c>
      <c r="G9220" s="539"/>
      <c r="H9220" s="121"/>
      <c r="I9220">
        <f>E9220*G9200</f>
        <v>0</v>
      </c>
      <c r="J9220" s="68"/>
      <c r="K9220" s="56"/>
      <c r="L9220" s="56"/>
      <c r="M9220" s="56"/>
      <c r="N9220" s="56"/>
      <c r="O9220" s="56"/>
    </row>
    <row r="9221" spans="1:15">
      <c r="A9221" s="536" t="s">
        <v>8</v>
      </c>
      <c r="B9221" s="537" t="str">
        <f>VLOOKUP(A9221,'Materiales '!$C$2:$F$1302,3,0)</f>
        <v>-</v>
      </c>
      <c r="C9221" s="98" t="str">
        <f>VLOOKUP(A9221,'Materiales '!$C$2:$F$1302,3,0)</f>
        <v>-</v>
      </c>
      <c r="D9221" s="99">
        <f>VLOOKUP(A9221,'Materiales '!$C$2:$F$1302,4,0)</f>
        <v>0</v>
      </c>
      <c r="E9221" s="100"/>
      <c r="F9221" s="538">
        <f t="shared" si="535"/>
        <v>0</v>
      </c>
      <c r="G9221" s="539"/>
      <c r="H9221" s="121"/>
      <c r="I9221">
        <f>E9221*G9200</f>
        <v>0</v>
      </c>
      <c r="J9221" s="68"/>
      <c r="K9221" s="56"/>
      <c r="L9221" s="56"/>
      <c r="M9221" s="56"/>
      <c r="N9221" s="56"/>
      <c r="O9221" s="56"/>
    </row>
    <row r="9222" spans="1:15">
      <c r="A9222" s="536" t="s">
        <v>8</v>
      </c>
      <c r="B9222" s="537" t="str">
        <f>VLOOKUP(A9222,'Materiales '!$C$2:$F$1302,3,0)</f>
        <v>-</v>
      </c>
      <c r="C9222" s="98" t="str">
        <f>VLOOKUP(A9222,'Materiales '!$C$2:$F$1302,3,0)</f>
        <v>-</v>
      </c>
      <c r="D9222" s="99">
        <f>VLOOKUP(A9222,'Materiales '!$C$2:$F$1302,4,0)</f>
        <v>0</v>
      </c>
      <c r="E9222" s="100"/>
      <c r="F9222" s="538">
        <f t="shared" si="535"/>
        <v>0</v>
      </c>
      <c r="G9222" s="539"/>
      <c r="H9222" s="121"/>
      <c r="I9222">
        <f>E9222*G9200</f>
        <v>0</v>
      </c>
      <c r="J9222" s="68"/>
      <c r="K9222" s="56"/>
      <c r="L9222" s="56"/>
      <c r="M9222" s="56"/>
      <c r="N9222" s="56"/>
      <c r="O9222" s="56"/>
    </row>
    <row r="9223" spans="1:15">
      <c r="A9223" s="536" t="s">
        <v>8</v>
      </c>
      <c r="B9223" s="537" t="str">
        <f>VLOOKUP(A9223,'Materiales '!$C$2:$F$1302,3,0)</f>
        <v>-</v>
      </c>
      <c r="C9223" s="98" t="str">
        <f>VLOOKUP(A9223,'Materiales '!$C$2:$F$1302,3,0)</f>
        <v>-</v>
      </c>
      <c r="D9223" s="99">
        <f>VLOOKUP(A9223,'Materiales '!$C$2:$F$1302,4,0)</f>
        <v>0</v>
      </c>
      <c r="E9223" s="100"/>
      <c r="F9223" s="538">
        <f>E9223*D9223</f>
        <v>0</v>
      </c>
      <c r="G9223" s="539"/>
      <c r="H9223" s="120"/>
      <c r="I9223">
        <f>E9223*G9200</f>
        <v>0</v>
      </c>
      <c r="J9223" s="68"/>
      <c r="K9223" s="56"/>
      <c r="L9223" s="56"/>
      <c r="M9223" s="56"/>
      <c r="N9223" s="56"/>
      <c r="O9223" s="56"/>
    </row>
    <row r="9224" spans="1:15" ht="16.5">
      <c r="A9224" s="540" t="s">
        <v>4099</v>
      </c>
      <c r="B9224" s="541"/>
      <c r="C9224" s="541"/>
      <c r="D9224" s="541"/>
      <c r="E9224" s="541"/>
      <c r="F9224" s="541"/>
      <c r="G9224" s="542"/>
      <c r="H9224" s="116">
        <f>SUM(F9210:F9223)</f>
        <v>726122.15600000008</v>
      </c>
      <c r="J9224" s="68"/>
      <c r="K9224" s="56"/>
      <c r="L9224" s="56"/>
      <c r="M9224" s="56"/>
      <c r="N9224" s="56"/>
      <c r="O9224" s="56"/>
    </row>
    <row r="9225" spans="1:15" ht="16.5">
      <c r="A9225" s="543" t="s">
        <v>4231</v>
      </c>
      <c r="B9225" s="544"/>
      <c r="C9225" s="544"/>
      <c r="D9225" s="544"/>
      <c r="E9225" s="545"/>
      <c r="F9225" s="544"/>
      <c r="G9225" s="544"/>
      <c r="H9225" s="546"/>
      <c r="J9225" s="68"/>
      <c r="K9225" s="56"/>
      <c r="L9225" s="56"/>
      <c r="M9225" s="56"/>
      <c r="N9225" s="56"/>
      <c r="O9225" s="56"/>
    </row>
    <row r="9226" spans="1:15">
      <c r="A9226" s="547" t="s">
        <v>7</v>
      </c>
      <c r="B9226" s="548"/>
      <c r="C9226" s="108" t="s">
        <v>4232</v>
      </c>
      <c r="D9226" s="107" t="s">
        <v>4233</v>
      </c>
      <c r="E9226" s="206" t="s">
        <v>4234</v>
      </c>
      <c r="F9226" s="549" t="s">
        <v>4218</v>
      </c>
      <c r="G9226" s="549"/>
      <c r="H9226" s="119"/>
      <c r="K9226" s="56"/>
      <c r="L9226" s="56"/>
      <c r="M9226" s="56"/>
      <c r="N9226" s="56"/>
      <c r="O9226" s="56"/>
    </row>
    <row r="9227" spans="1:15">
      <c r="A9227" s="550" t="s">
        <v>3928</v>
      </c>
      <c r="B9227" s="551"/>
      <c r="C9227" s="232">
        <v>1</v>
      </c>
      <c r="D9227" s="102">
        <v>0.1</v>
      </c>
      <c r="E9227" s="103">
        <f>VLOOKUP(A9227,'Equip, Herr y Transp'!$B$2:$D$218,3,0)</f>
        <v>160000</v>
      </c>
      <c r="F9227" s="552">
        <f>E9227*D9227*C9227</f>
        <v>16000</v>
      </c>
      <c r="G9227" s="553"/>
      <c r="H9227" s="117"/>
      <c r="M9227" s="56"/>
    </row>
    <row r="9228" spans="1:15" ht="16.5">
      <c r="A9228" s="554" t="s">
        <v>4216</v>
      </c>
      <c r="B9228" s="555"/>
      <c r="C9228" s="555"/>
      <c r="D9228" s="555"/>
      <c r="E9228" s="555"/>
      <c r="F9228" s="555"/>
      <c r="G9228" s="555"/>
      <c r="H9228" s="105">
        <f>F9227</f>
        <v>16000</v>
      </c>
    </row>
    <row r="9229" spans="1:15" ht="16.5">
      <c r="A9229" s="543" t="s">
        <v>4235</v>
      </c>
      <c r="B9229" s="544"/>
      <c r="C9229" s="544"/>
      <c r="D9229" s="544"/>
      <c r="E9229" s="544"/>
      <c r="F9229" s="544"/>
      <c r="G9229" s="544"/>
      <c r="H9229" s="546"/>
    </row>
    <row r="9230" spans="1:15">
      <c r="A9230" s="547" t="s">
        <v>7</v>
      </c>
      <c r="B9230" s="548"/>
      <c r="C9230" s="106" t="s">
        <v>1</v>
      </c>
      <c r="D9230" s="107" t="s">
        <v>4236</v>
      </c>
      <c r="E9230" s="108" t="s">
        <v>4215</v>
      </c>
      <c r="F9230" s="547" t="s">
        <v>5</v>
      </c>
      <c r="G9230" s="556"/>
      <c r="H9230" s="119"/>
    </row>
    <row r="9231" spans="1:15">
      <c r="A9231" s="550" t="s">
        <v>4196</v>
      </c>
      <c r="B9231" s="551"/>
      <c r="C9231" s="101">
        <v>1</v>
      </c>
      <c r="D9231" s="104">
        <f>VLOOKUP(A9231,'Mano Obra'!$B$2:$T$117,19,0)</f>
        <v>166624</v>
      </c>
      <c r="E9231" s="246">
        <f>H9193</f>
        <v>1</v>
      </c>
      <c r="F9231" s="538">
        <f>E9231*D9231*C9231</f>
        <v>166624</v>
      </c>
      <c r="G9231" s="557"/>
      <c r="H9231" s="121"/>
      <c r="I9231" s="69"/>
      <c r="J9231" s="136">
        <f>((('Mano Obra'!$M$4/30)*F9231)/D9231)*G9200</f>
        <v>0</v>
      </c>
    </row>
    <row r="9232" spans="1:15">
      <c r="A9232" s="558" t="s">
        <v>4197</v>
      </c>
      <c r="B9232" s="559">
        <f>VLOOKUP(A9232,'Mano Obra'!$B$3:$D$290,2,0)</f>
        <v>2090000.0000000002</v>
      </c>
      <c r="C9232" s="101">
        <v>2</v>
      </c>
      <c r="D9232" s="104">
        <f>VLOOKUP(A9232,'Mano Obra'!$B$2:$T$117,19,0)</f>
        <v>120456</v>
      </c>
      <c r="E9232" s="246">
        <f>H9193</f>
        <v>1</v>
      </c>
      <c r="F9232" s="538">
        <f t="shared" ref="F9232:F9233" si="536">E9232*D9232*C9232</f>
        <v>240912</v>
      </c>
      <c r="G9232" s="557"/>
      <c r="H9232" s="121"/>
      <c r="J9232" s="136">
        <f>((('Mano Obra'!$M$5/30)*F9232)/D9232)*G9200</f>
        <v>0</v>
      </c>
    </row>
    <row r="9233" spans="1:10">
      <c r="A9233" s="558" t="s">
        <v>4186</v>
      </c>
      <c r="B9233" s="559">
        <f>VLOOKUP(A9233,'Mano Obra'!$B$3:$D$290,2,0)</f>
        <v>1100000</v>
      </c>
      <c r="C9233" s="101">
        <v>1</v>
      </c>
      <c r="D9233" s="104">
        <f>VLOOKUP(A9233,'Mano Obra'!$B$2:$T$117,19,0)</f>
        <v>72664</v>
      </c>
      <c r="E9233" s="246">
        <f>H9193</f>
        <v>1</v>
      </c>
      <c r="F9233" s="538">
        <f t="shared" si="536"/>
        <v>72664</v>
      </c>
      <c r="G9233" s="557"/>
      <c r="H9233" s="120"/>
      <c r="J9233" s="136">
        <f>((('Mano Obra'!$M$6/30)*F9233)/D9233)*G9200</f>
        <v>0</v>
      </c>
    </row>
    <row r="9234" spans="1:10" ht="16.5">
      <c r="A9234" s="560" t="s">
        <v>4101</v>
      </c>
      <c r="B9234" s="560"/>
      <c r="C9234" s="560"/>
      <c r="D9234" s="560"/>
      <c r="E9234" s="560"/>
      <c r="F9234" s="560"/>
      <c r="G9234" s="560"/>
      <c r="H9234" s="105">
        <f>SUM(F9231:F9233)</f>
        <v>480200</v>
      </c>
      <c r="J9234" s="136"/>
    </row>
    <row r="9235" spans="1:10">
      <c r="A9235" s="227" t="s">
        <v>4237</v>
      </c>
      <c r="B9235" s="205"/>
      <c r="C9235" s="205"/>
      <c r="D9235" s="202"/>
      <c r="E9235" s="203"/>
      <c r="F9235" s="204"/>
      <c r="G9235" s="203"/>
      <c r="H9235" s="212"/>
    </row>
    <row r="9236" spans="1:10">
      <c r="A9236" s="561" t="s">
        <v>4224</v>
      </c>
      <c r="B9236" s="562"/>
      <c r="C9236" s="562"/>
      <c r="D9236" s="562"/>
      <c r="E9236" s="200"/>
      <c r="F9236" s="201" t="s">
        <v>4238</v>
      </c>
      <c r="G9236" s="200" t="s">
        <v>4239</v>
      </c>
      <c r="H9236" s="213"/>
    </row>
    <row r="9237" spans="1:10">
      <c r="A9237" s="223" t="s">
        <v>4097</v>
      </c>
      <c r="B9237" s="72"/>
      <c r="C9237" s="72"/>
      <c r="D9237" s="73"/>
      <c r="E9237" s="78"/>
      <c r="F9237" s="79">
        <v>0</v>
      </c>
      <c r="G9237" s="80">
        <f>F9237*H9201</f>
        <v>0</v>
      </c>
      <c r="H9237" s="212"/>
    </row>
    <row r="9238" spans="1:10">
      <c r="A9238" s="224" t="s">
        <v>4240</v>
      </c>
      <c r="B9238" s="81"/>
      <c r="C9238" s="81"/>
      <c r="D9238" s="82"/>
      <c r="E9238" s="78"/>
      <c r="F9238" s="79">
        <v>0</v>
      </c>
      <c r="G9238" s="80">
        <f>F9238*H9201</f>
        <v>0</v>
      </c>
      <c r="H9238" s="212"/>
    </row>
    <row r="9239" spans="1:10">
      <c r="A9239" s="224" t="s">
        <v>4</v>
      </c>
      <c r="B9239" s="81"/>
      <c r="C9239" s="81"/>
      <c r="D9239" s="82"/>
      <c r="E9239" s="78"/>
      <c r="F9239" s="79">
        <v>0</v>
      </c>
      <c r="G9239" s="80">
        <f>F9239*H9201</f>
        <v>0</v>
      </c>
      <c r="H9239" s="212"/>
    </row>
    <row r="9240" spans="1:10">
      <c r="A9240" s="225"/>
      <c r="B9240" s="83"/>
      <c r="C9240" s="75"/>
      <c r="D9240" s="84"/>
      <c r="E9240" s="85"/>
      <c r="F9240" s="86"/>
      <c r="G9240" s="87"/>
      <c r="H9240" s="214"/>
    </row>
    <row r="9241" spans="1:10">
      <c r="A9241" s="226"/>
      <c r="B9241" s="83"/>
      <c r="C9241" s="83"/>
      <c r="D9241" s="84"/>
      <c r="E9241" s="88"/>
      <c r="F9241" s="563" t="s">
        <v>4241</v>
      </c>
      <c r="G9241" s="564"/>
      <c r="H9241" s="233">
        <f>H9201+G9237+G9238+G9239</f>
        <v>1268124.656</v>
      </c>
    </row>
    <row r="9246" spans="1:10" ht="16.5">
      <c r="A9246" s="90"/>
      <c r="B9246" s="90"/>
      <c r="C9246" s="90"/>
      <c r="D9246" s="90"/>
      <c r="E9246" s="90"/>
      <c r="F9246" s="90"/>
      <c r="G9246" s="90"/>
      <c r="H9246" s="381"/>
    </row>
    <row r="9247" spans="1:10">
      <c r="A9247" s="579" t="s">
        <v>4225</v>
      </c>
      <c r="B9247" s="580"/>
      <c r="C9247" s="580"/>
      <c r="D9247" s="580"/>
      <c r="E9247" s="580"/>
      <c r="F9247" s="580"/>
      <c r="G9247" s="580"/>
      <c r="H9247" s="581"/>
    </row>
    <row r="9248" spans="1:10" ht="16.5">
      <c r="A9248" s="91"/>
      <c r="B9248" s="92"/>
      <c r="C9248" s="92"/>
      <c r="D9248" s="92"/>
      <c r="E9248" s="92"/>
      <c r="F9248" s="93"/>
      <c r="G9248" s="94"/>
      <c r="H9248" s="380">
        <f>ROUND((7/60)/8,4)</f>
        <v>1.46E-2</v>
      </c>
      <c r="I9248" s="115"/>
    </row>
    <row r="9249" spans="1:15">
      <c r="A9249" s="582" t="s">
        <v>4220</v>
      </c>
      <c r="B9249" s="584" t="str">
        <f>COSTOS!$C$14</f>
        <v>MODERNIZACION A TECNOLOGIA LED</v>
      </c>
      <c r="C9249" s="584"/>
      <c r="D9249" s="584"/>
      <c r="E9249" s="584"/>
      <c r="F9249" s="584"/>
      <c r="G9249" s="584"/>
      <c r="H9249" s="585" t="s">
        <v>4221</v>
      </c>
    </row>
    <row r="9250" spans="1:15">
      <c r="A9250" s="583"/>
      <c r="B9250" s="584"/>
      <c r="C9250" s="584"/>
      <c r="D9250" s="584"/>
      <c r="E9250" s="584"/>
      <c r="F9250" s="584"/>
      <c r="G9250" s="584"/>
      <c r="H9250" s="585"/>
    </row>
    <row r="9251" spans="1:15">
      <c r="A9251" s="583"/>
      <c r="B9251" s="584"/>
      <c r="C9251" s="584"/>
      <c r="D9251" s="584"/>
      <c r="E9251" s="584"/>
      <c r="F9251" s="584"/>
      <c r="G9251" s="584"/>
      <c r="H9251" s="585"/>
    </row>
    <row r="9252" spans="1:15" ht="15" customHeight="1">
      <c r="A9252" s="583"/>
      <c r="B9252" s="584"/>
      <c r="C9252" s="584"/>
      <c r="D9252" s="584"/>
      <c r="E9252" s="584"/>
      <c r="F9252" s="584"/>
      <c r="G9252" s="584"/>
      <c r="H9252" s="216">
        <f ca="1">TODAY()</f>
        <v>44889</v>
      </c>
      <c r="K9252" t="s">
        <v>4391</v>
      </c>
      <c r="L9252" t="s">
        <v>4392</v>
      </c>
      <c r="M9252" t="s">
        <v>4393</v>
      </c>
      <c r="N9252" t="s">
        <v>4394</v>
      </c>
    </row>
    <row r="9253" spans="1:15" ht="60.75" customHeight="1">
      <c r="A9253" s="228" t="s">
        <v>4222</v>
      </c>
      <c r="B9253" s="565" t="str">
        <f>COSTOS!$D$16</f>
        <v>Luminarias</v>
      </c>
      <c r="C9253" s="565"/>
      <c r="D9253" s="565"/>
      <c r="E9253" s="565"/>
      <c r="F9253" s="565"/>
      <c r="G9253" s="70" t="s">
        <v>4223</v>
      </c>
      <c r="H9253" s="387">
        <v>7.1</v>
      </c>
      <c r="K9253" s="62">
        <f>H9279</f>
        <v>3519.5059199999996</v>
      </c>
      <c r="L9253" s="62">
        <f>H9289</f>
        <v>7010.92</v>
      </c>
      <c r="M9253" s="62">
        <f>H9262</f>
        <v>210.49549999999999</v>
      </c>
      <c r="N9253" s="62">
        <f>H9283</f>
        <v>800</v>
      </c>
    </row>
    <row r="9254" spans="1:15" ht="43.15" customHeight="1">
      <c r="A9254" s="229" t="s">
        <v>4224</v>
      </c>
      <c r="B9254" s="566" t="str">
        <f>VLOOKUP(H9253,COSTOS!C:M,2,0)</f>
        <v>Canalizacion con un ducto 1/2" PVC x 500 mts</v>
      </c>
      <c r="C9254" s="567"/>
      <c r="D9254" s="567"/>
      <c r="E9254" s="568"/>
      <c r="F9254" s="71" t="s">
        <v>0</v>
      </c>
      <c r="G9254" s="356" t="str">
        <f>VLOOKUP(H9253,COSTOS!C:M,8,0)</f>
        <v>Ml</v>
      </c>
      <c r="H9254" s="276"/>
      <c r="I9254" s="306"/>
      <c r="J9254" s="308"/>
      <c r="K9254" s="308"/>
      <c r="L9254" s="308"/>
    </row>
    <row r="9255" spans="1:15">
      <c r="A9255" s="230"/>
      <c r="B9255" s="112"/>
      <c r="C9255" s="112"/>
      <c r="D9255" s="112"/>
      <c r="E9255" s="113"/>
      <c r="F9255" s="114" t="s">
        <v>1</v>
      </c>
      <c r="G9255" s="356">
        <f>VLOOKUP(H9253,COSTOS!C:M,9,0)</f>
        <v>0</v>
      </c>
      <c r="H9255" s="357"/>
      <c r="I9255" s="307"/>
    </row>
    <row r="9256" spans="1:15" ht="16.5">
      <c r="A9256" s="231" t="s">
        <v>4226</v>
      </c>
      <c r="B9256" s="75"/>
      <c r="C9256" s="75"/>
      <c r="D9256" s="76"/>
      <c r="E9256" s="209"/>
      <c r="F9256" s="210"/>
      <c r="G9256" s="211" t="s">
        <v>4227</v>
      </c>
      <c r="H9256" s="217">
        <f>H9262+H9279+H9283+H9289</f>
        <v>11540.921419999999</v>
      </c>
    </row>
    <row r="9257" spans="1:15" ht="39">
      <c r="A9257" s="569" t="s">
        <v>4224</v>
      </c>
      <c r="B9257" s="569"/>
      <c r="C9257" s="569"/>
      <c r="D9257" s="77" t="s">
        <v>0</v>
      </c>
      <c r="E9257" s="207" t="s">
        <v>4228</v>
      </c>
      <c r="F9257" s="208" t="s">
        <v>4215</v>
      </c>
      <c r="G9257" s="74" t="s">
        <v>2</v>
      </c>
      <c r="H9257" s="218" t="s">
        <v>4229</v>
      </c>
      <c r="K9257" s="309"/>
    </row>
    <row r="9258" spans="1:15">
      <c r="A9258" s="536" t="s">
        <v>3946</v>
      </c>
      <c r="B9258" s="570" t="str">
        <f>VLOOKUP(A9258,'Equip, Herr y Transp'!$B$2:$D$739,2,0)</f>
        <v>EQU</v>
      </c>
      <c r="C9258" s="570"/>
      <c r="D9258" s="95" t="str">
        <f>VLOOKUP(A9258,'Equip, Herr y Transp'!$B$2:$D$218,2,0)</f>
        <v>EQU</v>
      </c>
      <c r="E9258" s="95">
        <f>VLOOKUP(A9258,'Equip, Herr y Transp'!$B$2:$D$218,3,0)</f>
        <v>14130</v>
      </c>
      <c r="F9258" s="96">
        <f>H9248</f>
        <v>1.46E-2</v>
      </c>
      <c r="G9258" s="122">
        <f>F9258*E9258</f>
        <v>206.298</v>
      </c>
      <c r="H9258" s="118"/>
    </row>
    <row r="9259" spans="1:15">
      <c r="A9259" s="536" t="s">
        <v>3927</v>
      </c>
      <c r="B9259" s="570" t="str">
        <f>VLOOKUP(A9259,'Equip, Herr y Transp'!$B$2:$D$739,2,0)</f>
        <v>EQU</v>
      </c>
      <c r="C9259" s="570"/>
      <c r="D9259" s="95" t="str">
        <f>VLOOKUP(A9259,'Equip, Herr y Transp'!$B$2:$D$218,2,0)</f>
        <v>EQU</v>
      </c>
      <c r="E9259" s="95">
        <f>VLOOKUP(A9259,'Equip, Herr y Transp'!$B$2:$D$218,3,0)</f>
        <v>287.5</v>
      </c>
      <c r="F9259" s="96">
        <f>H9248</f>
        <v>1.46E-2</v>
      </c>
      <c r="G9259" s="122">
        <f>F9259*E9259</f>
        <v>4.1974999999999998</v>
      </c>
      <c r="H9259" s="117"/>
    </row>
    <row r="9260" spans="1:15">
      <c r="A9260" s="536" t="s">
        <v>8</v>
      </c>
      <c r="B9260" s="570">
        <f>VLOOKUP(A9260,'Equip, Herr y Transp'!$B$2:$D$739,2,0)</f>
        <v>0</v>
      </c>
      <c r="C9260" s="570"/>
      <c r="D9260" s="95">
        <f>VLOOKUP(A9260,'Equip, Herr y Transp'!$B$2:$D$218,2,0)</f>
        <v>0</v>
      </c>
      <c r="E9260" s="95">
        <f>VLOOKUP(A9260,'Equip, Herr y Transp'!$B$2:$D$218,3,0)</f>
        <v>0</v>
      </c>
      <c r="F9260" s="96">
        <f>H9248</f>
        <v>1.46E-2</v>
      </c>
      <c r="G9260" s="122">
        <f>F9260*E9260</f>
        <v>0</v>
      </c>
      <c r="H9260" s="117"/>
    </row>
    <row r="9261" spans="1:15">
      <c r="A9261" s="536" t="s">
        <v>8</v>
      </c>
      <c r="B9261" s="570">
        <f>VLOOKUP(A9261,'Equip, Herr y Transp'!$B$2:$D$739,2,0)</f>
        <v>0</v>
      </c>
      <c r="C9261" s="570"/>
      <c r="D9261" s="95">
        <f>VLOOKUP(A9261,'Equip, Herr y Transp'!$B$2:$D$218,2,0)</f>
        <v>0</v>
      </c>
      <c r="E9261" s="95">
        <f>VLOOKUP(A9261,'Equip, Herr y Transp'!$B$2:$D$218,3,0)</f>
        <v>0</v>
      </c>
      <c r="F9261" s="96">
        <f>H9248</f>
        <v>1.46E-2</v>
      </c>
      <c r="G9261" s="122">
        <f>F9261*E9261</f>
        <v>0</v>
      </c>
      <c r="H9261" s="117"/>
    </row>
    <row r="9262" spans="1:15" ht="16.5">
      <c r="A9262" s="540" t="s">
        <v>4100</v>
      </c>
      <c r="B9262" s="541"/>
      <c r="C9262" s="541"/>
      <c r="D9262" s="541"/>
      <c r="E9262" s="541"/>
      <c r="F9262" s="541"/>
      <c r="G9262" s="541"/>
      <c r="H9262" s="97">
        <f>SUM(G9258:G9261)</f>
        <v>210.49549999999999</v>
      </c>
    </row>
    <row r="9263" spans="1:15" ht="16.5">
      <c r="A9263" s="571" t="s">
        <v>4230</v>
      </c>
      <c r="B9263" s="572"/>
      <c r="C9263" s="572"/>
      <c r="D9263" s="572"/>
      <c r="E9263" s="572"/>
      <c r="F9263" s="572"/>
      <c r="G9263" s="572"/>
      <c r="H9263" s="573"/>
      <c r="K9263" s="56"/>
      <c r="L9263" s="56"/>
      <c r="M9263" s="56"/>
      <c r="N9263" s="56"/>
      <c r="O9263" s="56"/>
    </row>
    <row r="9264" spans="1:15" ht="30" customHeight="1">
      <c r="A9264" s="574" t="s">
        <v>7</v>
      </c>
      <c r="B9264" s="575"/>
      <c r="C9264" s="109" t="s">
        <v>0</v>
      </c>
      <c r="D9264" s="110" t="s">
        <v>4098</v>
      </c>
      <c r="E9264" s="111" t="s">
        <v>1</v>
      </c>
      <c r="F9264" s="576" t="s">
        <v>4218</v>
      </c>
      <c r="G9264" s="576"/>
      <c r="H9264" s="215"/>
      <c r="K9264" s="56"/>
      <c r="L9264" s="56"/>
      <c r="M9264" s="56"/>
      <c r="N9264" s="56"/>
      <c r="O9264" s="56"/>
    </row>
    <row r="9265" spans="1:15">
      <c r="A9265" s="577" t="s">
        <v>4706</v>
      </c>
      <c r="B9265" s="578"/>
      <c r="C9265" s="98" t="str">
        <f>VLOOKUP(A9265,'Materiales '!$C$2:$F$1302,3,0)</f>
        <v>Und</v>
      </c>
      <c r="D9265" s="99">
        <f>VLOOKUP(A9265,'Materiales '!$C$2:$F$1302,4,0)</f>
        <v>6277.4879999999994</v>
      </c>
      <c r="E9265" s="100">
        <v>0.34</v>
      </c>
      <c r="F9265" s="538">
        <f>E9265*D9265</f>
        <v>2134.3459199999998</v>
      </c>
      <c r="G9265" s="539"/>
      <c r="H9265" s="121"/>
      <c r="I9265">
        <f>E9265*G9255</f>
        <v>0</v>
      </c>
      <c r="J9265" s="67"/>
      <c r="K9265" s="56"/>
      <c r="L9265" s="56"/>
      <c r="M9265" s="56"/>
      <c r="N9265" s="56"/>
      <c r="O9265" s="56"/>
    </row>
    <row r="9266" spans="1:15">
      <c r="A9266" s="577" t="s">
        <v>4581</v>
      </c>
      <c r="B9266" s="578"/>
      <c r="C9266" s="98" t="str">
        <f>VLOOKUP(A9266,'Materiales '!$C$2:$F$1302,3,0)</f>
        <v>Und</v>
      </c>
      <c r="D9266" s="99">
        <f>VLOOKUP(A9266,'Materiales '!$C$2:$F$1302,4,0)</f>
        <v>34629</v>
      </c>
      <c r="E9266" s="100">
        <v>0.04</v>
      </c>
      <c r="F9266" s="538">
        <f t="shared" ref="F9266:F9272" si="537">E9266*D9266</f>
        <v>1385.16</v>
      </c>
      <c r="G9266" s="539"/>
      <c r="H9266" s="121"/>
      <c r="I9266">
        <f>E9266*G9255</f>
        <v>0</v>
      </c>
      <c r="J9266" s="67"/>
      <c r="K9266" s="56"/>
      <c r="L9266" s="56"/>
      <c r="M9266" s="56"/>
      <c r="N9266" s="56"/>
      <c r="O9266" s="56"/>
    </row>
    <row r="9267" spans="1:15">
      <c r="A9267" s="536" t="s">
        <v>8</v>
      </c>
      <c r="B9267" s="537" t="str">
        <f>VLOOKUP(A9267,'Materiales '!$C$2:$F$1302,3,0)</f>
        <v>-</v>
      </c>
      <c r="C9267" s="98" t="str">
        <f>VLOOKUP(A9267,'Materiales '!$C$2:$F$1302,3,0)</f>
        <v>-</v>
      </c>
      <c r="D9267" s="99">
        <f>VLOOKUP(A9267,'Materiales '!$C$2:$F$1302,4,0)</f>
        <v>0</v>
      </c>
      <c r="E9267" s="100">
        <v>1</v>
      </c>
      <c r="F9267" s="538">
        <f t="shared" si="537"/>
        <v>0</v>
      </c>
      <c r="G9267" s="539"/>
      <c r="H9267" s="121"/>
      <c r="I9267">
        <f>E9267*G9255</f>
        <v>0</v>
      </c>
      <c r="J9267" s="68"/>
      <c r="K9267" s="56"/>
      <c r="L9267" s="56"/>
      <c r="M9267" s="56"/>
      <c r="N9267" s="56"/>
      <c r="O9267" s="56"/>
    </row>
    <row r="9268" spans="1:15">
      <c r="A9268" s="536" t="s">
        <v>8</v>
      </c>
      <c r="B9268" s="537" t="str">
        <f>VLOOKUP(A9268,'Materiales '!$C$2:$F$1302,3,0)</f>
        <v>-</v>
      </c>
      <c r="C9268" s="98" t="str">
        <f>VLOOKUP(A9268,'Materiales '!$C$2:$F$1302,3,0)</f>
        <v>-</v>
      </c>
      <c r="D9268" s="99">
        <f>VLOOKUP(A9268,'Materiales '!$C$2:$F$1302,4,0)</f>
        <v>0</v>
      </c>
      <c r="E9268" s="100">
        <v>1</v>
      </c>
      <c r="F9268" s="538">
        <f t="shared" si="537"/>
        <v>0</v>
      </c>
      <c r="G9268" s="539"/>
      <c r="H9268" s="121"/>
      <c r="I9268">
        <f>E9268*G9255</f>
        <v>0</v>
      </c>
      <c r="J9268" s="68"/>
      <c r="K9268" s="56"/>
      <c r="L9268" s="56"/>
      <c r="M9268" s="56"/>
      <c r="N9268" s="56"/>
      <c r="O9268" s="56"/>
    </row>
    <row r="9269" spans="1:15">
      <c r="A9269" s="536" t="s">
        <v>8</v>
      </c>
      <c r="B9269" s="537" t="str">
        <f>VLOOKUP(A9269,'Materiales '!$C$2:$F$1302,3,0)</f>
        <v>-</v>
      </c>
      <c r="C9269" s="98" t="str">
        <f>VLOOKUP(A9269,'Materiales '!$C$2:$F$1302,3,0)</f>
        <v>-</v>
      </c>
      <c r="D9269" s="99">
        <f>VLOOKUP(A9269,'Materiales '!$C$2:$F$1302,4,0)</f>
        <v>0</v>
      </c>
      <c r="E9269" s="100">
        <v>0.5</v>
      </c>
      <c r="F9269" s="538">
        <f t="shared" si="537"/>
        <v>0</v>
      </c>
      <c r="G9269" s="539"/>
      <c r="H9269" s="121"/>
      <c r="I9269">
        <f>E9269*G9255</f>
        <v>0</v>
      </c>
      <c r="J9269" s="68"/>
      <c r="K9269" s="56"/>
      <c r="L9269" s="56"/>
      <c r="M9269" s="56"/>
      <c r="N9269" s="56"/>
      <c r="O9269" s="56"/>
    </row>
    <row r="9270" spans="1:15">
      <c r="A9270" s="536" t="s">
        <v>8</v>
      </c>
      <c r="B9270" s="537" t="str">
        <f>VLOOKUP(A9270,'Materiales '!$C$2:$F$1302,3,0)</f>
        <v>-</v>
      </c>
      <c r="C9270" s="98" t="str">
        <f>VLOOKUP(A9270,'Materiales '!$C$2:$F$1302,3,0)</f>
        <v>-</v>
      </c>
      <c r="D9270" s="99">
        <f>VLOOKUP(A9270,'Materiales '!$C$2:$F$1302,4,0)</f>
        <v>0</v>
      </c>
      <c r="E9270" s="100">
        <v>1</v>
      </c>
      <c r="F9270" s="538">
        <f t="shared" si="537"/>
        <v>0</v>
      </c>
      <c r="G9270" s="539"/>
      <c r="H9270" s="121"/>
      <c r="I9270">
        <f>E9270*G9255</f>
        <v>0</v>
      </c>
      <c r="J9270" s="68"/>
      <c r="K9270" s="56"/>
      <c r="L9270" s="56"/>
      <c r="M9270" s="56"/>
      <c r="N9270" s="56"/>
      <c r="O9270" s="56"/>
    </row>
    <row r="9271" spans="1:15">
      <c r="A9271" s="536" t="s">
        <v>8</v>
      </c>
      <c r="B9271" s="537" t="str">
        <f>VLOOKUP(A9271,'Materiales '!$C$2:$F$1302,3,0)</f>
        <v>-</v>
      </c>
      <c r="C9271" s="98" t="str">
        <f>VLOOKUP(A9271,'Materiales '!$C$2:$F$1302,3,0)</f>
        <v>-</v>
      </c>
      <c r="D9271" s="99">
        <f>VLOOKUP(A9271,'Materiales '!$C$2:$F$1302,4,0)</f>
        <v>0</v>
      </c>
      <c r="E9271" s="100">
        <v>1</v>
      </c>
      <c r="F9271" s="538">
        <f t="shared" si="537"/>
        <v>0</v>
      </c>
      <c r="G9271" s="539"/>
      <c r="H9271" s="121"/>
      <c r="I9271">
        <f>E9271*G9255</f>
        <v>0</v>
      </c>
      <c r="J9271" s="68"/>
      <c r="K9271" s="56"/>
      <c r="L9271" s="56"/>
      <c r="M9271" s="56"/>
      <c r="N9271" s="56"/>
      <c r="O9271" s="56"/>
    </row>
    <row r="9272" spans="1:15" ht="21.75" customHeight="1">
      <c r="A9272" s="536" t="s">
        <v>8</v>
      </c>
      <c r="B9272" s="537" t="str">
        <f>VLOOKUP(A9272,'Materiales '!$C$2:$F$1302,3,0)</f>
        <v>-</v>
      </c>
      <c r="C9272" s="98" t="str">
        <f>VLOOKUP(A9272,'Materiales '!$C$2:$F$1302,3,0)</f>
        <v>-</v>
      </c>
      <c r="D9272" s="99">
        <f>VLOOKUP(A9272,'Materiales '!$C$2:$F$1302,4,0)</f>
        <v>0</v>
      </c>
      <c r="E9272" s="100"/>
      <c r="F9272" s="538">
        <f t="shared" si="537"/>
        <v>0</v>
      </c>
      <c r="G9272" s="539"/>
      <c r="H9272" s="121"/>
      <c r="I9272">
        <f>E9272*G9255</f>
        <v>0</v>
      </c>
      <c r="J9272" s="68"/>
      <c r="K9272" s="56"/>
      <c r="L9272" s="56"/>
      <c r="M9272" s="56"/>
      <c r="N9272" s="56"/>
      <c r="O9272" s="56"/>
    </row>
    <row r="9273" spans="1:15">
      <c r="A9273" s="536" t="s">
        <v>8</v>
      </c>
      <c r="B9273" s="537" t="str">
        <f>VLOOKUP(A9273,'Materiales '!$C$2:$F$1302,3,0)</f>
        <v>-</v>
      </c>
      <c r="C9273" s="98" t="str">
        <f>VLOOKUP(A9273,'Materiales '!$C$2:$F$1302,3,0)</f>
        <v>-</v>
      </c>
      <c r="D9273" s="99">
        <f>VLOOKUP(A9273,'Materiales '!$C$2:$F$1302,4,0)</f>
        <v>0</v>
      </c>
      <c r="E9273" s="100"/>
      <c r="F9273" s="538">
        <f>E9273*D9273</f>
        <v>0</v>
      </c>
      <c r="G9273" s="539"/>
      <c r="H9273" s="120"/>
      <c r="I9273">
        <f>E9273*G9255</f>
        <v>0</v>
      </c>
      <c r="J9273" s="68"/>
      <c r="K9273" s="56"/>
      <c r="L9273" s="56"/>
      <c r="M9273" s="56"/>
      <c r="N9273" s="56"/>
      <c r="O9273" s="56"/>
    </row>
    <row r="9274" spans="1:15">
      <c r="A9274" s="536" t="s">
        <v>8</v>
      </c>
      <c r="B9274" s="537" t="str">
        <f>VLOOKUP(A9274,'Materiales '!$C$2:$F$1302,3,0)</f>
        <v>-</v>
      </c>
      <c r="C9274" s="98" t="str">
        <f>VLOOKUP(A9274,'Materiales '!$C$2:$F$1302,3,0)</f>
        <v>-</v>
      </c>
      <c r="D9274" s="99">
        <f>VLOOKUP(A9274,'Materiales '!$C$2:$F$1302,4,0)</f>
        <v>0</v>
      </c>
      <c r="E9274" s="100"/>
      <c r="F9274" s="538">
        <f t="shared" ref="F9274:F9277" si="538">E9274*D9274</f>
        <v>0</v>
      </c>
      <c r="G9274" s="539"/>
      <c r="H9274" s="121"/>
      <c r="I9274">
        <f>E9274*G9255</f>
        <v>0</v>
      </c>
      <c r="J9274" s="68"/>
      <c r="K9274" s="56"/>
      <c r="L9274" s="56"/>
      <c r="M9274" s="56"/>
      <c r="N9274" s="56"/>
      <c r="O9274" s="56"/>
    </row>
    <row r="9275" spans="1:15">
      <c r="A9275" s="536" t="s">
        <v>8</v>
      </c>
      <c r="B9275" s="537" t="str">
        <f>VLOOKUP(A9275,'Materiales '!$C$2:$F$1302,3,0)</f>
        <v>-</v>
      </c>
      <c r="C9275" s="98" t="str">
        <f>VLOOKUP(A9275,'Materiales '!$C$2:$F$1302,3,0)</f>
        <v>-</v>
      </c>
      <c r="D9275" s="99">
        <f>VLOOKUP(A9275,'Materiales '!$C$2:$F$1302,4,0)</f>
        <v>0</v>
      </c>
      <c r="E9275" s="100"/>
      <c r="F9275" s="538">
        <f t="shared" si="538"/>
        <v>0</v>
      </c>
      <c r="G9275" s="539"/>
      <c r="H9275" s="121"/>
      <c r="I9275">
        <f>E9275*G9255</f>
        <v>0</v>
      </c>
      <c r="J9275" s="68"/>
      <c r="K9275" s="56"/>
      <c r="L9275" s="56"/>
      <c r="M9275" s="56"/>
      <c r="N9275" s="56"/>
      <c r="O9275" s="56"/>
    </row>
    <row r="9276" spans="1:15">
      <c r="A9276" s="536" t="s">
        <v>8</v>
      </c>
      <c r="B9276" s="537" t="str">
        <f>VLOOKUP(A9276,'Materiales '!$C$2:$F$1302,3,0)</f>
        <v>-</v>
      </c>
      <c r="C9276" s="98" t="str">
        <f>VLOOKUP(A9276,'Materiales '!$C$2:$F$1302,3,0)</f>
        <v>-</v>
      </c>
      <c r="D9276" s="99">
        <f>VLOOKUP(A9276,'Materiales '!$C$2:$F$1302,4,0)</f>
        <v>0</v>
      </c>
      <c r="E9276" s="100"/>
      <c r="F9276" s="538">
        <f t="shared" si="538"/>
        <v>0</v>
      </c>
      <c r="G9276" s="539"/>
      <c r="H9276" s="121"/>
      <c r="I9276">
        <f>E9276*G9255</f>
        <v>0</v>
      </c>
      <c r="J9276" s="68"/>
      <c r="K9276" s="56"/>
      <c r="L9276" s="56"/>
      <c r="M9276" s="56"/>
      <c r="N9276" s="56"/>
      <c r="O9276" s="56"/>
    </row>
    <row r="9277" spans="1:15">
      <c r="A9277" s="536" t="s">
        <v>8</v>
      </c>
      <c r="B9277" s="537" t="str">
        <f>VLOOKUP(A9277,'Materiales '!$C$2:$F$1302,3,0)</f>
        <v>-</v>
      </c>
      <c r="C9277" s="98" t="str">
        <f>VLOOKUP(A9277,'Materiales '!$C$2:$F$1302,3,0)</f>
        <v>-</v>
      </c>
      <c r="D9277" s="99">
        <f>VLOOKUP(A9277,'Materiales '!$C$2:$F$1302,4,0)</f>
        <v>0</v>
      </c>
      <c r="E9277" s="100"/>
      <c r="F9277" s="538">
        <f t="shared" si="538"/>
        <v>0</v>
      </c>
      <c r="G9277" s="539"/>
      <c r="H9277" s="121"/>
      <c r="I9277">
        <f>E9277*G9255</f>
        <v>0</v>
      </c>
      <c r="J9277" s="68"/>
      <c r="K9277" s="56"/>
      <c r="L9277" s="56"/>
      <c r="M9277" s="56"/>
      <c r="N9277" s="56"/>
      <c r="O9277" s="56"/>
    </row>
    <row r="9278" spans="1:15">
      <c r="A9278" s="536" t="s">
        <v>8</v>
      </c>
      <c r="B9278" s="537" t="str">
        <f>VLOOKUP(A9278,'Materiales '!$C$2:$F$1302,3,0)</f>
        <v>-</v>
      </c>
      <c r="C9278" s="98" t="str">
        <f>VLOOKUP(A9278,'Materiales '!$C$2:$F$1302,3,0)</f>
        <v>-</v>
      </c>
      <c r="D9278" s="99">
        <f>VLOOKUP(A9278,'Materiales '!$C$2:$F$1302,4,0)</f>
        <v>0</v>
      </c>
      <c r="E9278" s="100"/>
      <c r="F9278" s="538">
        <f>E9278*D9278</f>
        <v>0</v>
      </c>
      <c r="G9278" s="539"/>
      <c r="H9278" s="120"/>
      <c r="I9278">
        <f>E9278*G9255</f>
        <v>0</v>
      </c>
      <c r="J9278" s="68"/>
      <c r="K9278" s="56"/>
      <c r="L9278" s="56"/>
      <c r="M9278" s="56"/>
      <c r="N9278" s="56"/>
      <c r="O9278" s="56"/>
    </row>
    <row r="9279" spans="1:15" ht="16.5">
      <c r="A9279" s="540" t="s">
        <v>4099</v>
      </c>
      <c r="B9279" s="541"/>
      <c r="C9279" s="541"/>
      <c r="D9279" s="541"/>
      <c r="E9279" s="541"/>
      <c r="F9279" s="541"/>
      <c r="G9279" s="542"/>
      <c r="H9279" s="116">
        <f>SUM(F9265:F9278)</f>
        <v>3519.5059199999996</v>
      </c>
      <c r="J9279" s="68"/>
      <c r="K9279" s="56"/>
      <c r="L9279" s="56"/>
      <c r="M9279" s="56"/>
      <c r="N9279" s="56"/>
      <c r="O9279" s="56"/>
    </row>
    <row r="9280" spans="1:15" ht="16.5">
      <c r="A9280" s="543" t="s">
        <v>4231</v>
      </c>
      <c r="B9280" s="544"/>
      <c r="C9280" s="544"/>
      <c r="D9280" s="544"/>
      <c r="E9280" s="545"/>
      <c r="F9280" s="544"/>
      <c r="G9280" s="544"/>
      <c r="H9280" s="546"/>
      <c r="J9280" s="68"/>
      <c r="K9280" s="56"/>
      <c r="L9280" s="56"/>
      <c r="M9280" s="56"/>
      <c r="N9280" s="56"/>
      <c r="O9280" s="56"/>
    </row>
    <row r="9281" spans="1:15">
      <c r="A9281" s="547" t="s">
        <v>7</v>
      </c>
      <c r="B9281" s="548"/>
      <c r="C9281" s="108" t="s">
        <v>4232</v>
      </c>
      <c r="D9281" s="107" t="s">
        <v>4233</v>
      </c>
      <c r="E9281" s="206" t="s">
        <v>4234</v>
      </c>
      <c r="F9281" s="549" t="s">
        <v>4218</v>
      </c>
      <c r="G9281" s="549"/>
      <c r="H9281" s="119"/>
      <c r="K9281" s="56"/>
      <c r="L9281" s="56"/>
      <c r="M9281" s="56"/>
      <c r="N9281" s="56"/>
      <c r="O9281" s="56"/>
    </row>
    <row r="9282" spans="1:15">
      <c r="A9282" s="550" t="s">
        <v>3928</v>
      </c>
      <c r="B9282" s="551"/>
      <c r="C9282" s="232">
        <v>1</v>
      </c>
      <c r="D9282" s="102">
        <v>5.0000000000000001E-3</v>
      </c>
      <c r="E9282" s="103">
        <f>VLOOKUP(A9282,'Equip, Herr y Transp'!$B$2:$D$218,3,0)</f>
        <v>160000</v>
      </c>
      <c r="F9282" s="552">
        <f>E9282*D9282*C9282</f>
        <v>800</v>
      </c>
      <c r="G9282" s="553"/>
      <c r="H9282" s="117"/>
      <c r="M9282" s="56"/>
    </row>
    <row r="9283" spans="1:15" ht="16.5">
      <c r="A9283" s="554" t="s">
        <v>4216</v>
      </c>
      <c r="B9283" s="555"/>
      <c r="C9283" s="555"/>
      <c r="D9283" s="555"/>
      <c r="E9283" s="555"/>
      <c r="F9283" s="555"/>
      <c r="G9283" s="555"/>
      <c r="H9283" s="105">
        <f>F9282</f>
        <v>800</v>
      </c>
    </row>
    <row r="9284" spans="1:15" ht="16.5">
      <c r="A9284" s="543" t="s">
        <v>4235</v>
      </c>
      <c r="B9284" s="544"/>
      <c r="C9284" s="544"/>
      <c r="D9284" s="544"/>
      <c r="E9284" s="544"/>
      <c r="F9284" s="544"/>
      <c r="G9284" s="544"/>
      <c r="H9284" s="546"/>
    </row>
    <row r="9285" spans="1:15">
      <c r="A9285" s="547" t="s">
        <v>7</v>
      </c>
      <c r="B9285" s="548"/>
      <c r="C9285" s="106" t="s">
        <v>1</v>
      </c>
      <c r="D9285" s="107" t="s">
        <v>4236</v>
      </c>
      <c r="E9285" s="108" t="s">
        <v>4215</v>
      </c>
      <c r="F9285" s="547" t="s">
        <v>5</v>
      </c>
      <c r="G9285" s="556"/>
      <c r="H9285" s="119"/>
    </row>
    <row r="9286" spans="1:15">
      <c r="A9286" s="550" t="s">
        <v>4196</v>
      </c>
      <c r="B9286" s="551"/>
      <c r="C9286" s="101">
        <v>1</v>
      </c>
      <c r="D9286" s="104">
        <f>VLOOKUP(A9286,'Mano Obra'!$B$2:$T$117,19,0)</f>
        <v>166624</v>
      </c>
      <c r="E9286" s="246">
        <f>H9248</f>
        <v>1.46E-2</v>
      </c>
      <c r="F9286" s="538">
        <f>E9286*D9286*C9286</f>
        <v>2432.7103999999999</v>
      </c>
      <c r="G9286" s="557"/>
      <c r="H9286" s="121"/>
      <c r="I9286" s="69"/>
      <c r="J9286" s="136">
        <f>((('Mano Obra'!$M$4/30)*F9286)/D9286)*G9255</f>
        <v>0</v>
      </c>
    </row>
    <row r="9287" spans="1:15">
      <c r="A9287" s="558" t="s">
        <v>4197</v>
      </c>
      <c r="B9287" s="559">
        <f>VLOOKUP(A9287,'Mano Obra'!$B$3:$D$290,2,0)</f>
        <v>2090000.0000000002</v>
      </c>
      <c r="C9287" s="101">
        <v>2</v>
      </c>
      <c r="D9287" s="104">
        <f>VLOOKUP(A9287,'Mano Obra'!$B$2:$T$117,19,0)</f>
        <v>120456</v>
      </c>
      <c r="E9287" s="246">
        <f>H9248</f>
        <v>1.46E-2</v>
      </c>
      <c r="F9287" s="538">
        <f t="shared" ref="F9287:F9288" si="539">E9287*D9287*C9287</f>
        <v>3517.3152</v>
      </c>
      <c r="G9287" s="557"/>
      <c r="H9287" s="121"/>
      <c r="J9287" s="136">
        <f>((('Mano Obra'!$M$5/30)*F9287)/D9287)*G9255</f>
        <v>0</v>
      </c>
    </row>
    <row r="9288" spans="1:15">
      <c r="A9288" s="558" t="s">
        <v>4186</v>
      </c>
      <c r="B9288" s="559">
        <f>VLOOKUP(A9288,'Mano Obra'!$B$3:$D$290,2,0)</f>
        <v>1100000</v>
      </c>
      <c r="C9288" s="101">
        <v>1</v>
      </c>
      <c r="D9288" s="104">
        <f>VLOOKUP(A9288,'Mano Obra'!$B$2:$T$117,19,0)</f>
        <v>72664</v>
      </c>
      <c r="E9288" s="246">
        <f>H9248</f>
        <v>1.46E-2</v>
      </c>
      <c r="F9288" s="538">
        <f t="shared" si="539"/>
        <v>1060.8943999999999</v>
      </c>
      <c r="G9288" s="557"/>
      <c r="H9288" s="120"/>
      <c r="J9288" s="136">
        <f>((('Mano Obra'!$M$6/30)*F9288)/D9288)*G9255</f>
        <v>0</v>
      </c>
    </row>
    <row r="9289" spans="1:15" ht="16.5">
      <c r="A9289" s="560" t="s">
        <v>4101</v>
      </c>
      <c r="B9289" s="560"/>
      <c r="C9289" s="560"/>
      <c r="D9289" s="560"/>
      <c r="E9289" s="560"/>
      <c r="F9289" s="560"/>
      <c r="G9289" s="560"/>
      <c r="H9289" s="105">
        <f>SUM(F9286:F9288)</f>
        <v>7010.92</v>
      </c>
      <c r="J9289" s="136"/>
    </row>
    <row r="9290" spans="1:15">
      <c r="A9290" s="227" t="s">
        <v>4237</v>
      </c>
      <c r="B9290" s="205"/>
      <c r="C9290" s="205"/>
      <c r="D9290" s="202"/>
      <c r="E9290" s="203"/>
      <c r="F9290" s="204"/>
      <c r="G9290" s="203"/>
      <c r="H9290" s="212"/>
    </row>
    <row r="9291" spans="1:15">
      <c r="A9291" s="561" t="s">
        <v>4224</v>
      </c>
      <c r="B9291" s="562"/>
      <c r="C9291" s="562"/>
      <c r="D9291" s="562"/>
      <c r="E9291" s="200"/>
      <c r="F9291" s="201" t="s">
        <v>4238</v>
      </c>
      <c r="G9291" s="200" t="s">
        <v>4239</v>
      </c>
      <c r="H9291" s="213"/>
    </row>
    <row r="9292" spans="1:15">
      <c r="A9292" s="223" t="s">
        <v>4097</v>
      </c>
      <c r="B9292" s="72"/>
      <c r="C9292" s="72"/>
      <c r="D9292" s="73"/>
      <c r="E9292" s="78"/>
      <c r="F9292" s="79">
        <v>0</v>
      </c>
      <c r="G9292" s="80">
        <f>F9292*H9256</f>
        <v>0</v>
      </c>
      <c r="H9292" s="212"/>
    </row>
    <row r="9293" spans="1:15">
      <c r="A9293" s="224" t="s">
        <v>4240</v>
      </c>
      <c r="B9293" s="81"/>
      <c r="C9293" s="81"/>
      <c r="D9293" s="82"/>
      <c r="E9293" s="78"/>
      <c r="F9293" s="79">
        <v>0</v>
      </c>
      <c r="G9293" s="80">
        <f>F9293*H9256</f>
        <v>0</v>
      </c>
      <c r="H9293" s="212"/>
    </row>
    <row r="9294" spans="1:15">
      <c r="A9294" s="224" t="s">
        <v>4</v>
      </c>
      <c r="B9294" s="81"/>
      <c r="C9294" s="81"/>
      <c r="D9294" s="82"/>
      <c r="E9294" s="78"/>
      <c r="F9294" s="79">
        <v>0</v>
      </c>
      <c r="G9294" s="80">
        <f>F9294*H9256</f>
        <v>0</v>
      </c>
      <c r="H9294" s="212"/>
    </row>
    <row r="9295" spans="1:15">
      <c r="A9295" s="225"/>
      <c r="B9295" s="83"/>
      <c r="C9295" s="75"/>
      <c r="D9295" s="84"/>
      <c r="E9295" s="85"/>
      <c r="F9295" s="86"/>
      <c r="G9295" s="87"/>
      <c r="H9295" s="214"/>
    </row>
    <row r="9296" spans="1:15">
      <c r="A9296" s="226"/>
      <c r="B9296" s="83"/>
      <c r="C9296" s="83"/>
      <c r="D9296" s="84"/>
      <c r="E9296" s="88"/>
      <c r="F9296" s="563" t="s">
        <v>4241</v>
      </c>
      <c r="G9296" s="564"/>
      <c r="H9296" s="233">
        <f>H9256+G9292+G9293+G9294</f>
        <v>11540.921419999999</v>
      </c>
    </row>
    <row r="9298" spans="1:14" ht="16.5">
      <c r="A9298" s="90"/>
      <c r="B9298" s="90"/>
      <c r="C9298" s="90"/>
      <c r="D9298" s="90"/>
      <c r="E9298" s="90"/>
      <c r="F9298" s="90"/>
      <c r="G9298" s="90"/>
      <c r="H9298" s="381"/>
    </row>
    <row r="9299" spans="1:14">
      <c r="A9299" s="579" t="s">
        <v>4225</v>
      </c>
      <c r="B9299" s="580"/>
      <c r="C9299" s="580"/>
      <c r="D9299" s="580"/>
      <c r="E9299" s="580"/>
      <c r="F9299" s="580"/>
      <c r="G9299" s="580"/>
      <c r="H9299" s="581"/>
    </row>
    <row r="9300" spans="1:14" ht="16.5">
      <c r="A9300" s="91"/>
      <c r="B9300" s="92"/>
      <c r="C9300" s="92"/>
      <c r="D9300" s="92"/>
      <c r="E9300" s="92"/>
      <c r="F9300" s="93"/>
      <c r="G9300" s="94"/>
      <c r="H9300" s="380">
        <f>ROUND((10/60)/8,4)</f>
        <v>2.0799999999999999E-2</v>
      </c>
      <c r="I9300" s="115"/>
    </row>
    <row r="9301" spans="1:14">
      <c r="A9301" s="582" t="s">
        <v>4220</v>
      </c>
      <c r="B9301" s="584" t="str">
        <f>COSTOS!$C$14</f>
        <v>MODERNIZACION A TECNOLOGIA LED</v>
      </c>
      <c r="C9301" s="584"/>
      <c r="D9301" s="584"/>
      <c r="E9301" s="584"/>
      <c r="F9301" s="584"/>
      <c r="G9301" s="584"/>
      <c r="H9301" s="585" t="s">
        <v>4221</v>
      </c>
    </row>
    <row r="9302" spans="1:14">
      <c r="A9302" s="583"/>
      <c r="B9302" s="584"/>
      <c r="C9302" s="584"/>
      <c r="D9302" s="584"/>
      <c r="E9302" s="584"/>
      <c r="F9302" s="584"/>
      <c r="G9302" s="584"/>
      <c r="H9302" s="585"/>
    </row>
    <row r="9303" spans="1:14">
      <c r="A9303" s="583"/>
      <c r="B9303" s="584"/>
      <c r="C9303" s="584"/>
      <c r="D9303" s="584"/>
      <c r="E9303" s="584"/>
      <c r="F9303" s="584"/>
      <c r="G9303" s="584"/>
      <c r="H9303" s="585"/>
    </row>
    <row r="9304" spans="1:14" ht="15" customHeight="1">
      <c r="A9304" s="583"/>
      <c r="B9304" s="584"/>
      <c r="C9304" s="584"/>
      <c r="D9304" s="584"/>
      <c r="E9304" s="584"/>
      <c r="F9304" s="584"/>
      <c r="G9304" s="584"/>
      <c r="H9304" s="216">
        <f ca="1">TODAY()</f>
        <v>44889</v>
      </c>
      <c r="K9304" t="s">
        <v>4391</v>
      </c>
      <c r="L9304" t="s">
        <v>4392</v>
      </c>
      <c r="M9304" t="s">
        <v>4393</v>
      </c>
      <c r="N9304" t="s">
        <v>4394</v>
      </c>
    </row>
    <row r="9305" spans="1:14" ht="60.75" customHeight="1">
      <c r="A9305" s="228" t="s">
        <v>4222</v>
      </c>
      <c r="B9305" s="565" t="str">
        <f>COSTOS!$D$16</f>
        <v>Luminarias</v>
      </c>
      <c r="C9305" s="565"/>
      <c r="D9305" s="565"/>
      <c r="E9305" s="565"/>
      <c r="F9305" s="565"/>
      <c r="G9305" s="70" t="s">
        <v>4223</v>
      </c>
      <c r="H9305" s="387">
        <v>7.2</v>
      </c>
      <c r="K9305" s="62">
        <f>H9331</f>
        <v>5633.46</v>
      </c>
      <c r="L9305" s="62">
        <f>H9341</f>
        <v>9988.16</v>
      </c>
      <c r="M9305" s="62">
        <f>H9314</f>
        <v>299.88400000000001</v>
      </c>
      <c r="N9305" s="62">
        <f>H9335</f>
        <v>800</v>
      </c>
    </row>
    <row r="9306" spans="1:14" ht="43.15" customHeight="1">
      <c r="A9306" s="229" t="s">
        <v>4224</v>
      </c>
      <c r="B9306" s="566" t="str">
        <f>VLOOKUP(H9305,COSTOS!C:M,2,0)</f>
        <v>Canalizacion con un ducto 1" PVC x 500 mts</v>
      </c>
      <c r="C9306" s="567"/>
      <c r="D9306" s="567"/>
      <c r="E9306" s="568"/>
      <c r="F9306" s="71" t="s">
        <v>0</v>
      </c>
      <c r="G9306" s="356" t="str">
        <f>VLOOKUP(H9305,COSTOS!C:M,8,0)</f>
        <v>Ml</v>
      </c>
      <c r="H9306" s="276"/>
      <c r="I9306" s="306"/>
      <c r="J9306" s="308"/>
      <c r="K9306" s="308"/>
      <c r="L9306" s="308"/>
    </row>
    <row r="9307" spans="1:14">
      <c r="A9307" s="230"/>
      <c r="B9307" s="112"/>
      <c r="C9307" s="112"/>
      <c r="D9307" s="112"/>
      <c r="E9307" s="113"/>
      <c r="F9307" s="114" t="s">
        <v>1</v>
      </c>
      <c r="G9307" s="356">
        <f>VLOOKUP(H9305,COSTOS!C:M,9,0)</f>
        <v>1</v>
      </c>
      <c r="H9307" s="357"/>
      <c r="I9307" s="307"/>
    </row>
    <row r="9308" spans="1:14" ht="16.5">
      <c r="A9308" s="231" t="s">
        <v>4226</v>
      </c>
      <c r="B9308" s="75"/>
      <c r="C9308" s="75"/>
      <c r="D9308" s="76"/>
      <c r="E9308" s="209"/>
      <c r="F9308" s="210"/>
      <c r="G9308" s="211" t="s">
        <v>4227</v>
      </c>
      <c r="H9308" s="217">
        <f>H9314+H9331+H9335+H9341</f>
        <v>16721.504000000001</v>
      </c>
    </row>
    <row r="9309" spans="1:14" ht="39">
      <c r="A9309" s="569" t="s">
        <v>4224</v>
      </c>
      <c r="B9309" s="569"/>
      <c r="C9309" s="569"/>
      <c r="D9309" s="77" t="s">
        <v>0</v>
      </c>
      <c r="E9309" s="207" t="s">
        <v>4228</v>
      </c>
      <c r="F9309" s="208" t="s">
        <v>4215</v>
      </c>
      <c r="G9309" s="74" t="s">
        <v>2</v>
      </c>
      <c r="H9309" s="218" t="s">
        <v>4229</v>
      </c>
      <c r="K9309" s="309"/>
    </row>
    <row r="9310" spans="1:14">
      <c r="A9310" s="536" t="s">
        <v>3946</v>
      </c>
      <c r="B9310" s="570" t="str">
        <f>VLOOKUP(A9310,'Equip, Herr y Transp'!$B$2:$D$739,2,0)</f>
        <v>EQU</v>
      </c>
      <c r="C9310" s="570"/>
      <c r="D9310" s="95" t="str">
        <f>VLOOKUP(A9310,'Equip, Herr y Transp'!$B$2:$D$218,2,0)</f>
        <v>EQU</v>
      </c>
      <c r="E9310" s="95">
        <f>VLOOKUP(A9310,'Equip, Herr y Transp'!$B$2:$D$218,3,0)</f>
        <v>14130</v>
      </c>
      <c r="F9310" s="96">
        <f>H9300</f>
        <v>2.0799999999999999E-2</v>
      </c>
      <c r="G9310" s="122">
        <f>F9310*E9310</f>
        <v>293.904</v>
      </c>
      <c r="H9310" s="118"/>
    </row>
    <row r="9311" spans="1:14">
      <c r="A9311" s="536" t="s">
        <v>3927</v>
      </c>
      <c r="B9311" s="570" t="str">
        <f>VLOOKUP(A9311,'Equip, Herr y Transp'!$B$2:$D$739,2,0)</f>
        <v>EQU</v>
      </c>
      <c r="C9311" s="570"/>
      <c r="D9311" s="95" t="str">
        <f>VLOOKUP(A9311,'Equip, Herr y Transp'!$B$2:$D$218,2,0)</f>
        <v>EQU</v>
      </c>
      <c r="E9311" s="95">
        <f>VLOOKUP(A9311,'Equip, Herr y Transp'!$B$2:$D$218,3,0)</f>
        <v>287.5</v>
      </c>
      <c r="F9311" s="96">
        <f>H9300</f>
        <v>2.0799999999999999E-2</v>
      </c>
      <c r="G9311" s="122">
        <f>F9311*E9311</f>
        <v>5.9799999999999995</v>
      </c>
      <c r="H9311" s="117"/>
    </row>
    <row r="9312" spans="1:14">
      <c r="A9312" s="536" t="s">
        <v>8</v>
      </c>
      <c r="B9312" s="570">
        <f>VLOOKUP(A9312,'Equip, Herr y Transp'!$B$2:$D$739,2,0)</f>
        <v>0</v>
      </c>
      <c r="C9312" s="570"/>
      <c r="D9312" s="95">
        <f>VLOOKUP(A9312,'Equip, Herr y Transp'!$B$2:$D$218,2,0)</f>
        <v>0</v>
      </c>
      <c r="E9312" s="95">
        <f>VLOOKUP(A9312,'Equip, Herr y Transp'!$B$2:$D$218,3,0)</f>
        <v>0</v>
      </c>
      <c r="F9312" s="96">
        <f>H9300</f>
        <v>2.0799999999999999E-2</v>
      </c>
      <c r="G9312" s="122">
        <f>F9312*E9312</f>
        <v>0</v>
      </c>
      <c r="H9312" s="117"/>
    </row>
    <row r="9313" spans="1:15">
      <c r="A9313" s="536" t="s">
        <v>8</v>
      </c>
      <c r="B9313" s="570">
        <f>VLOOKUP(A9313,'Equip, Herr y Transp'!$B$2:$D$739,2,0)</f>
        <v>0</v>
      </c>
      <c r="C9313" s="570"/>
      <c r="D9313" s="95">
        <f>VLOOKUP(A9313,'Equip, Herr y Transp'!$B$2:$D$218,2,0)</f>
        <v>0</v>
      </c>
      <c r="E9313" s="95">
        <f>VLOOKUP(A9313,'Equip, Herr y Transp'!$B$2:$D$218,3,0)</f>
        <v>0</v>
      </c>
      <c r="F9313" s="96">
        <f>H9300</f>
        <v>2.0799999999999999E-2</v>
      </c>
      <c r="G9313" s="122">
        <f>F9313*E9313</f>
        <v>0</v>
      </c>
      <c r="H9313" s="117"/>
    </row>
    <row r="9314" spans="1:15" ht="16.5">
      <c r="A9314" s="540" t="s">
        <v>4100</v>
      </c>
      <c r="B9314" s="541"/>
      <c r="C9314" s="541"/>
      <c r="D9314" s="541"/>
      <c r="E9314" s="541"/>
      <c r="F9314" s="541"/>
      <c r="G9314" s="541"/>
      <c r="H9314" s="97">
        <f>SUM(G9310:G9313)</f>
        <v>299.88400000000001</v>
      </c>
    </row>
    <row r="9315" spans="1:15" ht="16.5">
      <c r="A9315" s="571" t="s">
        <v>4230</v>
      </c>
      <c r="B9315" s="572"/>
      <c r="C9315" s="572"/>
      <c r="D9315" s="572"/>
      <c r="E9315" s="572"/>
      <c r="F9315" s="572"/>
      <c r="G9315" s="572"/>
      <c r="H9315" s="573"/>
      <c r="K9315" s="56"/>
      <c r="L9315" s="56"/>
      <c r="M9315" s="56"/>
      <c r="N9315" s="56"/>
      <c r="O9315" s="56"/>
    </row>
    <row r="9316" spans="1:15" ht="30" customHeight="1">
      <c r="A9316" s="574" t="s">
        <v>7</v>
      </c>
      <c r="B9316" s="575"/>
      <c r="C9316" s="109" t="s">
        <v>0</v>
      </c>
      <c r="D9316" s="110" t="s">
        <v>4098</v>
      </c>
      <c r="E9316" s="111" t="s">
        <v>1</v>
      </c>
      <c r="F9316" s="576" t="s">
        <v>4218</v>
      </c>
      <c r="G9316" s="576"/>
      <c r="H9316" s="215"/>
      <c r="K9316" s="56"/>
      <c r="L9316" s="56"/>
      <c r="M9316" s="56"/>
      <c r="N9316" s="56"/>
      <c r="O9316" s="56"/>
    </row>
    <row r="9317" spans="1:15">
      <c r="A9317" s="577" t="s">
        <v>4598</v>
      </c>
      <c r="B9317" s="578"/>
      <c r="C9317" s="98" t="str">
        <f>VLOOKUP(A9317,'Materiales '!$C$2:$F$1302,3,0)</f>
        <v>Und</v>
      </c>
      <c r="D9317" s="99">
        <f>VLOOKUP(A9317,'Materiales '!$C$2:$F$1302,4,0)</f>
        <v>12495</v>
      </c>
      <c r="E9317" s="100">
        <v>0.34</v>
      </c>
      <c r="F9317" s="538">
        <f>E9317*D9317</f>
        <v>4248.3</v>
      </c>
      <c r="G9317" s="539"/>
      <c r="H9317" s="121"/>
      <c r="I9317">
        <f>E9317*G9307</f>
        <v>0.34</v>
      </c>
      <c r="J9317" s="67"/>
      <c r="K9317" s="56"/>
      <c r="L9317" s="56"/>
      <c r="M9317" s="56"/>
      <c r="N9317" s="56"/>
      <c r="O9317" s="56"/>
    </row>
    <row r="9318" spans="1:15">
      <c r="A9318" s="577" t="s">
        <v>4581</v>
      </c>
      <c r="B9318" s="578"/>
      <c r="C9318" s="98" t="str">
        <f>VLOOKUP(A9318,'Materiales '!$C$2:$F$1302,3,0)</f>
        <v>Und</v>
      </c>
      <c r="D9318" s="99">
        <f>VLOOKUP(A9318,'Materiales '!$C$2:$F$1302,4,0)</f>
        <v>34629</v>
      </c>
      <c r="E9318" s="100">
        <v>0.04</v>
      </c>
      <c r="F9318" s="538">
        <f t="shared" ref="F9318:F9324" si="540">E9318*D9318</f>
        <v>1385.16</v>
      </c>
      <c r="G9318" s="539"/>
      <c r="H9318" s="121"/>
      <c r="I9318">
        <f>E9318*G9307</f>
        <v>0.04</v>
      </c>
      <c r="J9318" s="67"/>
      <c r="K9318" s="56"/>
      <c r="L9318" s="56"/>
      <c r="M9318" s="56"/>
      <c r="N9318" s="56"/>
      <c r="O9318" s="56"/>
    </row>
    <row r="9319" spans="1:15">
      <c r="A9319" s="536" t="s">
        <v>8</v>
      </c>
      <c r="B9319" s="537" t="str">
        <f>VLOOKUP(A9319,'Materiales '!$C$2:$F$1302,3,0)</f>
        <v>-</v>
      </c>
      <c r="C9319" s="98" t="str">
        <f>VLOOKUP(A9319,'Materiales '!$C$2:$F$1302,3,0)</f>
        <v>-</v>
      </c>
      <c r="D9319" s="99">
        <f>VLOOKUP(A9319,'Materiales '!$C$2:$F$1302,4,0)</f>
        <v>0</v>
      </c>
      <c r="E9319" s="100">
        <v>1</v>
      </c>
      <c r="F9319" s="538">
        <f t="shared" si="540"/>
        <v>0</v>
      </c>
      <c r="G9319" s="539"/>
      <c r="H9319" s="121"/>
      <c r="I9319">
        <f>E9319*G9307</f>
        <v>1</v>
      </c>
      <c r="J9319" s="68"/>
      <c r="K9319" s="56"/>
      <c r="L9319" s="56"/>
      <c r="M9319" s="56"/>
      <c r="N9319" s="56"/>
      <c r="O9319" s="56"/>
    </row>
    <row r="9320" spans="1:15">
      <c r="A9320" s="536" t="s">
        <v>8</v>
      </c>
      <c r="B9320" s="537" t="str">
        <f>VLOOKUP(A9320,'Materiales '!$C$2:$F$1302,3,0)</f>
        <v>-</v>
      </c>
      <c r="C9320" s="98" t="str">
        <f>VLOOKUP(A9320,'Materiales '!$C$2:$F$1302,3,0)</f>
        <v>-</v>
      </c>
      <c r="D9320" s="99">
        <f>VLOOKUP(A9320,'Materiales '!$C$2:$F$1302,4,0)</f>
        <v>0</v>
      </c>
      <c r="E9320" s="100">
        <v>1</v>
      </c>
      <c r="F9320" s="538">
        <f t="shared" si="540"/>
        <v>0</v>
      </c>
      <c r="G9320" s="539"/>
      <c r="H9320" s="121"/>
      <c r="I9320">
        <f>E9320*G9307</f>
        <v>1</v>
      </c>
      <c r="J9320" s="68"/>
      <c r="K9320" s="56"/>
      <c r="L9320" s="56"/>
      <c r="M9320" s="56"/>
      <c r="N9320" s="56"/>
      <c r="O9320" s="56"/>
    </row>
    <row r="9321" spans="1:15">
      <c r="A9321" s="536" t="s">
        <v>8</v>
      </c>
      <c r="B9321" s="537" t="str">
        <f>VLOOKUP(A9321,'Materiales '!$C$2:$F$1302,3,0)</f>
        <v>-</v>
      </c>
      <c r="C9321" s="98" t="str">
        <f>VLOOKUP(A9321,'Materiales '!$C$2:$F$1302,3,0)</f>
        <v>-</v>
      </c>
      <c r="D9321" s="99">
        <f>VLOOKUP(A9321,'Materiales '!$C$2:$F$1302,4,0)</f>
        <v>0</v>
      </c>
      <c r="E9321" s="100">
        <v>0.5</v>
      </c>
      <c r="F9321" s="538">
        <f t="shared" si="540"/>
        <v>0</v>
      </c>
      <c r="G9321" s="539"/>
      <c r="H9321" s="121"/>
      <c r="I9321">
        <f>E9321*G9307</f>
        <v>0.5</v>
      </c>
      <c r="J9321" s="68"/>
      <c r="K9321" s="56"/>
      <c r="L9321" s="56"/>
      <c r="M9321" s="56"/>
      <c r="N9321" s="56"/>
      <c r="O9321" s="56"/>
    </row>
    <row r="9322" spans="1:15">
      <c r="A9322" s="536" t="s">
        <v>8</v>
      </c>
      <c r="B9322" s="537" t="str">
        <f>VLOOKUP(A9322,'Materiales '!$C$2:$F$1302,3,0)</f>
        <v>-</v>
      </c>
      <c r="C9322" s="98" t="str">
        <f>VLOOKUP(A9322,'Materiales '!$C$2:$F$1302,3,0)</f>
        <v>-</v>
      </c>
      <c r="D9322" s="99">
        <f>VLOOKUP(A9322,'Materiales '!$C$2:$F$1302,4,0)</f>
        <v>0</v>
      </c>
      <c r="E9322" s="100">
        <v>1</v>
      </c>
      <c r="F9322" s="538">
        <f t="shared" si="540"/>
        <v>0</v>
      </c>
      <c r="G9322" s="539"/>
      <c r="H9322" s="121"/>
      <c r="I9322">
        <f>E9322*G9307</f>
        <v>1</v>
      </c>
      <c r="J9322" s="68"/>
      <c r="K9322" s="56"/>
      <c r="L9322" s="56"/>
      <c r="M9322" s="56"/>
      <c r="N9322" s="56"/>
      <c r="O9322" s="56"/>
    </row>
    <row r="9323" spans="1:15">
      <c r="A9323" s="536" t="s">
        <v>8</v>
      </c>
      <c r="B9323" s="537" t="str">
        <f>VLOOKUP(A9323,'Materiales '!$C$2:$F$1302,3,0)</f>
        <v>-</v>
      </c>
      <c r="C9323" s="98" t="str">
        <f>VLOOKUP(A9323,'Materiales '!$C$2:$F$1302,3,0)</f>
        <v>-</v>
      </c>
      <c r="D9323" s="99">
        <f>VLOOKUP(A9323,'Materiales '!$C$2:$F$1302,4,0)</f>
        <v>0</v>
      </c>
      <c r="E9323" s="100">
        <v>1</v>
      </c>
      <c r="F9323" s="538">
        <f t="shared" si="540"/>
        <v>0</v>
      </c>
      <c r="G9323" s="539"/>
      <c r="H9323" s="121"/>
      <c r="I9323">
        <f>E9323*G9307</f>
        <v>1</v>
      </c>
      <c r="J9323" s="68"/>
      <c r="K9323" s="56"/>
      <c r="L9323" s="56"/>
      <c r="M9323" s="56"/>
      <c r="N9323" s="56"/>
      <c r="O9323" s="56"/>
    </row>
    <row r="9324" spans="1:15" ht="21.75" customHeight="1">
      <c r="A9324" s="536" t="s">
        <v>8</v>
      </c>
      <c r="B9324" s="537" t="str">
        <f>VLOOKUP(A9324,'Materiales '!$C$2:$F$1302,3,0)</f>
        <v>-</v>
      </c>
      <c r="C9324" s="98" t="str">
        <f>VLOOKUP(A9324,'Materiales '!$C$2:$F$1302,3,0)</f>
        <v>-</v>
      </c>
      <c r="D9324" s="99">
        <f>VLOOKUP(A9324,'Materiales '!$C$2:$F$1302,4,0)</f>
        <v>0</v>
      </c>
      <c r="E9324" s="100"/>
      <c r="F9324" s="538">
        <f t="shared" si="540"/>
        <v>0</v>
      </c>
      <c r="G9324" s="539"/>
      <c r="H9324" s="121"/>
      <c r="I9324">
        <f>E9324*G9307</f>
        <v>0</v>
      </c>
      <c r="J9324" s="68"/>
      <c r="K9324" s="56"/>
      <c r="L9324" s="56"/>
      <c r="M9324" s="56"/>
      <c r="N9324" s="56"/>
      <c r="O9324" s="56"/>
    </row>
    <row r="9325" spans="1:15">
      <c r="A9325" s="536" t="s">
        <v>8</v>
      </c>
      <c r="B9325" s="537" t="str">
        <f>VLOOKUP(A9325,'Materiales '!$C$2:$F$1302,3,0)</f>
        <v>-</v>
      </c>
      <c r="C9325" s="98" t="str">
        <f>VLOOKUP(A9325,'Materiales '!$C$2:$F$1302,3,0)</f>
        <v>-</v>
      </c>
      <c r="D9325" s="99">
        <f>VLOOKUP(A9325,'Materiales '!$C$2:$F$1302,4,0)</f>
        <v>0</v>
      </c>
      <c r="E9325" s="100"/>
      <c r="F9325" s="538">
        <f>E9325*D9325</f>
        <v>0</v>
      </c>
      <c r="G9325" s="539"/>
      <c r="H9325" s="120"/>
      <c r="I9325">
        <f>E9325*G9307</f>
        <v>0</v>
      </c>
      <c r="J9325" s="68"/>
      <c r="K9325" s="56"/>
      <c r="L9325" s="56"/>
      <c r="M9325" s="56"/>
      <c r="N9325" s="56"/>
      <c r="O9325" s="56"/>
    </row>
    <row r="9326" spans="1:15">
      <c r="A9326" s="536" t="s">
        <v>8</v>
      </c>
      <c r="B9326" s="537" t="str">
        <f>VLOOKUP(A9326,'Materiales '!$C$2:$F$1302,3,0)</f>
        <v>-</v>
      </c>
      <c r="C9326" s="98" t="str">
        <f>VLOOKUP(A9326,'Materiales '!$C$2:$F$1302,3,0)</f>
        <v>-</v>
      </c>
      <c r="D9326" s="99">
        <f>VLOOKUP(A9326,'Materiales '!$C$2:$F$1302,4,0)</f>
        <v>0</v>
      </c>
      <c r="E9326" s="100"/>
      <c r="F9326" s="538">
        <f t="shared" ref="F9326:F9329" si="541">E9326*D9326</f>
        <v>0</v>
      </c>
      <c r="G9326" s="539"/>
      <c r="H9326" s="121"/>
      <c r="I9326">
        <f>E9326*G9307</f>
        <v>0</v>
      </c>
      <c r="J9326" s="68"/>
      <c r="K9326" s="56"/>
      <c r="L9326" s="56"/>
      <c r="M9326" s="56"/>
      <c r="N9326" s="56"/>
      <c r="O9326" s="56"/>
    </row>
    <row r="9327" spans="1:15">
      <c r="A9327" s="536" t="s">
        <v>8</v>
      </c>
      <c r="B9327" s="537" t="str">
        <f>VLOOKUP(A9327,'Materiales '!$C$2:$F$1302,3,0)</f>
        <v>-</v>
      </c>
      <c r="C9327" s="98" t="str">
        <f>VLOOKUP(A9327,'Materiales '!$C$2:$F$1302,3,0)</f>
        <v>-</v>
      </c>
      <c r="D9327" s="99">
        <f>VLOOKUP(A9327,'Materiales '!$C$2:$F$1302,4,0)</f>
        <v>0</v>
      </c>
      <c r="E9327" s="100"/>
      <c r="F9327" s="538">
        <f t="shared" si="541"/>
        <v>0</v>
      </c>
      <c r="G9327" s="539"/>
      <c r="H9327" s="121"/>
      <c r="I9327">
        <f>E9327*G9307</f>
        <v>0</v>
      </c>
      <c r="J9327" s="68"/>
      <c r="K9327" s="56"/>
      <c r="L9327" s="56"/>
      <c r="M9327" s="56"/>
      <c r="N9327" s="56"/>
      <c r="O9327" s="56"/>
    </row>
    <row r="9328" spans="1:15">
      <c r="A9328" s="536" t="s">
        <v>8</v>
      </c>
      <c r="B9328" s="537" t="str">
        <f>VLOOKUP(A9328,'Materiales '!$C$2:$F$1302,3,0)</f>
        <v>-</v>
      </c>
      <c r="C9328" s="98" t="str">
        <f>VLOOKUP(A9328,'Materiales '!$C$2:$F$1302,3,0)</f>
        <v>-</v>
      </c>
      <c r="D9328" s="99">
        <f>VLOOKUP(A9328,'Materiales '!$C$2:$F$1302,4,0)</f>
        <v>0</v>
      </c>
      <c r="E9328" s="100"/>
      <c r="F9328" s="538">
        <f t="shared" si="541"/>
        <v>0</v>
      </c>
      <c r="G9328" s="539"/>
      <c r="H9328" s="121"/>
      <c r="I9328">
        <f>E9328*G9307</f>
        <v>0</v>
      </c>
      <c r="J9328" s="68"/>
      <c r="K9328" s="56"/>
      <c r="L9328" s="56"/>
      <c r="M9328" s="56"/>
      <c r="N9328" s="56"/>
      <c r="O9328" s="56"/>
    </row>
    <row r="9329" spans="1:15">
      <c r="A9329" s="536" t="s">
        <v>8</v>
      </c>
      <c r="B9329" s="537" t="str">
        <f>VLOOKUP(A9329,'Materiales '!$C$2:$F$1302,3,0)</f>
        <v>-</v>
      </c>
      <c r="C9329" s="98" t="str">
        <f>VLOOKUP(A9329,'Materiales '!$C$2:$F$1302,3,0)</f>
        <v>-</v>
      </c>
      <c r="D9329" s="99">
        <f>VLOOKUP(A9329,'Materiales '!$C$2:$F$1302,4,0)</f>
        <v>0</v>
      </c>
      <c r="E9329" s="100"/>
      <c r="F9329" s="538">
        <f t="shared" si="541"/>
        <v>0</v>
      </c>
      <c r="G9329" s="539"/>
      <c r="H9329" s="121"/>
      <c r="I9329">
        <f>E9329*G9307</f>
        <v>0</v>
      </c>
      <c r="J9329" s="68"/>
      <c r="K9329" s="56"/>
      <c r="L9329" s="56"/>
      <c r="M9329" s="56"/>
      <c r="N9329" s="56"/>
      <c r="O9329" s="56"/>
    </row>
    <row r="9330" spans="1:15">
      <c r="A9330" s="536" t="s">
        <v>8</v>
      </c>
      <c r="B9330" s="537" t="str">
        <f>VLOOKUP(A9330,'Materiales '!$C$2:$F$1302,3,0)</f>
        <v>-</v>
      </c>
      <c r="C9330" s="98" t="str">
        <f>VLOOKUP(A9330,'Materiales '!$C$2:$F$1302,3,0)</f>
        <v>-</v>
      </c>
      <c r="D9330" s="99">
        <f>VLOOKUP(A9330,'Materiales '!$C$2:$F$1302,4,0)</f>
        <v>0</v>
      </c>
      <c r="E9330" s="100"/>
      <c r="F9330" s="538">
        <f>E9330*D9330</f>
        <v>0</v>
      </c>
      <c r="G9330" s="539"/>
      <c r="H9330" s="120"/>
      <c r="I9330">
        <f>E9330*G9307</f>
        <v>0</v>
      </c>
      <c r="J9330" s="68"/>
      <c r="K9330" s="56"/>
      <c r="L9330" s="56"/>
      <c r="M9330" s="56"/>
      <c r="N9330" s="56"/>
      <c r="O9330" s="56"/>
    </row>
    <row r="9331" spans="1:15" ht="16.5">
      <c r="A9331" s="540" t="s">
        <v>4099</v>
      </c>
      <c r="B9331" s="541"/>
      <c r="C9331" s="541"/>
      <c r="D9331" s="541"/>
      <c r="E9331" s="541"/>
      <c r="F9331" s="541"/>
      <c r="G9331" s="542"/>
      <c r="H9331" s="116">
        <f>SUM(F9317:F9330)</f>
        <v>5633.46</v>
      </c>
      <c r="J9331" s="68"/>
      <c r="K9331" s="56"/>
      <c r="L9331" s="56"/>
      <c r="M9331" s="56"/>
      <c r="N9331" s="56"/>
      <c r="O9331" s="56"/>
    </row>
    <row r="9332" spans="1:15" ht="16.5">
      <c r="A9332" s="543" t="s">
        <v>4231</v>
      </c>
      <c r="B9332" s="544"/>
      <c r="C9332" s="544"/>
      <c r="D9332" s="544"/>
      <c r="E9332" s="545"/>
      <c r="F9332" s="544"/>
      <c r="G9332" s="544"/>
      <c r="H9332" s="546"/>
      <c r="J9332" s="68"/>
      <c r="K9332" s="56"/>
      <c r="L9332" s="56"/>
      <c r="M9332" s="56"/>
      <c r="N9332" s="56"/>
      <c r="O9332" s="56"/>
    </row>
    <row r="9333" spans="1:15">
      <c r="A9333" s="547" t="s">
        <v>7</v>
      </c>
      <c r="B9333" s="548"/>
      <c r="C9333" s="108" t="s">
        <v>4232</v>
      </c>
      <c r="D9333" s="107" t="s">
        <v>4233</v>
      </c>
      <c r="E9333" s="206" t="s">
        <v>4234</v>
      </c>
      <c r="F9333" s="549" t="s">
        <v>4218</v>
      </c>
      <c r="G9333" s="549"/>
      <c r="H9333" s="119"/>
      <c r="K9333" s="56"/>
      <c r="L9333" s="56"/>
      <c r="M9333" s="56"/>
      <c r="N9333" s="56"/>
      <c r="O9333" s="56"/>
    </row>
    <row r="9334" spans="1:15">
      <c r="A9334" s="550" t="s">
        <v>3928</v>
      </c>
      <c r="B9334" s="551"/>
      <c r="C9334" s="232">
        <v>1</v>
      </c>
      <c r="D9334" s="102">
        <v>5.0000000000000001E-3</v>
      </c>
      <c r="E9334" s="103">
        <f>VLOOKUP(A9334,'Equip, Herr y Transp'!$B$2:$D$218,3,0)</f>
        <v>160000</v>
      </c>
      <c r="F9334" s="552">
        <f>E9334*D9334*C9334</f>
        <v>800</v>
      </c>
      <c r="G9334" s="553"/>
      <c r="H9334" s="117"/>
      <c r="M9334" s="56"/>
    </row>
    <row r="9335" spans="1:15" ht="16.5">
      <c r="A9335" s="554" t="s">
        <v>4216</v>
      </c>
      <c r="B9335" s="555"/>
      <c r="C9335" s="555"/>
      <c r="D9335" s="555"/>
      <c r="E9335" s="555"/>
      <c r="F9335" s="555"/>
      <c r="G9335" s="555"/>
      <c r="H9335" s="105">
        <f>F9334</f>
        <v>800</v>
      </c>
    </row>
    <row r="9336" spans="1:15" ht="16.5">
      <c r="A9336" s="543" t="s">
        <v>4235</v>
      </c>
      <c r="B9336" s="544"/>
      <c r="C9336" s="544"/>
      <c r="D9336" s="544"/>
      <c r="E9336" s="544"/>
      <c r="F9336" s="544"/>
      <c r="G9336" s="544"/>
      <c r="H9336" s="546"/>
    </row>
    <row r="9337" spans="1:15">
      <c r="A9337" s="547" t="s">
        <v>7</v>
      </c>
      <c r="B9337" s="548"/>
      <c r="C9337" s="106" t="s">
        <v>1</v>
      </c>
      <c r="D9337" s="107" t="s">
        <v>4236</v>
      </c>
      <c r="E9337" s="108" t="s">
        <v>4215</v>
      </c>
      <c r="F9337" s="547" t="s">
        <v>5</v>
      </c>
      <c r="G9337" s="556"/>
      <c r="H9337" s="119"/>
    </row>
    <row r="9338" spans="1:15">
      <c r="A9338" s="550" t="s">
        <v>4196</v>
      </c>
      <c r="B9338" s="551"/>
      <c r="C9338" s="101">
        <v>1</v>
      </c>
      <c r="D9338" s="104">
        <f>VLOOKUP(A9338,'Mano Obra'!$B$2:$T$117,19,0)</f>
        <v>166624</v>
      </c>
      <c r="E9338" s="246">
        <f>H9300</f>
        <v>2.0799999999999999E-2</v>
      </c>
      <c r="F9338" s="538">
        <f>E9338*D9338*C9338</f>
        <v>3465.7791999999999</v>
      </c>
      <c r="G9338" s="557"/>
      <c r="H9338" s="121"/>
      <c r="I9338" s="69"/>
      <c r="J9338" s="136">
        <f>((('Mano Obra'!$M$4/30)*F9338)/D9338)*G9307</f>
        <v>225.07254871111112</v>
      </c>
    </row>
    <row r="9339" spans="1:15">
      <c r="A9339" s="558" t="s">
        <v>4197</v>
      </c>
      <c r="B9339" s="559">
        <f>VLOOKUP(A9339,'Mano Obra'!$B$3:$D$290,2,0)</f>
        <v>2090000.0000000002</v>
      </c>
      <c r="C9339" s="101">
        <v>2</v>
      </c>
      <c r="D9339" s="104">
        <f>VLOOKUP(A9339,'Mano Obra'!$B$2:$T$117,19,0)</f>
        <v>120456</v>
      </c>
      <c r="E9339" s="246">
        <f>H9300</f>
        <v>2.0799999999999999E-2</v>
      </c>
      <c r="F9339" s="538">
        <f t="shared" ref="F9339:F9340" si="542">E9339*D9339*C9339</f>
        <v>5010.9695999999994</v>
      </c>
      <c r="G9339" s="557"/>
      <c r="H9339" s="121"/>
      <c r="J9339" s="136">
        <f>((('Mano Obra'!$M$5/30)*F9339)/D9339)*G9307</f>
        <v>450.14509742222214</v>
      </c>
    </row>
    <row r="9340" spans="1:15">
      <c r="A9340" s="558" t="s">
        <v>4186</v>
      </c>
      <c r="B9340" s="559">
        <f>VLOOKUP(A9340,'Mano Obra'!$B$3:$D$290,2,0)</f>
        <v>1100000</v>
      </c>
      <c r="C9340" s="101">
        <v>1</v>
      </c>
      <c r="D9340" s="104">
        <f>VLOOKUP(A9340,'Mano Obra'!$B$2:$T$117,19,0)</f>
        <v>72664</v>
      </c>
      <c r="E9340" s="246">
        <f>H9300</f>
        <v>2.0799999999999999E-2</v>
      </c>
      <c r="F9340" s="538">
        <f t="shared" si="542"/>
        <v>1511.4112</v>
      </c>
      <c r="G9340" s="557"/>
      <c r="H9340" s="120"/>
      <c r="J9340" s="136">
        <f>((('Mano Obra'!$M$6/30)*F9340)/D9340)*G9307</f>
        <v>225.0725487111111</v>
      </c>
    </row>
    <row r="9341" spans="1:15" ht="16.5">
      <c r="A9341" s="560" t="s">
        <v>4101</v>
      </c>
      <c r="B9341" s="560"/>
      <c r="C9341" s="560"/>
      <c r="D9341" s="560"/>
      <c r="E9341" s="560"/>
      <c r="F9341" s="560"/>
      <c r="G9341" s="560"/>
      <c r="H9341" s="105">
        <f>SUM(F9338:F9340)</f>
        <v>9988.16</v>
      </c>
      <c r="J9341" s="136"/>
    </row>
    <row r="9342" spans="1:15">
      <c r="A9342" s="227" t="s">
        <v>4237</v>
      </c>
      <c r="B9342" s="205"/>
      <c r="C9342" s="205"/>
      <c r="D9342" s="202"/>
      <c r="E9342" s="203"/>
      <c r="F9342" s="204"/>
      <c r="G9342" s="203"/>
      <c r="H9342" s="212"/>
    </row>
    <row r="9343" spans="1:15">
      <c r="A9343" s="561" t="s">
        <v>4224</v>
      </c>
      <c r="B9343" s="562"/>
      <c r="C9343" s="562"/>
      <c r="D9343" s="562"/>
      <c r="E9343" s="200"/>
      <c r="F9343" s="201" t="s">
        <v>4238</v>
      </c>
      <c r="G9343" s="200" t="s">
        <v>4239</v>
      </c>
      <c r="H9343" s="213"/>
    </row>
    <row r="9344" spans="1:15">
      <c r="A9344" s="223" t="s">
        <v>4097</v>
      </c>
      <c r="B9344" s="72"/>
      <c r="C9344" s="72"/>
      <c r="D9344" s="73"/>
      <c r="E9344" s="78"/>
      <c r="F9344" s="79">
        <v>0</v>
      </c>
      <c r="G9344" s="80">
        <f>F9344*H9308</f>
        <v>0</v>
      </c>
      <c r="H9344" s="212"/>
    </row>
    <row r="9345" spans="1:14">
      <c r="A9345" s="224" t="s">
        <v>4240</v>
      </c>
      <c r="B9345" s="81"/>
      <c r="C9345" s="81"/>
      <c r="D9345" s="82"/>
      <c r="E9345" s="78"/>
      <c r="F9345" s="79">
        <v>0</v>
      </c>
      <c r="G9345" s="80">
        <f>F9345*H9308</f>
        <v>0</v>
      </c>
      <c r="H9345" s="212"/>
    </row>
    <row r="9346" spans="1:14">
      <c r="A9346" s="224" t="s">
        <v>4</v>
      </c>
      <c r="B9346" s="81"/>
      <c r="C9346" s="81"/>
      <c r="D9346" s="82"/>
      <c r="E9346" s="78"/>
      <c r="F9346" s="79">
        <v>0</v>
      </c>
      <c r="G9346" s="80">
        <f>F9346*H9308</f>
        <v>0</v>
      </c>
      <c r="H9346" s="212"/>
    </row>
    <row r="9347" spans="1:14">
      <c r="A9347" s="225"/>
      <c r="B9347" s="83"/>
      <c r="C9347" s="75"/>
      <c r="D9347" s="84"/>
      <c r="E9347" s="85"/>
      <c r="F9347" s="86"/>
      <c r="G9347" s="87"/>
      <c r="H9347" s="214"/>
    </row>
    <row r="9348" spans="1:14">
      <c r="A9348" s="226"/>
      <c r="B9348" s="83"/>
      <c r="C9348" s="83"/>
      <c r="D9348" s="84"/>
      <c r="E9348" s="88"/>
      <c r="F9348" s="563" t="s">
        <v>4241</v>
      </c>
      <c r="G9348" s="564"/>
      <c r="H9348" s="233">
        <f>H9308+G9344+G9345+G9346</f>
        <v>16721.504000000001</v>
      </c>
    </row>
    <row r="9350" spans="1:14" ht="16.5">
      <c r="A9350" s="90"/>
      <c r="B9350" s="90"/>
      <c r="C9350" s="90"/>
      <c r="D9350" s="90"/>
      <c r="E9350" s="90"/>
      <c r="F9350" s="90"/>
      <c r="G9350" s="90"/>
      <c r="H9350" s="381"/>
    </row>
    <row r="9351" spans="1:14">
      <c r="A9351" s="579" t="s">
        <v>4225</v>
      </c>
      <c r="B9351" s="580"/>
      <c r="C9351" s="580"/>
      <c r="D9351" s="580"/>
      <c r="E9351" s="580"/>
      <c r="F9351" s="580"/>
      <c r="G9351" s="580"/>
      <c r="H9351" s="581"/>
    </row>
    <row r="9352" spans="1:14" ht="16.5">
      <c r="A9352" s="91"/>
      <c r="B9352" s="92"/>
      <c r="C9352" s="92"/>
      <c r="D9352" s="92"/>
      <c r="E9352" s="92"/>
      <c r="F9352" s="93"/>
      <c r="G9352" s="94"/>
      <c r="H9352" s="380">
        <f>ROUND((15/60)/8,4)</f>
        <v>3.1300000000000001E-2</v>
      </c>
      <c r="I9352" s="115"/>
    </row>
    <row r="9353" spans="1:14">
      <c r="A9353" s="582" t="s">
        <v>4220</v>
      </c>
      <c r="B9353" s="584" t="str">
        <f>COSTOS!$C$14</f>
        <v>MODERNIZACION A TECNOLOGIA LED</v>
      </c>
      <c r="C9353" s="584"/>
      <c r="D9353" s="584"/>
      <c r="E9353" s="584"/>
      <c r="F9353" s="584"/>
      <c r="G9353" s="584"/>
      <c r="H9353" s="585" t="s">
        <v>4221</v>
      </c>
    </row>
    <row r="9354" spans="1:14">
      <c r="A9354" s="583"/>
      <c r="B9354" s="584"/>
      <c r="C9354" s="584"/>
      <c r="D9354" s="584"/>
      <c r="E9354" s="584"/>
      <c r="F9354" s="584"/>
      <c r="G9354" s="584"/>
      <c r="H9354" s="585"/>
    </row>
    <row r="9355" spans="1:14">
      <c r="A9355" s="583"/>
      <c r="B9355" s="584"/>
      <c r="C9355" s="584"/>
      <c r="D9355" s="584"/>
      <c r="E9355" s="584"/>
      <c r="F9355" s="584"/>
      <c r="G9355" s="584"/>
      <c r="H9355" s="585"/>
    </row>
    <row r="9356" spans="1:14" ht="15" customHeight="1">
      <c r="A9356" s="583"/>
      <c r="B9356" s="584"/>
      <c r="C9356" s="584"/>
      <c r="D9356" s="584"/>
      <c r="E9356" s="584"/>
      <c r="F9356" s="584"/>
      <c r="G9356" s="584"/>
      <c r="H9356" s="216">
        <f ca="1">TODAY()</f>
        <v>44889</v>
      </c>
      <c r="K9356" t="s">
        <v>4391</v>
      </c>
      <c r="L9356" t="s">
        <v>4392</v>
      </c>
      <c r="M9356" t="s">
        <v>4393</v>
      </c>
      <c r="N9356" t="s">
        <v>4394</v>
      </c>
    </row>
    <row r="9357" spans="1:14" ht="60.75" customHeight="1">
      <c r="A9357" s="228" t="s">
        <v>4222</v>
      </c>
      <c r="B9357" s="565" t="str">
        <f>COSTOS!$D$16</f>
        <v>Luminarias</v>
      </c>
      <c r="C9357" s="565"/>
      <c r="D9357" s="565"/>
      <c r="E9357" s="565"/>
      <c r="F9357" s="565"/>
      <c r="G9357" s="70" t="s">
        <v>4223</v>
      </c>
      <c r="H9357" s="387">
        <v>7.3</v>
      </c>
      <c r="K9357" s="62">
        <f>H9383</f>
        <v>9017.0488800000003</v>
      </c>
      <c r="L9357" s="62">
        <f>H9393</f>
        <v>15030.260000000002</v>
      </c>
      <c r="M9357" s="62">
        <f>H9366</f>
        <v>451.26774999999998</v>
      </c>
      <c r="N9357" s="62">
        <f>H9387</f>
        <v>800</v>
      </c>
    </row>
    <row r="9358" spans="1:14" ht="43.15" customHeight="1">
      <c r="A9358" s="229" t="s">
        <v>4224</v>
      </c>
      <c r="B9358" s="566" t="str">
        <f>VLOOKUP(H9357,COSTOS!C:M,2,0)</f>
        <v>Canalizacion con un ducto 1 1/2" PVC x 500 mts</v>
      </c>
      <c r="C9358" s="567"/>
      <c r="D9358" s="567"/>
      <c r="E9358" s="568"/>
      <c r="F9358" s="71" t="s">
        <v>0</v>
      </c>
      <c r="G9358" s="356" t="str">
        <f>VLOOKUP(H9357,COSTOS!C:M,8,0)</f>
        <v>Ml</v>
      </c>
      <c r="H9358" s="276"/>
      <c r="I9358" s="306"/>
      <c r="J9358" s="308"/>
      <c r="K9358" s="308"/>
      <c r="L9358" s="308"/>
    </row>
    <row r="9359" spans="1:14">
      <c r="A9359" s="230"/>
      <c r="B9359" s="112"/>
      <c r="C9359" s="112"/>
      <c r="D9359" s="112"/>
      <c r="E9359" s="113"/>
      <c r="F9359" s="114" t="s">
        <v>1</v>
      </c>
      <c r="G9359" s="356">
        <f>VLOOKUP(H9357,COSTOS!C:M,9,0)</f>
        <v>0</v>
      </c>
      <c r="H9359" s="357"/>
      <c r="I9359" s="307"/>
    </row>
    <row r="9360" spans="1:14" ht="16.5">
      <c r="A9360" s="231" t="s">
        <v>4226</v>
      </c>
      <c r="B9360" s="75"/>
      <c r="C9360" s="75"/>
      <c r="D9360" s="76"/>
      <c r="E9360" s="209"/>
      <c r="F9360" s="210"/>
      <c r="G9360" s="211" t="s">
        <v>4227</v>
      </c>
      <c r="H9360" s="217">
        <f>H9366+H9383+H9387+H9393</f>
        <v>25298.576630000003</v>
      </c>
    </row>
    <row r="9361" spans="1:15" ht="39">
      <c r="A9361" s="569" t="s">
        <v>4224</v>
      </c>
      <c r="B9361" s="569"/>
      <c r="C9361" s="569"/>
      <c r="D9361" s="77" t="s">
        <v>0</v>
      </c>
      <c r="E9361" s="207" t="s">
        <v>4228</v>
      </c>
      <c r="F9361" s="208" t="s">
        <v>4215</v>
      </c>
      <c r="G9361" s="74" t="s">
        <v>2</v>
      </c>
      <c r="H9361" s="218" t="s">
        <v>4229</v>
      </c>
      <c r="K9361" s="309"/>
    </row>
    <row r="9362" spans="1:15">
      <c r="A9362" s="536" t="s">
        <v>3946</v>
      </c>
      <c r="B9362" s="570" t="str">
        <f>VLOOKUP(A9362,'Equip, Herr y Transp'!$B$2:$D$739,2,0)</f>
        <v>EQU</v>
      </c>
      <c r="C9362" s="570"/>
      <c r="D9362" s="95" t="str">
        <f>VLOOKUP(A9362,'Equip, Herr y Transp'!$B$2:$D$218,2,0)</f>
        <v>EQU</v>
      </c>
      <c r="E9362" s="95">
        <f>VLOOKUP(A9362,'Equip, Herr y Transp'!$B$2:$D$218,3,0)</f>
        <v>14130</v>
      </c>
      <c r="F9362" s="96">
        <f>H9352</f>
        <v>3.1300000000000001E-2</v>
      </c>
      <c r="G9362" s="122">
        <f>F9362*E9362</f>
        <v>442.26900000000001</v>
      </c>
      <c r="H9362" s="118"/>
    </row>
    <row r="9363" spans="1:15">
      <c r="A9363" s="536" t="s">
        <v>3927</v>
      </c>
      <c r="B9363" s="570" t="str">
        <f>VLOOKUP(A9363,'Equip, Herr y Transp'!$B$2:$D$739,2,0)</f>
        <v>EQU</v>
      </c>
      <c r="C9363" s="570"/>
      <c r="D9363" s="95" t="str">
        <f>VLOOKUP(A9363,'Equip, Herr y Transp'!$B$2:$D$218,2,0)</f>
        <v>EQU</v>
      </c>
      <c r="E9363" s="95">
        <f>VLOOKUP(A9363,'Equip, Herr y Transp'!$B$2:$D$218,3,0)</f>
        <v>287.5</v>
      </c>
      <c r="F9363" s="96">
        <f>H9352</f>
        <v>3.1300000000000001E-2</v>
      </c>
      <c r="G9363" s="122">
        <f>F9363*E9363</f>
        <v>8.9987500000000011</v>
      </c>
      <c r="H9363" s="117"/>
    </row>
    <row r="9364" spans="1:15">
      <c r="A9364" s="536" t="s">
        <v>8</v>
      </c>
      <c r="B9364" s="570">
        <f>VLOOKUP(A9364,'Equip, Herr y Transp'!$B$2:$D$739,2,0)</f>
        <v>0</v>
      </c>
      <c r="C9364" s="570"/>
      <c r="D9364" s="95">
        <f>VLOOKUP(A9364,'Equip, Herr y Transp'!$B$2:$D$218,2,0)</f>
        <v>0</v>
      </c>
      <c r="E9364" s="95">
        <f>VLOOKUP(A9364,'Equip, Herr y Transp'!$B$2:$D$218,3,0)</f>
        <v>0</v>
      </c>
      <c r="F9364" s="96">
        <f>H9352</f>
        <v>3.1300000000000001E-2</v>
      </c>
      <c r="G9364" s="122">
        <f>F9364*E9364</f>
        <v>0</v>
      </c>
      <c r="H9364" s="117"/>
    </row>
    <row r="9365" spans="1:15">
      <c r="A9365" s="536" t="s">
        <v>8</v>
      </c>
      <c r="B9365" s="570">
        <f>VLOOKUP(A9365,'Equip, Herr y Transp'!$B$2:$D$739,2,0)</f>
        <v>0</v>
      </c>
      <c r="C9365" s="570"/>
      <c r="D9365" s="95">
        <f>VLOOKUP(A9365,'Equip, Herr y Transp'!$B$2:$D$218,2,0)</f>
        <v>0</v>
      </c>
      <c r="E9365" s="95">
        <f>VLOOKUP(A9365,'Equip, Herr y Transp'!$B$2:$D$218,3,0)</f>
        <v>0</v>
      </c>
      <c r="F9365" s="96">
        <f>H9352</f>
        <v>3.1300000000000001E-2</v>
      </c>
      <c r="G9365" s="122">
        <f>F9365*E9365</f>
        <v>0</v>
      </c>
      <c r="H9365" s="117"/>
    </row>
    <row r="9366" spans="1:15" ht="16.5">
      <c r="A9366" s="540" t="s">
        <v>4100</v>
      </c>
      <c r="B9366" s="541"/>
      <c r="C9366" s="541"/>
      <c r="D9366" s="541"/>
      <c r="E9366" s="541"/>
      <c r="F9366" s="541"/>
      <c r="G9366" s="541"/>
      <c r="H9366" s="97">
        <f>SUM(G9362:G9365)</f>
        <v>451.26774999999998</v>
      </c>
    </row>
    <row r="9367" spans="1:15" ht="16.5">
      <c r="A9367" s="571" t="s">
        <v>4230</v>
      </c>
      <c r="B9367" s="572"/>
      <c r="C9367" s="572"/>
      <c r="D9367" s="572"/>
      <c r="E9367" s="572"/>
      <c r="F9367" s="572"/>
      <c r="G9367" s="572"/>
      <c r="H9367" s="573"/>
      <c r="K9367" s="56"/>
      <c r="L9367" s="56"/>
      <c r="M9367" s="56"/>
      <c r="N9367" s="56"/>
      <c r="O9367" s="56"/>
    </row>
    <row r="9368" spans="1:15" ht="30" customHeight="1">
      <c r="A9368" s="574" t="s">
        <v>7</v>
      </c>
      <c r="B9368" s="575"/>
      <c r="C9368" s="109" t="s">
        <v>0</v>
      </c>
      <c r="D9368" s="110" t="s">
        <v>4098</v>
      </c>
      <c r="E9368" s="111" t="s">
        <v>1</v>
      </c>
      <c r="F9368" s="576" t="s">
        <v>4218</v>
      </c>
      <c r="G9368" s="576"/>
      <c r="H9368" s="215"/>
      <c r="K9368" s="56"/>
      <c r="L9368" s="56"/>
      <c r="M9368" s="56"/>
      <c r="N9368" s="56"/>
      <c r="O9368" s="56"/>
    </row>
    <row r="9369" spans="1:15">
      <c r="A9369" s="577" t="s">
        <v>4597</v>
      </c>
      <c r="B9369" s="578"/>
      <c r="C9369" s="98" t="str">
        <f>VLOOKUP(A9369,'Materiales '!$C$2:$F$1302,3,0)</f>
        <v>Und</v>
      </c>
      <c r="D9369" s="99">
        <f>VLOOKUP(A9369,'Materiales '!$C$2:$F$1302,4,0)</f>
        <v>22446.732</v>
      </c>
      <c r="E9369" s="100">
        <v>0.34</v>
      </c>
      <c r="F9369" s="538">
        <f>E9369*D9369</f>
        <v>7631.8888800000004</v>
      </c>
      <c r="G9369" s="539"/>
      <c r="H9369" s="121"/>
      <c r="I9369">
        <f>E9369*G9359</f>
        <v>0</v>
      </c>
      <c r="J9369" s="67"/>
      <c r="K9369" s="56"/>
      <c r="L9369" s="56"/>
      <c r="M9369" s="56"/>
      <c r="N9369" s="56"/>
      <c r="O9369" s="56"/>
    </row>
    <row r="9370" spans="1:15">
      <c r="A9370" s="577" t="s">
        <v>4581</v>
      </c>
      <c r="B9370" s="578"/>
      <c r="C9370" s="98" t="str">
        <f>VLOOKUP(A9370,'Materiales '!$C$2:$F$1302,3,0)</f>
        <v>Und</v>
      </c>
      <c r="D9370" s="99">
        <f>VLOOKUP(A9370,'Materiales '!$C$2:$F$1302,4,0)</f>
        <v>34629</v>
      </c>
      <c r="E9370" s="100">
        <v>0.04</v>
      </c>
      <c r="F9370" s="538">
        <f t="shared" ref="F9370:F9376" si="543">E9370*D9370</f>
        <v>1385.16</v>
      </c>
      <c r="G9370" s="539"/>
      <c r="H9370" s="121"/>
      <c r="I9370">
        <f>E9370*G9359</f>
        <v>0</v>
      </c>
      <c r="J9370" s="67"/>
      <c r="K9370" s="56"/>
      <c r="L9370" s="56"/>
      <c r="M9370" s="56"/>
      <c r="N9370" s="56"/>
      <c r="O9370" s="56"/>
    </row>
    <row r="9371" spans="1:15">
      <c r="A9371" s="536" t="s">
        <v>8</v>
      </c>
      <c r="B9371" s="537" t="str">
        <f>VLOOKUP(A9371,'Materiales '!$C$2:$F$1302,3,0)</f>
        <v>-</v>
      </c>
      <c r="C9371" s="98" t="str">
        <f>VLOOKUP(A9371,'Materiales '!$C$2:$F$1302,3,0)</f>
        <v>-</v>
      </c>
      <c r="D9371" s="99">
        <f>VLOOKUP(A9371,'Materiales '!$C$2:$F$1302,4,0)</f>
        <v>0</v>
      </c>
      <c r="E9371" s="100">
        <v>1</v>
      </c>
      <c r="F9371" s="538">
        <f t="shared" si="543"/>
        <v>0</v>
      </c>
      <c r="G9371" s="539"/>
      <c r="H9371" s="121"/>
      <c r="I9371">
        <f>E9371*G9359</f>
        <v>0</v>
      </c>
      <c r="J9371" s="68"/>
      <c r="K9371" s="56"/>
      <c r="L9371" s="56"/>
      <c r="M9371" s="56"/>
      <c r="N9371" s="56"/>
      <c r="O9371" s="56"/>
    </row>
    <row r="9372" spans="1:15">
      <c r="A9372" s="536" t="s">
        <v>8</v>
      </c>
      <c r="B9372" s="537" t="str">
        <f>VLOOKUP(A9372,'Materiales '!$C$2:$F$1302,3,0)</f>
        <v>-</v>
      </c>
      <c r="C9372" s="98" t="str">
        <f>VLOOKUP(A9372,'Materiales '!$C$2:$F$1302,3,0)</f>
        <v>-</v>
      </c>
      <c r="D9372" s="99">
        <f>VLOOKUP(A9372,'Materiales '!$C$2:$F$1302,4,0)</f>
        <v>0</v>
      </c>
      <c r="E9372" s="100">
        <v>1</v>
      </c>
      <c r="F9372" s="538">
        <f t="shared" si="543"/>
        <v>0</v>
      </c>
      <c r="G9372" s="539"/>
      <c r="H9372" s="121"/>
      <c r="I9372">
        <f>E9372*G9359</f>
        <v>0</v>
      </c>
      <c r="J9372" s="68"/>
      <c r="K9372" s="56"/>
      <c r="L9372" s="56"/>
      <c r="M9372" s="56"/>
      <c r="N9372" s="56"/>
      <c r="O9372" s="56"/>
    </row>
    <row r="9373" spans="1:15">
      <c r="A9373" s="536" t="s">
        <v>8</v>
      </c>
      <c r="B9373" s="537" t="str">
        <f>VLOOKUP(A9373,'Materiales '!$C$2:$F$1302,3,0)</f>
        <v>-</v>
      </c>
      <c r="C9373" s="98" t="str">
        <f>VLOOKUP(A9373,'Materiales '!$C$2:$F$1302,3,0)</f>
        <v>-</v>
      </c>
      <c r="D9373" s="99">
        <f>VLOOKUP(A9373,'Materiales '!$C$2:$F$1302,4,0)</f>
        <v>0</v>
      </c>
      <c r="E9373" s="100">
        <v>0.5</v>
      </c>
      <c r="F9373" s="538">
        <f t="shared" si="543"/>
        <v>0</v>
      </c>
      <c r="G9373" s="539"/>
      <c r="H9373" s="121"/>
      <c r="I9373">
        <f>E9373*G9359</f>
        <v>0</v>
      </c>
      <c r="J9373" s="68"/>
      <c r="K9373" s="56"/>
      <c r="L9373" s="56"/>
      <c r="M9373" s="56"/>
      <c r="N9373" s="56"/>
      <c r="O9373" s="56"/>
    </row>
    <row r="9374" spans="1:15">
      <c r="A9374" s="536" t="s">
        <v>8</v>
      </c>
      <c r="B9374" s="537" t="str">
        <f>VLOOKUP(A9374,'Materiales '!$C$2:$F$1302,3,0)</f>
        <v>-</v>
      </c>
      <c r="C9374" s="98" t="str">
        <f>VLOOKUP(A9374,'Materiales '!$C$2:$F$1302,3,0)</f>
        <v>-</v>
      </c>
      <c r="D9374" s="99">
        <f>VLOOKUP(A9374,'Materiales '!$C$2:$F$1302,4,0)</f>
        <v>0</v>
      </c>
      <c r="E9374" s="100">
        <v>1</v>
      </c>
      <c r="F9374" s="538">
        <f t="shared" si="543"/>
        <v>0</v>
      </c>
      <c r="G9374" s="539"/>
      <c r="H9374" s="121"/>
      <c r="I9374">
        <f>E9374*G9359</f>
        <v>0</v>
      </c>
      <c r="J9374" s="68"/>
      <c r="K9374" s="56"/>
      <c r="L9374" s="56"/>
      <c r="M9374" s="56"/>
      <c r="N9374" s="56"/>
      <c r="O9374" s="56"/>
    </row>
    <row r="9375" spans="1:15">
      <c r="A9375" s="536" t="s">
        <v>8</v>
      </c>
      <c r="B9375" s="537" t="str">
        <f>VLOOKUP(A9375,'Materiales '!$C$2:$F$1302,3,0)</f>
        <v>-</v>
      </c>
      <c r="C9375" s="98" t="str">
        <f>VLOOKUP(A9375,'Materiales '!$C$2:$F$1302,3,0)</f>
        <v>-</v>
      </c>
      <c r="D9375" s="99">
        <f>VLOOKUP(A9375,'Materiales '!$C$2:$F$1302,4,0)</f>
        <v>0</v>
      </c>
      <c r="E9375" s="100">
        <v>1</v>
      </c>
      <c r="F9375" s="538">
        <f t="shared" si="543"/>
        <v>0</v>
      </c>
      <c r="G9375" s="539"/>
      <c r="H9375" s="121"/>
      <c r="I9375">
        <f>E9375*G9359</f>
        <v>0</v>
      </c>
      <c r="J9375" s="68"/>
      <c r="K9375" s="56"/>
      <c r="L9375" s="56"/>
      <c r="M9375" s="56"/>
      <c r="N9375" s="56"/>
      <c r="O9375" s="56"/>
    </row>
    <row r="9376" spans="1:15" ht="21.75" customHeight="1">
      <c r="A9376" s="536" t="s">
        <v>8</v>
      </c>
      <c r="B9376" s="537" t="str">
        <f>VLOOKUP(A9376,'Materiales '!$C$2:$F$1302,3,0)</f>
        <v>-</v>
      </c>
      <c r="C9376" s="98" t="str">
        <f>VLOOKUP(A9376,'Materiales '!$C$2:$F$1302,3,0)</f>
        <v>-</v>
      </c>
      <c r="D9376" s="99">
        <f>VLOOKUP(A9376,'Materiales '!$C$2:$F$1302,4,0)</f>
        <v>0</v>
      </c>
      <c r="E9376" s="100"/>
      <c r="F9376" s="538">
        <f t="shared" si="543"/>
        <v>0</v>
      </c>
      <c r="G9376" s="539"/>
      <c r="H9376" s="121"/>
      <c r="I9376">
        <f>E9376*G9359</f>
        <v>0</v>
      </c>
      <c r="J9376" s="68"/>
      <c r="K9376" s="56"/>
      <c r="L9376" s="56"/>
      <c r="M9376" s="56"/>
      <c r="N9376" s="56"/>
      <c r="O9376" s="56"/>
    </row>
    <row r="9377" spans="1:15">
      <c r="A9377" s="536" t="s">
        <v>8</v>
      </c>
      <c r="B9377" s="537" t="str">
        <f>VLOOKUP(A9377,'Materiales '!$C$2:$F$1302,3,0)</f>
        <v>-</v>
      </c>
      <c r="C9377" s="98" t="str">
        <f>VLOOKUP(A9377,'Materiales '!$C$2:$F$1302,3,0)</f>
        <v>-</v>
      </c>
      <c r="D9377" s="99">
        <f>VLOOKUP(A9377,'Materiales '!$C$2:$F$1302,4,0)</f>
        <v>0</v>
      </c>
      <c r="E9377" s="100"/>
      <c r="F9377" s="538">
        <f>E9377*D9377</f>
        <v>0</v>
      </c>
      <c r="G9377" s="539"/>
      <c r="H9377" s="120"/>
      <c r="I9377">
        <f>E9377*G9359</f>
        <v>0</v>
      </c>
      <c r="J9377" s="68"/>
      <c r="K9377" s="56"/>
      <c r="L9377" s="56"/>
      <c r="M9377" s="56"/>
      <c r="N9377" s="56"/>
      <c r="O9377" s="56"/>
    </row>
    <row r="9378" spans="1:15">
      <c r="A9378" s="536" t="s">
        <v>8</v>
      </c>
      <c r="B9378" s="537" t="str">
        <f>VLOOKUP(A9378,'Materiales '!$C$2:$F$1302,3,0)</f>
        <v>-</v>
      </c>
      <c r="C9378" s="98" t="str">
        <f>VLOOKUP(A9378,'Materiales '!$C$2:$F$1302,3,0)</f>
        <v>-</v>
      </c>
      <c r="D9378" s="99">
        <f>VLOOKUP(A9378,'Materiales '!$C$2:$F$1302,4,0)</f>
        <v>0</v>
      </c>
      <c r="E9378" s="100"/>
      <c r="F9378" s="538">
        <f t="shared" ref="F9378:F9381" si="544">E9378*D9378</f>
        <v>0</v>
      </c>
      <c r="G9378" s="539"/>
      <c r="H9378" s="121"/>
      <c r="I9378">
        <f>E9378*G9359</f>
        <v>0</v>
      </c>
      <c r="J9378" s="68"/>
      <c r="K9378" s="56"/>
      <c r="L9378" s="56"/>
      <c r="M9378" s="56"/>
      <c r="N9378" s="56"/>
      <c r="O9378" s="56"/>
    </row>
    <row r="9379" spans="1:15">
      <c r="A9379" s="536" t="s">
        <v>8</v>
      </c>
      <c r="B9379" s="537" t="str">
        <f>VLOOKUP(A9379,'Materiales '!$C$2:$F$1302,3,0)</f>
        <v>-</v>
      </c>
      <c r="C9379" s="98" t="str">
        <f>VLOOKUP(A9379,'Materiales '!$C$2:$F$1302,3,0)</f>
        <v>-</v>
      </c>
      <c r="D9379" s="99">
        <f>VLOOKUP(A9379,'Materiales '!$C$2:$F$1302,4,0)</f>
        <v>0</v>
      </c>
      <c r="E9379" s="100"/>
      <c r="F9379" s="538">
        <f t="shared" si="544"/>
        <v>0</v>
      </c>
      <c r="G9379" s="539"/>
      <c r="H9379" s="121"/>
      <c r="I9379">
        <f>E9379*G9359</f>
        <v>0</v>
      </c>
      <c r="J9379" s="68"/>
      <c r="K9379" s="56"/>
      <c r="L9379" s="56"/>
      <c r="M9379" s="56"/>
      <c r="N9379" s="56"/>
      <c r="O9379" s="56"/>
    </row>
    <row r="9380" spans="1:15">
      <c r="A9380" s="536" t="s">
        <v>8</v>
      </c>
      <c r="B9380" s="537" t="str">
        <f>VLOOKUP(A9380,'Materiales '!$C$2:$F$1302,3,0)</f>
        <v>-</v>
      </c>
      <c r="C9380" s="98" t="str">
        <f>VLOOKUP(A9380,'Materiales '!$C$2:$F$1302,3,0)</f>
        <v>-</v>
      </c>
      <c r="D9380" s="99">
        <f>VLOOKUP(A9380,'Materiales '!$C$2:$F$1302,4,0)</f>
        <v>0</v>
      </c>
      <c r="E9380" s="100"/>
      <c r="F9380" s="538">
        <f t="shared" si="544"/>
        <v>0</v>
      </c>
      <c r="G9380" s="539"/>
      <c r="H9380" s="121"/>
      <c r="I9380">
        <f>E9380*G9359</f>
        <v>0</v>
      </c>
      <c r="J9380" s="68"/>
      <c r="K9380" s="56"/>
      <c r="L9380" s="56"/>
      <c r="M9380" s="56"/>
      <c r="N9380" s="56"/>
      <c r="O9380" s="56"/>
    </row>
    <row r="9381" spans="1:15">
      <c r="A9381" s="536" t="s">
        <v>8</v>
      </c>
      <c r="B9381" s="537" t="str">
        <f>VLOOKUP(A9381,'Materiales '!$C$2:$F$1302,3,0)</f>
        <v>-</v>
      </c>
      <c r="C9381" s="98" t="str">
        <f>VLOOKUP(A9381,'Materiales '!$C$2:$F$1302,3,0)</f>
        <v>-</v>
      </c>
      <c r="D9381" s="99">
        <f>VLOOKUP(A9381,'Materiales '!$C$2:$F$1302,4,0)</f>
        <v>0</v>
      </c>
      <c r="E9381" s="100"/>
      <c r="F9381" s="538">
        <f t="shared" si="544"/>
        <v>0</v>
      </c>
      <c r="G9381" s="539"/>
      <c r="H9381" s="121"/>
      <c r="I9381">
        <f>E9381*G9359</f>
        <v>0</v>
      </c>
      <c r="J9381" s="68"/>
      <c r="K9381" s="56"/>
      <c r="L9381" s="56"/>
      <c r="M9381" s="56"/>
      <c r="N9381" s="56"/>
      <c r="O9381" s="56"/>
    </row>
    <row r="9382" spans="1:15">
      <c r="A9382" s="536" t="s">
        <v>8</v>
      </c>
      <c r="B9382" s="537" t="str">
        <f>VLOOKUP(A9382,'Materiales '!$C$2:$F$1302,3,0)</f>
        <v>-</v>
      </c>
      <c r="C9382" s="98" t="str">
        <f>VLOOKUP(A9382,'Materiales '!$C$2:$F$1302,3,0)</f>
        <v>-</v>
      </c>
      <c r="D9382" s="99">
        <f>VLOOKUP(A9382,'Materiales '!$C$2:$F$1302,4,0)</f>
        <v>0</v>
      </c>
      <c r="E9382" s="100"/>
      <c r="F9382" s="538">
        <f>E9382*D9382</f>
        <v>0</v>
      </c>
      <c r="G9382" s="539"/>
      <c r="H9382" s="120"/>
      <c r="I9382">
        <f>E9382*G9359</f>
        <v>0</v>
      </c>
      <c r="J9382" s="68"/>
      <c r="K9382" s="56"/>
      <c r="L9382" s="56"/>
      <c r="M9382" s="56"/>
      <c r="N9382" s="56"/>
      <c r="O9382" s="56"/>
    </row>
    <row r="9383" spans="1:15" ht="16.5">
      <c r="A9383" s="540" t="s">
        <v>4099</v>
      </c>
      <c r="B9383" s="541"/>
      <c r="C9383" s="541"/>
      <c r="D9383" s="541"/>
      <c r="E9383" s="541"/>
      <c r="F9383" s="541"/>
      <c r="G9383" s="542"/>
      <c r="H9383" s="116">
        <f>SUM(F9369:F9382)</f>
        <v>9017.0488800000003</v>
      </c>
      <c r="J9383" s="68"/>
      <c r="K9383" s="56"/>
      <c r="L9383" s="56"/>
      <c r="M9383" s="56"/>
      <c r="N9383" s="56"/>
      <c r="O9383" s="56"/>
    </row>
    <row r="9384" spans="1:15" ht="16.5">
      <c r="A9384" s="543" t="s">
        <v>4231</v>
      </c>
      <c r="B9384" s="544"/>
      <c r="C9384" s="544"/>
      <c r="D9384" s="544"/>
      <c r="E9384" s="545"/>
      <c r="F9384" s="544"/>
      <c r="G9384" s="544"/>
      <c r="H9384" s="546"/>
      <c r="J9384" s="68"/>
      <c r="K9384" s="56"/>
      <c r="L9384" s="56"/>
      <c r="M9384" s="56"/>
      <c r="N9384" s="56"/>
      <c r="O9384" s="56"/>
    </row>
    <row r="9385" spans="1:15">
      <c r="A9385" s="547" t="s">
        <v>7</v>
      </c>
      <c r="B9385" s="548"/>
      <c r="C9385" s="108" t="s">
        <v>4232</v>
      </c>
      <c r="D9385" s="107" t="s">
        <v>4233</v>
      </c>
      <c r="E9385" s="206" t="s">
        <v>4234</v>
      </c>
      <c r="F9385" s="549" t="s">
        <v>4218</v>
      </c>
      <c r="G9385" s="549"/>
      <c r="H9385" s="119"/>
      <c r="K9385" s="56"/>
      <c r="L9385" s="56"/>
      <c r="M9385" s="56"/>
      <c r="N9385" s="56"/>
      <c r="O9385" s="56"/>
    </row>
    <row r="9386" spans="1:15">
      <c r="A9386" s="550" t="s">
        <v>3928</v>
      </c>
      <c r="B9386" s="551"/>
      <c r="C9386" s="232">
        <v>1</v>
      </c>
      <c r="D9386" s="102">
        <v>5.0000000000000001E-3</v>
      </c>
      <c r="E9386" s="103">
        <f>VLOOKUP(A9386,'Equip, Herr y Transp'!$B$2:$D$218,3,0)</f>
        <v>160000</v>
      </c>
      <c r="F9386" s="552">
        <f>E9386*D9386*C9386</f>
        <v>800</v>
      </c>
      <c r="G9386" s="553"/>
      <c r="H9386" s="117"/>
      <c r="M9386" s="56"/>
    </row>
    <row r="9387" spans="1:15" ht="16.5">
      <c r="A9387" s="554" t="s">
        <v>4216</v>
      </c>
      <c r="B9387" s="555"/>
      <c r="C9387" s="555"/>
      <c r="D9387" s="555"/>
      <c r="E9387" s="555"/>
      <c r="F9387" s="555"/>
      <c r="G9387" s="555"/>
      <c r="H9387" s="105">
        <f>F9386</f>
        <v>800</v>
      </c>
    </row>
    <row r="9388" spans="1:15" ht="16.5">
      <c r="A9388" s="543" t="s">
        <v>4235</v>
      </c>
      <c r="B9388" s="544"/>
      <c r="C9388" s="544"/>
      <c r="D9388" s="544"/>
      <c r="E9388" s="544"/>
      <c r="F9388" s="544"/>
      <c r="G9388" s="544"/>
      <c r="H9388" s="546"/>
    </row>
    <row r="9389" spans="1:15">
      <c r="A9389" s="547" t="s">
        <v>7</v>
      </c>
      <c r="B9389" s="548"/>
      <c r="C9389" s="106" t="s">
        <v>1</v>
      </c>
      <c r="D9389" s="107" t="s">
        <v>4236</v>
      </c>
      <c r="E9389" s="108" t="s">
        <v>4215</v>
      </c>
      <c r="F9389" s="547" t="s">
        <v>5</v>
      </c>
      <c r="G9389" s="556"/>
      <c r="H9389" s="119"/>
    </row>
    <row r="9390" spans="1:15">
      <c r="A9390" s="550" t="s">
        <v>4196</v>
      </c>
      <c r="B9390" s="551"/>
      <c r="C9390" s="101">
        <v>1</v>
      </c>
      <c r="D9390" s="104">
        <f>VLOOKUP(A9390,'Mano Obra'!$B$2:$T$117,19,0)</f>
        <v>166624</v>
      </c>
      <c r="E9390" s="246">
        <f>H9352</f>
        <v>3.1300000000000001E-2</v>
      </c>
      <c r="F9390" s="538">
        <f>E9390*D9390*C9390</f>
        <v>5215.3312000000005</v>
      </c>
      <c r="G9390" s="557"/>
      <c r="H9390" s="121"/>
      <c r="I9390" s="69"/>
      <c r="J9390" s="136">
        <f>((('Mano Obra'!$M$4/30)*F9390)/D9390)*G9359</f>
        <v>0</v>
      </c>
    </row>
    <row r="9391" spans="1:15">
      <c r="A9391" s="558" t="s">
        <v>4197</v>
      </c>
      <c r="B9391" s="559">
        <f>VLOOKUP(A9391,'Mano Obra'!$B$3:$D$290,2,0)</f>
        <v>2090000.0000000002</v>
      </c>
      <c r="C9391" s="101">
        <v>2</v>
      </c>
      <c r="D9391" s="104">
        <f>VLOOKUP(A9391,'Mano Obra'!$B$2:$T$117,19,0)</f>
        <v>120456</v>
      </c>
      <c r="E9391" s="246">
        <f>H9352</f>
        <v>3.1300000000000001E-2</v>
      </c>
      <c r="F9391" s="538">
        <f t="shared" ref="F9391:F9392" si="545">E9391*D9391*C9391</f>
        <v>7540.5456000000004</v>
      </c>
      <c r="G9391" s="557"/>
      <c r="H9391" s="121"/>
      <c r="J9391" s="136">
        <f>((('Mano Obra'!$M$5/30)*F9391)/D9391)*G9359</f>
        <v>0</v>
      </c>
    </row>
    <row r="9392" spans="1:15">
      <c r="A9392" s="558" t="s">
        <v>4186</v>
      </c>
      <c r="B9392" s="559">
        <f>VLOOKUP(A9392,'Mano Obra'!$B$3:$D$290,2,0)</f>
        <v>1100000</v>
      </c>
      <c r="C9392" s="101">
        <v>1</v>
      </c>
      <c r="D9392" s="104">
        <f>VLOOKUP(A9392,'Mano Obra'!$B$2:$T$117,19,0)</f>
        <v>72664</v>
      </c>
      <c r="E9392" s="246">
        <f>H9352</f>
        <v>3.1300000000000001E-2</v>
      </c>
      <c r="F9392" s="538">
        <f t="shared" si="545"/>
        <v>2274.3832000000002</v>
      </c>
      <c r="G9392" s="557"/>
      <c r="H9392" s="120"/>
      <c r="J9392" s="136">
        <f>((('Mano Obra'!$M$6/30)*F9392)/D9392)*G9359</f>
        <v>0</v>
      </c>
    </row>
    <row r="9393" spans="1:10" ht="16.5">
      <c r="A9393" s="560" t="s">
        <v>4101</v>
      </c>
      <c r="B9393" s="560"/>
      <c r="C9393" s="560"/>
      <c r="D9393" s="560"/>
      <c r="E9393" s="560"/>
      <c r="F9393" s="560"/>
      <c r="G9393" s="560"/>
      <c r="H9393" s="105">
        <f>SUM(F9390:F9392)</f>
        <v>15030.260000000002</v>
      </c>
      <c r="J9393" s="136"/>
    </row>
    <row r="9394" spans="1:10">
      <c r="A9394" s="227" t="s">
        <v>4237</v>
      </c>
      <c r="B9394" s="205"/>
      <c r="C9394" s="205"/>
      <c r="D9394" s="202"/>
      <c r="E9394" s="203"/>
      <c r="F9394" s="204"/>
      <c r="G9394" s="203"/>
      <c r="H9394" s="212"/>
    </row>
    <row r="9395" spans="1:10">
      <c r="A9395" s="561" t="s">
        <v>4224</v>
      </c>
      <c r="B9395" s="562"/>
      <c r="C9395" s="562"/>
      <c r="D9395" s="562"/>
      <c r="E9395" s="200"/>
      <c r="F9395" s="201" t="s">
        <v>4238</v>
      </c>
      <c r="G9395" s="200" t="s">
        <v>4239</v>
      </c>
      <c r="H9395" s="213"/>
    </row>
    <row r="9396" spans="1:10">
      <c r="A9396" s="223" t="s">
        <v>4097</v>
      </c>
      <c r="B9396" s="72"/>
      <c r="C9396" s="72"/>
      <c r="D9396" s="73"/>
      <c r="E9396" s="78"/>
      <c r="F9396" s="79">
        <v>0</v>
      </c>
      <c r="G9396" s="80">
        <f>F9396*H9360</f>
        <v>0</v>
      </c>
      <c r="H9396" s="212"/>
    </row>
    <row r="9397" spans="1:10">
      <c r="A9397" s="224" t="s">
        <v>4240</v>
      </c>
      <c r="B9397" s="81"/>
      <c r="C9397" s="81"/>
      <c r="D9397" s="82"/>
      <c r="E9397" s="78"/>
      <c r="F9397" s="79">
        <v>0</v>
      </c>
      <c r="G9397" s="80">
        <f>F9397*H9360</f>
        <v>0</v>
      </c>
      <c r="H9397" s="212"/>
    </row>
    <row r="9398" spans="1:10">
      <c r="A9398" s="224" t="s">
        <v>4</v>
      </c>
      <c r="B9398" s="81"/>
      <c r="C9398" s="81"/>
      <c r="D9398" s="82"/>
      <c r="E9398" s="78"/>
      <c r="F9398" s="79">
        <v>0</v>
      </c>
      <c r="G9398" s="80">
        <f>F9398*H9360</f>
        <v>0</v>
      </c>
      <c r="H9398" s="212"/>
    </row>
    <row r="9399" spans="1:10">
      <c r="A9399" s="225"/>
      <c r="B9399" s="83"/>
      <c r="C9399" s="75"/>
      <c r="D9399" s="84"/>
      <c r="E9399" s="85"/>
      <c r="F9399" s="86"/>
      <c r="G9399" s="87"/>
      <c r="H9399" s="214"/>
    </row>
    <row r="9400" spans="1:10">
      <c r="A9400" s="226"/>
      <c r="B9400" s="83"/>
      <c r="C9400" s="83"/>
      <c r="D9400" s="84"/>
      <c r="E9400" s="88"/>
      <c r="F9400" s="563" t="s">
        <v>4241</v>
      </c>
      <c r="G9400" s="564"/>
      <c r="H9400" s="233">
        <f>H9360+G9396+G9397+G9398</f>
        <v>25298.576630000003</v>
      </c>
    </row>
    <row r="9403" spans="1:10" ht="16.5">
      <c r="A9403" s="90"/>
      <c r="B9403" s="90"/>
      <c r="C9403" s="90"/>
      <c r="D9403" s="90"/>
      <c r="E9403" s="90"/>
      <c r="F9403" s="90"/>
      <c r="G9403" s="90"/>
      <c r="H9403" s="381"/>
    </row>
    <row r="9404" spans="1:10">
      <c r="A9404" s="579" t="s">
        <v>4225</v>
      </c>
      <c r="B9404" s="580"/>
      <c r="C9404" s="580"/>
      <c r="D9404" s="580"/>
      <c r="E9404" s="580"/>
      <c r="F9404" s="580"/>
      <c r="G9404" s="580"/>
      <c r="H9404" s="581"/>
    </row>
    <row r="9405" spans="1:10" ht="16.5">
      <c r="A9405" s="91"/>
      <c r="B9405" s="92"/>
      <c r="C9405" s="92"/>
      <c r="D9405" s="92"/>
      <c r="E9405" s="92"/>
      <c r="F9405" s="93"/>
      <c r="G9405" s="94"/>
      <c r="H9405" s="380">
        <f>ROUND((6/60)/8,4)</f>
        <v>1.2500000000000001E-2</v>
      </c>
      <c r="I9405" s="115"/>
    </row>
    <row r="9406" spans="1:10">
      <c r="A9406" s="582" t="s">
        <v>4220</v>
      </c>
      <c r="B9406" s="584" t="str">
        <f>COSTOS!$C$14</f>
        <v>MODERNIZACION A TECNOLOGIA LED</v>
      </c>
      <c r="C9406" s="584"/>
      <c r="D9406" s="584"/>
      <c r="E9406" s="584"/>
      <c r="F9406" s="584"/>
      <c r="G9406" s="584"/>
      <c r="H9406" s="585" t="s">
        <v>4221</v>
      </c>
    </row>
    <row r="9407" spans="1:10">
      <c r="A9407" s="583"/>
      <c r="B9407" s="584"/>
      <c r="C9407" s="584"/>
      <c r="D9407" s="584"/>
      <c r="E9407" s="584"/>
      <c r="F9407" s="584"/>
      <c r="G9407" s="584"/>
      <c r="H9407" s="585"/>
    </row>
    <row r="9408" spans="1:10">
      <c r="A9408" s="583"/>
      <c r="B9408" s="584"/>
      <c r="C9408" s="584"/>
      <c r="D9408" s="584"/>
      <c r="E9408" s="584"/>
      <c r="F9408" s="584"/>
      <c r="G9408" s="584"/>
      <c r="H9408" s="585"/>
    </row>
    <row r="9409" spans="1:15" ht="15" customHeight="1">
      <c r="A9409" s="583"/>
      <c r="B9409" s="584"/>
      <c r="C9409" s="584"/>
      <c r="D9409" s="584"/>
      <c r="E9409" s="584"/>
      <c r="F9409" s="584"/>
      <c r="G9409" s="584"/>
      <c r="H9409" s="216">
        <f ca="1">TODAY()</f>
        <v>44889</v>
      </c>
      <c r="K9409" t="s">
        <v>4391</v>
      </c>
      <c r="L9409" t="s">
        <v>4392</v>
      </c>
      <c r="M9409" t="s">
        <v>4393</v>
      </c>
      <c r="N9409" t="s">
        <v>4394</v>
      </c>
    </row>
    <row r="9410" spans="1:15" ht="60.75" customHeight="1">
      <c r="A9410" s="228" t="s">
        <v>4222</v>
      </c>
      <c r="B9410" s="565" t="str">
        <f>COSTOS!$D$16</f>
        <v>Luminarias</v>
      </c>
      <c r="C9410" s="565"/>
      <c r="D9410" s="565"/>
      <c r="E9410" s="565"/>
      <c r="F9410" s="565"/>
      <c r="G9410" s="70" t="s">
        <v>4223</v>
      </c>
      <c r="H9410" s="387">
        <v>7.4</v>
      </c>
      <c r="K9410" s="62">
        <f>H9436</f>
        <v>31334.603999999999</v>
      </c>
      <c r="L9410" s="62">
        <f>H9446</f>
        <v>6002.5000000000009</v>
      </c>
      <c r="M9410" s="62">
        <f>H9419</f>
        <v>1289.09375</v>
      </c>
      <c r="N9410" s="62">
        <f>H9440</f>
        <v>800</v>
      </c>
    </row>
    <row r="9411" spans="1:15" ht="43.15" customHeight="1">
      <c r="A9411" s="229" t="s">
        <v>4224</v>
      </c>
      <c r="B9411" s="566" t="str">
        <f>VLOOKUP(H9410,COSTOS!C:M,2,0)</f>
        <v>Canalizacion con un ducto 1" EMT x 500 mts</v>
      </c>
      <c r="C9411" s="567"/>
      <c r="D9411" s="567"/>
      <c r="E9411" s="568"/>
      <c r="F9411" s="71" t="s">
        <v>0</v>
      </c>
      <c r="G9411" s="356" t="str">
        <f>VLOOKUP(H9410,COSTOS!C:M,8,0)</f>
        <v>Ml</v>
      </c>
      <c r="H9411" s="276"/>
      <c r="I9411" s="306"/>
      <c r="J9411" s="308"/>
      <c r="K9411" s="308"/>
      <c r="L9411" s="308"/>
    </row>
    <row r="9412" spans="1:15">
      <c r="A9412" s="230"/>
      <c r="B9412" s="112"/>
      <c r="C9412" s="112"/>
      <c r="D9412" s="112"/>
      <c r="E9412" s="113"/>
      <c r="F9412" s="114" t="s">
        <v>1</v>
      </c>
      <c r="G9412" s="356">
        <f>VLOOKUP(H9410,COSTOS!C:M,9,0)</f>
        <v>0</v>
      </c>
      <c r="H9412" s="357"/>
      <c r="I9412" s="307"/>
    </row>
    <row r="9413" spans="1:15" ht="16.5">
      <c r="A9413" s="231" t="s">
        <v>4226</v>
      </c>
      <c r="B9413" s="75"/>
      <c r="C9413" s="75"/>
      <c r="D9413" s="76"/>
      <c r="E9413" s="209"/>
      <c r="F9413" s="210"/>
      <c r="G9413" s="211" t="s">
        <v>4227</v>
      </c>
      <c r="H9413" s="217">
        <f>H9419+H9436+H9440+H9446</f>
        <v>39426.197749999999</v>
      </c>
    </row>
    <row r="9414" spans="1:15" ht="39">
      <c r="A9414" s="569" t="s">
        <v>4224</v>
      </c>
      <c r="B9414" s="569"/>
      <c r="C9414" s="569"/>
      <c r="D9414" s="77" t="s">
        <v>0</v>
      </c>
      <c r="E9414" s="207" t="s">
        <v>4228</v>
      </c>
      <c r="F9414" s="208" t="s">
        <v>4215</v>
      </c>
      <c r="G9414" s="74" t="s">
        <v>2</v>
      </c>
      <c r="H9414" s="218" t="s">
        <v>4229</v>
      </c>
      <c r="K9414" s="309"/>
    </row>
    <row r="9415" spans="1:15">
      <c r="A9415" s="536" t="s">
        <v>3946</v>
      </c>
      <c r="B9415" s="570" t="str">
        <f>VLOOKUP(A9415,'Equip, Herr y Transp'!$B$2:$D$739,2,0)</f>
        <v>EQU</v>
      </c>
      <c r="C9415" s="570"/>
      <c r="D9415" s="95" t="str">
        <f>VLOOKUP(A9415,'Equip, Herr y Transp'!$B$2:$D$218,2,0)</f>
        <v>EQU</v>
      </c>
      <c r="E9415" s="95">
        <f>VLOOKUP(A9415,'Equip, Herr y Transp'!$B$2:$D$218,3,0)</f>
        <v>14130</v>
      </c>
      <c r="F9415" s="96">
        <f>H9405</f>
        <v>1.2500000000000001E-2</v>
      </c>
      <c r="G9415" s="122">
        <f>F9415*E9415</f>
        <v>176.625</v>
      </c>
      <c r="H9415" s="118"/>
    </row>
    <row r="9416" spans="1:15">
      <c r="A9416" s="536" t="s">
        <v>3914</v>
      </c>
      <c r="B9416" s="570" t="str">
        <f>VLOOKUP(A9416,'Equip, Herr y Transp'!$B$2:$D$739,2,0)</f>
        <v>EQU</v>
      </c>
      <c r="C9416" s="570"/>
      <c r="D9416" s="95" t="str">
        <f>VLOOKUP(A9416,'Equip, Herr y Transp'!$B$2:$D$218,2,0)</f>
        <v>EQU</v>
      </c>
      <c r="E9416" s="95">
        <f>VLOOKUP(A9416,'Equip, Herr y Transp'!$B$2:$D$218,3,0)</f>
        <v>6250</v>
      </c>
      <c r="F9416" s="96">
        <f>H9405</f>
        <v>1.2500000000000001E-2</v>
      </c>
      <c r="G9416" s="122">
        <f>F9416*E9416</f>
        <v>78.125</v>
      </c>
      <c r="H9416" s="117"/>
    </row>
    <row r="9417" spans="1:15">
      <c r="A9417" s="536" t="s">
        <v>4144</v>
      </c>
      <c r="B9417" s="570" t="str">
        <f>VLOOKUP(A9417,'Equip, Herr y Transp'!$B$2:$D$739,2,0)</f>
        <v>EQU</v>
      </c>
      <c r="C9417" s="570"/>
      <c r="D9417" s="95" t="str">
        <f>VLOOKUP(A9417,'Equip, Herr y Transp'!$B$2:$D$218,2,0)</f>
        <v>EQU</v>
      </c>
      <c r="E9417" s="95">
        <f>VLOOKUP(A9417,'Equip, Herr y Transp'!$B$2:$D$218,3,0)</f>
        <v>75000</v>
      </c>
      <c r="F9417" s="96">
        <f>H9405</f>
        <v>1.2500000000000001E-2</v>
      </c>
      <c r="G9417" s="122">
        <f>F9417*E9417</f>
        <v>937.5</v>
      </c>
      <c r="H9417" s="117"/>
    </row>
    <row r="9418" spans="1:15">
      <c r="A9418" s="536" t="s">
        <v>3903</v>
      </c>
      <c r="B9418" s="570" t="str">
        <f>VLOOKUP(A9418,'Equip, Herr y Transp'!$B$2:$D$739,2,0)</f>
        <v>EQU</v>
      </c>
      <c r="C9418" s="570"/>
      <c r="D9418" s="95" t="str">
        <f>VLOOKUP(A9418,'Equip, Herr y Transp'!$B$2:$D$218,2,0)</f>
        <v>EQU</v>
      </c>
      <c r="E9418" s="95">
        <f>VLOOKUP(A9418,'Equip, Herr y Transp'!$B$2:$D$218,3,0)</f>
        <v>7747.5</v>
      </c>
      <c r="F9418" s="96">
        <f>H9405</f>
        <v>1.2500000000000001E-2</v>
      </c>
      <c r="G9418" s="122">
        <f>F9418*E9418</f>
        <v>96.84375</v>
      </c>
      <c r="H9418" s="117"/>
    </row>
    <row r="9419" spans="1:15" ht="16.5">
      <c r="A9419" s="540" t="s">
        <v>4100</v>
      </c>
      <c r="B9419" s="541"/>
      <c r="C9419" s="541"/>
      <c r="D9419" s="541"/>
      <c r="E9419" s="541"/>
      <c r="F9419" s="541"/>
      <c r="G9419" s="541"/>
      <c r="H9419" s="97">
        <f>SUM(G9415:G9418)</f>
        <v>1289.09375</v>
      </c>
    </row>
    <row r="9420" spans="1:15" ht="16.5">
      <c r="A9420" s="571" t="s">
        <v>4230</v>
      </c>
      <c r="B9420" s="572"/>
      <c r="C9420" s="572"/>
      <c r="D9420" s="572"/>
      <c r="E9420" s="572"/>
      <c r="F9420" s="572"/>
      <c r="G9420" s="572"/>
      <c r="H9420" s="573"/>
      <c r="K9420" s="56"/>
      <c r="L9420" s="56"/>
      <c r="M9420" s="56"/>
      <c r="N9420" s="56"/>
      <c r="O9420" s="56"/>
    </row>
    <row r="9421" spans="1:15" ht="30" customHeight="1">
      <c r="A9421" s="574" t="s">
        <v>7</v>
      </c>
      <c r="B9421" s="575"/>
      <c r="C9421" s="109" t="s">
        <v>0</v>
      </c>
      <c r="D9421" s="110" t="s">
        <v>4098</v>
      </c>
      <c r="E9421" s="111" t="s">
        <v>1</v>
      </c>
      <c r="F9421" s="576" t="s">
        <v>4218</v>
      </c>
      <c r="G9421" s="576"/>
      <c r="H9421" s="215"/>
      <c r="K9421" s="56"/>
      <c r="L9421" s="56"/>
      <c r="M9421" s="56"/>
      <c r="N9421" s="56"/>
      <c r="O9421" s="56"/>
    </row>
    <row r="9422" spans="1:15">
      <c r="A9422" s="577" t="s">
        <v>4707</v>
      </c>
      <c r="B9422" s="578"/>
      <c r="C9422" s="98" t="str">
        <f>VLOOKUP(A9422,'Materiales '!$C$2:$F$1302,3,0)</f>
        <v>Und</v>
      </c>
      <c r="D9422" s="99">
        <f>VLOOKUP(A9422,'Materiales '!$C$2:$F$1302,4,0)</f>
        <v>85680</v>
      </c>
      <c r="E9422" s="100">
        <v>0.34</v>
      </c>
      <c r="F9422" s="538">
        <f>E9422*D9422</f>
        <v>29131.200000000001</v>
      </c>
      <c r="G9422" s="539"/>
      <c r="H9422" s="121"/>
      <c r="I9422">
        <f>E9422*G9412</f>
        <v>0</v>
      </c>
      <c r="J9422" s="67"/>
      <c r="K9422" s="56"/>
      <c r="L9422" s="56"/>
      <c r="M9422" s="56"/>
      <c r="N9422" s="56"/>
      <c r="O9422" s="56"/>
    </row>
    <row r="9423" spans="1:15">
      <c r="A9423" s="577" t="s">
        <v>4639</v>
      </c>
      <c r="B9423" s="578"/>
      <c r="C9423" s="98" t="str">
        <f>VLOOKUP(A9423,'Materiales '!$C$2:$F$1302,3,0)</f>
        <v>Und</v>
      </c>
      <c r="D9423" s="99">
        <f>VLOOKUP(A9423,'Materiales '!$C$2:$F$1302,4,0)</f>
        <v>35700</v>
      </c>
      <c r="E9423" s="100">
        <v>0.04</v>
      </c>
      <c r="F9423" s="538">
        <f t="shared" ref="F9423:F9429" si="546">E9423*D9423</f>
        <v>1428</v>
      </c>
      <c r="G9423" s="539"/>
      <c r="H9423" s="121"/>
      <c r="I9423">
        <f>E9423*G9412</f>
        <v>0</v>
      </c>
      <c r="J9423" s="67"/>
      <c r="K9423" s="56"/>
      <c r="L9423" s="56"/>
      <c r="M9423" s="56"/>
      <c r="N9423" s="56"/>
      <c r="O9423" s="56"/>
    </row>
    <row r="9424" spans="1:15">
      <c r="A9424" s="536" t="s">
        <v>4709</v>
      </c>
      <c r="B9424" s="537" t="str">
        <f>VLOOKUP(A9424,'Materiales '!$C$2:$F$1302,3,0)</f>
        <v>Und</v>
      </c>
      <c r="C9424" s="98" t="str">
        <f>VLOOKUP(A9424,'Materiales '!$C$2:$F$1302,3,0)</f>
        <v>Und</v>
      </c>
      <c r="D9424" s="99">
        <f>VLOOKUP(A9424,'Materiales '!$C$2:$F$1302,4,0)</f>
        <v>2142</v>
      </c>
      <c r="E9424" s="100">
        <v>0.34</v>
      </c>
      <c r="F9424" s="538">
        <f t="shared" si="546"/>
        <v>728.28000000000009</v>
      </c>
      <c r="G9424" s="539"/>
      <c r="H9424" s="121"/>
      <c r="I9424">
        <f>E9424*G9412</f>
        <v>0</v>
      </c>
      <c r="J9424" s="68"/>
      <c r="K9424" s="56"/>
      <c r="L9424" s="56"/>
      <c r="M9424" s="56"/>
      <c r="N9424" s="56"/>
      <c r="O9424" s="56"/>
    </row>
    <row r="9425" spans="1:15">
      <c r="A9425" s="536" t="s">
        <v>4708</v>
      </c>
      <c r="B9425" s="537" t="str">
        <f>VLOOKUP(A9425,'Materiales '!$C$2:$F$1302,3,0)</f>
        <v>Und</v>
      </c>
      <c r="C9425" s="98" t="str">
        <f>VLOOKUP(A9425,'Materiales '!$C$2:$F$1302,3,0)</f>
        <v>Und</v>
      </c>
      <c r="D9425" s="99">
        <f>VLOOKUP(A9425,'Materiales '!$C$2:$F$1302,4,0)</f>
        <v>2356.1999999999998</v>
      </c>
      <c r="E9425" s="100">
        <v>0.02</v>
      </c>
      <c r="F9425" s="538">
        <f t="shared" si="546"/>
        <v>47.123999999999995</v>
      </c>
      <c r="G9425" s="539"/>
      <c r="H9425" s="121"/>
      <c r="I9425">
        <f>E9425*G9412</f>
        <v>0</v>
      </c>
      <c r="J9425" s="68"/>
      <c r="K9425" s="56"/>
      <c r="L9425" s="56"/>
      <c r="M9425" s="56"/>
      <c r="N9425" s="56"/>
      <c r="O9425" s="56"/>
    </row>
    <row r="9426" spans="1:15">
      <c r="A9426" s="536" t="s">
        <v>8</v>
      </c>
      <c r="B9426" s="537" t="str">
        <f>VLOOKUP(A9426,'Materiales '!$C$2:$F$1302,3,0)</f>
        <v>-</v>
      </c>
      <c r="C9426" s="98" t="str">
        <f>VLOOKUP(A9426,'Materiales '!$C$2:$F$1302,3,0)</f>
        <v>-</v>
      </c>
      <c r="D9426" s="99">
        <f>VLOOKUP(A9426,'Materiales '!$C$2:$F$1302,4,0)</f>
        <v>0</v>
      </c>
      <c r="E9426" s="100">
        <v>0.5</v>
      </c>
      <c r="F9426" s="538">
        <f t="shared" si="546"/>
        <v>0</v>
      </c>
      <c r="G9426" s="539"/>
      <c r="H9426" s="121"/>
      <c r="I9426">
        <f>E9426*G9412</f>
        <v>0</v>
      </c>
      <c r="J9426" s="68"/>
      <c r="K9426" s="56"/>
      <c r="L9426" s="56"/>
      <c r="M9426" s="56"/>
      <c r="N9426" s="56"/>
      <c r="O9426" s="56"/>
    </row>
    <row r="9427" spans="1:15">
      <c r="A9427" s="536" t="s">
        <v>8</v>
      </c>
      <c r="B9427" s="537" t="str">
        <f>VLOOKUP(A9427,'Materiales '!$C$2:$F$1302,3,0)</f>
        <v>-</v>
      </c>
      <c r="C9427" s="98" t="str">
        <f>VLOOKUP(A9427,'Materiales '!$C$2:$F$1302,3,0)</f>
        <v>-</v>
      </c>
      <c r="D9427" s="99">
        <f>VLOOKUP(A9427,'Materiales '!$C$2:$F$1302,4,0)</f>
        <v>0</v>
      </c>
      <c r="E9427" s="100">
        <v>1</v>
      </c>
      <c r="F9427" s="538">
        <f t="shared" si="546"/>
        <v>0</v>
      </c>
      <c r="G9427" s="539"/>
      <c r="H9427" s="121"/>
      <c r="I9427">
        <f>E9427*G9412</f>
        <v>0</v>
      </c>
      <c r="J9427" s="68"/>
      <c r="K9427" s="56"/>
      <c r="L9427" s="56"/>
      <c r="M9427" s="56"/>
      <c r="N9427" s="56"/>
      <c r="O9427" s="56"/>
    </row>
    <row r="9428" spans="1:15">
      <c r="A9428" s="536" t="s">
        <v>8</v>
      </c>
      <c r="B9428" s="537" t="str">
        <f>VLOOKUP(A9428,'Materiales '!$C$2:$F$1302,3,0)</f>
        <v>-</v>
      </c>
      <c r="C9428" s="98" t="str">
        <f>VLOOKUP(A9428,'Materiales '!$C$2:$F$1302,3,0)</f>
        <v>-</v>
      </c>
      <c r="D9428" s="99">
        <f>VLOOKUP(A9428,'Materiales '!$C$2:$F$1302,4,0)</f>
        <v>0</v>
      </c>
      <c r="E9428" s="100">
        <v>1</v>
      </c>
      <c r="F9428" s="538">
        <f t="shared" si="546"/>
        <v>0</v>
      </c>
      <c r="G9428" s="539"/>
      <c r="H9428" s="121"/>
      <c r="I9428">
        <f>E9428*G9412</f>
        <v>0</v>
      </c>
      <c r="J9428" s="68"/>
      <c r="K9428" s="56"/>
      <c r="L9428" s="56"/>
      <c r="M9428" s="56"/>
      <c r="N9428" s="56"/>
      <c r="O9428" s="56"/>
    </row>
    <row r="9429" spans="1:15" ht="21.75" customHeight="1">
      <c r="A9429" s="536" t="s">
        <v>8</v>
      </c>
      <c r="B9429" s="537" t="str">
        <f>VLOOKUP(A9429,'Materiales '!$C$2:$F$1302,3,0)</f>
        <v>-</v>
      </c>
      <c r="C9429" s="98" t="str">
        <f>VLOOKUP(A9429,'Materiales '!$C$2:$F$1302,3,0)</f>
        <v>-</v>
      </c>
      <c r="D9429" s="99">
        <f>VLOOKUP(A9429,'Materiales '!$C$2:$F$1302,4,0)</f>
        <v>0</v>
      </c>
      <c r="E9429" s="100"/>
      <c r="F9429" s="538">
        <f t="shared" si="546"/>
        <v>0</v>
      </c>
      <c r="G9429" s="539"/>
      <c r="H9429" s="121"/>
      <c r="I9429">
        <f>E9429*G9412</f>
        <v>0</v>
      </c>
      <c r="J9429" s="68"/>
      <c r="K9429" s="56"/>
      <c r="L9429" s="56"/>
      <c r="M9429" s="56"/>
      <c r="N9429" s="56"/>
      <c r="O9429" s="56"/>
    </row>
    <row r="9430" spans="1:15">
      <c r="A9430" s="536" t="s">
        <v>8</v>
      </c>
      <c r="B9430" s="537" t="str">
        <f>VLOOKUP(A9430,'Materiales '!$C$2:$F$1302,3,0)</f>
        <v>-</v>
      </c>
      <c r="C9430" s="98" t="str">
        <f>VLOOKUP(A9430,'Materiales '!$C$2:$F$1302,3,0)</f>
        <v>-</v>
      </c>
      <c r="D9430" s="99">
        <f>VLOOKUP(A9430,'Materiales '!$C$2:$F$1302,4,0)</f>
        <v>0</v>
      </c>
      <c r="E9430" s="100"/>
      <c r="F9430" s="538">
        <f>E9430*D9430</f>
        <v>0</v>
      </c>
      <c r="G9430" s="539"/>
      <c r="H9430" s="120"/>
      <c r="I9430">
        <f>E9430*G9412</f>
        <v>0</v>
      </c>
      <c r="J9430" s="68"/>
      <c r="K9430" s="56"/>
      <c r="L9430" s="56"/>
      <c r="M9430" s="56"/>
      <c r="N9430" s="56"/>
      <c r="O9430" s="56"/>
    </row>
    <row r="9431" spans="1:15">
      <c r="A9431" s="536" t="s">
        <v>8</v>
      </c>
      <c r="B9431" s="537" t="str">
        <f>VLOOKUP(A9431,'Materiales '!$C$2:$F$1302,3,0)</f>
        <v>-</v>
      </c>
      <c r="C9431" s="98" t="str">
        <f>VLOOKUP(A9431,'Materiales '!$C$2:$F$1302,3,0)</f>
        <v>-</v>
      </c>
      <c r="D9431" s="99">
        <f>VLOOKUP(A9431,'Materiales '!$C$2:$F$1302,4,0)</f>
        <v>0</v>
      </c>
      <c r="E9431" s="100"/>
      <c r="F9431" s="538">
        <f t="shared" ref="F9431:F9434" si="547">E9431*D9431</f>
        <v>0</v>
      </c>
      <c r="G9431" s="539"/>
      <c r="H9431" s="121"/>
      <c r="I9431">
        <f>E9431*G9412</f>
        <v>0</v>
      </c>
      <c r="J9431" s="68"/>
      <c r="K9431" s="56"/>
      <c r="L9431" s="56"/>
      <c r="M9431" s="56"/>
      <c r="N9431" s="56"/>
      <c r="O9431" s="56"/>
    </row>
    <row r="9432" spans="1:15">
      <c r="A9432" s="536" t="s">
        <v>8</v>
      </c>
      <c r="B9432" s="537" t="str">
        <f>VLOOKUP(A9432,'Materiales '!$C$2:$F$1302,3,0)</f>
        <v>-</v>
      </c>
      <c r="C9432" s="98" t="str">
        <f>VLOOKUP(A9432,'Materiales '!$C$2:$F$1302,3,0)</f>
        <v>-</v>
      </c>
      <c r="D9432" s="99">
        <f>VLOOKUP(A9432,'Materiales '!$C$2:$F$1302,4,0)</f>
        <v>0</v>
      </c>
      <c r="E9432" s="100"/>
      <c r="F9432" s="538">
        <f t="shared" si="547"/>
        <v>0</v>
      </c>
      <c r="G9432" s="539"/>
      <c r="H9432" s="121"/>
      <c r="I9432">
        <f>E9432*G9412</f>
        <v>0</v>
      </c>
      <c r="J9432" s="68"/>
      <c r="K9432" s="56"/>
      <c r="L9432" s="56"/>
      <c r="M9432" s="56"/>
      <c r="N9432" s="56"/>
      <c r="O9432" s="56"/>
    </row>
    <row r="9433" spans="1:15">
      <c r="A9433" s="536" t="s">
        <v>8</v>
      </c>
      <c r="B9433" s="537" t="str">
        <f>VLOOKUP(A9433,'Materiales '!$C$2:$F$1302,3,0)</f>
        <v>-</v>
      </c>
      <c r="C9433" s="98" t="str">
        <f>VLOOKUP(A9433,'Materiales '!$C$2:$F$1302,3,0)</f>
        <v>-</v>
      </c>
      <c r="D9433" s="99">
        <f>VLOOKUP(A9433,'Materiales '!$C$2:$F$1302,4,0)</f>
        <v>0</v>
      </c>
      <c r="E9433" s="100"/>
      <c r="F9433" s="538">
        <f t="shared" si="547"/>
        <v>0</v>
      </c>
      <c r="G9433" s="539"/>
      <c r="H9433" s="121"/>
      <c r="I9433">
        <f>E9433*G9412</f>
        <v>0</v>
      </c>
      <c r="J9433" s="68"/>
      <c r="K9433" s="56"/>
      <c r="L9433" s="56"/>
      <c r="M9433" s="56"/>
      <c r="N9433" s="56"/>
      <c r="O9433" s="56"/>
    </row>
    <row r="9434" spans="1:15">
      <c r="A9434" s="536" t="s">
        <v>8</v>
      </c>
      <c r="B9434" s="537" t="str">
        <f>VLOOKUP(A9434,'Materiales '!$C$2:$F$1302,3,0)</f>
        <v>-</v>
      </c>
      <c r="C9434" s="98" t="str">
        <f>VLOOKUP(A9434,'Materiales '!$C$2:$F$1302,3,0)</f>
        <v>-</v>
      </c>
      <c r="D9434" s="99">
        <f>VLOOKUP(A9434,'Materiales '!$C$2:$F$1302,4,0)</f>
        <v>0</v>
      </c>
      <c r="E9434" s="100"/>
      <c r="F9434" s="538">
        <f t="shared" si="547"/>
        <v>0</v>
      </c>
      <c r="G9434" s="539"/>
      <c r="H9434" s="121"/>
      <c r="I9434">
        <f>E9434*G9412</f>
        <v>0</v>
      </c>
      <c r="J9434" s="68"/>
      <c r="K9434" s="56"/>
      <c r="L9434" s="56"/>
      <c r="M9434" s="56"/>
      <c r="N9434" s="56"/>
      <c r="O9434" s="56"/>
    </row>
    <row r="9435" spans="1:15">
      <c r="A9435" s="536" t="s">
        <v>8</v>
      </c>
      <c r="B9435" s="537" t="str">
        <f>VLOOKUP(A9435,'Materiales '!$C$2:$F$1302,3,0)</f>
        <v>-</v>
      </c>
      <c r="C9435" s="98" t="str">
        <f>VLOOKUP(A9435,'Materiales '!$C$2:$F$1302,3,0)</f>
        <v>-</v>
      </c>
      <c r="D9435" s="99">
        <f>VLOOKUP(A9435,'Materiales '!$C$2:$F$1302,4,0)</f>
        <v>0</v>
      </c>
      <c r="E9435" s="100"/>
      <c r="F9435" s="538">
        <f>E9435*D9435</f>
        <v>0</v>
      </c>
      <c r="G9435" s="539"/>
      <c r="H9435" s="120"/>
      <c r="I9435">
        <f>E9435*G9412</f>
        <v>0</v>
      </c>
      <c r="J9435" s="68"/>
      <c r="K9435" s="56"/>
      <c r="L9435" s="56"/>
      <c r="M9435" s="56"/>
      <c r="N9435" s="56"/>
      <c r="O9435" s="56"/>
    </row>
    <row r="9436" spans="1:15" ht="16.5">
      <c r="A9436" s="540" t="s">
        <v>4099</v>
      </c>
      <c r="B9436" s="541"/>
      <c r="C9436" s="541"/>
      <c r="D9436" s="541"/>
      <c r="E9436" s="541"/>
      <c r="F9436" s="541"/>
      <c r="G9436" s="542"/>
      <c r="H9436" s="116">
        <f>SUM(F9422:F9435)</f>
        <v>31334.603999999999</v>
      </c>
      <c r="J9436" s="68"/>
      <c r="K9436" s="56"/>
      <c r="L9436" s="56"/>
      <c r="M9436" s="56"/>
      <c r="N9436" s="56"/>
      <c r="O9436" s="56"/>
    </row>
    <row r="9437" spans="1:15" ht="16.5">
      <c r="A9437" s="543" t="s">
        <v>4231</v>
      </c>
      <c r="B9437" s="544"/>
      <c r="C9437" s="544"/>
      <c r="D9437" s="544"/>
      <c r="E9437" s="545"/>
      <c r="F9437" s="544"/>
      <c r="G9437" s="544"/>
      <c r="H9437" s="546"/>
      <c r="J9437" s="68"/>
      <c r="K9437" s="56"/>
      <c r="L9437" s="56"/>
      <c r="M9437" s="56"/>
      <c r="N9437" s="56"/>
      <c r="O9437" s="56"/>
    </row>
    <row r="9438" spans="1:15">
      <c r="A9438" s="547" t="s">
        <v>7</v>
      </c>
      <c r="B9438" s="548"/>
      <c r="C9438" s="108" t="s">
        <v>4232</v>
      </c>
      <c r="D9438" s="107" t="s">
        <v>4233</v>
      </c>
      <c r="E9438" s="206" t="s">
        <v>4234</v>
      </c>
      <c r="F9438" s="549" t="s">
        <v>4218</v>
      </c>
      <c r="G9438" s="549"/>
      <c r="H9438" s="119"/>
      <c r="K9438" s="56"/>
      <c r="L9438" s="56"/>
      <c r="M9438" s="56"/>
      <c r="N9438" s="56"/>
      <c r="O9438" s="56"/>
    </row>
    <row r="9439" spans="1:15">
      <c r="A9439" s="550" t="s">
        <v>3928</v>
      </c>
      <c r="B9439" s="551"/>
      <c r="C9439" s="232">
        <v>1</v>
      </c>
      <c r="D9439" s="102">
        <v>5.0000000000000001E-3</v>
      </c>
      <c r="E9439" s="103">
        <f>VLOOKUP(A9439,'Equip, Herr y Transp'!$B$2:$D$218,3,0)</f>
        <v>160000</v>
      </c>
      <c r="F9439" s="552">
        <f>E9439*D9439*C9439</f>
        <v>800</v>
      </c>
      <c r="G9439" s="553"/>
      <c r="H9439" s="117"/>
      <c r="M9439" s="56"/>
    </row>
    <row r="9440" spans="1:15" ht="16.5">
      <c r="A9440" s="554" t="s">
        <v>4216</v>
      </c>
      <c r="B9440" s="555"/>
      <c r="C9440" s="555"/>
      <c r="D9440" s="555"/>
      <c r="E9440" s="555"/>
      <c r="F9440" s="555"/>
      <c r="G9440" s="555"/>
      <c r="H9440" s="105">
        <f>F9439</f>
        <v>800</v>
      </c>
    </row>
    <row r="9441" spans="1:10" ht="16.5">
      <c r="A9441" s="543" t="s">
        <v>4235</v>
      </c>
      <c r="B9441" s="544"/>
      <c r="C9441" s="544"/>
      <c r="D9441" s="544"/>
      <c r="E9441" s="544"/>
      <c r="F9441" s="544"/>
      <c r="G9441" s="544"/>
      <c r="H9441" s="546"/>
    </row>
    <row r="9442" spans="1:10">
      <c r="A9442" s="547" t="s">
        <v>7</v>
      </c>
      <c r="B9442" s="548"/>
      <c r="C9442" s="106" t="s">
        <v>1</v>
      </c>
      <c r="D9442" s="107" t="s">
        <v>4236</v>
      </c>
      <c r="E9442" s="108" t="s">
        <v>4215</v>
      </c>
      <c r="F9442" s="547" t="s">
        <v>5</v>
      </c>
      <c r="G9442" s="556"/>
      <c r="H9442" s="119"/>
    </row>
    <row r="9443" spans="1:10">
      <c r="A9443" s="550" t="s">
        <v>4196</v>
      </c>
      <c r="B9443" s="551"/>
      <c r="C9443" s="101">
        <v>1</v>
      </c>
      <c r="D9443" s="104">
        <f>VLOOKUP(A9443,'Mano Obra'!$B$2:$T$117,19,0)</f>
        <v>166624</v>
      </c>
      <c r="E9443" s="246">
        <f>H9405</f>
        <v>1.2500000000000001E-2</v>
      </c>
      <c r="F9443" s="538">
        <f>E9443*D9443*C9443</f>
        <v>2082.8000000000002</v>
      </c>
      <c r="G9443" s="557"/>
      <c r="H9443" s="121"/>
      <c r="I9443" s="69"/>
      <c r="J9443" s="136">
        <f>((('Mano Obra'!$M$4/30)*F9443)/D9443)*G9412</f>
        <v>0</v>
      </c>
    </row>
    <row r="9444" spans="1:10">
      <c r="A9444" s="558" t="s">
        <v>4197</v>
      </c>
      <c r="B9444" s="559">
        <f>VLOOKUP(A9444,'Mano Obra'!$B$3:$D$290,2,0)</f>
        <v>2090000.0000000002</v>
      </c>
      <c r="C9444" s="101">
        <v>2</v>
      </c>
      <c r="D9444" s="104">
        <f>VLOOKUP(A9444,'Mano Obra'!$B$2:$T$117,19,0)</f>
        <v>120456</v>
      </c>
      <c r="E9444" s="246">
        <f>H9405</f>
        <v>1.2500000000000001E-2</v>
      </c>
      <c r="F9444" s="538">
        <f t="shared" ref="F9444:F9445" si="548">E9444*D9444*C9444</f>
        <v>3011.4</v>
      </c>
      <c r="G9444" s="557"/>
      <c r="H9444" s="121"/>
      <c r="J9444" s="136">
        <f>((('Mano Obra'!$M$5/30)*F9444)/D9444)*G9412</f>
        <v>0</v>
      </c>
    </row>
    <row r="9445" spans="1:10">
      <c r="A9445" s="558" t="s">
        <v>4186</v>
      </c>
      <c r="B9445" s="559">
        <f>VLOOKUP(A9445,'Mano Obra'!$B$3:$D$290,2,0)</f>
        <v>1100000</v>
      </c>
      <c r="C9445" s="101">
        <v>1</v>
      </c>
      <c r="D9445" s="104">
        <f>VLOOKUP(A9445,'Mano Obra'!$B$2:$T$117,19,0)</f>
        <v>72664</v>
      </c>
      <c r="E9445" s="246">
        <f>H9405</f>
        <v>1.2500000000000001E-2</v>
      </c>
      <c r="F9445" s="538">
        <f t="shared" si="548"/>
        <v>908.30000000000007</v>
      </c>
      <c r="G9445" s="557"/>
      <c r="H9445" s="120"/>
      <c r="J9445" s="136">
        <f>((('Mano Obra'!$M$6/30)*F9445)/D9445)*G9412</f>
        <v>0</v>
      </c>
    </row>
    <row r="9446" spans="1:10" ht="16.5">
      <c r="A9446" s="560" t="s">
        <v>4101</v>
      </c>
      <c r="B9446" s="560"/>
      <c r="C9446" s="560"/>
      <c r="D9446" s="560"/>
      <c r="E9446" s="560"/>
      <c r="F9446" s="560"/>
      <c r="G9446" s="560"/>
      <c r="H9446" s="105">
        <f>SUM(F9443:F9445)</f>
        <v>6002.5000000000009</v>
      </c>
      <c r="J9446" s="136"/>
    </row>
    <row r="9447" spans="1:10">
      <c r="A9447" s="227" t="s">
        <v>4237</v>
      </c>
      <c r="B9447" s="205"/>
      <c r="C9447" s="205"/>
      <c r="D9447" s="202"/>
      <c r="E9447" s="203"/>
      <c r="F9447" s="204"/>
      <c r="G9447" s="203"/>
      <c r="H9447" s="212"/>
    </row>
    <row r="9448" spans="1:10">
      <c r="A9448" s="561" t="s">
        <v>4224</v>
      </c>
      <c r="B9448" s="562"/>
      <c r="C9448" s="562"/>
      <c r="D9448" s="562"/>
      <c r="E9448" s="200"/>
      <c r="F9448" s="201" t="s">
        <v>4238</v>
      </c>
      <c r="G9448" s="200" t="s">
        <v>4239</v>
      </c>
      <c r="H9448" s="213"/>
    </row>
    <row r="9449" spans="1:10">
      <c r="A9449" s="223" t="s">
        <v>4097</v>
      </c>
      <c r="B9449" s="72"/>
      <c r="C9449" s="72"/>
      <c r="D9449" s="73"/>
      <c r="E9449" s="78"/>
      <c r="F9449" s="79">
        <v>0</v>
      </c>
      <c r="G9449" s="80">
        <f>F9449*H9413</f>
        <v>0</v>
      </c>
      <c r="H9449" s="212"/>
    </row>
    <row r="9450" spans="1:10">
      <c r="A9450" s="224" t="s">
        <v>4240</v>
      </c>
      <c r="B9450" s="81"/>
      <c r="C9450" s="81"/>
      <c r="D9450" s="82"/>
      <c r="E9450" s="78"/>
      <c r="F9450" s="79">
        <v>0</v>
      </c>
      <c r="G9450" s="80">
        <f>F9450*H9413</f>
        <v>0</v>
      </c>
      <c r="H9450" s="212"/>
    </row>
    <row r="9451" spans="1:10">
      <c r="A9451" s="224" t="s">
        <v>4</v>
      </c>
      <c r="B9451" s="81"/>
      <c r="C9451" s="81"/>
      <c r="D9451" s="82"/>
      <c r="E9451" s="78"/>
      <c r="F9451" s="79">
        <v>0</v>
      </c>
      <c r="G9451" s="80">
        <f>F9451*H9413</f>
        <v>0</v>
      </c>
      <c r="H9451" s="212"/>
    </row>
    <row r="9452" spans="1:10">
      <c r="A9452" s="225"/>
      <c r="B9452" s="83"/>
      <c r="C9452" s="75"/>
      <c r="D9452" s="84"/>
      <c r="E9452" s="85"/>
      <c r="F9452" s="86"/>
      <c r="G9452" s="87"/>
      <c r="H9452" s="214"/>
    </row>
    <row r="9453" spans="1:10">
      <c r="A9453" s="226"/>
      <c r="B9453" s="83"/>
      <c r="C9453" s="83"/>
      <c r="D9453" s="84"/>
      <c r="E9453" s="88"/>
      <c r="F9453" s="563" t="s">
        <v>4241</v>
      </c>
      <c r="G9453" s="564"/>
      <c r="H9453" s="233">
        <f>H9413+G9449+G9450+G9451</f>
        <v>39426.197749999999</v>
      </c>
    </row>
    <row r="9455" spans="1:10" ht="16.5">
      <c r="A9455" s="90"/>
      <c r="B9455" s="90"/>
      <c r="C9455" s="90"/>
      <c r="D9455" s="90"/>
      <c r="E9455" s="90"/>
      <c r="F9455" s="90"/>
      <c r="G9455" s="90"/>
      <c r="H9455" s="381"/>
    </row>
    <row r="9456" spans="1:10">
      <c r="A9456" s="579" t="s">
        <v>4225</v>
      </c>
      <c r="B9456" s="580"/>
      <c r="C9456" s="580"/>
      <c r="D9456" s="580"/>
      <c r="E9456" s="580"/>
      <c r="F9456" s="580"/>
      <c r="G9456" s="580"/>
      <c r="H9456" s="581"/>
    </row>
    <row r="9457" spans="1:15" ht="16.5">
      <c r="A9457" s="91"/>
      <c r="B9457" s="92"/>
      <c r="C9457" s="92"/>
      <c r="D9457" s="92"/>
      <c r="E9457" s="92"/>
      <c r="F9457" s="93"/>
      <c r="G9457" s="94"/>
      <c r="H9457" s="380">
        <f>ROUND((4/60)/8,4)</f>
        <v>8.3000000000000001E-3</v>
      </c>
      <c r="I9457" s="115"/>
    </row>
    <row r="9458" spans="1:15">
      <c r="A9458" s="582" t="s">
        <v>4220</v>
      </c>
      <c r="B9458" s="584" t="str">
        <f>COSTOS!$C$14</f>
        <v>MODERNIZACION A TECNOLOGIA LED</v>
      </c>
      <c r="C9458" s="584"/>
      <c r="D9458" s="584"/>
      <c r="E9458" s="584"/>
      <c r="F9458" s="584"/>
      <c r="G9458" s="584"/>
      <c r="H9458" s="585" t="s">
        <v>4221</v>
      </c>
    </row>
    <row r="9459" spans="1:15">
      <c r="A9459" s="583"/>
      <c r="B9459" s="584"/>
      <c r="C9459" s="584"/>
      <c r="D9459" s="584"/>
      <c r="E9459" s="584"/>
      <c r="F9459" s="584"/>
      <c r="G9459" s="584"/>
      <c r="H9459" s="585"/>
    </row>
    <row r="9460" spans="1:15">
      <c r="A9460" s="583"/>
      <c r="B9460" s="584"/>
      <c r="C9460" s="584"/>
      <c r="D9460" s="584"/>
      <c r="E9460" s="584"/>
      <c r="F9460" s="584"/>
      <c r="G9460" s="584"/>
      <c r="H9460" s="585"/>
    </row>
    <row r="9461" spans="1:15" ht="15" customHeight="1">
      <c r="A9461" s="583"/>
      <c r="B9461" s="584"/>
      <c r="C9461" s="584"/>
      <c r="D9461" s="584"/>
      <c r="E9461" s="584"/>
      <c r="F9461" s="584"/>
      <c r="G9461" s="584"/>
      <c r="H9461" s="216">
        <f ca="1">TODAY()</f>
        <v>44889</v>
      </c>
      <c r="K9461" t="s">
        <v>4391</v>
      </c>
      <c r="L9461" t="s">
        <v>4392</v>
      </c>
      <c r="M9461" t="s">
        <v>4393</v>
      </c>
      <c r="N9461" t="s">
        <v>4394</v>
      </c>
    </row>
    <row r="9462" spans="1:15" ht="60.75" customHeight="1">
      <c r="A9462" s="228" t="s">
        <v>4222</v>
      </c>
      <c r="B9462" s="565" t="str">
        <f>COSTOS!$D$16</f>
        <v>Luminarias</v>
      </c>
      <c r="C9462" s="565"/>
      <c r="D9462" s="565"/>
      <c r="E9462" s="565"/>
      <c r="F9462" s="565"/>
      <c r="G9462" s="70" t="s">
        <v>4223</v>
      </c>
      <c r="H9462" s="387">
        <v>7.5</v>
      </c>
      <c r="K9462" s="62">
        <f>H9488</f>
        <v>10987.032000000001</v>
      </c>
      <c r="L9462" s="62">
        <f>H9498</f>
        <v>3985.66</v>
      </c>
      <c r="M9462" s="62">
        <f>H9471</f>
        <v>855.95825000000002</v>
      </c>
      <c r="N9462" s="62">
        <f>H9492</f>
        <v>800</v>
      </c>
    </row>
    <row r="9463" spans="1:15" ht="43.15" customHeight="1">
      <c r="A9463" s="229" t="s">
        <v>4224</v>
      </c>
      <c r="B9463" s="566" t="str">
        <f>VLOOKUP(H9462,COSTOS!C:M,2,0)</f>
        <v>Canalizacion con un ducto 1/2" EMT x 500 mts</v>
      </c>
      <c r="C9463" s="567"/>
      <c r="D9463" s="567"/>
      <c r="E9463" s="568"/>
      <c r="F9463" s="71" t="s">
        <v>0</v>
      </c>
      <c r="G9463" s="356" t="str">
        <f>VLOOKUP(H9462,COSTOS!C:M,8,0)</f>
        <v>Ml</v>
      </c>
      <c r="H9463" s="276"/>
      <c r="I9463" s="306"/>
      <c r="J9463" s="308"/>
      <c r="K9463" s="308"/>
      <c r="L9463" s="308"/>
    </row>
    <row r="9464" spans="1:15">
      <c r="A9464" s="230"/>
      <c r="B9464" s="112"/>
      <c r="C9464" s="112"/>
      <c r="D9464" s="112"/>
      <c r="E9464" s="113"/>
      <c r="F9464" s="114" t="s">
        <v>1</v>
      </c>
      <c r="G9464" s="356">
        <f>VLOOKUP(H9462,COSTOS!C:M,9,0)</f>
        <v>0</v>
      </c>
      <c r="H9464" s="357"/>
      <c r="I9464" s="307"/>
    </row>
    <row r="9465" spans="1:15" ht="16.5">
      <c r="A9465" s="231" t="s">
        <v>4226</v>
      </c>
      <c r="B9465" s="75"/>
      <c r="C9465" s="75"/>
      <c r="D9465" s="76"/>
      <c r="E9465" s="209"/>
      <c r="F9465" s="210"/>
      <c r="G9465" s="211" t="s">
        <v>4227</v>
      </c>
      <c r="H9465" s="217">
        <f>H9471+H9488+H9492+H9498</f>
        <v>16628.650249999999</v>
      </c>
    </row>
    <row r="9466" spans="1:15" ht="39">
      <c r="A9466" s="569" t="s">
        <v>4224</v>
      </c>
      <c r="B9466" s="569"/>
      <c r="C9466" s="569"/>
      <c r="D9466" s="77" t="s">
        <v>0</v>
      </c>
      <c r="E9466" s="207" t="s">
        <v>4228</v>
      </c>
      <c r="F9466" s="208" t="s">
        <v>4215</v>
      </c>
      <c r="G9466" s="74" t="s">
        <v>2</v>
      </c>
      <c r="H9466" s="218" t="s">
        <v>4229</v>
      </c>
      <c r="K9466" s="309"/>
    </row>
    <row r="9467" spans="1:15">
      <c r="A9467" s="536" t="s">
        <v>3946</v>
      </c>
      <c r="B9467" s="570" t="str">
        <f>VLOOKUP(A9467,'Equip, Herr y Transp'!$B$2:$D$739,2,0)</f>
        <v>EQU</v>
      </c>
      <c r="C9467" s="570"/>
      <c r="D9467" s="95" t="str">
        <f>VLOOKUP(A9467,'Equip, Herr y Transp'!$B$2:$D$218,2,0)</f>
        <v>EQU</v>
      </c>
      <c r="E9467" s="95">
        <f>VLOOKUP(A9467,'Equip, Herr y Transp'!$B$2:$D$218,3,0)</f>
        <v>14130</v>
      </c>
      <c r="F9467" s="96">
        <f>H9457</f>
        <v>8.3000000000000001E-3</v>
      </c>
      <c r="G9467" s="122">
        <f>F9467*E9467</f>
        <v>117.279</v>
      </c>
      <c r="H9467" s="118"/>
    </row>
    <row r="9468" spans="1:15">
      <c r="A9468" s="536" t="s">
        <v>3914</v>
      </c>
      <c r="B9468" s="570" t="str">
        <f>VLOOKUP(A9468,'Equip, Herr y Transp'!$B$2:$D$739,2,0)</f>
        <v>EQU</v>
      </c>
      <c r="C9468" s="570"/>
      <c r="D9468" s="95" t="str">
        <f>VLOOKUP(A9468,'Equip, Herr y Transp'!$B$2:$D$218,2,0)</f>
        <v>EQU</v>
      </c>
      <c r="E9468" s="95">
        <f>VLOOKUP(A9468,'Equip, Herr y Transp'!$B$2:$D$218,3,0)</f>
        <v>6250</v>
      </c>
      <c r="F9468" s="96">
        <f>H9457</f>
        <v>8.3000000000000001E-3</v>
      </c>
      <c r="G9468" s="122">
        <f>F9468*E9468</f>
        <v>51.875</v>
      </c>
      <c r="H9468" s="117"/>
    </row>
    <row r="9469" spans="1:15">
      <c r="A9469" s="536" t="s">
        <v>4144</v>
      </c>
      <c r="B9469" s="570" t="str">
        <f>VLOOKUP(A9469,'Equip, Herr y Transp'!$B$2:$D$739,2,0)</f>
        <v>EQU</v>
      </c>
      <c r="C9469" s="570"/>
      <c r="D9469" s="95" t="str">
        <f>VLOOKUP(A9469,'Equip, Herr y Transp'!$B$2:$D$218,2,0)</f>
        <v>EQU</v>
      </c>
      <c r="E9469" s="95">
        <f>VLOOKUP(A9469,'Equip, Herr y Transp'!$B$2:$D$218,3,0)</f>
        <v>75000</v>
      </c>
      <c r="F9469" s="96">
        <f>H9457</f>
        <v>8.3000000000000001E-3</v>
      </c>
      <c r="G9469" s="122">
        <f>F9469*E9469</f>
        <v>622.5</v>
      </c>
      <c r="H9469" s="117"/>
    </row>
    <row r="9470" spans="1:15">
      <c r="A9470" s="536" t="s">
        <v>3903</v>
      </c>
      <c r="B9470" s="570" t="str">
        <f>VLOOKUP(A9470,'Equip, Herr y Transp'!$B$2:$D$739,2,0)</f>
        <v>EQU</v>
      </c>
      <c r="C9470" s="570"/>
      <c r="D9470" s="95" t="str">
        <f>VLOOKUP(A9470,'Equip, Herr y Transp'!$B$2:$D$218,2,0)</f>
        <v>EQU</v>
      </c>
      <c r="E9470" s="95">
        <f>VLOOKUP(A9470,'Equip, Herr y Transp'!$B$2:$D$218,3,0)</f>
        <v>7747.5</v>
      </c>
      <c r="F9470" s="96">
        <f>H9457</f>
        <v>8.3000000000000001E-3</v>
      </c>
      <c r="G9470" s="122">
        <f>F9470*E9470</f>
        <v>64.304249999999996</v>
      </c>
      <c r="H9470" s="117"/>
    </row>
    <row r="9471" spans="1:15" ht="16.5">
      <c r="A9471" s="540" t="s">
        <v>4100</v>
      </c>
      <c r="B9471" s="541"/>
      <c r="C9471" s="541"/>
      <c r="D9471" s="541"/>
      <c r="E9471" s="541"/>
      <c r="F9471" s="541"/>
      <c r="G9471" s="541"/>
      <c r="H9471" s="97">
        <f>SUM(G9467:G9470)</f>
        <v>855.95825000000002</v>
      </c>
    </row>
    <row r="9472" spans="1:15" ht="16.5">
      <c r="A9472" s="571" t="s">
        <v>4230</v>
      </c>
      <c r="B9472" s="572"/>
      <c r="C9472" s="572"/>
      <c r="D9472" s="572"/>
      <c r="E9472" s="572"/>
      <c r="F9472" s="572"/>
      <c r="G9472" s="572"/>
      <c r="H9472" s="573"/>
      <c r="K9472" s="56"/>
      <c r="L9472" s="56"/>
      <c r="M9472" s="56"/>
      <c r="N9472" s="56"/>
      <c r="O9472" s="56"/>
    </row>
    <row r="9473" spans="1:15" ht="30" customHeight="1">
      <c r="A9473" s="574" t="s">
        <v>7</v>
      </c>
      <c r="B9473" s="575"/>
      <c r="C9473" s="109" t="s">
        <v>0</v>
      </c>
      <c r="D9473" s="110" t="s">
        <v>4098</v>
      </c>
      <c r="E9473" s="111" t="s">
        <v>1</v>
      </c>
      <c r="F9473" s="576" t="s">
        <v>4218</v>
      </c>
      <c r="G9473" s="576"/>
      <c r="H9473" s="215"/>
      <c r="K9473" s="56"/>
      <c r="L9473" s="56"/>
      <c r="M9473" s="56"/>
      <c r="N9473" s="56"/>
      <c r="O9473" s="56"/>
    </row>
    <row r="9474" spans="1:15">
      <c r="A9474" s="577" t="s">
        <v>4650</v>
      </c>
      <c r="B9474" s="578"/>
      <c r="C9474" s="98" t="str">
        <f>VLOOKUP(A9474,'Materiales '!$C$2:$F$1302,3,0)</f>
        <v>Und</v>
      </c>
      <c r="D9474" s="99">
        <f>VLOOKUP(A9474,'Materiales '!$C$2:$F$1302,4,0)</f>
        <v>27132</v>
      </c>
      <c r="E9474" s="100">
        <v>0.34</v>
      </c>
      <c r="F9474" s="538">
        <f>E9474*D9474</f>
        <v>9224.880000000001</v>
      </c>
      <c r="G9474" s="539"/>
      <c r="H9474" s="121"/>
      <c r="I9474">
        <f>E9474*G9464</f>
        <v>0</v>
      </c>
      <c r="J9474" s="67"/>
      <c r="K9474" s="56"/>
      <c r="L9474" s="56"/>
      <c r="M9474" s="56"/>
      <c r="N9474" s="56"/>
      <c r="O9474" s="56"/>
    </row>
    <row r="9475" spans="1:15">
      <c r="A9475" s="577" t="s">
        <v>4639</v>
      </c>
      <c r="B9475" s="578"/>
      <c r="C9475" s="98" t="str">
        <f>VLOOKUP(A9475,'Materiales '!$C$2:$F$1302,3,0)</f>
        <v>Und</v>
      </c>
      <c r="D9475" s="99">
        <f>VLOOKUP(A9475,'Materiales '!$C$2:$F$1302,4,0)</f>
        <v>35700</v>
      </c>
      <c r="E9475" s="100">
        <v>0.04</v>
      </c>
      <c r="F9475" s="538">
        <f t="shared" ref="F9475:F9481" si="549">E9475*D9475</f>
        <v>1428</v>
      </c>
      <c r="G9475" s="539"/>
      <c r="H9475" s="121"/>
      <c r="I9475">
        <f>E9475*G9464</f>
        <v>0</v>
      </c>
      <c r="J9475" s="67"/>
      <c r="K9475" s="56"/>
      <c r="L9475" s="56"/>
      <c r="M9475" s="56"/>
      <c r="N9475" s="56"/>
      <c r="O9475" s="56"/>
    </row>
    <row r="9476" spans="1:15">
      <c r="A9476" s="536" t="s">
        <v>4710</v>
      </c>
      <c r="B9476" s="537" t="str">
        <f>VLOOKUP(A9476,'Materiales '!$C$2:$F$1302,3,0)</f>
        <v>Und</v>
      </c>
      <c r="C9476" s="98" t="str">
        <f>VLOOKUP(A9476,'Materiales '!$C$2:$F$1302,3,0)</f>
        <v>Und</v>
      </c>
      <c r="D9476" s="99">
        <f>VLOOKUP(A9476,'Materiales '!$C$2:$F$1302,4,0)</f>
        <v>928.19999999999993</v>
      </c>
      <c r="E9476" s="100">
        <v>0.34</v>
      </c>
      <c r="F9476" s="538">
        <f t="shared" si="549"/>
        <v>315.58800000000002</v>
      </c>
      <c r="G9476" s="539"/>
      <c r="H9476" s="121"/>
      <c r="I9476">
        <f>E9476*G9464</f>
        <v>0</v>
      </c>
      <c r="J9476" s="68"/>
      <c r="K9476" s="56"/>
      <c r="L9476" s="56"/>
      <c r="M9476" s="56"/>
      <c r="N9476" s="56"/>
      <c r="O9476" s="56"/>
    </row>
    <row r="9477" spans="1:15">
      <c r="A9477" s="536" t="s">
        <v>4711</v>
      </c>
      <c r="B9477" s="537" t="str">
        <f>VLOOKUP(A9477,'Materiales '!$C$2:$F$1302,3,0)</f>
        <v>Und</v>
      </c>
      <c r="C9477" s="98" t="str">
        <f>VLOOKUP(A9477,'Materiales '!$C$2:$F$1302,3,0)</f>
        <v>Und</v>
      </c>
      <c r="D9477" s="99">
        <f>VLOOKUP(A9477,'Materiales '!$C$2:$F$1302,4,0)</f>
        <v>928.19999999999993</v>
      </c>
      <c r="E9477" s="100">
        <v>0.02</v>
      </c>
      <c r="F9477" s="538">
        <f t="shared" si="549"/>
        <v>18.564</v>
      </c>
      <c r="G9477" s="539"/>
      <c r="H9477" s="121"/>
      <c r="I9477">
        <f>E9477*G9464</f>
        <v>0</v>
      </c>
      <c r="J9477" s="68"/>
      <c r="K9477" s="56"/>
      <c r="L9477" s="56"/>
      <c r="M9477" s="56"/>
      <c r="N9477" s="56"/>
      <c r="O9477" s="56"/>
    </row>
    <row r="9478" spans="1:15">
      <c r="A9478" s="536" t="s">
        <v>8</v>
      </c>
      <c r="B9478" s="537" t="str">
        <f>VLOOKUP(A9478,'Materiales '!$C$2:$F$1302,3,0)</f>
        <v>-</v>
      </c>
      <c r="C9478" s="98" t="str">
        <f>VLOOKUP(A9478,'Materiales '!$C$2:$F$1302,3,0)</f>
        <v>-</v>
      </c>
      <c r="D9478" s="99">
        <f>VLOOKUP(A9478,'Materiales '!$C$2:$F$1302,4,0)</f>
        <v>0</v>
      </c>
      <c r="E9478" s="100">
        <v>0.5</v>
      </c>
      <c r="F9478" s="538">
        <f t="shared" si="549"/>
        <v>0</v>
      </c>
      <c r="G9478" s="539"/>
      <c r="H9478" s="121"/>
      <c r="I9478">
        <f>E9478*G9464</f>
        <v>0</v>
      </c>
      <c r="J9478" s="68"/>
      <c r="K9478" s="56"/>
      <c r="L9478" s="56"/>
      <c r="M9478" s="56"/>
      <c r="N9478" s="56"/>
      <c r="O9478" s="56"/>
    </row>
    <row r="9479" spans="1:15">
      <c r="A9479" s="536" t="s">
        <v>8</v>
      </c>
      <c r="B9479" s="537" t="str">
        <f>VLOOKUP(A9479,'Materiales '!$C$2:$F$1302,3,0)</f>
        <v>-</v>
      </c>
      <c r="C9479" s="98" t="str">
        <f>VLOOKUP(A9479,'Materiales '!$C$2:$F$1302,3,0)</f>
        <v>-</v>
      </c>
      <c r="D9479" s="99">
        <f>VLOOKUP(A9479,'Materiales '!$C$2:$F$1302,4,0)</f>
        <v>0</v>
      </c>
      <c r="E9479" s="100">
        <v>1</v>
      </c>
      <c r="F9479" s="538">
        <f t="shared" si="549"/>
        <v>0</v>
      </c>
      <c r="G9479" s="539"/>
      <c r="H9479" s="121"/>
      <c r="I9479">
        <f>E9479*G9464</f>
        <v>0</v>
      </c>
      <c r="J9479" s="68"/>
      <c r="K9479" s="56"/>
      <c r="L9479" s="56"/>
      <c r="M9479" s="56"/>
      <c r="N9479" s="56"/>
      <c r="O9479" s="56"/>
    </row>
    <row r="9480" spans="1:15">
      <c r="A9480" s="536" t="s">
        <v>8</v>
      </c>
      <c r="B9480" s="537" t="str">
        <f>VLOOKUP(A9480,'Materiales '!$C$2:$F$1302,3,0)</f>
        <v>-</v>
      </c>
      <c r="C9480" s="98" t="str">
        <f>VLOOKUP(A9480,'Materiales '!$C$2:$F$1302,3,0)</f>
        <v>-</v>
      </c>
      <c r="D9480" s="99">
        <f>VLOOKUP(A9480,'Materiales '!$C$2:$F$1302,4,0)</f>
        <v>0</v>
      </c>
      <c r="E9480" s="100">
        <v>1</v>
      </c>
      <c r="F9480" s="538">
        <f t="shared" si="549"/>
        <v>0</v>
      </c>
      <c r="G9480" s="539"/>
      <c r="H9480" s="121"/>
      <c r="I9480">
        <f>E9480*G9464</f>
        <v>0</v>
      </c>
      <c r="J9480" s="68"/>
      <c r="K9480" s="56"/>
      <c r="L9480" s="56"/>
      <c r="M9480" s="56"/>
      <c r="N9480" s="56"/>
      <c r="O9480" s="56"/>
    </row>
    <row r="9481" spans="1:15" ht="21.75" customHeight="1">
      <c r="A9481" s="536" t="s">
        <v>8</v>
      </c>
      <c r="B9481" s="537" t="str">
        <f>VLOOKUP(A9481,'Materiales '!$C$2:$F$1302,3,0)</f>
        <v>-</v>
      </c>
      <c r="C9481" s="98" t="str">
        <f>VLOOKUP(A9481,'Materiales '!$C$2:$F$1302,3,0)</f>
        <v>-</v>
      </c>
      <c r="D9481" s="99">
        <f>VLOOKUP(A9481,'Materiales '!$C$2:$F$1302,4,0)</f>
        <v>0</v>
      </c>
      <c r="E9481" s="100"/>
      <c r="F9481" s="538">
        <f t="shared" si="549"/>
        <v>0</v>
      </c>
      <c r="G9481" s="539"/>
      <c r="H9481" s="121"/>
      <c r="I9481">
        <f>E9481*G9464</f>
        <v>0</v>
      </c>
      <c r="J9481" s="68"/>
      <c r="K9481" s="56"/>
      <c r="L9481" s="56"/>
      <c r="M9481" s="56"/>
      <c r="N9481" s="56"/>
      <c r="O9481" s="56"/>
    </row>
    <row r="9482" spans="1:15">
      <c r="A9482" s="536" t="s">
        <v>8</v>
      </c>
      <c r="B9482" s="537" t="str">
        <f>VLOOKUP(A9482,'Materiales '!$C$2:$F$1302,3,0)</f>
        <v>-</v>
      </c>
      <c r="C9482" s="98" t="str">
        <f>VLOOKUP(A9482,'Materiales '!$C$2:$F$1302,3,0)</f>
        <v>-</v>
      </c>
      <c r="D9482" s="99">
        <f>VLOOKUP(A9482,'Materiales '!$C$2:$F$1302,4,0)</f>
        <v>0</v>
      </c>
      <c r="E9482" s="100"/>
      <c r="F9482" s="538">
        <f>E9482*D9482</f>
        <v>0</v>
      </c>
      <c r="G9482" s="539"/>
      <c r="H9482" s="120"/>
      <c r="I9482">
        <f>E9482*G9464</f>
        <v>0</v>
      </c>
      <c r="J9482" s="68"/>
      <c r="K9482" s="56"/>
      <c r="L9482" s="56"/>
      <c r="M9482" s="56"/>
      <c r="N9482" s="56"/>
      <c r="O9482" s="56"/>
    </row>
    <row r="9483" spans="1:15">
      <c r="A9483" s="536" t="s">
        <v>8</v>
      </c>
      <c r="B9483" s="537" t="str">
        <f>VLOOKUP(A9483,'Materiales '!$C$2:$F$1302,3,0)</f>
        <v>-</v>
      </c>
      <c r="C9483" s="98" t="str">
        <f>VLOOKUP(A9483,'Materiales '!$C$2:$F$1302,3,0)</f>
        <v>-</v>
      </c>
      <c r="D9483" s="99">
        <f>VLOOKUP(A9483,'Materiales '!$C$2:$F$1302,4,0)</f>
        <v>0</v>
      </c>
      <c r="E9483" s="100"/>
      <c r="F9483" s="538">
        <f t="shared" ref="F9483:F9486" si="550">E9483*D9483</f>
        <v>0</v>
      </c>
      <c r="G9483" s="539"/>
      <c r="H9483" s="121"/>
      <c r="I9483">
        <f>E9483*G9464</f>
        <v>0</v>
      </c>
      <c r="J9483" s="68"/>
      <c r="K9483" s="56"/>
      <c r="L9483" s="56"/>
      <c r="M9483" s="56"/>
      <c r="N9483" s="56"/>
      <c r="O9483" s="56"/>
    </row>
    <row r="9484" spans="1:15">
      <c r="A9484" s="536" t="s">
        <v>8</v>
      </c>
      <c r="B9484" s="537" t="str">
        <f>VLOOKUP(A9484,'Materiales '!$C$2:$F$1302,3,0)</f>
        <v>-</v>
      </c>
      <c r="C9484" s="98" t="str">
        <f>VLOOKUP(A9484,'Materiales '!$C$2:$F$1302,3,0)</f>
        <v>-</v>
      </c>
      <c r="D9484" s="99">
        <f>VLOOKUP(A9484,'Materiales '!$C$2:$F$1302,4,0)</f>
        <v>0</v>
      </c>
      <c r="E9484" s="100"/>
      <c r="F9484" s="538">
        <f t="shared" si="550"/>
        <v>0</v>
      </c>
      <c r="G9484" s="539"/>
      <c r="H9484" s="121"/>
      <c r="I9484">
        <f>E9484*G9464</f>
        <v>0</v>
      </c>
      <c r="J9484" s="68"/>
      <c r="K9484" s="56"/>
      <c r="L9484" s="56"/>
      <c r="M9484" s="56"/>
      <c r="N9484" s="56"/>
      <c r="O9484" s="56"/>
    </row>
    <row r="9485" spans="1:15">
      <c r="A9485" s="536" t="s">
        <v>8</v>
      </c>
      <c r="B9485" s="537" t="str">
        <f>VLOOKUP(A9485,'Materiales '!$C$2:$F$1302,3,0)</f>
        <v>-</v>
      </c>
      <c r="C9485" s="98" t="str">
        <f>VLOOKUP(A9485,'Materiales '!$C$2:$F$1302,3,0)</f>
        <v>-</v>
      </c>
      <c r="D9485" s="99">
        <f>VLOOKUP(A9485,'Materiales '!$C$2:$F$1302,4,0)</f>
        <v>0</v>
      </c>
      <c r="E9485" s="100"/>
      <c r="F9485" s="538">
        <f t="shared" si="550"/>
        <v>0</v>
      </c>
      <c r="G9485" s="539"/>
      <c r="H9485" s="121"/>
      <c r="I9485">
        <f>E9485*G9464</f>
        <v>0</v>
      </c>
      <c r="J9485" s="68"/>
      <c r="K9485" s="56"/>
      <c r="L9485" s="56"/>
      <c r="M9485" s="56"/>
      <c r="N9485" s="56"/>
      <c r="O9485" s="56"/>
    </row>
    <row r="9486" spans="1:15">
      <c r="A9486" s="536" t="s">
        <v>8</v>
      </c>
      <c r="B9486" s="537" t="str">
        <f>VLOOKUP(A9486,'Materiales '!$C$2:$F$1302,3,0)</f>
        <v>-</v>
      </c>
      <c r="C9486" s="98" t="str">
        <f>VLOOKUP(A9486,'Materiales '!$C$2:$F$1302,3,0)</f>
        <v>-</v>
      </c>
      <c r="D9486" s="99">
        <f>VLOOKUP(A9486,'Materiales '!$C$2:$F$1302,4,0)</f>
        <v>0</v>
      </c>
      <c r="E9486" s="100"/>
      <c r="F9486" s="538">
        <f t="shared" si="550"/>
        <v>0</v>
      </c>
      <c r="G9486" s="539"/>
      <c r="H9486" s="121"/>
      <c r="I9486">
        <f>E9486*G9464</f>
        <v>0</v>
      </c>
      <c r="J9486" s="68"/>
      <c r="K9486" s="56"/>
      <c r="L9486" s="56"/>
      <c r="M9486" s="56"/>
      <c r="N9486" s="56"/>
      <c r="O9486" s="56"/>
    </row>
    <row r="9487" spans="1:15">
      <c r="A9487" s="536" t="s">
        <v>8</v>
      </c>
      <c r="B9487" s="537" t="str">
        <f>VLOOKUP(A9487,'Materiales '!$C$2:$F$1302,3,0)</f>
        <v>-</v>
      </c>
      <c r="C9487" s="98" t="str">
        <f>VLOOKUP(A9487,'Materiales '!$C$2:$F$1302,3,0)</f>
        <v>-</v>
      </c>
      <c r="D9487" s="99">
        <f>VLOOKUP(A9487,'Materiales '!$C$2:$F$1302,4,0)</f>
        <v>0</v>
      </c>
      <c r="E9487" s="100"/>
      <c r="F9487" s="538">
        <f>E9487*D9487</f>
        <v>0</v>
      </c>
      <c r="G9487" s="539"/>
      <c r="H9487" s="120"/>
      <c r="I9487">
        <f>E9487*G9464</f>
        <v>0</v>
      </c>
      <c r="J9487" s="68"/>
      <c r="K9487" s="56"/>
      <c r="L9487" s="56"/>
      <c r="M9487" s="56"/>
      <c r="N9487" s="56"/>
      <c r="O9487" s="56"/>
    </row>
    <row r="9488" spans="1:15" ht="16.5">
      <c r="A9488" s="540" t="s">
        <v>4099</v>
      </c>
      <c r="B9488" s="541"/>
      <c r="C9488" s="541"/>
      <c r="D9488" s="541"/>
      <c r="E9488" s="541"/>
      <c r="F9488" s="541"/>
      <c r="G9488" s="542"/>
      <c r="H9488" s="116">
        <f>SUM(F9474:F9487)</f>
        <v>10987.032000000001</v>
      </c>
      <c r="J9488" s="68"/>
      <c r="K9488" s="56"/>
      <c r="L9488" s="56"/>
      <c r="M9488" s="56"/>
      <c r="N9488" s="56"/>
      <c r="O9488" s="56"/>
    </row>
    <row r="9489" spans="1:15" ht="16.5">
      <c r="A9489" s="543" t="s">
        <v>4231</v>
      </c>
      <c r="B9489" s="544"/>
      <c r="C9489" s="544"/>
      <c r="D9489" s="544"/>
      <c r="E9489" s="545"/>
      <c r="F9489" s="544"/>
      <c r="G9489" s="544"/>
      <c r="H9489" s="546"/>
      <c r="J9489" s="68"/>
      <c r="K9489" s="56"/>
      <c r="L9489" s="56"/>
      <c r="M9489" s="56"/>
      <c r="N9489" s="56"/>
      <c r="O9489" s="56"/>
    </row>
    <row r="9490" spans="1:15">
      <c r="A9490" s="547" t="s">
        <v>7</v>
      </c>
      <c r="B9490" s="548"/>
      <c r="C9490" s="108" t="s">
        <v>4232</v>
      </c>
      <c r="D9490" s="107" t="s">
        <v>4233</v>
      </c>
      <c r="E9490" s="206" t="s">
        <v>4234</v>
      </c>
      <c r="F9490" s="549" t="s">
        <v>4218</v>
      </c>
      <c r="G9490" s="549"/>
      <c r="H9490" s="119"/>
      <c r="K9490" s="56"/>
      <c r="L9490" s="56"/>
      <c r="M9490" s="56"/>
      <c r="N9490" s="56"/>
      <c r="O9490" s="56"/>
    </row>
    <row r="9491" spans="1:15">
      <c r="A9491" s="550" t="s">
        <v>3928</v>
      </c>
      <c r="B9491" s="551"/>
      <c r="C9491" s="232">
        <v>1</v>
      </c>
      <c r="D9491" s="102">
        <v>5.0000000000000001E-3</v>
      </c>
      <c r="E9491" s="103">
        <f>VLOOKUP(A9491,'Equip, Herr y Transp'!$B$2:$D$218,3,0)</f>
        <v>160000</v>
      </c>
      <c r="F9491" s="552">
        <f>E9491*D9491*C9491</f>
        <v>800</v>
      </c>
      <c r="G9491" s="553"/>
      <c r="H9491" s="117"/>
      <c r="M9491" s="56"/>
    </row>
    <row r="9492" spans="1:15" ht="16.5">
      <c r="A9492" s="554" t="s">
        <v>4216</v>
      </c>
      <c r="B9492" s="555"/>
      <c r="C9492" s="555"/>
      <c r="D9492" s="555"/>
      <c r="E9492" s="555"/>
      <c r="F9492" s="555"/>
      <c r="G9492" s="555"/>
      <c r="H9492" s="105">
        <f>F9491</f>
        <v>800</v>
      </c>
    </row>
    <row r="9493" spans="1:15" ht="16.5">
      <c r="A9493" s="543" t="s">
        <v>4235</v>
      </c>
      <c r="B9493" s="544"/>
      <c r="C9493" s="544"/>
      <c r="D9493" s="544"/>
      <c r="E9493" s="544"/>
      <c r="F9493" s="544"/>
      <c r="G9493" s="544"/>
      <c r="H9493" s="546"/>
    </row>
    <row r="9494" spans="1:15">
      <c r="A9494" s="547" t="s">
        <v>7</v>
      </c>
      <c r="B9494" s="548"/>
      <c r="C9494" s="106" t="s">
        <v>1</v>
      </c>
      <c r="D9494" s="107" t="s">
        <v>4236</v>
      </c>
      <c r="E9494" s="108" t="s">
        <v>4215</v>
      </c>
      <c r="F9494" s="547" t="s">
        <v>5</v>
      </c>
      <c r="G9494" s="556"/>
      <c r="H9494" s="119"/>
    </row>
    <row r="9495" spans="1:15">
      <c r="A9495" s="550" t="s">
        <v>4196</v>
      </c>
      <c r="B9495" s="551"/>
      <c r="C9495" s="101">
        <v>1</v>
      </c>
      <c r="D9495" s="104">
        <f>VLOOKUP(A9495,'Mano Obra'!$B$2:$T$117,19,0)</f>
        <v>166624</v>
      </c>
      <c r="E9495" s="246">
        <f>H9457</f>
        <v>8.3000000000000001E-3</v>
      </c>
      <c r="F9495" s="538">
        <f>E9495*D9495*C9495</f>
        <v>1382.9792</v>
      </c>
      <c r="G9495" s="557"/>
      <c r="H9495" s="121"/>
      <c r="I9495" s="69"/>
      <c r="J9495" s="136">
        <f>((('Mano Obra'!$M$4/30)*F9495)/D9495)*G9464</f>
        <v>0</v>
      </c>
    </row>
    <row r="9496" spans="1:15">
      <c r="A9496" s="558" t="s">
        <v>4197</v>
      </c>
      <c r="B9496" s="559">
        <f>VLOOKUP(A9496,'Mano Obra'!$B$3:$D$290,2,0)</f>
        <v>2090000.0000000002</v>
      </c>
      <c r="C9496" s="101">
        <v>2</v>
      </c>
      <c r="D9496" s="104">
        <f>VLOOKUP(A9496,'Mano Obra'!$B$2:$T$117,19,0)</f>
        <v>120456</v>
      </c>
      <c r="E9496" s="246">
        <f>H9457</f>
        <v>8.3000000000000001E-3</v>
      </c>
      <c r="F9496" s="538">
        <f t="shared" ref="F9496:F9497" si="551">E9496*D9496*C9496</f>
        <v>1999.5696</v>
      </c>
      <c r="G9496" s="557"/>
      <c r="H9496" s="121"/>
      <c r="J9496" s="136">
        <f>((('Mano Obra'!$M$5/30)*F9496)/D9496)*G9464</f>
        <v>0</v>
      </c>
    </row>
    <row r="9497" spans="1:15">
      <c r="A9497" s="558" t="s">
        <v>4186</v>
      </c>
      <c r="B9497" s="559">
        <f>VLOOKUP(A9497,'Mano Obra'!$B$3:$D$290,2,0)</f>
        <v>1100000</v>
      </c>
      <c r="C9497" s="101">
        <v>1</v>
      </c>
      <c r="D9497" s="104">
        <f>VLOOKUP(A9497,'Mano Obra'!$B$2:$T$117,19,0)</f>
        <v>72664</v>
      </c>
      <c r="E9497" s="246">
        <f>H9457</f>
        <v>8.3000000000000001E-3</v>
      </c>
      <c r="F9497" s="538">
        <f t="shared" si="551"/>
        <v>603.11120000000005</v>
      </c>
      <c r="G9497" s="557"/>
      <c r="H9497" s="120"/>
      <c r="J9497" s="136">
        <f>((('Mano Obra'!$M$6/30)*F9497)/D9497)*G9464</f>
        <v>0</v>
      </c>
    </row>
    <row r="9498" spans="1:15" ht="16.5">
      <c r="A9498" s="560" t="s">
        <v>4101</v>
      </c>
      <c r="B9498" s="560"/>
      <c r="C9498" s="560"/>
      <c r="D9498" s="560"/>
      <c r="E9498" s="560"/>
      <c r="F9498" s="560"/>
      <c r="G9498" s="560"/>
      <c r="H9498" s="105">
        <f>SUM(F9495:F9497)</f>
        <v>3985.66</v>
      </c>
      <c r="J9498" s="136"/>
    </row>
    <row r="9499" spans="1:15">
      <c r="A9499" s="227" t="s">
        <v>4237</v>
      </c>
      <c r="B9499" s="205"/>
      <c r="C9499" s="205"/>
      <c r="D9499" s="202"/>
      <c r="E9499" s="203"/>
      <c r="F9499" s="204"/>
      <c r="G9499" s="203"/>
      <c r="H9499" s="212"/>
    </row>
    <row r="9500" spans="1:15">
      <c r="A9500" s="561" t="s">
        <v>4224</v>
      </c>
      <c r="B9500" s="562"/>
      <c r="C9500" s="562"/>
      <c r="D9500" s="562"/>
      <c r="E9500" s="200"/>
      <c r="F9500" s="201" t="s">
        <v>4238</v>
      </c>
      <c r="G9500" s="200" t="s">
        <v>4239</v>
      </c>
      <c r="H9500" s="213"/>
    </row>
    <row r="9501" spans="1:15">
      <c r="A9501" s="223" t="s">
        <v>4097</v>
      </c>
      <c r="B9501" s="72"/>
      <c r="C9501" s="72"/>
      <c r="D9501" s="73"/>
      <c r="E9501" s="78"/>
      <c r="F9501" s="79">
        <v>0</v>
      </c>
      <c r="G9501" s="80">
        <f>F9501*H9465</f>
        <v>0</v>
      </c>
      <c r="H9501" s="212"/>
    </row>
    <row r="9502" spans="1:15">
      <c r="A9502" s="224" t="s">
        <v>4240</v>
      </c>
      <c r="B9502" s="81"/>
      <c r="C9502" s="81"/>
      <c r="D9502" s="82"/>
      <c r="E9502" s="78"/>
      <c r="F9502" s="79">
        <v>0</v>
      </c>
      <c r="G9502" s="80">
        <f>F9502*H9465</f>
        <v>0</v>
      </c>
      <c r="H9502" s="212"/>
    </row>
    <row r="9503" spans="1:15">
      <c r="A9503" s="224" t="s">
        <v>4</v>
      </c>
      <c r="B9503" s="81"/>
      <c r="C9503" s="81"/>
      <c r="D9503" s="82"/>
      <c r="E9503" s="78"/>
      <c r="F9503" s="79">
        <v>0</v>
      </c>
      <c r="G9503" s="80">
        <f>F9503*H9465</f>
        <v>0</v>
      </c>
      <c r="H9503" s="212"/>
    </row>
    <row r="9504" spans="1:15">
      <c r="A9504" s="225"/>
      <c r="B9504" s="83"/>
      <c r="C9504" s="75"/>
      <c r="D9504" s="84"/>
      <c r="E9504" s="85"/>
      <c r="F9504" s="86"/>
      <c r="G9504" s="87"/>
      <c r="H9504" s="214"/>
    </row>
    <row r="9505" spans="1:14">
      <c r="A9505" s="226"/>
      <c r="B9505" s="83"/>
      <c r="C9505" s="83"/>
      <c r="D9505" s="84"/>
      <c r="E9505" s="88"/>
      <c r="F9505" s="563" t="s">
        <v>4241</v>
      </c>
      <c r="G9505" s="564"/>
      <c r="H9505" s="233">
        <f>H9465+G9501+G9502+G9503</f>
        <v>16628.650249999999</v>
      </c>
    </row>
    <row r="9507" spans="1:14" ht="16.5">
      <c r="A9507" s="90"/>
      <c r="B9507" s="90"/>
      <c r="C9507" s="90"/>
      <c r="D9507" s="90"/>
      <c r="E9507" s="90"/>
      <c r="F9507" s="90"/>
      <c r="G9507" s="90"/>
      <c r="H9507" s="381"/>
    </row>
    <row r="9508" spans="1:14">
      <c r="A9508" s="579" t="s">
        <v>4225</v>
      </c>
      <c r="B9508" s="580"/>
      <c r="C9508" s="580"/>
      <c r="D9508" s="580"/>
      <c r="E9508" s="580"/>
      <c r="F9508" s="580"/>
      <c r="G9508" s="580"/>
      <c r="H9508" s="581"/>
    </row>
    <row r="9509" spans="1:14" ht="16.5">
      <c r="A9509" s="91"/>
      <c r="B9509" s="92"/>
      <c r="C9509" s="92"/>
      <c r="D9509" s="92"/>
      <c r="E9509" s="92"/>
      <c r="F9509" s="93"/>
      <c r="G9509" s="94"/>
      <c r="H9509" s="380">
        <f>ROUND((4/60)/8,4)</f>
        <v>8.3000000000000001E-3</v>
      </c>
      <c r="I9509" s="115"/>
    </row>
    <row r="9510" spans="1:14">
      <c r="A9510" s="582" t="s">
        <v>4220</v>
      </c>
      <c r="B9510" s="584" t="str">
        <f>COSTOS!$C$14</f>
        <v>MODERNIZACION A TECNOLOGIA LED</v>
      </c>
      <c r="C9510" s="584"/>
      <c r="D9510" s="584"/>
      <c r="E9510" s="584"/>
      <c r="F9510" s="584"/>
      <c r="G9510" s="584"/>
      <c r="H9510" s="585" t="s">
        <v>4221</v>
      </c>
    </row>
    <row r="9511" spans="1:14">
      <c r="A9511" s="583"/>
      <c r="B9511" s="584"/>
      <c r="C9511" s="584"/>
      <c r="D9511" s="584"/>
      <c r="E9511" s="584"/>
      <c r="F9511" s="584"/>
      <c r="G9511" s="584"/>
      <c r="H9511" s="585"/>
    </row>
    <row r="9512" spans="1:14">
      <c r="A9512" s="583"/>
      <c r="B9512" s="584"/>
      <c r="C9512" s="584"/>
      <c r="D9512" s="584"/>
      <c r="E9512" s="584"/>
      <c r="F9512" s="584"/>
      <c r="G9512" s="584"/>
      <c r="H9512" s="585"/>
    </row>
    <row r="9513" spans="1:14" ht="15" customHeight="1">
      <c r="A9513" s="583"/>
      <c r="B9513" s="584"/>
      <c r="C9513" s="584"/>
      <c r="D9513" s="584"/>
      <c r="E9513" s="584"/>
      <c r="F9513" s="584"/>
      <c r="G9513" s="584"/>
      <c r="H9513" s="216">
        <f ca="1">TODAY()</f>
        <v>44889</v>
      </c>
      <c r="K9513" t="s">
        <v>4391</v>
      </c>
      <c r="L9513" t="s">
        <v>4392</v>
      </c>
      <c r="M9513" t="s">
        <v>4393</v>
      </c>
      <c r="N9513" t="s">
        <v>4394</v>
      </c>
    </row>
    <row r="9514" spans="1:14" ht="60.75" customHeight="1">
      <c r="A9514" s="228" t="s">
        <v>4222</v>
      </c>
      <c r="B9514" s="565" t="str">
        <f>COSTOS!$D$16</f>
        <v>Luminarias</v>
      </c>
      <c r="C9514" s="565"/>
      <c r="D9514" s="565"/>
      <c r="E9514" s="565"/>
      <c r="F9514" s="565"/>
      <c r="G9514" s="70" t="s">
        <v>4223</v>
      </c>
      <c r="H9514" s="387">
        <v>7.6</v>
      </c>
      <c r="K9514" s="62">
        <f>H9540</f>
        <v>21334.32</v>
      </c>
      <c r="L9514" s="62">
        <f>H9550</f>
        <v>3985.66</v>
      </c>
      <c r="M9514" s="62">
        <f>H9523</f>
        <v>855.95825000000002</v>
      </c>
      <c r="N9514" s="62">
        <f>H9544</f>
        <v>800</v>
      </c>
    </row>
    <row r="9515" spans="1:14" ht="43.15" customHeight="1">
      <c r="A9515" s="229" t="s">
        <v>4224</v>
      </c>
      <c r="B9515" s="566" t="str">
        <f>VLOOKUP(H9514,COSTOS!C:M,2,0)</f>
        <v>Canalizacion con un ducto 1/2" IMC x 500 mts</v>
      </c>
      <c r="C9515" s="567"/>
      <c r="D9515" s="567"/>
      <c r="E9515" s="568"/>
      <c r="F9515" s="71" t="s">
        <v>0</v>
      </c>
      <c r="G9515" s="356" t="str">
        <f>VLOOKUP(H9514,COSTOS!C:M,8,0)</f>
        <v>Ml</v>
      </c>
      <c r="H9515" s="276"/>
      <c r="I9515" s="306"/>
      <c r="J9515" s="308"/>
      <c r="K9515" s="308"/>
      <c r="L9515" s="308"/>
    </row>
    <row r="9516" spans="1:14">
      <c r="A9516" s="230"/>
      <c r="B9516" s="112"/>
      <c r="C9516" s="112"/>
      <c r="D9516" s="112"/>
      <c r="E9516" s="113"/>
      <c r="F9516" s="114" t="s">
        <v>1</v>
      </c>
      <c r="G9516" s="356">
        <f>VLOOKUP(H9514,COSTOS!C:M,9,0)</f>
        <v>0</v>
      </c>
      <c r="H9516" s="357"/>
      <c r="I9516" s="307"/>
    </row>
    <row r="9517" spans="1:14" ht="16.5">
      <c r="A9517" s="231" t="s">
        <v>4226</v>
      </c>
      <c r="B9517" s="75"/>
      <c r="C9517" s="75"/>
      <c r="D9517" s="76"/>
      <c r="E9517" s="209"/>
      <c r="F9517" s="210"/>
      <c r="G9517" s="211" t="s">
        <v>4227</v>
      </c>
      <c r="H9517" s="217">
        <f>H9523+H9540+H9544+H9550</f>
        <v>26975.938249999999</v>
      </c>
    </row>
    <row r="9518" spans="1:14" ht="39">
      <c r="A9518" s="569" t="s">
        <v>4224</v>
      </c>
      <c r="B9518" s="569"/>
      <c r="C9518" s="569"/>
      <c r="D9518" s="77" t="s">
        <v>0</v>
      </c>
      <c r="E9518" s="207" t="s">
        <v>4228</v>
      </c>
      <c r="F9518" s="208" t="s">
        <v>4215</v>
      </c>
      <c r="G9518" s="74" t="s">
        <v>2</v>
      </c>
      <c r="H9518" s="218" t="s">
        <v>4229</v>
      </c>
      <c r="K9518" s="309"/>
    </row>
    <row r="9519" spans="1:14">
      <c r="A9519" s="536" t="s">
        <v>3946</v>
      </c>
      <c r="B9519" s="570" t="str">
        <f>VLOOKUP(A9519,'Equip, Herr y Transp'!$B$2:$D$739,2,0)</f>
        <v>EQU</v>
      </c>
      <c r="C9519" s="570"/>
      <c r="D9519" s="95" t="str">
        <f>VLOOKUP(A9519,'Equip, Herr y Transp'!$B$2:$D$218,2,0)</f>
        <v>EQU</v>
      </c>
      <c r="E9519" s="95">
        <f>VLOOKUP(A9519,'Equip, Herr y Transp'!$B$2:$D$218,3,0)</f>
        <v>14130</v>
      </c>
      <c r="F9519" s="96">
        <f>H9509</f>
        <v>8.3000000000000001E-3</v>
      </c>
      <c r="G9519" s="122">
        <f>F9519*E9519</f>
        <v>117.279</v>
      </c>
      <c r="H9519" s="118"/>
    </row>
    <row r="9520" spans="1:14">
      <c r="A9520" s="536" t="s">
        <v>3914</v>
      </c>
      <c r="B9520" s="570" t="str">
        <f>VLOOKUP(A9520,'Equip, Herr y Transp'!$B$2:$D$739,2,0)</f>
        <v>EQU</v>
      </c>
      <c r="C9520" s="570"/>
      <c r="D9520" s="95" t="str">
        <f>VLOOKUP(A9520,'Equip, Herr y Transp'!$B$2:$D$218,2,0)</f>
        <v>EQU</v>
      </c>
      <c r="E9520" s="95">
        <f>VLOOKUP(A9520,'Equip, Herr y Transp'!$B$2:$D$218,3,0)</f>
        <v>6250</v>
      </c>
      <c r="F9520" s="96">
        <f>H9509</f>
        <v>8.3000000000000001E-3</v>
      </c>
      <c r="G9520" s="122">
        <f>F9520*E9520</f>
        <v>51.875</v>
      </c>
      <c r="H9520" s="117"/>
    </row>
    <row r="9521" spans="1:15">
      <c r="A9521" s="536" t="s">
        <v>4144</v>
      </c>
      <c r="B9521" s="570" t="str">
        <f>VLOOKUP(A9521,'Equip, Herr y Transp'!$B$2:$D$739,2,0)</f>
        <v>EQU</v>
      </c>
      <c r="C9521" s="570"/>
      <c r="D9521" s="95" t="str">
        <f>VLOOKUP(A9521,'Equip, Herr y Transp'!$B$2:$D$218,2,0)</f>
        <v>EQU</v>
      </c>
      <c r="E9521" s="95">
        <f>VLOOKUP(A9521,'Equip, Herr y Transp'!$B$2:$D$218,3,0)</f>
        <v>75000</v>
      </c>
      <c r="F9521" s="96">
        <f>H9509</f>
        <v>8.3000000000000001E-3</v>
      </c>
      <c r="G9521" s="122">
        <f>F9521*E9521</f>
        <v>622.5</v>
      </c>
      <c r="H9521" s="117"/>
    </row>
    <row r="9522" spans="1:15">
      <c r="A9522" s="536" t="s">
        <v>3903</v>
      </c>
      <c r="B9522" s="570" t="str">
        <f>VLOOKUP(A9522,'Equip, Herr y Transp'!$B$2:$D$739,2,0)</f>
        <v>EQU</v>
      </c>
      <c r="C9522" s="570"/>
      <c r="D9522" s="95" t="str">
        <f>VLOOKUP(A9522,'Equip, Herr y Transp'!$B$2:$D$218,2,0)</f>
        <v>EQU</v>
      </c>
      <c r="E9522" s="95">
        <f>VLOOKUP(A9522,'Equip, Herr y Transp'!$B$2:$D$218,3,0)</f>
        <v>7747.5</v>
      </c>
      <c r="F9522" s="96">
        <f>H9509</f>
        <v>8.3000000000000001E-3</v>
      </c>
      <c r="G9522" s="122">
        <f>F9522*E9522</f>
        <v>64.304249999999996</v>
      </c>
      <c r="H9522" s="117"/>
    </row>
    <row r="9523" spans="1:15" ht="16.5">
      <c r="A9523" s="540" t="s">
        <v>4100</v>
      </c>
      <c r="B9523" s="541"/>
      <c r="C9523" s="541"/>
      <c r="D9523" s="541"/>
      <c r="E9523" s="541"/>
      <c r="F9523" s="541"/>
      <c r="G9523" s="541"/>
      <c r="H9523" s="97">
        <f>SUM(G9519:G9522)</f>
        <v>855.95825000000002</v>
      </c>
    </row>
    <row r="9524" spans="1:15" ht="16.5">
      <c r="A9524" s="571" t="s">
        <v>4230</v>
      </c>
      <c r="B9524" s="572"/>
      <c r="C9524" s="572"/>
      <c r="D9524" s="572"/>
      <c r="E9524" s="572"/>
      <c r="F9524" s="572"/>
      <c r="G9524" s="572"/>
      <c r="H9524" s="573"/>
      <c r="K9524" s="56"/>
      <c r="L9524" s="56"/>
      <c r="M9524" s="56"/>
      <c r="N9524" s="56"/>
      <c r="O9524" s="56"/>
    </row>
    <row r="9525" spans="1:15" ht="30" customHeight="1">
      <c r="A9525" s="574" t="s">
        <v>7</v>
      </c>
      <c r="B9525" s="575"/>
      <c r="C9525" s="109" t="s">
        <v>0</v>
      </c>
      <c r="D9525" s="110" t="s">
        <v>4098</v>
      </c>
      <c r="E9525" s="111" t="s">
        <v>1</v>
      </c>
      <c r="F9525" s="576" t="s">
        <v>4218</v>
      </c>
      <c r="G9525" s="576"/>
      <c r="H9525" s="215"/>
      <c r="K9525" s="56"/>
      <c r="L9525" s="56"/>
      <c r="M9525" s="56"/>
      <c r="N9525" s="56"/>
      <c r="O9525" s="56"/>
    </row>
    <row r="9526" spans="1:15">
      <c r="A9526" s="577" t="s">
        <v>4653</v>
      </c>
      <c r="B9526" s="578"/>
      <c r="C9526" s="98" t="str">
        <f>VLOOKUP(A9526,'Materiales '!$C$2:$F$1302,3,0)</f>
        <v>Und</v>
      </c>
      <c r="D9526" s="99">
        <f>VLOOKUP(A9526,'Materiales '!$C$2:$F$1302,4,0)</f>
        <v>58548</v>
      </c>
      <c r="E9526" s="100">
        <v>0.34</v>
      </c>
      <c r="F9526" s="538">
        <f>E9526*D9526</f>
        <v>19906.32</v>
      </c>
      <c r="G9526" s="539"/>
      <c r="H9526" s="121"/>
      <c r="I9526">
        <f>E9526*G9516</f>
        <v>0</v>
      </c>
      <c r="J9526" s="67"/>
      <c r="K9526" s="56"/>
      <c r="L9526" s="56"/>
      <c r="M9526" s="56"/>
      <c r="N9526" s="56"/>
      <c r="O9526" s="56"/>
    </row>
    <row r="9527" spans="1:15">
      <c r="A9527" s="577" t="s">
        <v>4639</v>
      </c>
      <c r="B9527" s="578"/>
      <c r="C9527" s="98" t="str">
        <f>VLOOKUP(A9527,'Materiales '!$C$2:$F$1302,3,0)</f>
        <v>Und</v>
      </c>
      <c r="D9527" s="99">
        <f>VLOOKUP(A9527,'Materiales '!$C$2:$F$1302,4,0)</f>
        <v>35700</v>
      </c>
      <c r="E9527" s="100">
        <v>0.04</v>
      </c>
      <c r="F9527" s="538">
        <f t="shared" ref="F9527:F9533" si="552">E9527*D9527</f>
        <v>1428</v>
      </c>
      <c r="G9527" s="539"/>
      <c r="H9527" s="121"/>
      <c r="I9527">
        <f>E9527*G9516</f>
        <v>0</v>
      </c>
      <c r="J9527" s="67"/>
      <c r="K9527" s="56"/>
      <c r="L9527" s="56"/>
      <c r="M9527" s="56"/>
      <c r="N9527" s="56"/>
      <c r="O9527" s="56"/>
    </row>
    <row r="9528" spans="1:15">
      <c r="A9528" s="536" t="s">
        <v>8</v>
      </c>
      <c r="B9528" s="537" t="str">
        <f>VLOOKUP(A9528,'Materiales '!$C$2:$F$1302,3,0)</f>
        <v>-</v>
      </c>
      <c r="C9528" s="98" t="str">
        <f>VLOOKUP(A9528,'Materiales '!$C$2:$F$1302,3,0)</f>
        <v>-</v>
      </c>
      <c r="D9528" s="99">
        <f>VLOOKUP(A9528,'Materiales '!$C$2:$F$1302,4,0)</f>
        <v>0</v>
      </c>
      <c r="E9528" s="100">
        <v>0.34</v>
      </c>
      <c r="F9528" s="538">
        <f t="shared" si="552"/>
        <v>0</v>
      </c>
      <c r="G9528" s="539"/>
      <c r="H9528" s="121"/>
      <c r="I9528">
        <f>E9528*G9516</f>
        <v>0</v>
      </c>
      <c r="J9528" s="68"/>
      <c r="K9528" s="56"/>
      <c r="L9528" s="56"/>
      <c r="M9528" s="56"/>
      <c r="N9528" s="56"/>
      <c r="O9528" s="56"/>
    </row>
    <row r="9529" spans="1:15">
      <c r="A9529" s="536" t="s">
        <v>8</v>
      </c>
      <c r="B9529" s="537" t="str">
        <f>VLOOKUP(A9529,'Materiales '!$C$2:$F$1302,3,0)</f>
        <v>-</v>
      </c>
      <c r="C9529" s="98" t="str">
        <f>VLOOKUP(A9529,'Materiales '!$C$2:$F$1302,3,0)</f>
        <v>-</v>
      </c>
      <c r="D9529" s="99">
        <f>VLOOKUP(A9529,'Materiales '!$C$2:$F$1302,4,0)</f>
        <v>0</v>
      </c>
      <c r="E9529" s="100">
        <v>0.02</v>
      </c>
      <c r="F9529" s="538">
        <f t="shared" si="552"/>
        <v>0</v>
      </c>
      <c r="G9529" s="539"/>
      <c r="H9529" s="121"/>
      <c r="I9529">
        <f>E9529*G9516</f>
        <v>0</v>
      </c>
      <c r="J9529" s="68"/>
      <c r="K9529" s="56"/>
      <c r="L9529" s="56"/>
      <c r="M9529" s="56"/>
      <c r="N9529" s="56"/>
      <c r="O9529" s="56"/>
    </row>
    <row r="9530" spans="1:15">
      <c r="A9530" s="536" t="s">
        <v>8</v>
      </c>
      <c r="B9530" s="537" t="str">
        <f>VLOOKUP(A9530,'Materiales '!$C$2:$F$1302,3,0)</f>
        <v>-</v>
      </c>
      <c r="C9530" s="98" t="str">
        <f>VLOOKUP(A9530,'Materiales '!$C$2:$F$1302,3,0)</f>
        <v>-</v>
      </c>
      <c r="D9530" s="99">
        <f>VLOOKUP(A9530,'Materiales '!$C$2:$F$1302,4,0)</f>
        <v>0</v>
      </c>
      <c r="E9530" s="100">
        <v>0.5</v>
      </c>
      <c r="F9530" s="538">
        <f t="shared" si="552"/>
        <v>0</v>
      </c>
      <c r="G9530" s="539"/>
      <c r="H9530" s="121"/>
      <c r="I9530">
        <f>E9530*G9516</f>
        <v>0</v>
      </c>
      <c r="J9530" s="68"/>
      <c r="K9530" s="56"/>
      <c r="L9530" s="56"/>
      <c r="M9530" s="56"/>
      <c r="N9530" s="56"/>
      <c r="O9530" s="56"/>
    </row>
    <row r="9531" spans="1:15">
      <c r="A9531" s="536" t="s">
        <v>8</v>
      </c>
      <c r="B9531" s="537" t="str">
        <f>VLOOKUP(A9531,'Materiales '!$C$2:$F$1302,3,0)</f>
        <v>-</v>
      </c>
      <c r="C9531" s="98" t="str">
        <f>VLOOKUP(A9531,'Materiales '!$C$2:$F$1302,3,0)</f>
        <v>-</v>
      </c>
      <c r="D9531" s="99">
        <f>VLOOKUP(A9531,'Materiales '!$C$2:$F$1302,4,0)</f>
        <v>0</v>
      </c>
      <c r="E9531" s="100">
        <v>1</v>
      </c>
      <c r="F9531" s="538">
        <f t="shared" si="552"/>
        <v>0</v>
      </c>
      <c r="G9531" s="539"/>
      <c r="H9531" s="121"/>
      <c r="I9531">
        <f>E9531*G9516</f>
        <v>0</v>
      </c>
      <c r="J9531" s="68"/>
      <c r="K9531" s="56"/>
      <c r="L9531" s="56"/>
      <c r="M9531" s="56"/>
      <c r="N9531" s="56"/>
      <c r="O9531" s="56"/>
    </row>
    <row r="9532" spans="1:15">
      <c r="A9532" s="536" t="s">
        <v>8</v>
      </c>
      <c r="B9532" s="537" t="str">
        <f>VLOOKUP(A9532,'Materiales '!$C$2:$F$1302,3,0)</f>
        <v>-</v>
      </c>
      <c r="C9532" s="98" t="str">
        <f>VLOOKUP(A9532,'Materiales '!$C$2:$F$1302,3,0)</f>
        <v>-</v>
      </c>
      <c r="D9532" s="99">
        <f>VLOOKUP(A9532,'Materiales '!$C$2:$F$1302,4,0)</f>
        <v>0</v>
      </c>
      <c r="E9532" s="100">
        <v>1</v>
      </c>
      <c r="F9532" s="538">
        <f t="shared" si="552"/>
        <v>0</v>
      </c>
      <c r="G9532" s="539"/>
      <c r="H9532" s="121"/>
      <c r="I9532">
        <f>E9532*G9516</f>
        <v>0</v>
      </c>
      <c r="J9532" s="68"/>
      <c r="K9532" s="56"/>
      <c r="L9532" s="56"/>
      <c r="M9532" s="56"/>
      <c r="N9532" s="56"/>
      <c r="O9532" s="56"/>
    </row>
    <row r="9533" spans="1:15" ht="21.75" customHeight="1">
      <c r="A9533" s="536" t="s">
        <v>8</v>
      </c>
      <c r="B9533" s="537" t="str">
        <f>VLOOKUP(A9533,'Materiales '!$C$2:$F$1302,3,0)</f>
        <v>-</v>
      </c>
      <c r="C9533" s="98" t="str">
        <f>VLOOKUP(A9533,'Materiales '!$C$2:$F$1302,3,0)</f>
        <v>-</v>
      </c>
      <c r="D9533" s="99">
        <f>VLOOKUP(A9533,'Materiales '!$C$2:$F$1302,4,0)</f>
        <v>0</v>
      </c>
      <c r="E9533" s="100"/>
      <c r="F9533" s="538">
        <f t="shared" si="552"/>
        <v>0</v>
      </c>
      <c r="G9533" s="539"/>
      <c r="H9533" s="121"/>
      <c r="I9533">
        <f>E9533*G9516</f>
        <v>0</v>
      </c>
      <c r="J9533" s="68"/>
      <c r="K9533" s="56"/>
      <c r="L9533" s="56"/>
      <c r="M9533" s="56"/>
      <c r="N9533" s="56"/>
      <c r="O9533" s="56"/>
    </row>
    <row r="9534" spans="1:15">
      <c r="A9534" s="536" t="s">
        <v>8</v>
      </c>
      <c r="B9534" s="537" t="str">
        <f>VLOOKUP(A9534,'Materiales '!$C$2:$F$1302,3,0)</f>
        <v>-</v>
      </c>
      <c r="C9534" s="98" t="str">
        <f>VLOOKUP(A9534,'Materiales '!$C$2:$F$1302,3,0)</f>
        <v>-</v>
      </c>
      <c r="D9534" s="99">
        <f>VLOOKUP(A9534,'Materiales '!$C$2:$F$1302,4,0)</f>
        <v>0</v>
      </c>
      <c r="E9534" s="100"/>
      <c r="F9534" s="538">
        <f>E9534*D9534</f>
        <v>0</v>
      </c>
      <c r="G9534" s="539"/>
      <c r="H9534" s="120"/>
      <c r="I9534">
        <f>E9534*G9516</f>
        <v>0</v>
      </c>
      <c r="J9534" s="68"/>
      <c r="K9534" s="56"/>
      <c r="L9534" s="56"/>
      <c r="M9534" s="56"/>
      <c r="N9534" s="56"/>
      <c r="O9534" s="56"/>
    </row>
    <row r="9535" spans="1:15">
      <c r="A9535" s="536" t="s">
        <v>8</v>
      </c>
      <c r="B9535" s="537" t="str">
        <f>VLOOKUP(A9535,'Materiales '!$C$2:$F$1302,3,0)</f>
        <v>-</v>
      </c>
      <c r="C9535" s="98" t="str">
        <f>VLOOKUP(A9535,'Materiales '!$C$2:$F$1302,3,0)</f>
        <v>-</v>
      </c>
      <c r="D9535" s="99">
        <f>VLOOKUP(A9535,'Materiales '!$C$2:$F$1302,4,0)</f>
        <v>0</v>
      </c>
      <c r="E9535" s="100"/>
      <c r="F9535" s="538">
        <f t="shared" ref="F9535:F9538" si="553">E9535*D9535</f>
        <v>0</v>
      </c>
      <c r="G9535" s="539"/>
      <c r="H9535" s="121"/>
      <c r="I9535">
        <f>E9535*G9516</f>
        <v>0</v>
      </c>
      <c r="J9535" s="68"/>
      <c r="K9535" s="56"/>
      <c r="L9535" s="56"/>
      <c r="M9535" s="56"/>
      <c r="N9535" s="56"/>
      <c r="O9535" s="56"/>
    </row>
    <row r="9536" spans="1:15">
      <c r="A9536" s="536" t="s">
        <v>8</v>
      </c>
      <c r="B9536" s="537" t="str">
        <f>VLOOKUP(A9536,'Materiales '!$C$2:$F$1302,3,0)</f>
        <v>-</v>
      </c>
      <c r="C9536" s="98" t="str">
        <f>VLOOKUP(A9536,'Materiales '!$C$2:$F$1302,3,0)</f>
        <v>-</v>
      </c>
      <c r="D9536" s="99">
        <f>VLOOKUP(A9536,'Materiales '!$C$2:$F$1302,4,0)</f>
        <v>0</v>
      </c>
      <c r="E9536" s="100"/>
      <c r="F9536" s="538">
        <f t="shared" si="553"/>
        <v>0</v>
      </c>
      <c r="G9536" s="539"/>
      <c r="H9536" s="121"/>
      <c r="I9536">
        <f>E9536*G9516</f>
        <v>0</v>
      </c>
      <c r="J9536" s="68"/>
      <c r="K9536" s="56"/>
      <c r="L9536" s="56"/>
      <c r="M9536" s="56"/>
      <c r="N9536" s="56"/>
      <c r="O9536" s="56"/>
    </row>
    <row r="9537" spans="1:15">
      <c r="A9537" s="536" t="s">
        <v>8</v>
      </c>
      <c r="B9537" s="537" t="str">
        <f>VLOOKUP(A9537,'Materiales '!$C$2:$F$1302,3,0)</f>
        <v>-</v>
      </c>
      <c r="C9537" s="98" t="str">
        <f>VLOOKUP(A9537,'Materiales '!$C$2:$F$1302,3,0)</f>
        <v>-</v>
      </c>
      <c r="D9537" s="99">
        <f>VLOOKUP(A9537,'Materiales '!$C$2:$F$1302,4,0)</f>
        <v>0</v>
      </c>
      <c r="E9537" s="100"/>
      <c r="F9537" s="538">
        <f t="shared" si="553"/>
        <v>0</v>
      </c>
      <c r="G9537" s="539"/>
      <c r="H9537" s="121"/>
      <c r="I9537">
        <f>E9537*G9516</f>
        <v>0</v>
      </c>
      <c r="J9537" s="68"/>
      <c r="K9537" s="56"/>
      <c r="L9537" s="56"/>
      <c r="M9537" s="56"/>
      <c r="N9537" s="56"/>
      <c r="O9537" s="56"/>
    </row>
    <row r="9538" spans="1:15">
      <c r="A9538" s="536" t="s">
        <v>8</v>
      </c>
      <c r="B9538" s="537" t="str">
        <f>VLOOKUP(A9538,'Materiales '!$C$2:$F$1302,3,0)</f>
        <v>-</v>
      </c>
      <c r="C9538" s="98" t="str">
        <f>VLOOKUP(A9538,'Materiales '!$C$2:$F$1302,3,0)</f>
        <v>-</v>
      </c>
      <c r="D9538" s="99">
        <f>VLOOKUP(A9538,'Materiales '!$C$2:$F$1302,4,0)</f>
        <v>0</v>
      </c>
      <c r="E9538" s="100"/>
      <c r="F9538" s="538">
        <f t="shared" si="553"/>
        <v>0</v>
      </c>
      <c r="G9538" s="539"/>
      <c r="H9538" s="121"/>
      <c r="I9538">
        <f>E9538*G9516</f>
        <v>0</v>
      </c>
      <c r="J9538" s="68"/>
      <c r="K9538" s="56"/>
      <c r="L9538" s="56"/>
      <c r="M9538" s="56"/>
      <c r="N9538" s="56"/>
      <c r="O9538" s="56"/>
    </row>
    <row r="9539" spans="1:15">
      <c r="A9539" s="536" t="s">
        <v>8</v>
      </c>
      <c r="B9539" s="537" t="str">
        <f>VLOOKUP(A9539,'Materiales '!$C$2:$F$1302,3,0)</f>
        <v>-</v>
      </c>
      <c r="C9539" s="98" t="str">
        <f>VLOOKUP(A9539,'Materiales '!$C$2:$F$1302,3,0)</f>
        <v>-</v>
      </c>
      <c r="D9539" s="99">
        <f>VLOOKUP(A9539,'Materiales '!$C$2:$F$1302,4,0)</f>
        <v>0</v>
      </c>
      <c r="E9539" s="100"/>
      <c r="F9539" s="538">
        <f>E9539*D9539</f>
        <v>0</v>
      </c>
      <c r="G9539" s="539"/>
      <c r="H9539" s="120"/>
      <c r="I9539">
        <f>E9539*G9516</f>
        <v>0</v>
      </c>
      <c r="J9539" s="68"/>
      <c r="K9539" s="56"/>
      <c r="L9539" s="56"/>
      <c r="M9539" s="56"/>
      <c r="N9539" s="56"/>
      <c r="O9539" s="56"/>
    </row>
    <row r="9540" spans="1:15" ht="16.5">
      <c r="A9540" s="540" t="s">
        <v>4099</v>
      </c>
      <c r="B9540" s="541"/>
      <c r="C9540" s="541"/>
      <c r="D9540" s="541"/>
      <c r="E9540" s="541"/>
      <c r="F9540" s="541"/>
      <c r="G9540" s="542"/>
      <c r="H9540" s="116">
        <f>SUM(F9526:F9539)</f>
        <v>21334.32</v>
      </c>
      <c r="J9540" s="68"/>
      <c r="K9540" s="56"/>
      <c r="L9540" s="56"/>
      <c r="M9540" s="56"/>
      <c r="N9540" s="56"/>
      <c r="O9540" s="56"/>
    </row>
    <row r="9541" spans="1:15" ht="16.5">
      <c r="A9541" s="543" t="s">
        <v>4231</v>
      </c>
      <c r="B9541" s="544"/>
      <c r="C9541" s="544"/>
      <c r="D9541" s="544"/>
      <c r="E9541" s="545"/>
      <c r="F9541" s="544"/>
      <c r="G9541" s="544"/>
      <c r="H9541" s="546"/>
      <c r="J9541" s="68"/>
      <c r="K9541" s="56"/>
      <c r="L9541" s="56"/>
      <c r="M9541" s="56"/>
      <c r="N9541" s="56"/>
      <c r="O9541" s="56"/>
    </row>
    <row r="9542" spans="1:15">
      <c r="A9542" s="547" t="s">
        <v>7</v>
      </c>
      <c r="B9542" s="548"/>
      <c r="C9542" s="108" t="s">
        <v>4232</v>
      </c>
      <c r="D9542" s="107" t="s">
        <v>4233</v>
      </c>
      <c r="E9542" s="206" t="s">
        <v>4234</v>
      </c>
      <c r="F9542" s="549" t="s">
        <v>4218</v>
      </c>
      <c r="G9542" s="549"/>
      <c r="H9542" s="119"/>
      <c r="K9542" s="56"/>
      <c r="L9542" s="56"/>
      <c r="M9542" s="56"/>
      <c r="N9542" s="56"/>
      <c r="O9542" s="56"/>
    </row>
    <row r="9543" spans="1:15">
      <c r="A9543" s="550" t="s">
        <v>3928</v>
      </c>
      <c r="B9543" s="551"/>
      <c r="C9543" s="232">
        <v>1</v>
      </c>
      <c r="D9543" s="102">
        <v>5.0000000000000001E-3</v>
      </c>
      <c r="E9543" s="103">
        <f>VLOOKUP(A9543,'Equip, Herr y Transp'!$B$2:$D$218,3,0)</f>
        <v>160000</v>
      </c>
      <c r="F9543" s="552">
        <f>E9543*D9543*C9543</f>
        <v>800</v>
      </c>
      <c r="G9543" s="553"/>
      <c r="H9543" s="117"/>
      <c r="M9543" s="56"/>
    </row>
    <row r="9544" spans="1:15" ht="16.5">
      <c r="A9544" s="554" t="s">
        <v>4216</v>
      </c>
      <c r="B9544" s="555"/>
      <c r="C9544" s="555"/>
      <c r="D9544" s="555"/>
      <c r="E9544" s="555"/>
      <c r="F9544" s="555"/>
      <c r="G9544" s="555"/>
      <c r="H9544" s="105">
        <f>F9543</f>
        <v>800</v>
      </c>
    </row>
    <row r="9545" spans="1:15" ht="16.5">
      <c r="A9545" s="543" t="s">
        <v>4235</v>
      </c>
      <c r="B9545" s="544"/>
      <c r="C9545" s="544"/>
      <c r="D9545" s="544"/>
      <c r="E9545" s="544"/>
      <c r="F9545" s="544"/>
      <c r="G9545" s="544"/>
      <c r="H9545" s="546"/>
    </row>
    <row r="9546" spans="1:15">
      <c r="A9546" s="547" t="s">
        <v>7</v>
      </c>
      <c r="B9546" s="548"/>
      <c r="C9546" s="106" t="s">
        <v>1</v>
      </c>
      <c r="D9546" s="107" t="s">
        <v>4236</v>
      </c>
      <c r="E9546" s="108" t="s">
        <v>4215</v>
      </c>
      <c r="F9546" s="547" t="s">
        <v>5</v>
      </c>
      <c r="G9546" s="556"/>
      <c r="H9546" s="119"/>
    </row>
    <row r="9547" spans="1:15">
      <c r="A9547" s="550" t="s">
        <v>4196</v>
      </c>
      <c r="B9547" s="551"/>
      <c r="C9547" s="101">
        <v>1</v>
      </c>
      <c r="D9547" s="104">
        <f>VLOOKUP(A9547,'Mano Obra'!$B$2:$T$117,19,0)</f>
        <v>166624</v>
      </c>
      <c r="E9547" s="246">
        <f>H9509</f>
        <v>8.3000000000000001E-3</v>
      </c>
      <c r="F9547" s="538">
        <f>E9547*D9547*C9547</f>
        <v>1382.9792</v>
      </c>
      <c r="G9547" s="557"/>
      <c r="H9547" s="121"/>
      <c r="I9547" s="69"/>
      <c r="J9547" s="136">
        <f>((('Mano Obra'!$M$4/30)*F9547)/D9547)*G9516</f>
        <v>0</v>
      </c>
    </row>
    <row r="9548" spans="1:15">
      <c r="A9548" s="558" t="s">
        <v>4197</v>
      </c>
      <c r="B9548" s="559">
        <f>VLOOKUP(A9548,'Mano Obra'!$B$3:$D$290,2,0)</f>
        <v>2090000.0000000002</v>
      </c>
      <c r="C9548" s="101">
        <v>2</v>
      </c>
      <c r="D9548" s="104">
        <f>VLOOKUP(A9548,'Mano Obra'!$B$2:$T$117,19,0)</f>
        <v>120456</v>
      </c>
      <c r="E9548" s="246">
        <f>H9509</f>
        <v>8.3000000000000001E-3</v>
      </c>
      <c r="F9548" s="538">
        <f t="shared" ref="F9548:F9549" si="554">E9548*D9548*C9548</f>
        <v>1999.5696</v>
      </c>
      <c r="G9548" s="557"/>
      <c r="H9548" s="121"/>
      <c r="J9548" s="136">
        <f>((('Mano Obra'!$M$5/30)*F9548)/D9548)*G9516</f>
        <v>0</v>
      </c>
    </row>
    <row r="9549" spans="1:15">
      <c r="A9549" s="558" t="s">
        <v>4186</v>
      </c>
      <c r="B9549" s="559">
        <f>VLOOKUP(A9549,'Mano Obra'!$B$3:$D$290,2,0)</f>
        <v>1100000</v>
      </c>
      <c r="C9549" s="101">
        <v>1</v>
      </c>
      <c r="D9549" s="104">
        <f>VLOOKUP(A9549,'Mano Obra'!$B$2:$T$117,19,0)</f>
        <v>72664</v>
      </c>
      <c r="E9549" s="246">
        <f>H9509</f>
        <v>8.3000000000000001E-3</v>
      </c>
      <c r="F9549" s="538">
        <f t="shared" si="554"/>
        <v>603.11120000000005</v>
      </c>
      <c r="G9549" s="557"/>
      <c r="H9549" s="120"/>
      <c r="J9549" s="136">
        <f>((('Mano Obra'!$M$6/30)*F9549)/D9549)*G9516</f>
        <v>0</v>
      </c>
    </row>
    <row r="9550" spans="1:15" ht="16.5">
      <c r="A9550" s="560" t="s">
        <v>4101</v>
      </c>
      <c r="B9550" s="560"/>
      <c r="C9550" s="560"/>
      <c r="D9550" s="560"/>
      <c r="E9550" s="560"/>
      <c r="F9550" s="560"/>
      <c r="G9550" s="560"/>
      <c r="H9550" s="105">
        <f>SUM(F9547:F9549)</f>
        <v>3985.66</v>
      </c>
      <c r="J9550" s="136"/>
    </row>
    <row r="9551" spans="1:15">
      <c r="A9551" s="227" t="s">
        <v>4237</v>
      </c>
      <c r="B9551" s="205"/>
      <c r="C9551" s="205"/>
      <c r="D9551" s="202"/>
      <c r="E9551" s="203"/>
      <c r="F9551" s="204"/>
      <c r="G9551" s="203"/>
      <c r="H9551" s="212"/>
    </row>
    <row r="9552" spans="1:15">
      <c r="A9552" s="561" t="s">
        <v>4224</v>
      </c>
      <c r="B9552" s="562"/>
      <c r="C9552" s="562"/>
      <c r="D9552" s="562"/>
      <c r="E9552" s="200"/>
      <c r="F9552" s="201" t="s">
        <v>4238</v>
      </c>
      <c r="G9552" s="200" t="s">
        <v>4239</v>
      </c>
      <c r="H9552" s="213"/>
    </row>
    <row r="9553" spans="1:14">
      <c r="A9553" s="223" t="s">
        <v>4097</v>
      </c>
      <c r="B9553" s="72"/>
      <c r="C9553" s="72"/>
      <c r="D9553" s="73"/>
      <c r="E9553" s="78"/>
      <c r="F9553" s="79">
        <v>0</v>
      </c>
      <c r="G9553" s="80">
        <f>F9553*H9517</f>
        <v>0</v>
      </c>
      <c r="H9553" s="212"/>
    </row>
    <row r="9554" spans="1:14">
      <c r="A9554" s="224" t="s">
        <v>4240</v>
      </c>
      <c r="B9554" s="81"/>
      <c r="C9554" s="81"/>
      <c r="D9554" s="82"/>
      <c r="E9554" s="78"/>
      <c r="F9554" s="79">
        <v>0</v>
      </c>
      <c r="G9554" s="80">
        <f>F9554*H9517</f>
        <v>0</v>
      </c>
      <c r="H9554" s="212"/>
    </row>
    <row r="9555" spans="1:14">
      <c r="A9555" s="224" t="s">
        <v>4</v>
      </c>
      <c r="B9555" s="81"/>
      <c r="C9555" s="81"/>
      <c r="D9555" s="82"/>
      <c r="E9555" s="78"/>
      <c r="F9555" s="79">
        <v>0</v>
      </c>
      <c r="G9555" s="80">
        <f>F9555*H9517</f>
        <v>0</v>
      </c>
      <c r="H9555" s="212"/>
    </row>
    <row r="9556" spans="1:14">
      <c r="A9556" s="225"/>
      <c r="B9556" s="83"/>
      <c r="C9556" s="75"/>
      <c r="D9556" s="84"/>
      <c r="E9556" s="85"/>
      <c r="F9556" s="86"/>
      <c r="G9556" s="87"/>
      <c r="H9556" s="214"/>
    </row>
    <row r="9557" spans="1:14">
      <c r="A9557" s="226"/>
      <c r="B9557" s="83"/>
      <c r="C9557" s="83"/>
      <c r="D9557" s="84"/>
      <c r="E9557" s="88"/>
      <c r="F9557" s="563" t="s">
        <v>4241</v>
      </c>
      <c r="G9557" s="564"/>
      <c r="H9557" s="233">
        <f>H9517+G9553+G9554+G9555</f>
        <v>26975.938249999999</v>
      </c>
    </row>
    <row r="9559" spans="1:14" ht="16.5">
      <c r="A9559" s="90"/>
      <c r="B9559" s="90"/>
      <c r="C9559" s="90"/>
      <c r="D9559" s="90"/>
      <c r="E9559" s="90"/>
      <c r="F9559" s="90"/>
      <c r="G9559" s="90"/>
      <c r="H9559" s="381"/>
    </row>
    <row r="9560" spans="1:14">
      <c r="A9560" s="579" t="s">
        <v>4225</v>
      </c>
      <c r="B9560" s="580"/>
      <c r="C9560" s="580"/>
      <c r="D9560" s="580"/>
      <c r="E9560" s="580"/>
      <c r="F9560" s="580"/>
      <c r="G9560" s="580"/>
      <c r="H9560" s="581"/>
    </row>
    <row r="9561" spans="1:14" ht="16.5">
      <c r="A9561" s="91"/>
      <c r="B9561" s="92"/>
      <c r="C9561" s="92"/>
      <c r="D9561" s="92"/>
      <c r="E9561" s="92"/>
      <c r="F9561" s="93"/>
      <c r="G9561" s="94"/>
      <c r="H9561" s="380">
        <f>ROUND((6/60)/8,4)</f>
        <v>1.2500000000000001E-2</v>
      </c>
      <c r="I9561" s="115"/>
    </row>
    <row r="9562" spans="1:14">
      <c r="A9562" s="582" t="s">
        <v>4220</v>
      </c>
      <c r="B9562" s="584" t="str">
        <f>COSTOS!$C$14</f>
        <v>MODERNIZACION A TECNOLOGIA LED</v>
      </c>
      <c r="C9562" s="584"/>
      <c r="D9562" s="584"/>
      <c r="E9562" s="584"/>
      <c r="F9562" s="584"/>
      <c r="G9562" s="584"/>
      <c r="H9562" s="585" t="s">
        <v>4221</v>
      </c>
    </row>
    <row r="9563" spans="1:14">
      <c r="A9563" s="583"/>
      <c r="B9563" s="584"/>
      <c r="C9563" s="584"/>
      <c r="D9563" s="584"/>
      <c r="E9563" s="584"/>
      <c r="F9563" s="584"/>
      <c r="G9563" s="584"/>
      <c r="H9563" s="585"/>
    </row>
    <row r="9564" spans="1:14">
      <c r="A9564" s="583"/>
      <c r="B9564" s="584"/>
      <c r="C9564" s="584"/>
      <c r="D9564" s="584"/>
      <c r="E9564" s="584"/>
      <c r="F9564" s="584"/>
      <c r="G9564" s="584"/>
      <c r="H9564" s="585"/>
    </row>
    <row r="9565" spans="1:14" ht="15" customHeight="1">
      <c r="A9565" s="583"/>
      <c r="B9565" s="584"/>
      <c r="C9565" s="584"/>
      <c r="D9565" s="584"/>
      <c r="E9565" s="584"/>
      <c r="F9565" s="584"/>
      <c r="G9565" s="584"/>
      <c r="H9565" s="216">
        <f ca="1">TODAY()</f>
        <v>44889</v>
      </c>
      <c r="K9565" t="s">
        <v>4391</v>
      </c>
      <c r="L9565" t="s">
        <v>4392</v>
      </c>
      <c r="M9565" t="s">
        <v>4393</v>
      </c>
      <c r="N9565" t="s">
        <v>4394</v>
      </c>
    </row>
    <row r="9566" spans="1:14" ht="60.75" customHeight="1">
      <c r="A9566" s="228" t="s">
        <v>4222</v>
      </c>
      <c r="B9566" s="565" t="str">
        <f>COSTOS!$D$16</f>
        <v>Luminarias</v>
      </c>
      <c r="C9566" s="565"/>
      <c r="D9566" s="565"/>
      <c r="E9566" s="565"/>
      <c r="F9566" s="565"/>
      <c r="G9566" s="70" t="s">
        <v>4223</v>
      </c>
      <c r="H9566" s="387">
        <v>7.7</v>
      </c>
      <c r="K9566" s="62">
        <f>H9592</f>
        <v>38527.440000000002</v>
      </c>
      <c r="L9566" s="62">
        <f>H9602</f>
        <v>6002.5000000000009</v>
      </c>
      <c r="M9566" s="62">
        <f>H9575</f>
        <v>1289.09375</v>
      </c>
      <c r="N9566" s="62">
        <f>H9596</f>
        <v>1280</v>
      </c>
    </row>
    <row r="9567" spans="1:14" ht="43.15" customHeight="1">
      <c r="A9567" s="229" t="s">
        <v>4224</v>
      </c>
      <c r="B9567" s="566" t="str">
        <f>VLOOKUP(H9566,COSTOS!C:M,2,0)</f>
        <v>Canalizacion con un ducto 1" IMC x 500 mts</v>
      </c>
      <c r="C9567" s="567"/>
      <c r="D9567" s="567"/>
      <c r="E9567" s="568"/>
      <c r="F9567" s="71" t="s">
        <v>0</v>
      </c>
      <c r="G9567" s="356" t="str">
        <f>VLOOKUP(H9566,COSTOS!C:M,8,0)</f>
        <v>Ml</v>
      </c>
      <c r="H9567" s="276"/>
      <c r="I9567" s="306"/>
      <c r="J9567" s="308"/>
      <c r="K9567" s="308"/>
      <c r="L9567" s="308"/>
    </row>
    <row r="9568" spans="1:14">
      <c r="A9568" s="230"/>
      <c r="B9568" s="112"/>
      <c r="C9568" s="112"/>
      <c r="D9568" s="112"/>
      <c r="E9568" s="113"/>
      <c r="F9568" s="114" t="s">
        <v>1</v>
      </c>
      <c r="G9568" s="356">
        <f>VLOOKUP(H9566,COSTOS!C:M,9,0)</f>
        <v>0</v>
      </c>
      <c r="H9568" s="357"/>
      <c r="I9568" s="307"/>
    </row>
    <row r="9569" spans="1:15" ht="16.5">
      <c r="A9569" s="231" t="s">
        <v>4226</v>
      </c>
      <c r="B9569" s="75"/>
      <c r="C9569" s="75"/>
      <c r="D9569" s="76"/>
      <c r="E9569" s="209"/>
      <c r="F9569" s="210"/>
      <c r="G9569" s="211" t="s">
        <v>4227</v>
      </c>
      <c r="H9569" s="217">
        <f>H9575+H9592+H9596+H9602</f>
        <v>47099.033750000002</v>
      </c>
    </row>
    <row r="9570" spans="1:15" ht="39">
      <c r="A9570" s="569" t="s">
        <v>4224</v>
      </c>
      <c r="B9570" s="569"/>
      <c r="C9570" s="569"/>
      <c r="D9570" s="77" t="s">
        <v>0</v>
      </c>
      <c r="E9570" s="207" t="s">
        <v>4228</v>
      </c>
      <c r="F9570" s="208" t="s">
        <v>4215</v>
      </c>
      <c r="G9570" s="74" t="s">
        <v>2</v>
      </c>
      <c r="H9570" s="218" t="s">
        <v>4229</v>
      </c>
      <c r="K9570" s="309"/>
    </row>
    <row r="9571" spans="1:15">
      <c r="A9571" s="536" t="s">
        <v>3946</v>
      </c>
      <c r="B9571" s="570" t="str">
        <f>VLOOKUP(A9571,'Equip, Herr y Transp'!$B$2:$D$739,2,0)</f>
        <v>EQU</v>
      </c>
      <c r="C9571" s="570"/>
      <c r="D9571" s="95" t="str">
        <f>VLOOKUP(A9571,'Equip, Herr y Transp'!$B$2:$D$218,2,0)</f>
        <v>EQU</v>
      </c>
      <c r="E9571" s="95">
        <f>VLOOKUP(A9571,'Equip, Herr y Transp'!$B$2:$D$218,3,0)</f>
        <v>14130</v>
      </c>
      <c r="F9571" s="96">
        <f>H9561</f>
        <v>1.2500000000000001E-2</v>
      </c>
      <c r="G9571" s="122">
        <f>F9571*E9571</f>
        <v>176.625</v>
      </c>
      <c r="H9571" s="118"/>
    </row>
    <row r="9572" spans="1:15">
      <c r="A9572" s="536" t="s">
        <v>3914</v>
      </c>
      <c r="B9572" s="570" t="str">
        <f>VLOOKUP(A9572,'Equip, Herr y Transp'!$B$2:$D$739,2,0)</f>
        <v>EQU</v>
      </c>
      <c r="C9572" s="570"/>
      <c r="D9572" s="95" t="str">
        <f>VLOOKUP(A9572,'Equip, Herr y Transp'!$B$2:$D$218,2,0)</f>
        <v>EQU</v>
      </c>
      <c r="E9572" s="95">
        <f>VLOOKUP(A9572,'Equip, Herr y Transp'!$B$2:$D$218,3,0)</f>
        <v>6250</v>
      </c>
      <c r="F9572" s="96">
        <f>H9561</f>
        <v>1.2500000000000001E-2</v>
      </c>
      <c r="G9572" s="122">
        <f>F9572*E9572</f>
        <v>78.125</v>
      </c>
      <c r="H9572" s="117"/>
    </row>
    <row r="9573" spans="1:15">
      <c r="A9573" s="536" t="s">
        <v>4144</v>
      </c>
      <c r="B9573" s="570" t="str">
        <f>VLOOKUP(A9573,'Equip, Herr y Transp'!$B$2:$D$739,2,0)</f>
        <v>EQU</v>
      </c>
      <c r="C9573" s="570"/>
      <c r="D9573" s="95" t="str">
        <f>VLOOKUP(A9573,'Equip, Herr y Transp'!$B$2:$D$218,2,0)</f>
        <v>EQU</v>
      </c>
      <c r="E9573" s="95">
        <f>VLOOKUP(A9573,'Equip, Herr y Transp'!$B$2:$D$218,3,0)</f>
        <v>75000</v>
      </c>
      <c r="F9573" s="96">
        <f>H9561</f>
        <v>1.2500000000000001E-2</v>
      </c>
      <c r="G9573" s="122">
        <f>F9573*E9573</f>
        <v>937.5</v>
      </c>
      <c r="H9573" s="117"/>
    </row>
    <row r="9574" spans="1:15">
      <c r="A9574" s="536" t="s">
        <v>3903</v>
      </c>
      <c r="B9574" s="570" t="str">
        <f>VLOOKUP(A9574,'Equip, Herr y Transp'!$B$2:$D$739,2,0)</f>
        <v>EQU</v>
      </c>
      <c r="C9574" s="570"/>
      <c r="D9574" s="95" t="str">
        <f>VLOOKUP(A9574,'Equip, Herr y Transp'!$B$2:$D$218,2,0)</f>
        <v>EQU</v>
      </c>
      <c r="E9574" s="95">
        <f>VLOOKUP(A9574,'Equip, Herr y Transp'!$B$2:$D$218,3,0)</f>
        <v>7747.5</v>
      </c>
      <c r="F9574" s="96">
        <f>H9561</f>
        <v>1.2500000000000001E-2</v>
      </c>
      <c r="G9574" s="122">
        <f>F9574*E9574</f>
        <v>96.84375</v>
      </c>
      <c r="H9574" s="117"/>
    </row>
    <row r="9575" spans="1:15" ht="16.5">
      <c r="A9575" s="540" t="s">
        <v>4100</v>
      </c>
      <c r="B9575" s="541"/>
      <c r="C9575" s="541"/>
      <c r="D9575" s="541"/>
      <c r="E9575" s="541"/>
      <c r="F9575" s="541"/>
      <c r="G9575" s="541"/>
      <c r="H9575" s="97">
        <f>SUM(G9571:G9574)</f>
        <v>1289.09375</v>
      </c>
    </row>
    <row r="9576" spans="1:15" ht="16.5">
      <c r="A9576" s="571" t="s">
        <v>4230</v>
      </c>
      <c r="B9576" s="572"/>
      <c r="C9576" s="572"/>
      <c r="D9576" s="572"/>
      <c r="E9576" s="572"/>
      <c r="F9576" s="572"/>
      <c r="G9576" s="572"/>
      <c r="H9576" s="573"/>
      <c r="K9576" s="56"/>
      <c r="L9576" s="56"/>
      <c r="M9576" s="56"/>
      <c r="N9576" s="56"/>
      <c r="O9576" s="56"/>
    </row>
    <row r="9577" spans="1:15" ht="30" customHeight="1">
      <c r="A9577" s="574" t="s">
        <v>7</v>
      </c>
      <c r="B9577" s="575"/>
      <c r="C9577" s="109" t="s">
        <v>0</v>
      </c>
      <c r="D9577" s="110" t="s">
        <v>4098</v>
      </c>
      <c r="E9577" s="111" t="s">
        <v>1</v>
      </c>
      <c r="F9577" s="576" t="s">
        <v>4218</v>
      </c>
      <c r="G9577" s="576"/>
      <c r="H9577" s="215"/>
      <c r="K9577" s="56"/>
      <c r="L9577" s="56"/>
      <c r="M9577" s="56"/>
      <c r="N9577" s="56"/>
      <c r="O9577" s="56"/>
    </row>
    <row r="9578" spans="1:15">
      <c r="A9578" s="577" t="s">
        <v>4594</v>
      </c>
      <c r="B9578" s="578"/>
      <c r="C9578" s="98" t="str">
        <f>VLOOKUP(A9578,'Materiales '!$C$2:$F$1302,3,0)</f>
        <v>Und</v>
      </c>
      <c r="D9578" s="99">
        <f>VLOOKUP(A9578,'Materiales '!$C$2:$F$1302,4,0)</f>
        <v>102816</v>
      </c>
      <c r="E9578" s="100">
        <v>0.34</v>
      </c>
      <c r="F9578" s="538">
        <f>E9578*D9578</f>
        <v>34957.440000000002</v>
      </c>
      <c r="G9578" s="539"/>
      <c r="H9578" s="121"/>
      <c r="I9578">
        <f>E9578*G9568</f>
        <v>0</v>
      </c>
      <c r="J9578" s="67"/>
      <c r="K9578" s="56"/>
      <c r="L9578" s="56"/>
      <c r="M9578" s="56"/>
      <c r="N9578" s="56"/>
      <c r="O9578" s="56"/>
    </row>
    <row r="9579" spans="1:15">
      <c r="A9579" s="577" t="s">
        <v>4639</v>
      </c>
      <c r="B9579" s="578"/>
      <c r="C9579" s="98" t="str">
        <f>VLOOKUP(A9579,'Materiales '!$C$2:$F$1302,3,0)</f>
        <v>Und</v>
      </c>
      <c r="D9579" s="99">
        <f>VLOOKUP(A9579,'Materiales '!$C$2:$F$1302,4,0)</f>
        <v>35700</v>
      </c>
      <c r="E9579" s="100">
        <v>0.1</v>
      </c>
      <c r="F9579" s="538">
        <f t="shared" ref="F9579:F9585" si="555">E9579*D9579</f>
        <v>3570</v>
      </c>
      <c r="G9579" s="539"/>
      <c r="H9579" s="121"/>
      <c r="I9579">
        <f>E9579*G9568</f>
        <v>0</v>
      </c>
      <c r="J9579" s="67"/>
      <c r="K9579" s="56"/>
      <c r="L9579" s="56"/>
      <c r="M9579" s="56"/>
      <c r="N9579" s="56"/>
      <c r="O9579" s="56"/>
    </row>
    <row r="9580" spans="1:15">
      <c r="A9580" s="536" t="s">
        <v>8</v>
      </c>
      <c r="B9580" s="537" t="str">
        <f>VLOOKUP(A9580,'Materiales '!$C$2:$F$1302,3,0)</f>
        <v>-</v>
      </c>
      <c r="C9580" s="98" t="str">
        <f>VLOOKUP(A9580,'Materiales '!$C$2:$F$1302,3,0)</f>
        <v>-</v>
      </c>
      <c r="D9580" s="99">
        <f>VLOOKUP(A9580,'Materiales '!$C$2:$F$1302,4,0)</f>
        <v>0</v>
      </c>
      <c r="E9580" s="100">
        <v>0.34</v>
      </c>
      <c r="F9580" s="538">
        <f t="shared" si="555"/>
        <v>0</v>
      </c>
      <c r="G9580" s="539"/>
      <c r="H9580" s="121"/>
      <c r="I9580">
        <f>E9580*G9568</f>
        <v>0</v>
      </c>
      <c r="J9580" s="68"/>
      <c r="K9580" s="56"/>
      <c r="L9580" s="56"/>
      <c r="M9580" s="56"/>
      <c r="N9580" s="56"/>
      <c r="O9580" s="56"/>
    </row>
    <row r="9581" spans="1:15">
      <c r="A9581" s="536" t="s">
        <v>8</v>
      </c>
      <c r="B9581" s="537" t="str">
        <f>VLOOKUP(A9581,'Materiales '!$C$2:$F$1302,3,0)</f>
        <v>-</v>
      </c>
      <c r="C9581" s="98" t="str">
        <f>VLOOKUP(A9581,'Materiales '!$C$2:$F$1302,3,0)</f>
        <v>-</v>
      </c>
      <c r="D9581" s="99">
        <f>VLOOKUP(A9581,'Materiales '!$C$2:$F$1302,4,0)</f>
        <v>0</v>
      </c>
      <c r="E9581" s="100">
        <v>0.02</v>
      </c>
      <c r="F9581" s="538">
        <f t="shared" si="555"/>
        <v>0</v>
      </c>
      <c r="G9581" s="539"/>
      <c r="H9581" s="121"/>
      <c r="I9581">
        <f>E9581*G9568</f>
        <v>0</v>
      </c>
      <c r="J9581" s="68"/>
      <c r="K9581" s="56"/>
      <c r="L9581" s="56"/>
      <c r="M9581" s="56"/>
      <c r="N9581" s="56"/>
      <c r="O9581" s="56"/>
    </row>
    <row r="9582" spans="1:15">
      <c r="A9582" s="536" t="s">
        <v>8</v>
      </c>
      <c r="B9582" s="537" t="str">
        <f>VLOOKUP(A9582,'Materiales '!$C$2:$F$1302,3,0)</f>
        <v>-</v>
      </c>
      <c r="C9582" s="98" t="str">
        <f>VLOOKUP(A9582,'Materiales '!$C$2:$F$1302,3,0)</f>
        <v>-</v>
      </c>
      <c r="D9582" s="99">
        <f>VLOOKUP(A9582,'Materiales '!$C$2:$F$1302,4,0)</f>
        <v>0</v>
      </c>
      <c r="E9582" s="100">
        <v>0.5</v>
      </c>
      <c r="F9582" s="538">
        <f t="shared" si="555"/>
        <v>0</v>
      </c>
      <c r="G9582" s="539"/>
      <c r="H9582" s="121"/>
      <c r="I9582">
        <f>E9582*G9568</f>
        <v>0</v>
      </c>
      <c r="J9582" s="68"/>
      <c r="K9582" s="56"/>
      <c r="L9582" s="56"/>
      <c r="M9582" s="56"/>
      <c r="N9582" s="56"/>
      <c r="O9582" s="56"/>
    </row>
    <row r="9583" spans="1:15">
      <c r="A9583" s="536" t="s">
        <v>8</v>
      </c>
      <c r="B9583" s="537" t="str">
        <f>VLOOKUP(A9583,'Materiales '!$C$2:$F$1302,3,0)</f>
        <v>-</v>
      </c>
      <c r="C9583" s="98" t="str">
        <f>VLOOKUP(A9583,'Materiales '!$C$2:$F$1302,3,0)</f>
        <v>-</v>
      </c>
      <c r="D9583" s="99">
        <f>VLOOKUP(A9583,'Materiales '!$C$2:$F$1302,4,0)</f>
        <v>0</v>
      </c>
      <c r="E9583" s="100">
        <v>1</v>
      </c>
      <c r="F9583" s="538">
        <f t="shared" si="555"/>
        <v>0</v>
      </c>
      <c r="G9583" s="539"/>
      <c r="H9583" s="121"/>
      <c r="I9583">
        <f>E9583*G9568</f>
        <v>0</v>
      </c>
      <c r="J9583" s="68"/>
      <c r="K9583" s="56"/>
      <c r="L9583" s="56"/>
      <c r="M9583" s="56"/>
      <c r="N9583" s="56"/>
      <c r="O9583" s="56"/>
    </row>
    <row r="9584" spans="1:15">
      <c r="A9584" s="536" t="s">
        <v>8</v>
      </c>
      <c r="B9584" s="537" t="str">
        <f>VLOOKUP(A9584,'Materiales '!$C$2:$F$1302,3,0)</f>
        <v>-</v>
      </c>
      <c r="C9584" s="98" t="str">
        <f>VLOOKUP(A9584,'Materiales '!$C$2:$F$1302,3,0)</f>
        <v>-</v>
      </c>
      <c r="D9584" s="99">
        <f>VLOOKUP(A9584,'Materiales '!$C$2:$F$1302,4,0)</f>
        <v>0</v>
      </c>
      <c r="E9584" s="100">
        <v>1</v>
      </c>
      <c r="F9584" s="538">
        <f t="shared" si="555"/>
        <v>0</v>
      </c>
      <c r="G9584" s="539"/>
      <c r="H9584" s="121"/>
      <c r="I9584">
        <f>E9584*G9568</f>
        <v>0</v>
      </c>
      <c r="J9584" s="68"/>
      <c r="K9584" s="56"/>
      <c r="L9584" s="56"/>
      <c r="M9584" s="56"/>
      <c r="N9584" s="56"/>
      <c r="O9584" s="56"/>
    </row>
    <row r="9585" spans="1:15" ht="21.75" customHeight="1">
      <c r="A9585" s="536" t="s">
        <v>8</v>
      </c>
      <c r="B9585" s="537" t="str">
        <f>VLOOKUP(A9585,'Materiales '!$C$2:$F$1302,3,0)</f>
        <v>-</v>
      </c>
      <c r="C9585" s="98" t="str">
        <f>VLOOKUP(A9585,'Materiales '!$C$2:$F$1302,3,0)</f>
        <v>-</v>
      </c>
      <c r="D9585" s="99">
        <f>VLOOKUP(A9585,'Materiales '!$C$2:$F$1302,4,0)</f>
        <v>0</v>
      </c>
      <c r="E9585" s="100"/>
      <c r="F9585" s="538">
        <f t="shared" si="555"/>
        <v>0</v>
      </c>
      <c r="G9585" s="539"/>
      <c r="H9585" s="121"/>
      <c r="I9585">
        <f>E9585*G9568</f>
        <v>0</v>
      </c>
      <c r="J9585" s="68"/>
      <c r="K9585" s="56"/>
      <c r="L9585" s="56"/>
      <c r="M9585" s="56"/>
      <c r="N9585" s="56"/>
      <c r="O9585" s="56"/>
    </row>
    <row r="9586" spans="1:15">
      <c r="A9586" s="536" t="s">
        <v>8</v>
      </c>
      <c r="B9586" s="537" t="str">
        <f>VLOOKUP(A9586,'Materiales '!$C$2:$F$1302,3,0)</f>
        <v>-</v>
      </c>
      <c r="C9586" s="98" t="str">
        <f>VLOOKUP(A9586,'Materiales '!$C$2:$F$1302,3,0)</f>
        <v>-</v>
      </c>
      <c r="D9586" s="99">
        <f>VLOOKUP(A9586,'Materiales '!$C$2:$F$1302,4,0)</f>
        <v>0</v>
      </c>
      <c r="E9586" s="100"/>
      <c r="F9586" s="538">
        <f>E9586*D9586</f>
        <v>0</v>
      </c>
      <c r="G9586" s="539"/>
      <c r="H9586" s="120"/>
      <c r="I9586">
        <f>E9586*G9568</f>
        <v>0</v>
      </c>
      <c r="J9586" s="68"/>
      <c r="K9586" s="56"/>
      <c r="L9586" s="56"/>
      <c r="M9586" s="56"/>
      <c r="N9586" s="56"/>
      <c r="O9586" s="56"/>
    </row>
    <row r="9587" spans="1:15">
      <c r="A9587" s="536" t="s">
        <v>8</v>
      </c>
      <c r="B9587" s="537" t="str">
        <f>VLOOKUP(A9587,'Materiales '!$C$2:$F$1302,3,0)</f>
        <v>-</v>
      </c>
      <c r="C9587" s="98" t="str">
        <f>VLOOKUP(A9587,'Materiales '!$C$2:$F$1302,3,0)</f>
        <v>-</v>
      </c>
      <c r="D9587" s="99">
        <f>VLOOKUP(A9587,'Materiales '!$C$2:$F$1302,4,0)</f>
        <v>0</v>
      </c>
      <c r="E9587" s="100"/>
      <c r="F9587" s="538">
        <f t="shared" ref="F9587:F9590" si="556">E9587*D9587</f>
        <v>0</v>
      </c>
      <c r="G9587" s="539"/>
      <c r="H9587" s="121"/>
      <c r="I9587">
        <f>E9587*G9568</f>
        <v>0</v>
      </c>
      <c r="J9587" s="68"/>
      <c r="K9587" s="56"/>
      <c r="L9587" s="56"/>
      <c r="M9587" s="56"/>
      <c r="N9587" s="56"/>
      <c r="O9587" s="56"/>
    </row>
    <row r="9588" spans="1:15">
      <c r="A9588" s="536" t="s">
        <v>8</v>
      </c>
      <c r="B9588" s="537" t="str">
        <f>VLOOKUP(A9588,'Materiales '!$C$2:$F$1302,3,0)</f>
        <v>-</v>
      </c>
      <c r="C9588" s="98" t="str">
        <f>VLOOKUP(A9588,'Materiales '!$C$2:$F$1302,3,0)</f>
        <v>-</v>
      </c>
      <c r="D9588" s="99">
        <f>VLOOKUP(A9588,'Materiales '!$C$2:$F$1302,4,0)</f>
        <v>0</v>
      </c>
      <c r="E9588" s="100"/>
      <c r="F9588" s="538">
        <f t="shared" si="556"/>
        <v>0</v>
      </c>
      <c r="G9588" s="539"/>
      <c r="H9588" s="121"/>
      <c r="I9588">
        <f>E9588*G9568</f>
        <v>0</v>
      </c>
      <c r="J9588" s="68"/>
      <c r="K9588" s="56"/>
      <c r="L9588" s="56"/>
      <c r="M9588" s="56"/>
      <c r="N9588" s="56"/>
      <c r="O9588" s="56"/>
    </row>
    <row r="9589" spans="1:15">
      <c r="A9589" s="536" t="s">
        <v>8</v>
      </c>
      <c r="B9589" s="537" t="str">
        <f>VLOOKUP(A9589,'Materiales '!$C$2:$F$1302,3,0)</f>
        <v>-</v>
      </c>
      <c r="C9589" s="98" t="str">
        <f>VLOOKUP(A9589,'Materiales '!$C$2:$F$1302,3,0)</f>
        <v>-</v>
      </c>
      <c r="D9589" s="99">
        <f>VLOOKUP(A9589,'Materiales '!$C$2:$F$1302,4,0)</f>
        <v>0</v>
      </c>
      <c r="E9589" s="100"/>
      <c r="F9589" s="538">
        <f t="shared" si="556"/>
        <v>0</v>
      </c>
      <c r="G9589" s="539"/>
      <c r="H9589" s="121"/>
      <c r="I9589">
        <f>E9589*G9568</f>
        <v>0</v>
      </c>
      <c r="J9589" s="68"/>
      <c r="K9589" s="56"/>
      <c r="L9589" s="56"/>
      <c r="M9589" s="56"/>
      <c r="N9589" s="56"/>
      <c r="O9589" s="56"/>
    </row>
    <row r="9590" spans="1:15">
      <c r="A9590" s="536" t="s">
        <v>8</v>
      </c>
      <c r="B9590" s="537" t="str">
        <f>VLOOKUP(A9590,'Materiales '!$C$2:$F$1302,3,0)</f>
        <v>-</v>
      </c>
      <c r="C9590" s="98" t="str">
        <f>VLOOKUP(A9590,'Materiales '!$C$2:$F$1302,3,0)</f>
        <v>-</v>
      </c>
      <c r="D9590" s="99">
        <f>VLOOKUP(A9590,'Materiales '!$C$2:$F$1302,4,0)</f>
        <v>0</v>
      </c>
      <c r="E9590" s="100"/>
      <c r="F9590" s="538">
        <f t="shared" si="556"/>
        <v>0</v>
      </c>
      <c r="G9590" s="539"/>
      <c r="H9590" s="121"/>
      <c r="I9590">
        <f>E9590*G9568</f>
        <v>0</v>
      </c>
      <c r="J9590" s="68"/>
      <c r="K9590" s="56"/>
      <c r="L9590" s="56"/>
      <c r="M9590" s="56"/>
      <c r="N9590" s="56"/>
      <c r="O9590" s="56"/>
    </row>
    <row r="9591" spans="1:15">
      <c r="A9591" s="536" t="s">
        <v>8</v>
      </c>
      <c r="B9591" s="537" t="str">
        <f>VLOOKUP(A9591,'Materiales '!$C$2:$F$1302,3,0)</f>
        <v>-</v>
      </c>
      <c r="C9591" s="98" t="str">
        <f>VLOOKUP(A9591,'Materiales '!$C$2:$F$1302,3,0)</f>
        <v>-</v>
      </c>
      <c r="D9591" s="99">
        <f>VLOOKUP(A9591,'Materiales '!$C$2:$F$1302,4,0)</f>
        <v>0</v>
      </c>
      <c r="E9591" s="100"/>
      <c r="F9591" s="538">
        <f>E9591*D9591</f>
        <v>0</v>
      </c>
      <c r="G9591" s="539"/>
      <c r="H9591" s="120"/>
      <c r="I9591">
        <f>E9591*G9568</f>
        <v>0</v>
      </c>
      <c r="J9591" s="68"/>
      <c r="K9591" s="56"/>
      <c r="L9591" s="56"/>
      <c r="M9591" s="56"/>
      <c r="N9591" s="56"/>
      <c r="O9591" s="56"/>
    </row>
    <row r="9592" spans="1:15" ht="16.5">
      <c r="A9592" s="540" t="s">
        <v>4099</v>
      </c>
      <c r="B9592" s="541"/>
      <c r="C9592" s="541"/>
      <c r="D9592" s="541"/>
      <c r="E9592" s="541"/>
      <c r="F9592" s="541"/>
      <c r="G9592" s="542"/>
      <c r="H9592" s="116">
        <f>SUM(F9578:F9591)</f>
        <v>38527.440000000002</v>
      </c>
      <c r="J9592" s="68"/>
      <c r="K9592" s="56"/>
      <c r="L9592" s="56"/>
      <c r="M9592" s="56"/>
      <c r="N9592" s="56"/>
      <c r="O9592" s="56"/>
    </row>
    <row r="9593" spans="1:15" ht="16.5">
      <c r="A9593" s="543" t="s">
        <v>4231</v>
      </c>
      <c r="B9593" s="544"/>
      <c r="C9593" s="544"/>
      <c r="D9593" s="544"/>
      <c r="E9593" s="545"/>
      <c r="F9593" s="544"/>
      <c r="G9593" s="544"/>
      <c r="H9593" s="546"/>
      <c r="J9593" s="68"/>
      <c r="K9593" s="56"/>
      <c r="L9593" s="56"/>
      <c r="M9593" s="56"/>
      <c r="N9593" s="56"/>
      <c r="O9593" s="56"/>
    </row>
    <row r="9594" spans="1:15">
      <c r="A9594" s="547" t="s">
        <v>7</v>
      </c>
      <c r="B9594" s="548"/>
      <c r="C9594" s="108" t="s">
        <v>4232</v>
      </c>
      <c r="D9594" s="107" t="s">
        <v>4233</v>
      </c>
      <c r="E9594" s="206" t="s">
        <v>4234</v>
      </c>
      <c r="F9594" s="549" t="s">
        <v>4218</v>
      </c>
      <c r="G9594" s="549"/>
      <c r="H9594" s="119"/>
      <c r="K9594" s="56"/>
      <c r="L9594" s="56"/>
      <c r="M9594" s="56"/>
      <c r="N9594" s="56"/>
      <c r="O9594" s="56"/>
    </row>
    <row r="9595" spans="1:15">
      <c r="A9595" s="550" t="s">
        <v>3928</v>
      </c>
      <c r="B9595" s="551"/>
      <c r="C9595" s="232">
        <v>1</v>
      </c>
      <c r="D9595" s="102">
        <v>8.0000000000000002E-3</v>
      </c>
      <c r="E9595" s="103">
        <f>VLOOKUP(A9595,'Equip, Herr y Transp'!$B$2:$D$218,3,0)</f>
        <v>160000</v>
      </c>
      <c r="F9595" s="552">
        <f>E9595*D9595*C9595</f>
        <v>1280</v>
      </c>
      <c r="G9595" s="553"/>
      <c r="H9595" s="117"/>
      <c r="M9595" s="56"/>
    </row>
    <row r="9596" spans="1:15" ht="16.5">
      <c r="A9596" s="554" t="s">
        <v>4216</v>
      </c>
      <c r="B9596" s="555"/>
      <c r="C9596" s="555"/>
      <c r="D9596" s="555"/>
      <c r="E9596" s="555"/>
      <c r="F9596" s="555"/>
      <c r="G9596" s="555"/>
      <c r="H9596" s="105">
        <f>F9595</f>
        <v>1280</v>
      </c>
    </row>
    <row r="9597" spans="1:15" ht="16.5">
      <c r="A9597" s="543" t="s">
        <v>4235</v>
      </c>
      <c r="B9597" s="544"/>
      <c r="C9597" s="544"/>
      <c r="D9597" s="544"/>
      <c r="E9597" s="544"/>
      <c r="F9597" s="544"/>
      <c r="G9597" s="544"/>
      <c r="H9597" s="546"/>
    </row>
    <row r="9598" spans="1:15">
      <c r="A9598" s="547" t="s">
        <v>7</v>
      </c>
      <c r="B9598" s="548"/>
      <c r="C9598" s="106" t="s">
        <v>1</v>
      </c>
      <c r="D9598" s="107" t="s">
        <v>4236</v>
      </c>
      <c r="E9598" s="108" t="s">
        <v>4215</v>
      </c>
      <c r="F9598" s="547" t="s">
        <v>5</v>
      </c>
      <c r="G9598" s="556"/>
      <c r="H9598" s="119"/>
    </row>
    <row r="9599" spans="1:15">
      <c r="A9599" s="550" t="s">
        <v>4196</v>
      </c>
      <c r="B9599" s="551"/>
      <c r="C9599" s="101">
        <v>1</v>
      </c>
      <c r="D9599" s="104">
        <f>VLOOKUP(A9599,'Mano Obra'!$B$2:$T$117,19,0)</f>
        <v>166624</v>
      </c>
      <c r="E9599" s="246">
        <f>H9561</f>
        <v>1.2500000000000001E-2</v>
      </c>
      <c r="F9599" s="538">
        <f>E9599*D9599*C9599</f>
        <v>2082.8000000000002</v>
      </c>
      <c r="G9599" s="557"/>
      <c r="H9599" s="121"/>
      <c r="I9599" s="69"/>
      <c r="J9599" s="136">
        <f>((('Mano Obra'!$M$4/30)*F9599)/D9599)*G9568</f>
        <v>0</v>
      </c>
    </row>
    <row r="9600" spans="1:15">
      <c r="A9600" s="558" t="s">
        <v>4197</v>
      </c>
      <c r="B9600" s="559">
        <f>VLOOKUP(A9600,'Mano Obra'!$B$3:$D$290,2,0)</f>
        <v>2090000.0000000002</v>
      </c>
      <c r="C9600" s="101">
        <v>2</v>
      </c>
      <c r="D9600" s="104">
        <f>VLOOKUP(A9600,'Mano Obra'!$B$2:$T$117,19,0)</f>
        <v>120456</v>
      </c>
      <c r="E9600" s="246">
        <f>H9561</f>
        <v>1.2500000000000001E-2</v>
      </c>
      <c r="F9600" s="538">
        <f t="shared" ref="F9600:F9601" si="557">E9600*D9600*C9600</f>
        <v>3011.4</v>
      </c>
      <c r="G9600" s="557"/>
      <c r="H9600" s="121"/>
      <c r="J9600" s="136">
        <f>((('Mano Obra'!$M$5/30)*F9600)/D9600)*G9568</f>
        <v>0</v>
      </c>
    </row>
    <row r="9601" spans="1:10">
      <c r="A9601" s="558" t="s">
        <v>4186</v>
      </c>
      <c r="B9601" s="559">
        <f>VLOOKUP(A9601,'Mano Obra'!$B$3:$D$290,2,0)</f>
        <v>1100000</v>
      </c>
      <c r="C9601" s="101">
        <v>1</v>
      </c>
      <c r="D9601" s="104">
        <f>VLOOKUP(A9601,'Mano Obra'!$B$2:$T$117,19,0)</f>
        <v>72664</v>
      </c>
      <c r="E9601" s="246">
        <f>H9561</f>
        <v>1.2500000000000001E-2</v>
      </c>
      <c r="F9601" s="538">
        <f t="shared" si="557"/>
        <v>908.30000000000007</v>
      </c>
      <c r="G9601" s="557"/>
      <c r="H9601" s="120"/>
      <c r="J9601" s="136">
        <f>((('Mano Obra'!$M$6/30)*F9601)/D9601)*G9568</f>
        <v>0</v>
      </c>
    </row>
    <row r="9602" spans="1:10" ht="16.5">
      <c r="A9602" s="560" t="s">
        <v>4101</v>
      </c>
      <c r="B9602" s="560"/>
      <c r="C9602" s="560"/>
      <c r="D9602" s="560"/>
      <c r="E9602" s="560"/>
      <c r="F9602" s="560"/>
      <c r="G9602" s="560"/>
      <c r="H9602" s="105">
        <f>SUM(F9599:F9601)</f>
        <v>6002.5000000000009</v>
      </c>
      <c r="J9602" s="136"/>
    </row>
    <row r="9603" spans="1:10">
      <c r="A9603" s="227" t="s">
        <v>4237</v>
      </c>
      <c r="B9603" s="205"/>
      <c r="C9603" s="205"/>
      <c r="D9603" s="202"/>
      <c r="E9603" s="203"/>
      <c r="F9603" s="204"/>
      <c r="G9603" s="203"/>
      <c r="H9603" s="212"/>
    </row>
    <row r="9604" spans="1:10">
      <c r="A9604" s="561" t="s">
        <v>4224</v>
      </c>
      <c r="B9604" s="562"/>
      <c r="C9604" s="562"/>
      <c r="D9604" s="562"/>
      <c r="E9604" s="200"/>
      <c r="F9604" s="201" t="s">
        <v>4238</v>
      </c>
      <c r="G9604" s="200" t="s">
        <v>4239</v>
      </c>
      <c r="H9604" s="213"/>
    </row>
    <row r="9605" spans="1:10">
      <c r="A9605" s="223" t="s">
        <v>4097</v>
      </c>
      <c r="B9605" s="72"/>
      <c r="C9605" s="72"/>
      <c r="D9605" s="73"/>
      <c r="E9605" s="78"/>
      <c r="F9605" s="79">
        <v>0</v>
      </c>
      <c r="G9605" s="80">
        <f>F9605*H9569</f>
        <v>0</v>
      </c>
      <c r="H9605" s="212"/>
    </row>
    <row r="9606" spans="1:10">
      <c r="A9606" s="224" t="s">
        <v>4240</v>
      </c>
      <c r="B9606" s="81"/>
      <c r="C9606" s="81"/>
      <c r="D9606" s="82"/>
      <c r="E9606" s="78"/>
      <c r="F9606" s="79">
        <v>0</v>
      </c>
      <c r="G9606" s="80">
        <f>F9606*H9569</f>
        <v>0</v>
      </c>
      <c r="H9606" s="212"/>
    </row>
    <row r="9607" spans="1:10">
      <c r="A9607" s="224" t="s">
        <v>4</v>
      </c>
      <c r="B9607" s="81"/>
      <c r="C9607" s="81"/>
      <c r="D9607" s="82"/>
      <c r="E9607" s="78"/>
      <c r="F9607" s="79">
        <v>0</v>
      </c>
      <c r="G9607" s="80">
        <f>F9607*H9569</f>
        <v>0</v>
      </c>
      <c r="H9607" s="212"/>
    </row>
    <row r="9608" spans="1:10">
      <c r="A9608" s="225"/>
      <c r="B9608" s="83"/>
      <c r="C9608" s="75"/>
      <c r="D9608" s="84"/>
      <c r="E9608" s="85"/>
      <c r="F9608" s="86"/>
      <c r="G9608" s="87"/>
      <c r="H9608" s="214"/>
    </row>
    <row r="9609" spans="1:10">
      <c r="A9609" s="226"/>
      <c r="B9609" s="83"/>
      <c r="C9609" s="83"/>
      <c r="D9609" s="84"/>
      <c r="E9609" s="88"/>
      <c r="F9609" s="563" t="s">
        <v>4241</v>
      </c>
      <c r="G9609" s="564"/>
      <c r="H9609" s="233">
        <f>H9569+G9605+G9606+G9607</f>
        <v>47099.033750000002</v>
      </c>
    </row>
    <row r="9611" spans="1:10" ht="16.5">
      <c r="A9611" s="90"/>
      <c r="B9611" s="90"/>
      <c r="C9611" s="90"/>
      <c r="D9611" s="90"/>
      <c r="E9611" s="90"/>
      <c r="F9611" s="90"/>
      <c r="G9611" s="90"/>
      <c r="H9611" s="381"/>
    </row>
    <row r="9612" spans="1:10">
      <c r="A9612" s="579" t="s">
        <v>4225</v>
      </c>
      <c r="B9612" s="580"/>
      <c r="C9612" s="580"/>
      <c r="D9612" s="580"/>
      <c r="E9612" s="580"/>
      <c r="F9612" s="580"/>
      <c r="G9612" s="580"/>
      <c r="H9612" s="581"/>
    </row>
    <row r="9613" spans="1:10" ht="16.5">
      <c r="A9613" s="91"/>
      <c r="B9613" s="92"/>
      <c r="C9613" s="92"/>
      <c r="D9613" s="92"/>
      <c r="E9613" s="92"/>
      <c r="F9613" s="93"/>
      <c r="G9613" s="94"/>
      <c r="H9613" s="380">
        <f>ROUND((8/60)/8,4)</f>
        <v>1.67E-2</v>
      </c>
      <c r="I9613" s="115"/>
    </row>
    <row r="9614" spans="1:10">
      <c r="A9614" s="582" t="s">
        <v>4220</v>
      </c>
      <c r="B9614" s="584" t="str">
        <f>COSTOS!$C$14</f>
        <v>MODERNIZACION A TECNOLOGIA LED</v>
      </c>
      <c r="C9614" s="584"/>
      <c r="D9614" s="584"/>
      <c r="E9614" s="584"/>
      <c r="F9614" s="584"/>
      <c r="G9614" s="584"/>
      <c r="H9614" s="585" t="s">
        <v>4221</v>
      </c>
    </row>
    <row r="9615" spans="1:10">
      <c r="A9615" s="583"/>
      <c r="B9615" s="584"/>
      <c r="C9615" s="584"/>
      <c r="D9615" s="584"/>
      <c r="E9615" s="584"/>
      <c r="F9615" s="584"/>
      <c r="G9615" s="584"/>
      <c r="H9615" s="585"/>
    </row>
    <row r="9616" spans="1:10">
      <c r="A9616" s="583"/>
      <c r="B9616" s="584"/>
      <c r="C9616" s="584"/>
      <c r="D9616" s="584"/>
      <c r="E9616" s="584"/>
      <c r="F9616" s="584"/>
      <c r="G9616" s="584"/>
      <c r="H9616" s="585"/>
    </row>
    <row r="9617" spans="1:15" ht="15" customHeight="1">
      <c r="A9617" s="583"/>
      <c r="B9617" s="584"/>
      <c r="C9617" s="584"/>
      <c r="D9617" s="584"/>
      <c r="E9617" s="584"/>
      <c r="F9617" s="584"/>
      <c r="G9617" s="584"/>
      <c r="H9617" s="216">
        <f ca="1">TODAY()</f>
        <v>44889</v>
      </c>
      <c r="K9617" t="s">
        <v>4391</v>
      </c>
      <c r="L9617" t="s">
        <v>4392</v>
      </c>
      <c r="M9617" t="s">
        <v>4393</v>
      </c>
      <c r="N9617" t="s">
        <v>4394</v>
      </c>
    </row>
    <row r="9618" spans="1:15" ht="60.75" customHeight="1">
      <c r="A9618" s="228" t="s">
        <v>4222</v>
      </c>
      <c r="B9618" s="565" t="str">
        <f>COSTOS!$D$16</f>
        <v>Luminarias</v>
      </c>
      <c r="C9618" s="565"/>
      <c r="D9618" s="565"/>
      <c r="E9618" s="565"/>
      <c r="F9618" s="565"/>
      <c r="G9618" s="70" t="s">
        <v>4223</v>
      </c>
      <c r="H9618" s="387">
        <v>7.8</v>
      </c>
      <c r="K9618" s="62">
        <f>H9644</f>
        <v>6635.2876800000004</v>
      </c>
      <c r="L9618" s="62">
        <f>H9654</f>
        <v>8019.34</v>
      </c>
      <c r="M9618" s="62">
        <f>H9627</f>
        <v>240.77225000000001</v>
      </c>
      <c r="N9618" s="62">
        <f>H9648</f>
        <v>800</v>
      </c>
    </row>
    <row r="9619" spans="1:15" ht="43.15" customHeight="1">
      <c r="A9619" s="229" t="s">
        <v>4224</v>
      </c>
      <c r="B9619" s="566" t="str">
        <f>VLOOKUP(H9618,COSTOS!C:M,2,0)</f>
        <v>Canalizacion con un ducto 3/4" PVC x 500 mts</v>
      </c>
      <c r="C9619" s="567"/>
      <c r="D9619" s="567"/>
      <c r="E9619" s="568"/>
      <c r="F9619" s="71" t="s">
        <v>0</v>
      </c>
      <c r="G9619" s="356" t="str">
        <f>VLOOKUP(H9618,COSTOS!C:M,8,0)</f>
        <v>Ml</v>
      </c>
      <c r="H9619" s="276"/>
      <c r="I9619" s="306"/>
      <c r="J9619" s="308"/>
      <c r="K9619" s="308"/>
      <c r="L9619" s="308"/>
    </row>
    <row r="9620" spans="1:15">
      <c r="A9620" s="230"/>
      <c r="B9620" s="112"/>
      <c r="C9620" s="112"/>
      <c r="D9620" s="112"/>
      <c r="E9620" s="113"/>
      <c r="F9620" s="114" t="s">
        <v>1</v>
      </c>
      <c r="G9620" s="356">
        <f>VLOOKUP(H9618,COSTOS!C:M,9,0)</f>
        <v>0</v>
      </c>
      <c r="H9620" s="357"/>
      <c r="I9620" s="307"/>
    </row>
    <row r="9621" spans="1:15" ht="16.5">
      <c r="A9621" s="231" t="s">
        <v>4226</v>
      </c>
      <c r="B9621" s="75"/>
      <c r="C9621" s="75"/>
      <c r="D9621" s="76"/>
      <c r="E9621" s="209"/>
      <c r="F9621" s="210"/>
      <c r="G9621" s="211" t="s">
        <v>4227</v>
      </c>
      <c r="H9621" s="217">
        <f>H9627+H9644+H9648+H9654</f>
        <v>15695.39993</v>
      </c>
    </row>
    <row r="9622" spans="1:15" ht="39">
      <c r="A9622" s="569" t="s">
        <v>4224</v>
      </c>
      <c r="B9622" s="569"/>
      <c r="C9622" s="569"/>
      <c r="D9622" s="77" t="s">
        <v>0</v>
      </c>
      <c r="E9622" s="207" t="s">
        <v>4228</v>
      </c>
      <c r="F9622" s="208" t="s">
        <v>4215</v>
      </c>
      <c r="G9622" s="74" t="s">
        <v>2</v>
      </c>
      <c r="H9622" s="218" t="s">
        <v>4229</v>
      </c>
      <c r="K9622" s="309"/>
    </row>
    <row r="9623" spans="1:15">
      <c r="A9623" s="536" t="s">
        <v>3946</v>
      </c>
      <c r="B9623" s="570" t="str">
        <f>VLOOKUP(A9623,'Equip, Herr y Transp'!$B$2:$D$739,2,0)</f>
        <v>EQU</v>
      </c>
      <c r="C9623" s="570"/>
      <c r="D9623" s="95" t="str">
        <f>VLOOKUP(A9623,'Equip, Herr y Transp'!$B$2:$D$218,2,0)</f>
        <v>EQU</v>
      </c>
      <c r="E9623" s="95">
        <f>VLOOKUP(A9623,'Equip, Herr y Transp'!$B$2:$D$218,3,0)</f>
        <v>14130</v>
      </c>
      <c r="F9623" s="96">
        <f>H9613</f>
        <v>1.67E-2</v>
      </c>
      <c r="G9623" s="122">
        <f>F9623*E9623</f>
        <v>235.971</v>
      </c>
      <c r="H9623" s="118"/>
    </row>
    <row r="9624" spans="1:15">
      <c r="A9624" s="536" t="s">
        <v>3927</v>
      </c>
      <c r="B9624" s="570" t="str">
        <f>VLOOKUP(A9624,'Equip, Herr y Transp'!$B$2:$D$739,2,0)</f>
        <v>EQU</v>
      </c>
      <c r="C9624" s="570"/>
      <c r="D9624" s="95" t="str">
        <f>VLOOKUP(A9624,'Equip, Herr y Transp'!$B$2:$D$218,2,0)</f>
        <v>EQU</v>
      </c>
      <c r="E9624" s="95">
        <f>VLOOKUP(A9624,'Equip, Herr y Transp'!$B$2:$D$218,3,0)</f>
        <v>287.5</v>
      </c>
      <c r="F9624" s="96">
        <f>H9613</f>
        <v>1.67E-2</v>
      </c>
      <c r="G9624" s="122">
        <f>F9624*E9624</f>
        <v>4.8012499999999996</v>
      </c>
      <c r="H9624" s="117"/>
    </row>
    <row r="9625" spans="1:15">
      <c r="A9625" s="536" t="s">
        <v>8</v>
      </c>
      <c r="B9625" s="570">
        <f>VLOOKUP(A9625,'Equip, Herr y Transp'!$B$2:$D$739,2,0)</f>
        <v>0</v>
      </c>
      <c r="C9625" s="570"/>
      <c r="D9625" s="95">
        <f>VLOOKUP(A9625,'Equip, Herr y Transp'!$B$2:$D$218,2,0)</f>
        <v>0</v>
      </c>
      <c r="E9625" s="95">
        <f>VLOOKUP(A9625,'Equip, Herr y Transp'!$B$2:$D$218,3,0)</f>
        <v>0</v>
      </c>
      <c r="F9625" s="96">
        <f>H9613</f>
        <v>1.67E-2</v>
      </c>
      <c r="G9625" s="122">
        <f>F9625*E9625</f>
        <v>0</v>
      </c>
      <c r="H9625" s="117"/>
    </row>
    <row r="9626" spans="1:15">
      <c r="A9626" s="536" t="s">
        <v>8</v>
      </c>
      <c r="B9626" s="570">
        <f>VLOOKUP(A9626,'Equip, Herr y Transp'!$B$2:$D$739,2,0)</f>
        <v>0</v>
      </c>
      <c r="C9626" s="570"/>
      <c r="D9626" s="95">
        <f>VLOOKUP(A9626,'Equip, Herr y Transp'!$B$2:$D$218,2,0)</f>
        <v>0</v>
      </c>
      <c r="E9626" s="95">
        <f>VLOOKUP(A9626,'Equip, Herr y Transp'!$B$2:$D$218,3,0)</f>
        <v>0</v>
      </c>
      <c r="F9626" s="96">
        <f>H9613</f>
        <v>1.67E-2</v>
      </c>
      <c r="G9626" s="122">
        <f>F9626*E9626</f>
        <v>0</v>
      </c>
      <c r="H9626" s="117"/>
    </row>
    <row r="9627" spans="1:15" ht="16.5">
      <c r="A9627" s="540" t="s">
        <v>4100</v>
      </c>
      <c r="B9627" s="541"/>
      <c r="C9627" s="541"/>
      <c r="D9627" s="541"/>
      <c r="E9627" s="541"/>
      <c r="F9627" s="541"/>
      <c r="G9627" s="541"/>
      <c r="H9627" s="97">
        <f>SUM(G9623:G9626)</f>
        <v>240.77225000000001</v>
      </c>
    </row>
    <row r="9628" spans="1:15" ht="16.5">
      <c r="A9628" s="571" t="s">
        <v>4230</v>
      </c>
      <c r="B9628" s="572"/>
      <c r="C9628" s="572"/>
      <c r="D9628" s="572"/>
      <c r="E9628" s="572"/>
      <c r="F9628" s="572"/>
      <c r="G9628" s="572"/>
      <c r="H9628" s="573"/>
      <c r="K9628" s="56"/>
      <c r="L9628" s="56"/>
      <c r="M9628" s="56"/>
      <c r="N9628" s="56"/>
      <c r="O9628" s="56"/>
    </row>
    <row r="9629" spans="1:15" ht="30" customHeight="1">
      <c r="A9629" s="574" t="s">
        <v>7</v>
      </c>
      <c r="B9629" s="575"/>
      <c r="C9629" s="109" t="s">
        <v>0</v>
      </c>
      <c r="D9629" s="110" t="s">
        <v>4098</v>
      </c>
      <c r="E9629" s="111" t="s">
        <v>1</v>
      </c>
      <c r="F9629" s="576" t="s">
        <v>4218</v>
      </c>
      <c r="G9629" s="576"/>
      <c r="H9629" s="215"/>
      <c r="K9629" s="56"/>
      <c r="L9629" s="56"/>
      <c r="M9629" s="56"/>
      <c r="N9629" s="56"/>
      <c r="O9629" s="56"/>
    </row>
    <row r="9630" spans="1:15">
      <c r="A9630" s="577" t="s">
        <v>4599</v>
      </c>
      <c r="B9630" s="578"/>
      <c r="C9630" s="98" t="str">
        <f>VLOOKUP(A9630,'Materiales '!$C$2:$F$1302,3,0)</f>
        <v>Und</v>
      </c>
      <c r="D9630" s="99">
        <f>VLOOKUP(A9630,'Materiales '!$C$2:$F$1302,4,0)</f>
        <v>9330.5519999999997</v>
      </c>
      <c r="E9630" s="100">
        <v>0.34</v>
      </c>
      <c r="F9630" s="538">
        <f>E9630*D9630</f>
        <v>3172.3876800000003</v>
      </c>
      <c r="G9630" s="539"/>
      <c r="H9630" s="121"/>
      <c r="I9630">
        <f>E9630*G9620</f>
        <v>0</v>
      </c>
      <c r="J9630" s="67"/>
      <c r="K9630" s="56"/>
      <c r="L9630" s="56"/>
      <c r="M9630" s="56"/>
      <c r="N9630" s="56"/>
      <c r="O9630" s="56"/>
    </row>
    <row r="9631" spans="1:15">
      <c r="A9631" s="577" t="s">
        <v>4581</v>
      </c>
      <c r="B9631" s="578"/>
      <c r="C9631" s="98" t="str">
        <f>VLOOKUP(A9631,'Materiales '!$C$2:$F$1302,3,0)</f>
        <v>Und</v>
      </c>
      <c r="D9631" s="99">
        <f>VLOOKUP(A9631,'Materiales '!$C$2:$F$1302,4,0)</f>
        <v>34629</v>
      </c>
      <c r="E9631" s="100">
        <v>0.1</v>
      </c>
      <c r="F9631" s="538">
        <f t="shared" ref="F9631:F9637" si="558">E9631*D9631</f>
        <v>3462.9</v>
      </c>
      <c r="G9631" s="539"/>
      <c r="H9631" s="121"/>
      <c r="I9631">
        <f>E9631*G9620</f>
        <v>0</v>
      </c>
      <c r="J9631" s="67"/>
      <c r="K9631" s="56"/>
      <c r="L9631" s="56"/>
      <c r="M9631" s="56"/>
      <c r="N9631" s="56"/>
      <c r="O9631" s="56"/>
    </row>
    <row r="9632" spans="1:15">
      <c r="A9632" s="536" t="s">
        <v>8</v>
      </c>
      <c r="B9632" s="537" t="str">
        <f>VLOOKUP(A9632,'Materiales '!$C$2:$F$1302,3,0)</f>
        <v>-</v>
      </c>
      <c r="C9632" s="98" t="str">
        <f>VLOOKUP(A9632,'Materiales '!$C$2:$F$1302,3,0)</f>
        <v>-</v>
      </c>
      <c r="D9632" s="99">
        <f>VLOOKUP(A9632,'Materiales '!$C$2:$F$1302,4,0)</f>
        <v>0</v>
      </c>
      <c r="E9632" s="100">
        <v>0.34</v>
      </c>
      <c r="F9632" s="538">
        <f t="shared" si="558"/>
        <v>0</v>
      </c>
      <c r="G9632" s="539"/>
      <c r="H9632" s="121"/>
      <c r="I9632">
        <f>E9632*G9620</f>
        <v>0</v>
      </c>
      <c r="J9632" s="68"/>
      <c r="K9632" s="56"/>
      <c r="L9632" s="56"/>
      <c r="M9632" s="56"/>
      <c r="N9632" s="56"/>
      <c r="O9632" s="56"/>
    </row>
    <row r="9633" spans="1:15">
      <c r="A9633" s="536" t="s">
        <v>8</v>
      </c>
      <c r="B9633" s="537" t="str">
        <f>VLOOKUP(A9633,'Materiales '!$C$2:$F$1302,3,0)</f>
        <v>-</v>
      </c>
      <c r="C9633" s="98" t="str">
        <f>VLOOKUP(A9633,'Materiales '!$C$2:$F$1302,3,0)</f>
        <v>-</v>
      </c>
      <c r="D9633" s="99">
        <f>VLOOKUP(A9633,'Materiales '!$C$2:$F$1302,4,0)</f>
        <v>0</v>
      </c>
      <c r="E9633" s="100">
        <v>0.02</v>
      </c>
      <c r="F9633" s="538">
        <f t="shared" si="558"/>
        <v>0</v>
      </c>
      <c r="G9633" s="539"/>
      <c r="H9633" s="121"/>
      <c r="I9633">
        <f>E9633*G9620</f>
        <v>0</v>
      </c>
      <c r="J9633" s="68"/>
      <c r="K9633" s="56"/>
      <c r="L9633" s="56"/>
      <c r="M9633" s="56"/>
      <c r="N9633" s="56"/>
      <c r="O9633" s="56"/>
    </row>
    <row r="9634" spans="1:15">
      <c r="A9634" s="536" t="s">
        <v>8</v>
      </c>
      <c r="B9634" s="537" t="str">
        <f>VLOOKUP(A9634,'Materiales '!$C$2:$F$1302,3,0)</f>
        <v>-</v>
      </c>
      <c r="C9634" s="98" t="str">
        <f>VLOOKUP(A9634,'Materiales '!$C$2:$F$1302,3,0)</f>
        <v>-</v>
      </c>
      <c r="D9634" s="99">
        <f>VLOOKUP(A9634,'Materiales '!$C$2:$F$1302,4,0)</f>
        <v>0</v>
      </c>
      <c r="E9634" s="100">
        <v>0.5</v>
      </c>
      <c r="F9634" s="538">
        <f t="shared" si="558"/>
        <v>0</v>
      </c>
      <c r="G9634" s="539"/>
      <c r="H9634" s="121"/>
      <c r="I9634">
        <f>E9634*G9620</f>
        <v>0</v>
      </c>
      <c r="J9634" s="68"/>
      <c r="K9634" s="56"/>
      <c r="L9634" s="56"/>
      <c r="M9634" s="56"/>
      <c r="N9634" s="56"/>
      <c r="O9634" s="56"/>
    </row>
    <row r="9635" spans="1:15">
      <c r="A9635" s="536" t="s">
        <v>8</v>
      </c>
      <c r="B9635" s="537" t="str">
        <f>VLOOKUP(A9635,'Materiales '!$C$2:$F$1302,3,0)</f>
        <v>-</v>
      </c>
      <c r="C9635" s="98" t="str">
        <f>VLOOKUP(A9635,'Materiales '!$C$2:$F$1302,3,0)</f>
        <v>-</v>
      </c>
      <c r="D9635" s="99">
        <f>VLOOKUP(A9635,'Materiales '!$C$2:$F$1302,4,0)</f>
        <v>0</v>
      </c>
      <c r="E9635" s="100">
        <v>1</v>
      </c>
      <c r="F9635" s="538">
        <f t="shared" si="558"/>
        <v>0</v>
      </c>
      <c r="G9635" s="539"/>
      <c r="H9635" s="121"/>
      <c r="I9635">
        <f>E9635*G9620</f>
        <v>0</v>
      </c>
      <c r="J9635" s="68"/>
      <c r="K9635" s="56"/>
      <c r="L9635" s="56"/>
      <c r="M9635" s="56"/>
      <c r="N9635" s="56"/>
      <c r="O9635" s="56"/>
    </row>
    <row r="9636" spans="1:15">
      <c r="A9636" s="536" t="s">
        <v>8</v>
      </c>
      <c r="B9636" s="537" t="str">
        <f>VLOOKUP(A9636,'Materiales '!$C$2:$F$1302,3,0)</f>
        <v>-</v>
      </c>
      <c r="C9636" s="98" t="str">
        <f>VLOOKUP(A9636,'Materiales '!$C$2:$F$1302,3,0)</f>
        <v>-</v>
      </c>
      <c r="D9636" s="99">
        <f>VLOOKUP(A9636,'Materiales '!$C$2:$F$1302,4,0)</f>
        <v>0</v>
      </c>
      <c r="E9636" s="100">
        <v>1</v>
      </c>
      <c r="F9636" s="538">
        <f t="shared" si="558"/>
        <v>0</v>
      </c>
      <c r="G9636" s="539"/>
      <c r="H9636" s="121"/>
      <c r="I9636">
        <f>E9636*G9620</f>
        <v>0</v>
      </c>
      <c r="J9636" s="68"/>
      <c r="K9636" s="56"/>
      <c r="L9636" s="56"/>
      <c r="M9636" s="56"/>
      <c r="N9636" s="56"/>
      <c r="O9636" s="56"/>
    </row>
    <row r="9637" spans="1:15" ht="21.75" customHeight="1">
      <c r="A9637" s="536" t="s">
        <v>8</v>
      </c>
      <c r="B9637" s="537" t="str">
        <f>VLOOKUP(A9637,'Materiales '!$C$2:$F$1302,3,0)</f>
        <v>-</v>
      </c>
      <c r="C9637" s="98" t="str">
        <f>VLOOKUP(A9637,'Materiales '!$C$2:$F$1302,3,0)</f>
        <v>-</v>
      </c>
      <c r="D9637" s="99">
        <f>VLOOKUP(A9637,'Materiales '!$C$2:$F$1302,4,0)</f>
        <v>0</v>
      </c>
      <c r="E9637" s="100"/>
      <c r="F9637" s="538">
        <f t="shared" si="558"/>
        <v>0</v>
      </c>
      <c r="G9637" s="539"/>
      <c r="H9637" s="121"/>
      <c r="I9637">
        <f>E9637*G9620</f>
        <v>0</v>
      </c>
      <c r="J9637" s="68"/>
      <c r="K9637" s="56"/>
      <c r="L9637" s="56"/>
      <c r="M9637" s="56"/>
      <c r="N9637" s="56"/>
      <c r="O9637" s="56"/>
    </row>
    <row r="9638" spans="1:15">
      <c r="A9638" s="536" t="s">
        <v>8</v>
      </c>
      <c r="B9638" s="537" t="str">
        <f>VLOOKUP(A9638,'Materiales '!$C$2:$F$1302,3,0)</f>
        <v>-</v>
      </c>
      <c r="C9638" s="98" t="str">
        <f>VLOOKUP(A9638,'Materiales '!$C$2:$F$1302,3,0)</f>
        <v>-</v>
      </c>
      <c r="D9638" s="99">
        <f>VLOOKUP(A9638,'Materiales '!$C$2:$F$1302,4,0)</f>
        <v>0</v>
      </c>
      <c r="E9638" s="100"/>
      <c r="F9638" s="538">
        <f>E9638*D9638</f>
        <v>0</v>
      </c>
      <c r="G9638" s="539"/>
      <c r="H9638" s="120"/>
      <c r="I9638">
        <f>E9638*G9620</f>
        <v>0</v>
      </c>
      <c r="J9638" s="68"/>
      <c r="K9638" s="56"/>
      <c r="L9638" s="56"/>
      <c r="M9638" s="56"/>
      <c r="N9638" s="56"/>
      <c r="O9638" s="56"/>
    </row>
    <row r="9639" spans="1:15">
      <c r="A9639" s="536" t="s">
        <v>8</v>
      </c>
      <c r="B9639" s="537" t="str">
        <f>VLOOKUP(A9639,'Materiales '!$C$2:$F$1302,3,0)</f>
        <v>-</v>
      </c>
      <c r="C9639" s="98" t="str">
        <f>VLOOKUP(A9639,'Materiales '!$C$2:$F$1302,3,0)</f>
        <v>-</v>
      </c>
      <c r="D9639" s="99">
        <f>VLOOKUP(A9639,'Materiales '!$C$2:$F$1302,4,0)</f>
        <v>0</v>
      </c>
      <c r="E9639" s="100"/>
      <c r="F9639" s="538">
        <f t="shared" ref="F9639:F9642" si="559">E9639*D9639</f>
        <v>0</v>
      </c>
      <c r="G9639" s="539"/>
      <c r="H9639" s="121"/>
      <c r="I9639">
        <f>E9639*G9620</f>
        <v>0</v>
      </c>
      <c r="J9639" s="68"/>
      <c r="K9639" s="56"/>
      <c r="L9639" s="56"/>
      <c r="M9639" s="56"/>
      <c r="N9639" s="56"/>
      <c r="O9639" s="56"/>
    </row>
    <row r="9640" spans="1:15">
      <c r="A9640" s="536" t="s">
        <v>8</v>
      </c>
      <c r="B9640" s="537" t="str">
        <f>VLOOKUP(A9640,'Materiales '!$C$2:$F$1302,3,0)</f>
        <v>-</v>
      </c>
      <c r="C9640" s="98" t="str">
        <f>VLOOKUP(A9640,'Materiales '!$C$2:$F$1302,3,0)</f>
        <v>-</v>
      </c>
      <c r="D9640" s="99">
        <f>VLOOKUP(A9640,'Materiales '!$C$2:$F$1302,4,0)</f>
        <v>0</v>
      </c>
      <c r="E9640" s="100"/>
      <c r="F9640" s="538">
        <f t="shared" si="559"/>
        <v>0</v>
      </c>
      <c r="G9640" s="539"/>
      <c r="H9640" s="121"/>
      <c r="I9640">
        <f>E9640*G9620</f>
        <v>0</v>
      </c>
      <c r="J9640" s="68"/>
      <c r="K9640" s="56"/>
      <c r="L9640" s="56"/>
      <c r="M9640" s="56"/>
      <c r="N9640" s="56"/>
      <c r="O9640" s="56"/>
    </row>
    <row r="9641" spans="1:15">
      <c r="A9641" s="536" t="s">
        <v>8</v>
      </c>
      <c r="B9641" s="537" t="str">
        <f>VLOOKUP(A9641,'Materiales '!$C$2:$F$1302,3,0)</f>
        <v>-</v>
      </c>
      <c r="C9641" s="98" t="str">
        <f>VLOOKUP(A9641,'Materiales '!$C$2:$F$1302,3,0)</f>
        <v>-</v>
      </c>
      <c r="D9641" s="99">
        <f>VLOOKUP(A9641,'Materiales '!$C$2:$F$1302,4,0)</f>
        <v>0</v>
      </c>
      <c r="E9641" s="100"/>
      <c r="F9641" s="538">
        <f t="shared" si="559"/>
        <v>0</v>
      </c>
      <c r="G9641" s="539"/>
      <c r="H9641" s="121"/>
      <c r="I9641">
        <f>E9641*G9620</f>
        <v>0</v>
      </c>
      <c r="J9641" s="68"/>
      <c r="K9641" s="56"/>
      <c r="L9641" s="56"/>
      <c r="M9641" s="56"/>
      <c r="N9641" s="56"/>
      <c r="O9641" s="56"/>
    </row>
    <row r="9642" spans="1:15">
      <c r="A9642" s="536" t="s">
        <v>8</v>
      </c>
      <c r="B9642" s="537" t="str">
        <f>VLOOKUP(A9642,'Materiales '!$C$2:$F$1302,3,0)</f>
        <v>-</v>
      </c>
      <c r="C9642" s="98" t="str">
        <f>VLOOKUP(A9642,'Materiales '!$C$2:$F$1302,3,0)</f>
        <v>-</v>
      </c>
      <c r="D9642" s="99">
        <f>VLOOKUP(A9642,'Materiales '!$C$2:$F$1302,4,0)</f>
        <v>0</v>
      </c>
      <c r="E9642" s="100"/>
      <c r="F9642" s="538">
        <f t="shared" si="559"/>
        <v>0</v>
      </c>
      <c r="G9642" s="539"/>
      <c r="H9642" s="121"/>
      <c r="I9642">
        <f>E9642*G9620</f>
        <v>0</v>
      </c>
      <c r="J9642" s="68"/>
      <c r="K9642" s="56"/>
      <c r="L9642" s="56"/>
      <c r="M9642" s="56"/>
      <c r="N9642" s="56"/>
      <c r="O9642" s="56"/>
    </row>
    <row r="9643" spans="1:15">
      <c r="A9643" s="536" t="s">
        <v>8</v>
      </c>
      <c r="B9643" s="537" t="str">
        <f>VLOOKUP(A9643,'Materiales '!$C$2:$F$1302,3,0)</f>
        <v>-</v>
      </c>
      <c r="C9643" s="98" t="str">
        <f>VLOOKUP(A9643,'Materiales '!$C$2:$F$1302,3,0)</f>
        <v>-</v>
      </c>
      <c r="D9643" s="99">
        <f>VLOOKUP(A9643,'Materiales '!$C$2:$F$1302,4,0)</f>
        <v>0</v>
      </c>
      <c r="E9643" s="100"/>
      <c r="F9643" s="538">
        <f>E9643*D9643</f>
        <v>0</v>
      </c>
      <c r="G9643" s="539"/>
      <c r="H9643" s="120"/>
      <c r="I9643">
        <f>E9643*G9620</f>
        <v>0</v>
      </c>
      <c r="J9643" s="68"/>
      <c r="K9643" s="56"/>
      <c r="L9643" s="56"/>
      <c r="M9643" s="56"/>
      <c r="N9643" s="56"/>
      <c r="O9643" s="56"/>
    </row>
    <row r="9644" spans="1:15" ht="16.5">
      <c r="A9644" s="540" t="s">
        <v>4099</v>
      </c>
      <c r="B9644" s="541"/>
      <c r="C9644" s="541"/>
      <c r="D9644" s="541"/>
      <c r="E9644" s="541"/>
      <c r="F9644" s="541"/>
      <c r="G9644" s="542"/>
      <c r="H9644" s="116">
        <f>SUM(F9630:F9643)</f>
        <v>6635.2876800000004</v>
      </c>
      <c r="J9644" s="68"/>
      <c r="K9644" s="56"/>
      <c r="L9644" s="56"/>
      <c r="M9644" s="56"/>
      <c r="N9644" s="56"/>
      <c r="O9644" s="56"/>
    </row>
    <row r="9645" spans="1:15" ht="16.5">
      <c r="A9645" s="543" t="s">
        <v>4231</v>
      </c>
      <c r="B9645" s="544"/>
      <c r="C9645" s="544"/>
      <c r="D9645" s="544"/>
      <c r="E9645" s="545"/>
      <c r="F9645" s="544"/>
      <c r="G9645" s="544"/>
      <c r="H9645" s="546"/>
      <c r="J9645" s="68"/>
      <c r="K9645" s="56"/>
      <c r="L9645" s="56"/>
      <c r="M9645" s="56"/>
      <c r="N9645" s="56"/>
      <c r="O9645" s="56"/>
    </row>
    <row r="9646" spans="1:15">
      <c r="A9646" s="547" t="s">
        <v>7</v>
      </c>
      <c r="B9646" s="548"/>
      <c r="C9646" s="108" t="s">
        <v>4232</v>
      </c>
      <c r="D9646" s="107" t="s">
        <v>4233</v>
      </c>
      <c r="E9646" s="206" t="s">
        <v>4234</v>
      </c>
      <c r="F9646" s="549" t="s">
        <v>4218</v>
      </c>
      <c r="G9646" s="549"/>
      <c r="H9646" s="119"/>
      <c r="K9646" s="56"/>
      <c r="L9646" s="56"/>
      <c r="M9646" s="56"/>
      <c r="N9646" s="56"/>
      <c r="O9646" s="56"/>
    </row>
    <row r="9647" spans="1:15">
      <c r="A9647" s="550" t="s">
        <v>3928</v>
      </c>
      <c r="B9647" s="551"/>
      <c r="C9647" s="232">
        <v>1</v>
      </c>
      <c r="D9647" s="102">
        <v>5.0000000000000001E-3</v>
      </c>
      <c r="E9647" s="103">
        <f>VLOOKUP(A9647,'Equip, Herr y Transp'!$B$2:$D$218,3,0)</f>
        <v>160000</v>
      </c>
      <c r="F9647" s="552">
        <f>E9647*D9647*C9647</f>
        <v>800</v>
      </c>
      <c r="G9647" s="553"/>
      <c r="H9647" s="117"/>
      <c r="M9647" s="56"/>
    </row>
    <row r="9648" spans="1:15" ht="16.5">
      <c r="A9648" s="554" t="s">
        <v>4216</v>
      </c>
      <c r="B9648" s="555"/>
      <c r="C9648" s="555"/>
      <c r="D9648" s="555"/>
      <c r="E9648" s="555"/>
      <c r="F9648" s="555"/>
      <c r="G9648" s="555"/>
      <c r="H9648" s="105">
        <f>F9647</f>
        <v>800</v>
      </c>
    </row>
    <row r="9649" spans="1:10" ht="16.5">
      <c r="A9649" s="543" t="s">
        <v>4235</v>
      </c>
      <c r="B9649" s="544"/>
      <c r="C9649" s="544"/>
      <c r="D9649" s="544"/>
      <c r="E9649" s="544"/>
      <c r="F9649" s="544"/>
      <c r="G9649" s="544"/>
      <c r="H9649" s="546"/>
    </row>
    <row r="9650" spans="1:10">
      <c r="A9650" s="547" t="s">
        <v>7</v>
      </c>
      <c r="B9650" s="548"/>
      <c r="C9650" s="106" t="s">
        <v>1</v>
      </c>
      <c r="D9650" s="107" t="s">
        <v>4236</v>
      </c>
      <c r="E9650" s="108" t="s">
        <v>4215</v>
      </c>
      <c r="F9650" s="547" t="s">
        <v>5</v>
      </c>
      <c r="G9650" s="556"/>
      <c r="H9650" s="119"/>
    </row>
    <row r="9651" spans="1:10">
      <c r="A9651" s="550" t="s">
        <v>4196</v>
      </c>
      <c r="B9651" s="551"/>
      <c r="C9651" s="101">
        <v>1</v>
      </c>
      <c r="D9651" s="104">
        <f>VLOOKUP(A9651,'Mano Obra'!$B$2:$T$117,19,0)</f>
        <v>166624</v>
      </c>
      <c r="E9651" s="246">
        <f>H9613</f>
        <v>1.67E-2</v>
      </c>
      <c r="F9651" s="538">
        <f>E9651*D9651*C9651</f>
        <v>2782.6208000000001</v>
      </c>
      <c r="G9651" s="557"/>
      <c r="H9651" s="121"/>
      <c r="I9651" s="69"/>
      <c r="J9651" s="136">
        <f>((('Mano Obra'!$M$4/30)*F9651)/D9651)*G9620</f>
        <v>0</v>
      </c>
    </row>
    <row r="9652" spans="1:10">
      <c r="A9652" s="558" t="s">
        <v>4197</v>
      </c>
      <c r="B9652" s="559">
        <f>VLOOKUP(A9652,'Mano Obra'!$B$3:$D$290,2,0)</f>
        <v>2090000.0000000002</v>
      </c>
      <c r="C9652" s="101">
        <v>2</v>
      </c>
      <c r="D9652" s="104">
        <f>VLOOKUP(A9652,'Mano Obra'!$B$2:$T$117,19,0)</f>
        <v>120456</v>
      </c>
      <c r="E9652" s="246">
        <f>H9613</f>
        <v>1.67E-2</v>
      </c>
      <c r="F9652" s="538">
        <f t="shared" ref="F9652:F9653" si="560">E9652*D9652*C9652</f>
        <v>4023.2303999999999</v>
      </c>
      <c r="G9652" s="557"/>
      <c r="H9652" s="121"/>
      <c r="J9652" s="136">
        <f>((('Mano Obra'!$M$5/30)*F9652)/D9652)*G9620</f>
        <v>0</v>
      </c>
    </row>
    <row r="9653" spans="1:10">
      <c r="A9653" s="558" t="s">
        <v>4186</v>
      </c>
      <c r="B9653" s="559">
        <f>VLOOKUP(A9653,'Mano Obra'!$B$3:$D$290,2,0)</f>
        <v>1100000</v>
      </c>
      <c r="C9653" s="101">
        <v>1</v>
      </c>
      <c r="D9653" s="104">
        <f>VLOOKUP(A9653,'Mano Obra'!$B$2:$T$117,19,0)</f>
        <v>72664</v>
      </c>
      <c r="E9653" s="246">
        <f>H9613</f>
        <v>1.67E-2</v>
      </c>
      <c r="F9653" s="538">
        <f t="shared" si="560"/>
        <v>1213.4887999999999</v>
      </c>
      <c r="G9653" s="557"/>
      <c r="H9653" s="120"/>
      <c r="J9653" s="136">
        <f>((('Mano Obra'!$M$6/30)*F9653)/D9653)*G9620</f>
        <v>0</v>
      </c>
    </row>
    <row r="9654" spans="1:10" ht="16.5">
      <c r="A9654" s="560" t="s">
        <v>4101</v>
      </c>
      <c r="B9654" s="560"/>
      <c r="C9654" s="560"/>
      <c r="D9654" s="560"/>
      <c r="E9654" s="560"/>
      <c r="F9654" s="560"/>
      <c r="G9654" s="560"/>
      <c r="H9654" s="105">
        <f>SUM(F9651:F9653)</f>
        <v>8019.34</v>
      </c>
      <c r="J9654" s="136"/>
    </row>
    <row r="9655" spans="1:10">
      <c r="A9655" s="227" t="s">
        <v>4237</v>
      </c>
      <c r="B9655" s="205"/>
      <c r="C9655" s="205"/>
      <c r="D9655" s="202"/>
      <c r="E9655" s="203"/>
      <c r="F9655" s="204"/>
      <c r="G9655" s="203"/>
      <c r="H9655" s="212"/>
    </row>
    <row r="9656" spans="1:10">
      <c r="A9656" s="561" t="s">
        <v>4224</v>
      </c>
      <c r="B9656" s="562"/>
      <c r="C9656" s="562"/>
      <c r="D9656" s="562"/>
      <c r="E9656" s="200"/>
      <c r="F9656" s="201" t="s">
        <v>4238</v>
      </c>
      <c r="G9656" s="200" t="s">
        <v>4239</v>
      </c>
      <c r="H9656" s="213"/>
    </row>
    <row r="9657" spans="1:10">
      <c r="A9657" s="223" t="s">
        <v>4097</v>
      </c>
      <c r="B9657" s="72"/>
      <c r="C9657" s="72"/>
      <c r="D9657" s="73"/>
      <c r="E9657" s="78"/>
      <c r="F9657" s="79">
        <v>0</v>
      </c>
      <c r="G9657" s="80">
        <f>F9657*H9621</f>
        <v>0</v>
      </c>
      <c r="H9657" s="212"/>
    </row>
    <row r="9658" spans="1:10">
      <c r="A9658" s="224" t="s">
        <v>4240</v>
      </c>
      <c r="B9658" s="81"/>
      <c r="C9658" s="81"/>
      <c r="D9658" s="82"/>
      <c r="E9658" s="78"/>
      <c r="F9658" s="79">
        <v>0</v>
      </c>
      <c r="G9658" s="80">
        <f>F9658*H9621</f>
        <v>0</v>
      </c>
      <c r="H9658" s="212"/>
    </row>
    <row r="9659" spans="1:10">
      <c r="A9659" s="224" t="s">
        <v>4</v>
      </c>
      <c r="B9659" s="81"/>
      <c r="C9659" s="81"/>
      <c r="D9659" s="82"/>
      <c r="E9659" s="78"/>
      <c r="F9659" s="79">
        <v>0</v>
      </c>
      <c r="G9659" s="80">
        <f>F9659*H9621</f>
        <v>0</v>
      </c>
      <c r="H9659" s="212"/>
    </row>
    <row r="9660" spans="1:10">
      <c r="A9660" s="225"/>
      <c r="B9660" s="83"/>
      <c r="C9660" s="75"/>
      <c r="D9660" s="84"/>
      <c r="E9660" s="85"/>
      <c r="F9660" s="86"/>
      <c r="G9660" s="87"/>
      <c r="H9660" s="214"/>
    </row>
    <row r="9661" spans="1:10">
      <c r="A9661" s="226"/>
      <c r="B9661" s="83"/>
      <c r="C9661" s="83"/>
      <c r="D9661" s="84"/>
      <c r="E9661" s="88"/>
      <c r="F9661" s="563" t="s">
        <v>4241</v>
      </c>
      <c r="G9661" s="564"/>
      <c r="H9661" s="233">
        <f>H9621+G9657+G9658+G9659</f>
        <v>15695.39993</v>
      </c>
    </row>
    <row r="9663" spans="1:10" ht="16.5">
      <c r="A9663" s="90"/>
      <c r="B9663" s="90"/>
      <c r="C9663" s="90"/>
      <c r="D9663" s="90"/>
      <c r="E9663" s="90"/>
      <c r="F9663" s="90"/>
      <c r="G9663" s="90"/>
      <c r="H9663" s="381"/>
    </row>
    <row r="9664" spans="1:10">
      <c r="A9664" s="579" t="s">
        <v>4225</v>
      </c>
      <c r="B9664" s="580"/>
      <c r="C9664" s="580"/>
      <c r="D9664" s="580"/>
      <c r="E9664" s="580"/>
      <c r="F9664" s="580"/>
      <c r="G9664" s="580"/>
      <c r="H9664" s="581"/>
    </row>
    <row r="9665" spans="1:15" ht="16.5">
      <c r="A9665" s="91"/>
      <c r="B9665" s="92"/>
      <c r="C9665" s="92"/>
      <c r="D9665" s="92"/>
      <c r="E9665" s="92"/>
      <c r="F9665" s="93"/>
      <c r="G9665" s="94"/>
      <c r="H9665" s="380">
        <f>ROUND((16/60)/8,4)</f>
        <v>3.3300000000000003E-2</v>
      </c>
      <c r="I9665" s="115"/>
    </row>
    <row r="9666" spans="1:15">
      <c r="A9666" s="582" t="s">
        <v>4220</v>
      </c>
      <c r="B9666" s="584" t="str">
        <f>COSTOS!$C$14</f>
        <v>MODERNIZACION A TECNOLOGIA LED</v>
      </c>
      <c r="C9666" s="584"/>
      <c r="D9666" s="584"/>
      <c r="E9666" s="584"/>
      <c r="F9666" s="584"/>
      <c r="G9666" s="584"/>
      <c r="H9666" s="585" t="s">
        <v>4221</v>
      </c>
    </row>
    <row r="9667" spans="1:15">
      <c r="A9667" s="583"/>
      <c r="B9667" s="584"/>
      <c r="C9667" s="584"/>
      <c r="D9667" s="584"/>
      <c r="E9667" s="584"/>
      <c r="F9667" s="584"/>
      <c r="G9667" s="584"/>
      <c r="H9667" s="585"/>
    </row>
    <row r="9668" spans="1:15">
      <c r="A9668" s="583"/>
      <c r="B9668" s="584"/>
      <c r="C9668" s="584"/>
      <c r="D9668" s="584"/>
      <c r="E9668" s="584"/>
      <c r="F9668" s="584"/>
      <c r="G9668" s="584"/>
      <c r="H9668" s="585"/>
    </row>
    <row r="9669" spans="1:15" ht="15" customHeight="1">
      <c r="A9669" s="583"/>
      <c r="B9669" s="584"/>
      <c r="C9669" s="584"/>
      <c r="D9669" s="584"/>
      <c r="E9669" s="584"/>
      <c r="F9669" s="584"/>
      <c r="G9669" s="584"/>
      <c r="H9669" s="216">
        <f ca="1">TODAY()</f>
        <v>44889</v>
      </c>
      <c r="K9669" t="s">
        <v>4391</v>
      </c>
      <c r="L9669" t="s">
        <v>4392</v>
      </c>
      <c r="M9669" t="s">
        <v>4393</v>
      </c>
      <c r="N9669" t="s">
        <v>4394</v>
      </c>
    </row>
    <row r="9670" spans="1:15" ht="60.75" customHeight="1">
      <c r="A9670" s="228" t="s">
        <v>4222</v>
      </c>
      <c r="B9670" s="565" t="str">
        <f>COSTOS!$D$16</f>
        <v>Luminarias</v>
      </c>
      <c r="C9670" s="565"/>
      <c r="D9670" s="565"/>
      <c r="E9670" s="565"/>
      <c r="F9670" s="565"/>
      <c r="G9670" s="70" t="s">
        <v>4223</v>
      </c>
      <c r="H9670" s="387">
        <v>7.9</v>
      </c>
      <c r="K9670" s="62">
        <f>H9696</f>
        <v>15201.317039999998</v>
      </c>
      <c r="L9670" s="62">
        <f>H9706</f>
        <v>15990.660000000002</v>
      </c>
      <c r="M9670" s="62">
        <f>H9679</f>
        <v>480.10275000000007</v>
      </c>
      <c r="N9670" s="62">
        <f>H9700</f>
        <v>800</v>
      </c>
    </row>
    <row r="9671" spans="1:15" ht="43.15" customHeight="1">
      <c r="A9671" s="229" t="s">
        <v>4224</v>
      </c>
      <c r="B9671" s="566" t="str">
        <f>VLOOKUP(H9670,COSTOS!C:M,2,0)</f>
        <v>Canalizacion con un ducto 2" PVC x 500 mts</v>
      </c>
      <c r="C9671" s="567"/>
      <c r="D9671" s="567"/>
      <c r="E9671" s="568"/>
      <c r="F9671" s="71" t="s">
        <v>0</v>
      </c>
      <c r="G9671" s="356" t="str">
        <f>VLOOKUP(H9670,COSTOS!C:M,8,0)</f>
        <v>Ml</v>
      </c>
      <c r="H9671" s="276"/>
      <c r="I9671" s="306"/>
      <c r="J9671" s="308"/>
      <c r="K9671" s="308"/>
      <c r="L9671" s="308"/>
    </row>
    <row r="9672" spans="1:15">
      <c r="A9672" s="230"/>
      <c r="B9672" s="112"/>
      <c r="C9672" s="112"/>
      <c r="D9672" s="112"/>
      <c r="E9672" s="113"/>
      <c r="F9672" s="114" t="s">
        <v>1</v>
      </c>
      <c r="G9672" s="356">
        <f>VLOOKUP(H9670,COSTOS!C:M,9,0)</f>
        <v>0</v>
      </c>
      <c r="H9672" s="357"/>
      <c r="I9672" s="307"/>
    </row>
    <row r="9673" spans="1:15" ht="16.5">
      <c r="A9673" s="231" t="s">
        <v>4226</v>
      </c>
      <c r="B9673" s="75"/>
      <c r="C9673" s="75"/>
      <c r="D9673" s="76"/>
      <c r="E9673" s="209"/>
      <c r="F9673" s="210"/>
      <c r="G9673" s="211" t="s">
        <v>4227</v>
      </c>
      <c r="H9673" s="217">
        <f>H9679+H9696+H9700+H9706</f>
        <v>32472.079790000003</v>
      </c>
    </row>
    <row r="9674" spans="1:15" ht="39">
      <c r="A9674" s="569" t="s">
        <v>4224</v>
      </c>
      <c r="B9674" s="569"/>
      <c r="C9674" s="569"/>
      <c r="D9674" s="77" t="s">
        <v>0</v>
      </c>
      <c r="E9674" s="207" t="s">
        <v>4228</v>
      </c>
      <c r="F9674" s="208" t="s">
        <v>4215</v>
      </c>
      <c r="G9674" s="74" t="s">
        <v>2</v>
      </c>
      <c r="H9674" s="218" t="s">
        <v>4229</v>
      </c>
      <c r="K9674" s="309"/>
    </row>
    <row r="9675" spans="1:15">
      <c r="A9675" s="536" t="s">
        <v>3946</v>
      </c>
      <c r="B9675" s="570" t="str">
        <f>VLOOKUP(A9675,'Equip, Herr y Transp'!$B$2:$D$739,2,0)</f>
        <v>EQU</v>
      </c>
      <c r="C9675" s="570"/>
      <c r="D9675" s="95" t="str">
        <f>VLOOKUP(A9675,'Equip, Herr y Transp'!$B$2:$D$218,2,0)</f>
        <v>EQU</v>
      </c>
      <c r="E9675" s="95">
        <f>VLOOKUP(A9675,'Equip, Herr y Transp'!$B$2:$D$218,3,0)</f>
        <v>14130</v>
      </c>
      <c r="F9675" s="96">
        <f>H9665</f>
        <v>3.3300000000000003E-2</v>
      </c>
      <c r="G9675" s="122">
        <f>F9675*E9675</f>
        <v>470.52900000000005</v>
      </c>
      <c r="H9675" s="118"/>
    </row>
    <row r="9676" spans="1:15">
      <c r="A9676" s="536" t="s">
        <v>3927</v>
      </c>
      <c r="B9676" s="570" t="str">
        <f>VLOOKUP(A9676,'Equip, Herr y Transp'!$B$2:$D$739,2,0)</f>
        <v>EQU</v>
      </c>
      <c r="C9676" s="570"/>
      <c r="D9676" s="95" t="str">
        <f>VLOOKUP(A9676,'Equip, Herr y Transp'!$B$2:$D$218,2,0)</f>
        <v>EQU</v>
      </c>
      <c r="E9676" s="95">
        <f>VLOOKUP(A9676,'Equip, Herr y Transp'!$B$2:$D$218,3,0)</f>
        <v>287.5</v>
      </c>
      <c r="F9676" s="96">
        <f>H9665</f>
        <v>3.3300000000000003E-2</v>
      </c>
      <c r="G9676" s="122">
        <f>F9676*E9676</f>
        <v>9.5737500000000004</v>
      </c>
      <c r="H9676" s="117"/>
    </row>
    <row r="9677" spans="1:15">
      <c r="A9677" s="536" t="s">
        <v>8</v>
      </c>
      <c r="B9677" s="570">
        <f>VLOOKUP(A9677,'Equip, Herr y Transp'!$B$2:$D$739,2,0)</f>
        <v>0</v>
      </c>
      <c r="C9677" s="570"/>
      <c r="D9677" s="95">
        <f>VLOOKUP(A9677,'Equip, Herr y Transp'!$B$2:$D$218,2,0)</f>
        <v>0</v>
      </c>
      <c r="E9677" s="95">
        <f>VLOOKUP(A9677,'Equip, Herr y Transp'!$B$2:$D$218,3,0)</f>
        <v>0</v>
      </c>
      <c r="F9677" s="96">
        <f>H9665</f>
        <v>3.3300000000000003E-2</v>
      </c>
      <c r="G9677" s="122">
        <f>F9677*E9677</f>
        <v>0</v>
      </c>
      <c r="H9677" s="117"/>
    </row>
    <row r="9678" spans="1:15">
      <c r="A9678" s="536" t="s">
        <v>8</v>
      </c>
      <c r="B9678" s="570">
        <f>VLOOKUP(A9678,'Equip, Herr y Transp'!$B$2:$D$739,2,0)</f>
        <v>0</v>
      </c>
      <c r="C9678" s="570"/>
      <c r="D9678" s="95">
        <f>VLOOKUP(A9678,'Equip, Herr y Transp'!$B$2:$D$218,2,0)</f>
        <v>0</v>
      </c>
      <c r="E9678" s="95">
        <f>VLOOKUP(A9678,'Equip, Herr y Transp'!$B$2:$D$218,3,0)</f>
        <v>0</v>
      </c>
      <c r="F9678" s="96">
        <f>H9665</f>
        <v>3.3300000000000003E-2</v>
      </c>
      <c r="G9678" s="122">
        <f>F9678*E9678</f>
        <v>0</v>
      </c>
      <c r="H9678" s="117"/>
    </row>
    <row r="9679" spans="1:15" ht="16.5">
      <c r="A9679" s="540" t="s">
        <v>4100</v>
      </c>
      <c r="B9679" s="541"/>
      <c r="C9679" s="541"/>
      <c r="D9679" s="541"/>
      <c r="E9679" s="541"/>
      <c r="F9679" s="541"/>
      <c r="G9679" s="541"/>
      <c r="H9679" s="97">
        <f>SUM(G9675:G9678)</f>
        <v>480.10275000000007</v>
      </c>
    </row>
    <row r="9680" spans="1:15" ht="16.5">
      <c r="A9680" s="571" t="s">
        <v>4230</v>
      </c>
      <c r="B9680" s="572"/>
      <c r="C9680" s="572"/>
      <c r="D9680" s="572"/>
      <c r="E9680" s="572"/>
      <c r="F9680" s="572"/>
      <c r="G9680" s="572"/>
      <c r="H9680" s="573"/>
      <c r="K9680" s="56"/>
      <c r="L9680" s="56"/>
      <c r="M9680" s="56"/>
      <c r="N9680" s="56"/>
      <c r="O9680" s="56"/>
    </row>
    <row r="9681" spans="1:15" ht="30" customHeight="1">
      <c r="A9681" s="574" t="s">
        <v>7</v>
      </c>
      <c r="B9681" s="575"/>
      <c r="C9681" s="109" t="s">
        <v>0</v>
      </c>
      <c r="D9681" s="110" t="s">
        <v>4098</v>
      </c>
      <c r="E9681" s="111" t="s">
        <v>1</v>
      </c>
      <c r="F9681" s="576" t="s">
        <v>4218</v>
      </c>
      <c r="G9681" s="576"/>
      <c r="H9681" s="215"/>
      <c r="K9681" s="56"/>
      <c r="L9681" s="56"/>
      <c r="M9681" s="56"/>
      <c r="N9681" s="56"/>
      <c r="O9681" s="56"/>
    </row>
    <row r="9682" spans="1:15">
      <c r="A9682" s="577" t="s">
        <v>4596</v>
      </c>
      <c r="B9682" s="578"/>
      <c r="C9682" s="98" t="str">
        <f>VLOOKUP(A9682,'Materiales '!$C$2:$F$1302,3,0)</f>
        <v>Und</v>
      </c>
      <c r="D9682" s="99">
        <f>VLOOKUP(A9682,'Materiales '!$C$2:$F$1302,4,0)</f>
        <v>34524.755999999994</v>
      </c>
      <c r="E9682" s="100">
        <v>0.34</v>
      </c>
      <c r="F9682" s="538">
        <f>E9682*D9682</f>
        <v>11738.417039999998</v>
      </c>
      <c r="G9682" s="539"/>
      <c r="H9682" s="121"/>
      <c r="I9682">
        <f>E9682*G9672</f>
        <v>0</v>
      </c>
      <c r="J9682" s="67"/>
      <c r="K9682" s="56"/>
      <c r="L9682" s="56"/>
      <c r="M9682" s="56"/>
      <c r="N9682" s="56"/>
      <c r="O9682" s="56"/>
    </row>
    <row r="9683" spans="1:15">
      <c r="A9683" s="577" t="s">
        <v>4581</v>
      </c>
      <c r="B9683" s="578"/>
      <c r="C9683" s="98" t="str">
        <f>VLOOKUP(A9683,'Materiales '!$C$2:$F$1302,3,0)</f>
        <v>Und</v>
      </c>
      <c r="D9683" s="99">
        <f>VLOOKUP(A9683,'Materiales '!$C$2:$F$1302,4,0)</f>
        <v>34629</v>
      </c>
      <c r="E9683" s="100">
        <v>0.1</v>
      </c>
      <c r="F9683" s="538">
        <f t="shared" ref="F9683:F9689" si="561">E9683*D9683</f>
        <v>3462.9</v>
      </c>
      <c r="G9683" s="539"/>
      <c r="H9683" s="121"/>
      <c r="I9683">
        <f>E9683*G9672</f>
        <v>0</v>
      </c>
      <c r="J9683" s="67"/>
      <c r="K9683" s="56"/>
      <c r="L9683" s="56"/>
      <c r="M9683" s="56"/>
      <c r="N9683" s="56"/>
      <c r="O9683" s="56"/>
    </row>
    <row r="9684" spans="1:15">
      <c r="A9684" s="536" t="s">
        <v>8</v>
      </c>
      <c r="B9684" s="537" t="str">
        <f>VLOOKUP(A9684,'Materiales '!$C$2:$F$1302,3,0)</f>
        <v>-</v>
      </c>
      <c r="C9684" s="98" t="str">
        <f>VLOOKUP(A9684,'Materiales '!$C$2:$F$1302,3,0)</f>
        <v>-</v>
      </c>
      <c r="D9684" s="99">
        <f>VLOOKUP(A9684,'Materiales '!$C$2:$F$1302,4,0)</f>
        <v>0</v>
      </c>
      <c r="E9684" s="100">
        <v>0.34</v>
      </c>
      <c r="F9684" s="538">
        <f t="shared" si="561"/>
        <v>0</v>
      </c>
      <c r="G9684" s="539"/>
      <c r="H9684" s="121"/>
      <c r="I9684">
        <f>E9684*G9672</f>
        <v>0</v>
      </c>
      <c r="J9684" s="68"/>
      <c r="K9684" s="56"/>
      <c r="L9684" s="56"/>
      <c r="M9684" s="56"/>
      <c r="N9684" s="56"/>
      <c r="O9684" s="56"/>
    </row>
    <row r="9685" spans="1:15">
      <c r="A9685" s="536" t="s">
        <v>8</v>
      </c>
      <c r="B9685" s="537" t="str">
        <f>VLOOKUP(A9685,'Materiales '!$C$2:$F$1302,3,0)</f>
        <v>-</v>
      </c>
      <c r="C9685" s="98" t="str">
        <f>VLOOKUP(A9685,'Materiales '!$C$2:$F$1302,3,0)</f>
        <v>-</v>
      </c>
      <c r="D9685" s="99">
        <f>VLOOKUP(A9685,'Materiales '!$C$2:$F$1302,4,0)</f>
        <v>0</v>
      </c>
      <c r="E9685" s="100">
        <v>0.02</v>
      </c>
      <c r="F9685" s="538">
        <f t="shared" si="561"/>
        <v>0</v>
      </c>
      <c r="G9685" s="539"/>
      <c r="H9685" s="121"/>
      <c r="I9685">
        <f>E9685*G9672</f>
        <v>0</v>
      </c>
      <c r="J9685" s="68"/>
      <c r="K9685" s="56"/>
      <c r="L9685" s="56"/>
      <c r="M9685" s="56"/>
      <c r="N9685" s="56"/>
      <c r="O9685" s="56"/>
    </row>
    <row r="9686" spans="1:15">
      <c r="A9686" s="536" t="s">
        <v>8</v>
      </c>
      <c r="B9686" s="537" t="str">
        <f>VLOOKUP(A9686,'Materiales '!$C$2:$F$1302,3,0)</f>
        <v>-</v>
      </c>
      <c r="C9686" s="98" t="str">
        <f>VLOOKUP(A9686,'Materiales '!$C$2:$F$1302,3,0)</f>
        <v>-</v>
      </c>
      <c r="D9686" s="99">
        <f>VLOOKUP(A9686,'Materiales '!$C$2:$F$1302,4,0)</f>
        <v>0</v>
      </c>
      <c r="E9686" s="100">
        <v>0.5</v>
      </c>
      <c r="F9686" s="538">
        <f t="shared" si="561"/>
        <v>0</v>
      </c>
      <c r="G9686" s="539"/>
      <c r="H9686" s="121"/>
      <c r="I9686">
        <f>E9686*G9672</f>
        <v>0</v>
      </c>
      <c r="J9686" s="68"/>
      <c r="K9686" s="56"/>
      <c r="L9686" s="56"/>
      <c r="M9686" s="56"/>
      <c r="N9686" s="56"/>
      <c r="O9686" s="56"/>
    </row>
    <row r="9687" spans="1:15">
      <c r="A9687" s="536" t="s">
        <v>8</v>
      </c>
      <c r="B9687" s="537" t="str">
        <f>VLOOKUP(A9687,'Materiales '!$C$2:$F$1302,3,0)</f>
        <v>-</v>
      </c>
      <c r="C9687" s="98" t="str">
        <f>VLOOKUP(A9687,'Materiales '!$C$2:$F$1302,3,0)</f>
        <v>-</v>
      </c>
      <c r="D9687" s="99">
        <f>VLOOKUP(A9687,'Materiales '!$C$2:$F$1302,4,0)</f>
        <v>0</v>
      </c>
      <c r="E9687" s="100">
        <v>1</v>
      </c>
      <c r="F9687" s="538">
        <f t="shared" si="561"/>
        <v>0</v>
      </c>
      <c r="G9687" s="539"/>
      <c r="H9687" s="121"/>
      <c r="I9687">
        <f>E9687*G9672</f>
        <v>0</v>
      </c>
      <c r="J9687" s="68"/>
      <c r="K9687" s="56"/>
      <c r="L9687" s="56"/>
      <c r="M9687" s="56"/>
      <c r="N9687" s="56"/>
      <c r="O9687" s="56"/>
    </row>
    <row r="9688" spans="1:15">
      <c r="A9688" s="536" t="s">
        <v>8</v>
      </c>
      <c r="B9688" s="537" t="str">
        <f>VLOOKUP(A9688,'Materiales '!$C$2:$F$1302,3,0)</f>
        <v>-</v>
      </c>
      <c r="C9688" s="98" t="str">
        <f>VLOOKUP(A9688,'Materiales '!$C$2:$F$1302,3,0)</f>
        <v>-</v>
      </c>
      <c r="D9688" s="99">
        <f>VLOOKUP(A9688,'Materiales '!$C$2:$F$1302,4,0)</f>
        <v>0</v>
      </c>
      <c r="E9688" s="100">
        <v>1</v>
      </c>
      <c r="F9688" s="538">
        <f t="shared" si="561"/>
        <v>0</v>
      </c>
      <c r="G9688" s="539"/>
      <c r="H9688" s="121"/>
      <c r="I9688">
        <f>E9688*G9672</f>
        <v>0</v>
      </c>
      <c r="J9688" s="68"/>
      <c r="K9688" s="56"/>
      <c r="L9688" s="56"/>
      <c r="M9688" s="56"/>
      <c r="N9688" s="56"/>
      <c r="O9688" s="56"/>
    </row>
    <row r="9689" spans="1:15" ht="21.75" customHeight="1">
      <c r="A9689" s="536" t="s">
        <v>8</v>
      </c>
      <c r="B9689" s="537" t="str">
        <f>VLOOKUP(A9689,'Materiales '!$C$2:$F$1302,3,0)</f>
        <v>-</v>
      </c>
      <c r="C9689" s="98" t="str">
        <f>VLOOKUP(A9689,'Materiales '!$C$2:$F$1302,3,0)</f>
        <v>-</v>
      </c>
      <c r="D9689" s="99">
        <f>VLOOKUP(A9689,'Materiales '!$C$2:$F$1302,4,0)</f>
        <v>0</v>
      </c>
      <c r="E9689" s="100"/>
      <c r="F9689" s="538">
        <f t="shared" si="561"/>
        <v>0</v>
      </c>
      <c r="G9689" s="539"/>
      <c r="H9689" s="121"/>
      <c r="I9689">
        <f>E9689*G9672</f>
        <v>0</v>
      </c>
      <c r="J9689" s="68"/>
      <c r="K9689" s="56"/>
      <c r="L9689" s="56"/>
      <c r="M9689" s="56"/>
      <c r="N9689" s="56"/>
      <c r="O9689" s="56"/>
    </row>
    <row r="9690" spans="1:15">
      <c r="A9690" s="536" t="s">
        <v>8</v>
      </c>
      <c r="B9690" s="537" t="str">
        <f>VLOOKUP(A9690,'Materiales '!$C$2:$F$1302,3,0)</f>
        <v>-</v>
      </c>
      <c r="C9690" s="98" t="str">
        <f>VLOOKUP(A9690,'Materiales '!$C$2:$F$1302,3,0)</f>
        <v>-</v>
      </c>
      <c r="D9690" s="99">
        <f>VLOOKUP(A9690,'Materiales '!$C$2:$F$1302,4,0)</f>
        <v>0</v>
      </c>
      <c r="E9690" s="100"/>
      <c r="F9690" s="538">
        <f>E9690*D9690</f>
        <v>0</v>
      </c>
      <c r="G9690" s="539"/>
      <c r="H9690" s="120"/>
      <c r="I9690">
        <f>E9690*G9672</f>
        <v>0</v>
      </c>
      <c r="J9690" s="68"/>
      <c r="K9690" s="56"/>
      <c r="L9690" s="56"/>
      <c r="M9690" s="56"/>
      <c r="N9690" s="56"/>
      <c r="O9690" s="56"/>
    </row>
    <row r="9691" spans="1:15">
      <c r="A9691" s="536" t="s">
        <v>8</v>
      </c>
      <c r="B9691" s="537" t="str">
        <f>VLOOKUP(A9691,'Materiales '!$C$2:$F$1302,3,0)</f>
        <v>-</v>
      </c>
      <c r="C9691" s="98" t="str">
        <f>VLOOKUP(A9691,'Materiales '!$C$2:$F$1302,3,0)</f>
        <v>-</v>
      </c>
      <c r="D9691" s="99">
        <f>VLOOKUP(A9691,'Materiales '!$C$2:$F$1302,4,0)</f>
        <v>0</v>
      </c>
      <c r="E9691" s="100"/>
      <c r="F9691" s="538">
        <f t="shared" ref="F9691:F9694" si="562">E9691*D9691</f>
        <v>0</v>
      </c>
      <c r="G9691" s="539"/>
      <c r="H9691" s="121"/>
      <c r="I9691">
        <f>E9691*G9672</f>
        <v>0</v>
      </c>
      <c r="J9691" s="68"/>
      <c r="K9691" s="56"/>
      <c r="L9691" s="56"/>
      <c r="M9691" s="56"/>
      <c r="N9691" s="56"/>
      <c r="O9691" s="56"/>
    </row>
    <row r="9692" spans="1:15">
      <c r="A9692" s="536" t="s">
        <v>8</v>
      </c>
      <c r="B9692" s="537" t="str">
        <f>VLOOKUP(A9692,'Materiales '!$C$2:$F$1302,3,0)</f>
        <v>-</v>
      </c>
      <c r="C9692" s="98" t="str">
        <f>VLOOKUP(A9692,'Materiales '!$C$2:$F$1302,3,0)</f>
        <v>-</v>
      </c>
      <c r="D9692" s="99">
        <f>VLOOKUP(A9692,'Materiales '!$C$2:$F$1302,4,0)</f>
        <v>0</v>
      </c>
      <c r="E9692" s="100"/>
      <c r="F9692" s="538">
        <f t="shared" si="562"/>
        <v>0</v>
      </c>
      <c r="G9692" s="539"/>
      <c r="H9692" s="121"/>
      <c r="I9692">
        <f>E9692*G9672</f>
        <v>0</v>
      </c>
      <c r="J9692" s="68"/>
      <c r="K9692" s="56"/>
      <c r="L9692" s="56"/>
      <c r="M9692" s="56"/>
      <c r="N9692" s="56"/>
      <c r="O9692" s="56"/>
    </row>
    <row r="9693" spans="1:15">
      <c r="A9693" s="536" t="s">
        <v>8</v>
      </c>
      <c r="B9693" s="537" t="str">
        <f>VLOOKUP(A9693,'Materiales '!$C$2:$F$1302,3,0)</f>
        <v>-</v>
      </c>
      <c r="C9693" s="98" t="str">
        <f>VLOOKUP(A9693,'Materiales '!$C$2:$F$1302,3,0)</f>
        <v>-</v>
      </c>
      <c r="D9693" s="99">
        <f>VLOOKUP(A9693,'Materiales '!$C$2:$F$1302,4,0)</f>
        <v>0</v>
      </c>
      <c r="E9693" s="100"/>
      <c r="F9693" s="538">
        <f t="shared" si="562"/>
        <v>0</v>
      </c>
      <c r="G9693" s="539"/>
      <c r="H9693" s="121"/>
      <c r="I9693">
        <f>E9693*G9672</f>
        <v>0</v>
      </c>
      <c r="J9693" s="68"/>
      <c r="K9693" s="56"/>
      <c r="L9693" s="56"/>
      <c r="M9693" s="56"/>
      <c r="N9693" s="56"/>
      <c r="O9693" s="56"/>
    </row>
    <row r="9694" spans="1:15">
      <c r="A9694" s="536" t="s">
        <v>8</v>
      </c>
      <c r="B9694" s="537" t="str">
        <f>VLOOKUP(A9694,'Materiales '!$C$2:$F$1302,3,0)</f>
        <v>-</v>
      </c>
      <c r="C9694" s="98" t="str">
        <f>VLOOKUP(A9694,'Materiales '!$C$2:$F$1302,3,0)</f>
        <v>-</v>
      </c>
      <c r="D9694" s="99">
        <f>VLOOKUP(A9694,'Materiales '!$C$2:$F$1302,4,0)</f>
        <v>0</v>
      </c>
      <c r="E9694" s="100"/>
      <c r="F9694" s="538">
        <f t="shared" si="562"/>
        <v>0</v>
      </c>
      <c r="G9694" s="539"/>
      <c r="H9694" s="121"/>
      <c r="I9694">
        <f>E9694*G9672</f>
        <v>0</v>
      </c>
      <c r="J9694" s="68"/>
      <c r="K9694" s="56"/>
      <c r="L9694" s="56"/>
      <c r="M9694" s="56"/>
      <c r="N9694" s="56"/>
      <c r="O9694" s="56"/>
    </row>
    <row r="9695" spans="1:15">
      <c r="A9695" s="536" t="s">
        <v>8</v>
      </c>
      <c r="B9695" s="537" t="str">
        <f>VLOOKUP(A9695,'Materiales '!$C$2:$F$1302,3,0)</f>
        <v>-</v>
      </c>
      <c r="C9695" s="98" t="str">
        <f>VLOOKUP(A9695,'Materiales '!$C$2:$F$1302,3,0)</f>
        <v>-</v>
      </c>
      <c r="D9695" s="99">
        <f>VLOOKUP(A9695,'Materiales '!$C$2:$F$1302,4,0)</f>
        <v>0</v>
      </c>
      <c r="E9695" s="100"/>
      <c r="F9695" s="538">
        <f>E9695*D9695</f>
        <v>0</v>
      </c>
      <c r="G9695" s="539"/>
      <c r="H9695" s="120"/>
      <c r="I9695">
        <f>E9695*G9672</f>
        <v>0</v>
      </c>
      <c r="J9695" s="68"/>
      <c r="K9695" s="56"/>
      <c r="L9695" s="56"/>
      <c r="M9695" s="56"/>
      <c r="N9695" s="56"/>
      <c r="O9695" s="56"/>
    </row>
    <row r="9696" spans="1:15" ht="16.5">
      <c r="A9696" s="540" t="s">
        <v>4099</v>
      </c>
      <c r="B9696" s="541"/>
      <c r="C9696" s="541"/>
      <c r="D9696" s="541"/>
      <c r="E9696" s="541"/>
      <c r="F9696" s="541"/>
      <c r="G9696" s="542"/>
      <c r="H9696" s="116">
        <f>SUM(F9682:F9695)</f>
        <v>15201.317039999998</v>
      </c>
      <c r="J9696" s="68"/>
      <c r="K9696" s="56"/>
      <c r="L9696" s="56"/>
      <c r="M9696" s="56"/>
      <c r="N9696" s="56"/>
      <c r="O9696" s="56"/>
    </row>
    <row r="9697" spans="1:15" ht="16.5">
      <c r="A9697" s="543" t="s">
        <v>4231</v>
      </c>
      <c r="B9697" s="544"/>
      <c r="C9697" s="544"/>
      <c r="D9697" s="544"/>
      <c r="E9697" s="545"/>
      <c r="F9697" s="544"/>
      <c r="G9697" s="544"/>
      <c r="H9697" s="546"/>
      <c r="J9697" s="68"/>
      <c r="K9697" s="56"/>
      <c r="L9697" s="56"/>
      <c r="M9697" s="56"/>
      <c r="N9697" s="56"/>
      <c r="O9697" s="56"/>
    </row>
    <row r="9698" spans="1:15">
      <c r="A9698" s="547" t="s">
        <v>7</v>
      </c>
      <c r="B9698" s="548"/>
      <c r="C9698" s="108" t="s">
        <v>4232</v>
      </c>
      <c r="D9698" s="107" t="s">
        <v>4233</v>
      </c>
      <c r="E9698" s="206" t="s">
        <v>4234</v>
      </c>
      <c r="F9698" s="549" t="s">
        <v>4218</v>
      </c>
      <c r="G9698" s="549"/>
      <c r="H9698" s="119"/>
      <c r="K9698" s="56"/>
      <c r="L9698" s="56"/>
      <c r="M9698" s="56"/>
      <c r="N9698" s="56"/>
      <c r="O9698" s="56"/>
    </row>
    <row r="9699" spans="1:15">
      <c r="A9699" s="550" t="s">
        <v>3928</v>
      </c>
      <c r="B9699" s="551"/>
      <c r="C9699" s="232">
        <v>1</v>
      </c>
      <c r="D9699" s="102">
        <v>5.0000000000000001E-3</v>
      </c>
      <c r="E9699" s="103">
        <f>VLOOKUP(A9699,'Equip, Herr y Transp'!$B$2:$D$218,3,0)</f>
        <v>160000</v>
      </c>
      <c r="F9699" s="552">
        <f>E9699*D9699*C9699</f>
        <v>800</v>
      </c>
      <c r="G9699" s="553"/>
      <c r="H9699" s="117"/>
      <c r="M9699" s="56"/>
    </row>
    <row r="9700" spans="1:15" ht="16.5">
      <c r="A9700" s="554" t="s">
        <v>4216</v>
      </c>
      <c r="B9700" s="555"/>
      <c r="C9700" s="555"/>
      <c r="D9700" s="555"/>
      <c r="E9700" s="555"/>
      <c r="F9700" s="555"/>
      <c r="G9700" s="555"/>
      <c r="H9700" s="105">
        <f>F9699</f>
        <v>800</v>
      </c>
    </row>
    <row r="9701" spans="1:15" ht="16.5">
      <c r="A9701" s="543" t="s">
        <v>4235</v>
      </c>
      <c r="B9701" s="544"/>
      <c r="C9701" s="544"/>
      <c r="D9701" s="544"/>
      <c r="E9701" s="544"/>
      <c r="F9701" s="544"/>
      <c r="G9701" s="544"/>
      <c r="H9701" s="546"/>
    </row>
    <row r="9702" spans="1:15">
      <c r="A9702" s="547" t="s">
        <v>7</v>
      </c>
      <c r="B9702" s="548"/>
      <c r="C9702" s="106" t="s">
        <v>1</v>
      </c>
      <c r="D9702" s="107" t="s">
        <v>4236</v>
      </c>
      <c r="E9702" s="108" t="s">
        <v>4215</v>
      </c>
      <c r="F9702" s="547" t="s">
        <v>5</v>
      </c>
      <c r="G9702" s="556"/>
      <c r="H9702" s="119"/>
    </row>
    <row r="9703" spans="1:15">
      <c r="A9703" s="550" t="s">
        <v>4196</v>
      </c>
      <c r="B9703" s="551"/>
      <c r="C9703" s="101">
        <v>1</v>
      </c>
      <c r="D9703" s="104">
        <f>VLOOKUP(A9703,'Mano Obra'!$B$2:$T$117,19,0)</f>
        <v>166624</v>
      </c>
      <c r="E9703" s="246">
        <f>H9665</f>
        <v>3.3300000000000003E-2</v>
      </c>
      <c r="F9703" s="538">
        <f>E9703*D9703*C9703</f>
        <v>5548.5792000000001</v>
      </c>
      <c r="G9703" s="557"/>
      <c r="H9703" s="121"/>
      <c r="I9703" s="69"/>
      <c r="J9703" s="136">
        <f>((('Mano Obra'!$M$4/30)*F9703)/D9703)*G9672</f>
        <v>0</v>
      </c>
    </row>
    <row r="9704" spans="1:15">
      <c r="A9704" s="558" t="s">
        <v>4197</v>
      </c>
      <c r="B9704" s="559">
        <f>VLOOKUP(A9704,'Mano Obra'!$B$3:$D$290,2,0)</f>
        <v>2090000.0000000002</v>
      </c>
      <c r="C9704" s="101">
        <v>2</v>
      </c>
      <c r="D9704" s="104">
        <f>VLOOKUP(A9704,'Mano Obra'!$B$2:$T$117,19,0)</f>
        <v>120456</v>
      </c>
      <c r="E9704" s="246">
        <f>H9665</f>
        <v>3.3300000000000003E-2</v>
      </c>
      <c r="F9704" s="538">
        <f t="shared" ref="F9704:F9705" si="563">E9704*D9704*C9704</f>
        <v>8022.3696000000009</v>
      </c>
      <c r="G9704" s="557"/>
      <c r="H9704" s="121"/>
      <c r="J9704" s="136">
        <f>((('Mano Obra'!$M$5/30)*F9704)/D9704)*G9672</f>
        <v>0</v>
      </c>
    </row>
    <row r="9705" spans="1:15">
      <c r="A9705" s="558" t="s">
        <v>4186</v>
      </c>
      <c r="B9705" s="559">
        <f>VLOOKUP(A9705,'Mano Obra'!$B$3:$D$290,2,0)</f>
        <v>1100000</v>
      </c>
      <c r="C9705" s="101">
        <v>1</v>
      </c>
      <c r="D9705" s="104">
        <f>VLOOKUP(A9705,'Mano Obra'!$B$2:$T$117,19,0)</f>
        <v>72664</v>
      </c>
      <c r="E9705" s="246">
        <f>H9665</f>
        <v>3.3300000000000003E-2</v>
      </c>
      <c r="F9705" s="538">
        <f t="shared" si="563"/>
        <v>2419.7112000000002</v>
      </c>
      <c r="G9705" s="557"/>
      <c r="H9705" s="120"/>
      <c r="J9705" s="136">
        <f>((('Mano Obra'!$M$6/30)*F9705)/D9705)*G9672</f>
        <v>0</v>
      </c>
    </row>
    <row r="9706" spans="1:15" ht="16.5">
      <c r="A9706" s="560" t="s">
        <v>4101</v>
      </c>
      <c r="B9706" s="560"/>
      <c r="C9706" s="560"/>
      <c r="D9706" s="560"/>
      <c r="E9706" s="560"/>
      <c r="F9706" s="560"/>
      <c r="G9706" s="560"/>
      <c r="H9706" s="105">
        <f>SUM(F9703:F9705)</f>
        <v>15990.660000000002</v>
      </c>
      <c r="J9706" s="136"/>
    </row>
    <row r="9707" spans="1:15">
      <c r="A9707" s="227" t="s">
        <v>4237</v>
      </c>
      <c r="B9707" s="205"/>
      <c r="C9707" s="205"/>
      <c r="D9707" s="202"/>
      <c r="E9707" s="203"/>
      <c r="F9707" s="204"/>
      <c r="G9707" s="203"/>
      <c r="H9707" s="212"/>
    </row>
    <row r="9708" spans="1:15">
      <c r="A9708" s="561" t="s">
        <v>4224</v>
      </c>
      <c r="B9708" s="562"/>
      <c r="C9708" s="562"/>
      <c r="D9708" s="562"/>
      <c r="E9708" s="200"/>
      <c r="F9708" s="201" t="s">
        <v>4238</v>
      </c>
      <c r="G9708" s="200" t="s">
        <v>4239</v>
      </c>
      <c r="H9708" s="213"/>
    </row>
    <row r="9709" spans="1:15">
      <c r="A9709" s="223" t="s">
        <v>4097</v>
      </c>
      <c r="B9709" s="72"/>
      <c r="C9709" s="72"/>
      <c r="D9709" s="73"/>
      <c r="E9709" s="78"/>
      <c r="F9709" s="79">
        <v>0</v>
      </c>
      <c r="G9709" s="80">
        <f>F9709*H9673</f>
        <v>0</v>
      </c>
      <c r="H9709" s="212"/>
    </row>
    <row r="9710" spans="1:15">
      <c r="A9710" s="224" t="s">
        <v>4240</v>
      </c>
      <c r="B9710" s="81"/>
      <c r="C9710" s="81"/>
      <c r="D9710" s="82"/>
      <c r="E9710" s="78"/>
      <c r="F9710" s="79">
        <v>0</v>
      </c>
      <c r="G9710" s="80">
        <f>F9710*H9673</f>
        <v>0</v>
      </c>
      <c r="H9710" s="212"/>
    </row>
    <row r="9711" spans="1:15">
      <c r="A9711" s="224" t="s">
        <v>4</v>
      </c>
      <c r="B9711" s="81"/>
      <c r="C9711" s="81"/>
      <c r="D9711" s="82"/>
      <c r="E9711" s="78"/>
      <c r="F9711" s="79">
        <v>0</v>
      </c>
      <c r="G9711" s="80">
        <f>F9711*H9673</f>
        <v>0</v>
      </c>
      <c r="H9711" s="212"/>
    </row>
    <row r="9712" spans="1:15">
      <c r="A9712" s="225"/>
      <c r="B9712" s="83"/>
      <c r="C9712" s="75"/>
      <c r="D9712" s="84"/>
      <c r="E9712" s="85"/>
      <c r="F9712" s="86"/>
      <c r="G9712" s="87"/>
      <c r="H9712" s="214"/>
    </row>
    <row r="9713" spans="1:14">
      <c r="A9713" s="226"/>
      <c r="B9713" s="83"/>
      <c r="C9713" s="83"/>
      <c r="D9713" s="84"/>
      <c r="E9713" s="88"/>
      <c r="F9713" s="563" t="s">
        <v>4241</v>
      </c>
      <c r="G9713" s="564"/>
      <c r="H9713" s="233">
        <f>H9673+G9709+G9710+G9711</f>
        <v>32472.079790000003</v>
      </c>
    </row>
    <row r="9715" spans="1:14" ht="16.5">
      <c r="A9715" s="90"/>
      <c r="B9715" s="90"/>
      <c r="C9715" s="90"/>
      <c r="D9715" s="90"/>
      <c r="E9715" s="90"/>
      <c r="F9715" s="90"/>
      <c r="G9715" s="90"/>
      <c r="H9715" s="381"/>
    </row>
    <row r="9716" spans="1:14">
      <c r="A9716" s="579" t="s">
        <v>4225</v>
      </c>
      <c r="B9716" s="580"/>
      <c r="C9716" s="580"/>
      <c r="D9716" s="580"/>
      <c r="E9716" s="580"/>
      <c r="F9716" s="580"/>
      <c r="G9716" s="580"/>
      <c r="H9716" s="581"/>
    </row>
    <row r="9717" spans="1:14" ht="16.5">
      <c r="A9717" s="91"/>
      <c r="B9717" s="92"/>
      <c r="C9717" s="92"/>
      <c r="D9717" s="92"/>
      <c r="E9717" s="92"/>
      <c r="F9717" s="93"/>
      <c r="G9717" s="94"/>
      <c r="H9717" s="380">
        <f>ROUND((6/60)/8,4)</f>
        <v>1.2500000000000001E-2</v>
      </c>
      <c r="I9717" s="115"/>
    </row>
    <row r="9718" spans="1:14">
      <c r="A9718" s="582" t="s">
        <v>4220</v>
      </c>
      <c r="B9718" s="584" t="str">
        <f>COSTOS!$C$14</f>
        <v>MODERNIZACION A TECNOLOGIA LED</v>
      </c>
      <c r="C9718" s="584"/>
      <c r="D9718" s="584"/>
      <c r="E9718" s="584"/>
      <c r="F9718" s="584"/>
      <c r="G9718" s="584"/>
      <c r="H9718" s="585" t="s">
        <v>4221</v>
      </c>
    </row>
    <row r="9719" spans="1:14">
      <c r="A9719" s="583"/>
      <c r="B9719" s="584"/>
      <c r="C9719" s="584"/>
      <c r="D9719" s="584"/>
      <c r="E9719" s="584"/>
      <c r="F9719" s="584"/>
      <c r="G9719" s="584"/>
      <c r="H9719" s="585"/>
    </row>
    <row r="9720" spans="1:14">
      <c r="A9720" s="583"/>
      <c r="B9720" s="584"/>
      <c r="C9720" s="584"/>
      <c r="D9720" s="584"/>
      <c r="E9720" s="584"/>
      <c r="F9720" s="584"/>
      <c r="G9720" s="584"/>
      <c r="H9720" s="585"/>
    </row>
    <row r="9721" spans="1:14" ht="15" customHeight="1">
      <c r="A9721" s="583"/>
      <c r="B9721" s="584"/>
      <c r="C9721" s="584"/>
      <c r="D9721" s="584"/>
      <c r="E9721" s="584"/>
      <c r="F9721" s="584"/>
      <c r="G9721" s="584"/>
      <c r="H9721" s="216">
        <f ca="1">TODAY()</f>
        <v>44889</v>
      </c>
      <c r="K9721" t="s">
        <v>4391</v>
      </c>
      <c r="L9721" t="s">
        <v>4392</v>
      </c>
      <c r="M9721" t="s">
        <v>4393</v>
      </c>
      <c r="N9721" t="s">
        <v>4394</v>
      </c>
    </row>
    <row r="9722" spans="1:14" ht="60.75" customHeight="1">
      <c r="A9722" s="228" t="s">
        <v>4222</v>
      </c>
      <c r="B9722" s="565" t="str">
        <f>COSTOS!$D$16</f>
        <v>Luminarias</v>
      </c>
      <c r="C9722" s="565"/>
      <c r="D9722" s="565"/>
      <c r="E9722" s="565"/>
      <c r="F9722" s="565"/>
      <c r="G9722" s="70" t="s">
        <v>4223</v>
      </c>
      <c r="H9722" s="387" t="s">
        <v>4963</v>
      </c>
      <c r="K9722" s="62">
        <f>H9748</f>
        <v>30273.600000000002</v>
      </c>
      <c r="L9722" s="62">
        <f>H9758</f>
        <v>6002.5000000000009</v>
      </c>
      <c r="M9722" s="62">
        <f>H9731</f>
        <v>1289.09375</v>
      </c>
      <c r="N9722" s="62">
        <f>H9752</f>
        <v>1280</v>
      </c>
    </row>
    <row r="9723" spans="1:14" ht="43.15" customHeight="1">
      <c r="A9723" s="229" t="s">
        <v>4224</v>
      </c>
      <c r="B9723" s="566" t="str">
        <f>VLOOKUP(H9722,COSTOS!C:M,2,0)</f>
        <v>Canalizacion con un ducto 3/4" IMC x 500 mts</v>
      </c>
      <c r="C9723" s="567"/>
      <c r="D9723" s="567"/>
      <c r="E9723" s="568"/>
      <c r="F9723" s="71" t="s">
        <v>0</v>
      </c>
      <c r="G9723" s="356" t="str">
        <f>VLOOKUP(H9722,COSTOS!C:M,8,0)</f>
        <v>Ml</v>
      </c>
      <c r="H9723" s="276"/>
      <c r="I9723" s="306"/>
      <c r="J9723" s="308"/>
      <c r="K9723" s="308"/>
      <c r="L9723" s="308"/>
    </row>
    <row r="9724" spans="1:14">
      <c r="A9724" s="230"/>
      <c r="B9724" s="112"/>
      <c r="C9724" s="112"/>
      <c r="D9724" s="112"/>
      <c r="E9724" s="113"/>
      <c r="F9724" s="114" t="s">
        <v>1</v>
      </c>
      <c r="G9724" s="356">
        <f>VLOOKUP(H9722,COSTOS!C:M,9,0)</f>
        <v>0</v>
      </c>
      <c r="H9724" s="357"/>
      <c r="I9724" s="307"/>
    </row>
    <row r="9725" spans="1:14" ht="16.5">
      <c r="A9725" s="231" t="s">
        <v>4226</v>
      </c>
      <c r="B9725" s="75"/>
      <c r="C9725" s="75"/>
      <c r="D9725" s="76"/>
      <c r="E9725" s="209"/>
      <c r="F9725" s="210"/>
      <c r="G9725" s="211" t="s">
        <v>4227</v>
      </c>
      <c r="H9725" s="217">
        <f>H9731+H9748+H9752+H9758</f>
        <v>38845.193750000006</v>
      </c>
    </row>
    <row r="9726" spans="1:14" ht="39">
      <c r="A9726" s="569" t="s">
        <v>4224</v>
      </c>
      <c r="B9726" s="569"/>
      <c r="C9726" s="569"/>
      <c r="D9726" s="77" t="s">
        <v>0</v>
      </c>
      <c r="E9726" s="207" t="s">
        <v>4228</v>
      </c>
      <c r="F9726" s="208" t="s">
        <v>4215</v>
      </c>
      <c r="G9726" s="74" t="s">
        <v>2</v>
      </c>
      <c r="H9726" s="218" t="s">
        <v>4229</v>
      </c>
      <c r="K9726" s="309"/>
    </row>
    <row r="9727" spans="1:14">
      <c r="A9727" s="536" t="s">
        <v>3946</v>
      </c>
      <c r="B9727" s="570" t="str">
        <f>VLOOKUP(A9727,'Equip, Herr y Transp'!$B$2:$D$739,2,0)</f>
        <v>EQU</v>
      </c>
      <c r="C9727" s="570"/>
      <c r="D9727" s="95" t="str">
        <f>VLOOKUP(A9727,'Equip, Herr y Transp'!$B$2:$D$218,2,0)</f>
        <v>EQU</v>
      </c>
      <c r="E9727" s="95">
        <f>VLOOKUP(A9727,'Equip, Herr y Transp'!$B$2:$D$218,3,0)</f>
        <v>14130</v>
      </c>
      <c r="F9727" s="96">
        <f>H9717</f>
        <v>1.2500000000000001E-2</v>
      </c>
      <c r="G9727" s="122">
        <f>F9727*E9727</f>
        <v>176.625</v>
      </c>
      <c r="H9727" s="118"/>
    </row>
    <row r="9728" spans="1:14">
      <c r="A9728" s="536" t="s">
        <v>3914</v>
      </c>
      <c r="B9728" s="570" t="str">
        <f>VLOOKUP(A9728,'Equip, Herr y Transp'!$B$2:$D$739,2,0)</f>
        <v>EQU</v>
      </c>
      <c r="C9728" s="570"/>
      <c r="D9728" s="95" t="str">
        <f>VLOOKUP(A9728,'Equip, Herr y Transp'!$B$2:$D$218,2,0)</f>
        <v>EQU</v>
      </c>
      <c r="E9728" s="95">
        <f>VLOOKUP(A9728,'Equip, Herr y Transp'!$B$2:$D$218,3,0)</f>
        <v>6250</v>
      </c>
      <c r="F9728" s="96">
        <f>H9717</f>
        <v>1.2500000000000001E-2</v>
      </c>
      <c r="G9728" s="122">
        <f>F9728*E9728</f>
        <v>78.125</v>
      </c>
      <c r="H9728" s="117"/>
    </row>
    <row r="9729" spans="1:15">
      <c r="A9729" s="536" t="s">
        <v>4144</v>
      </c>
      <c r="B9729" s="570" t="str">
        <f>VLOOKUP(A9729,'Equip, Herr y Transp'!$B$2:$D$739,2,0)</f>
        <v>EQU</v>
      </c>
      <c r="C9729" s="570"/>
      <c r="D9729" s="95" t="str">
        <f>VLOOKUP(A9729,'Equip, Herr y Transp'!$B$2:$D$218,2,0)</f>
        <v>EQU</v>
      </c>
      <c r="E9729" s="95">
        <f>VLOOKUP(A9729,'Equip, Herr y Transp'!$B$2:$D$218,3,0)</f>
        <v>75000</v>
      </c>
      <c r="F9729" s="96">
        <f>H9717</f>
        <v>1.2500000000000001E-2</v>
      </c>
      <c r="G9729" s="122">
        <f>F9729*E9729</f>
        <v>937.5</v>
      </c>
      <c r="H9729" s="117"/>
    </row>
    <row r="9730" spans="1:15">
      <c r="A9730" s="536" t="s">
        <v>3903</v>
      </c>
      <c r="B9730" s="570" t="str">
        <f>VLOOKUP(A9730,'Equip, Herr y Transp'!$B$2:$D$739,2,0)</f>
        <v>EQU</v>
      </c>
      <c r="C9730" s="570"/>
      <c r="D9730" s="95" t="str">
        <f>VLOOKUP(A9730,'Equip, Herr y Transp'!$B$2:$D$218,2,0)</f>
        <v>EQU</v>
      </c>
      <c r="E9730" s="95">
        <f>VLOOKUP(A9730,'Equip, Herr y Transp'!$B$2:$D$218,3,0)</f>
        <v>7747.5</v>
      </c>
      <c r="F9730" s="96">
        <f>H9717</f>
        <v>1.2500000000000001E-2</v>
      </c>
      <c r="G9730" s="122">
        <f>F9730*E9730</f>
        <v>96.84375</v>
      </c>
      <c r="H9730" s="117"/>
    </row>
    <row r="9731" spans="1:15" ht="16.5">
      <c r="A9731" s="540" t="s">
        <v>4100</v>
      </c>
      <c r="B9731" s="541"/>
      <c r="C9731" s="541"/>
      <c r="D9731" s="541"/>
      <c r="E9731" s="541"/>
      <c r="F9731" s="541"/>
      <c r="G9731" s="541"/>
      <c r="H9731" s="97">
        <f>SUM(G9727:G9730)</f>
        <v>1289.09375</v>
      </c>
    </row>
    <row r="9732" spans="1:15" ht="16.5">
      <c r="A9732" s="571" t="s">
        <v>4230</v>
      </c>
      <c r="B9732" s="572"/>
      <c r="C9732" s="572"/>
      <c r="D9732" s="572"/>
      <c r="E9732" s="572"/>
      <c r="F9732" s="572"/>
      <c r="G9732" s="572"/>
      <c r="H9732" s="573"/>
      <c r="K9732" s="56"/>
      <c r="L9732" s="56"/>
      <c r="M9732" s="56"/>
      <c r="N9732" s="56"/>
      <c r="O9732" s="56"/>
    </row>
    <row r="9733" spans="1:15" ht="30" customHeight="1">
      <c r="A9733" s="574" t="s">
        <v>7</v>
      </c>
      <c r="B9733" s="575"/>
      <c r="C9733" s="109" t="s">
        <v>0</v>
      </c>
      <c r="D9733" s="110" t="s">
        <v>4098</v>
      </c>
      <c r="E9733" s="111" t="s">
        <v>1</v>
      </c>
      <c r="F9733" s="576" t="s">
        <v>4218</v>
      </c>
      <c r="G9733" s="576"/>
      <c r="H9733" s="215"/>
      <c r="K9733" s="56"/>
      <c r="L9733" s="56"/>
      <c r="M9733" s="56"/>
      <c r="N9733" s="56"/>
      <c r="O9733" s="56"/>
    </row>
    <row r="9734" spans="1:15">
      <c r="A9734" s="577" t="s">
        <v>4595</v>
      </c>
      <c r="B9734" s="578"/>
      <c r="C9734" s="98" t="str">
        <f>VLOOKUP(A9734,'Materiales '!$C$2:$F$1302,3,0)</f>
        <v>Und</v>
      </c>
      <c r="D9734" s="99">
        <f>VLOOKUP(A9734,'Materiales '!$C$2:$F$1302,4,0)</f>
        <v>78540</v>
      </c>
      <c r="E9734" s="100">
        <v>0.34</v>
      </c>
      <c r="F9734" s="538">
        <f>E9734*D9734</f>
        <v>26703.600000000002</v>
      </c>
      <c r="G9734" s="539"/>
      <c r="H9734" s="121"/>
      <c r="I9734">
        <f>E9734*G9724</f>
        <v>0</v>
      </c>
      <c r="J9734" s="67"/>
      <c r="K9734" s="56"/>
      <c r="L9734" s="56"/>
      <c r="M9734" s="56"/>
      <c r="N9734" s="56"/>
      <c r="O9734" s="56"/>
    </row>
    <row r="9735" spans="1:15">
      <c r="A9735" s="577" t="s">
        <v>4639</v>
      </c>
      <c r="B9735" s="578"/>
      <c r="C9735" s="98" t="str">
        <f>VLOOKUP(A9735,'Materiales '!$C$2:$F$1302,3,0)</f>
        <v>Und</v>
      </c>
      <c r="D9735" s="99">
        <f>VLOOKUP(A9735,'Materiales '!$C$2:$F$1302,4,0)</f>
        <v>35700</v>
      </c>
      <c r="E9735" s="100">
        <v>0.1</v>
      </c>
      <c r="F9735" s="538">
        <f t="shared" ref="F9735:F9741" si="564">E9735*D9735</f>
        <v>3570</v>
      </c>
      <c r="G9735" s="539"/>
      <c r="H9735" s="121"/>
      <c r="I9735">
        <f>E9735*G9724</f>
        <v>0</v>
      </c>
      <c r="J9735" s="67"/>
      <c r="K9735" s="56"/>
      <c r="L9735" s="56"/>
      <c r="M9735" s="56"/>
      <c r="N9735" s="56"/>
      <c r="O9735" s="56"/>
    </row>
    <row r="9736" spans="1:15">
      <c r="A9736" s="536" t="s">
        <v>8</v>
      </c>
      <c r="B9736" s="537" t="str">
        <f>VLOOKUP(A9736,'Materiales '!$C$2:$F$1302,3,0)</f>
        <v>-</v>
      </c>
      <c r="C9736" s="98" t="str">
        <f>VLOOKUP(A9736,'Materiales '!$C$2:$F$1302,3,0)</f>
        <v>-</v>
      </c>
      <c r="D9736" s="99">
        <f>VLOOKUP(A9736,'Materiales '!$C$2:$F$1302,4,0)</f>
        <v>0</v>
      </c>
      <c r="E9736" s="100">
        <v>0.34</v>
      </c>
      <c r="F9736" s="538">
        <f t="shared" si="564"/>
        <v>0</v>
      </c>
      <c r="G9736" s="539"/>
      <c r="H9736" s="121"/>
      <c r="I9736">
        <f>E9736*G9724</f>
        <v>0</v>
      </c>
      <c r="J9736" s="68"/>
      <c r="K9736" s="56"/>
      <c r="L9736" s="56"/>
      <c r="M9736" s="56"/>
      <c r="N9736" s="56"/>
      <c r="O9736" s="56"/>
    </row>
    <row r="9737" spans="1:15">
      <c r="A9737" s="536" t="s">
        <v>8</v>
      </c>
      <c r="B9737" s="537" t="str">
        <f>VLOOKUP(A9737,'Materiales '!$C$2:$F$1302,3,0)</f>
        <v>-</v>
      </c>
      <c r="C9737" s="98" t="str">
        <f>VLOOKUP(A9737,'Materiales '!$C$2:$F$1302,3,0)</f>
        <v>-</v>
      </c>
      <c r="D9737" s="99">
        <f>VLOOKUP(A9737,'Materiales '!$C$2:$F$1302,4,0)</f>
        <v>0</v>
      </c>
      <c r="E9737" s="100">
        <v>0.02</v>
      </c>
      <c r="F9737" s="538">
        <f t="shared" si="564"/>
        <v>0</v>
      </c>
      <c r="G9737" s="539"/>
      <c r="H9737" s="121"/>
      <c r="I9737">
        <f>E9737*G9724</f>
        <v>0</v>
      </c>
      <c r="J9737" s="68"/>
      <c r="K9737" s="56"/>
      <c r="L9737" s="56"/>
      <c r="M9737" s="56"/>
      <c r="N9737" s="56"/>
      <c r="O9737" s="56"/>
    </row>
    <row r="9738" spans="1:15">
      <c r="A9738" s="536" t="s">
        <v>8</v>
      </c>
      <c r="B9738" s="537" t="str">
        <f>VLOOKUP(A9738,'Materiales '!$C$2:$F$1302,3,0)</f>
        <v>-</v>
      </c>
      <c r="C9738" s="98" t="str">
        <f>VLOOKUP(A9738,'Materiales '!$C$2:$F$1302,3,0)</f>
        <v>-</v>
      </c>
      <c r="D9738" s="99">
        <f>VLOOKUP(A9738,'Materiales '!$C$2:$F$1302,4,0)</f>
        <v>0</v>
      </c>
      <c r="E9738" s="100">
        <v>0.5</v>
      </c>
      <c r="F9738" s="538">
        <f t="shared" si="564"/>
        <v>0</v>
      </c>
      <c r="G9738" s="539"/>
      <c r="H9738" s="121"/>
      <c r="I9738">
        <f>E9738*G9724</f>
        <v>0</v>
      </c>
      <c r="J9738" s="68"/>
      <c r="K9738" s="56"/>
      <c r="L9738" s="56"/>
      <c r="M9738" s="56"/>
      <c r="N9738" s="56"/>
      <c r="O9738" s="56"/>
    </row>
    <row r="9739" spans="1:15">
      <c r="A9739" s="536" t="s">
        <v>8</v>
      </c>
      <c r="B9739" s="537" t="str">
        <f>VLOOKUP(A9739,'Materiales '!$C$2:$F$1302,3,0)</f>
        <v>-</v>
      </c>
      <c r="C9739" s="98" t="str">
        <f>VLOOKUP(A9739,'Materiales '!$C$2:$F$1302,3,0)</f>
        <v>-</v>
      </c>
      <c r="D9739" s="99">
        <f>VLOOKUP(A9739,'Materiales '!$C$2:$F$1302,4,0)</f>
        <v>0</v>
      </c>
      <c r="E9739" s="100">
        <v>1</v>
      </c>
      <c r="F9739" s="538">
        <f t="shared" si="564"/>
        <v>0</v>
      </c>
      <c r="G9739" s="539"/>
      <c r="H9739" s="121"/>
      <c r="I9739">
        <f>E9739*G9724</f>
        <v>0</v>
      </c>
      <c r="J9739" s="68"/>
      <c r="K9739" s="56"/>
      <c r="L9739" s="56"/>
      <c r="M9739" s="56"/>
      <c r="N9739" s="56"/>
      <c r="O9739" s="56"/>
    </row>
    <row r="9740" spans="1:15">
      <c r="A9740" s="536" t="s">
        <v>8</v>
      </c>
      <c r="B9740" s="537" t="str">
        <f>VLOOKUP(A9740,'Materiales '!$C$2:$F$1302,3,0)</f>
        <v>-</v>
      </c>
      <c r="C9740" s="98" t="str">
        <f>VLOOKUP(A9740,'Materiales '!$C$2:$F$1302,3,0)</f>
        <v>-</v>
      </c>
      <c r="D9740" s="99">
        <f>VLOOKUP(A9740,'Materiales '!$C$2:$F$1302,4,0)</f>
        <v>0</v>
      </c>
      <c r="E9740" s="100">
        <v>1</v>
      </c>
      <c r="F9740" s="538">
        <f t="shared" si="564"/>
        <v>0</v>
      </c>
      <c r="G9740" s="539"/>
      <c r="H9740" s="121"/>
      <c r="I9740">
        <f>E9740*G9724</f>
        <v>0</v>
      </c>
      <c r="J9740" s="68"/>
      <c r="K9740" s="56"/>
      <c r="L9740" s="56"/>
      <c r="M9740" s="56"/>
      <c r="N9740" s="56"/>
      <c r="O9740" s="56"/>
    </row>
    <row r="9741" spans="1:15" ht="21.75" customHeight="1">
      <c r="A9741" s="536" t="s">
        <v>8</v>
      </c>
      <c r="B9741" s="537" t="str">
        <f>VLOOKUP(A9741,'Materiales '!$C$2:$F$1302,3,0)</f>
        <v>-</v>
      </c>
      <c r="C9741" s="98" t="str">
        <f>VLOOKUP(A9741,'Materiales '!$C$2:$F$1302,3,0)</f>
        <v>-</v>
      </c>
      <c r="D9741" s="99">
        <f>VLOOKUP(A9741,'Materiales '!$C$2:$F$1302,4,0)</f>
        <v>0</v>
      </c>
      <c r="E9741" s="100"/>
      <c r="F9741" s="538">
        <f t="shared" si="564"/>
        <v>0</v>
      </c>
      <c r="G9741" s="539"/>
      <c r="H9741" s="121"/>
      <c r="I9741">
        <f>E9741*G9724</f>
        <v>0</v>
      </c>
      <c r="J9741" s="68"/>
      <c r="K9741" s="56"/>
      <c r="L9741" s="56"/>
      <c r="M9741" s="56"/>
      <c r="N9741" s="56"/>
      <c r="O9741" s="56"/>
    </row>
    <row r="9742" spans="1:15">
      <c r="A9742" s="536" t="s">
        <v>8</v>
      </c>
      <c r="B9742" s="537" t="str">
        <f>VLOOKUP(A9742,'Materiales '!$C$2:$F$1302,3,0)</f>
        <v>-</v>
      </c>
      <c r="C9742" s="98" t="str">
        <f>VLOOKUP(A9742,'Materiales '!$C$2:$F$1302,3,0)</f>
        <v>-</v>
      </c>
      <c r="D9742" s="99">
        <f>VLOOKUP(A9742,'Materiales '!$C$2:$F$1302,4,0)</f>
        <v>0</v>
      </c>
      <c r="E9742" s="100"/>
      <c r="F9742" s="538">
        <f>E9742*D9742</f>
        <v>0</v>
      </c>
      <c r="G9742" s="539"/>
      <c r="H9742" s="120"/>
      <c r="I9742">
        <f>E9742*G9724</f>
        <v>0</v>
      </c>
      <c r="J9742" s="68"/>
      <c r="K9742" s="56"/>
      <c r="L9742" s="56"/>
      <c r="M9742" s="56"/>
      <c r="N9742" s="56"/>
      <c r="O9742" s="56"/>
    </row>
    <row r="9743" spans="1:15">
      <c r="A9743" s="536" t="s">
        <v>8</v>
      </c>
      <c r="B9743" s="537" t="str">
        <f>VLOOKUP(A9743,'Materiales '!$C$2:$F$1302,3,0)</f>
        <v>-</v>
      </c>
      <c r="C9743" s="98" t="str">
        <f>VLOOKUP(A9743,'Materiales '!$C$2:$F$1302,3,0)</f>
        <v>-</v>
      </c>
      <c r="D9743" s="99">
        <f>VLOOKUP(A9743,'Materiales '!$C$2:$F$1302,4,0)</f>
        <v>0</v>
      </c>
      <c r="E9743" s="100"/>
      <c r="F9743" s="538">
        <f t="shared" ref="F9743:F9746" si="565">E9743*D9743</f>
        <v>0</v>
      </c>
      <c r="G9743" s="539"/>
      <c r="H9743" s="121"/>
      <c r="I9743">
        <f>E9743*G9724</f>
        <v>0</v>
      </c>
      <c r="J9743" s="68"/>
      <c r="K9743" s="56"/>
      <c r="L9743" s="56"/>
      <c r="M9743" s="56"/>
      <c r="N9743" s="56"/>
      <c r="O9743" s="56"/>
    </row>
    <row r="9744" spans="1:15">
      <c r="A9744" s="536" t="s">
        <v>8</v>
      </c>
      <c r="B9744" s="537" t="str">
        <f>VLOOKUP(A9744,'Materiales '!$C$2:$F$1302,3,0)</f>
        <v>-</v>
      </c>
      <c r="C9744" s="98" t="str">
        <f>VLOOKUP(A9744,'Materiales '!$C$2:$F$1302,3,0)</f>
        <v>-</v>
      </c>
      <c r="D9744" s="99">
        <f>VLOOKUP(A9744,'Materiales '!$C$2:$F$1302,4,0)</f>
        <v>0</v>
      </c>
      <c r="E9744" s="100"/>
      <c r="F9744" s="538">
        <f t="shared" si="565"/>
        <v>0</v>
      </c>
      <c r="G9744" s="539"/>
      <c r="H9744" s="121"/>
      <c r="I9744">
        <f>E9744*G9724</f>
        <v>0</v>
      </c>
      <c r="J9744" s="68"/>
      <c r="K9744" s="56"/>
      <c r="L9744" s="56"/>
      <c r="M9744" s="56"/>
      <c r="N9744" s="56"/>
      <c r="O9744" s="56"/>
    </row>
    <row r="9745" spans="1:15">
      <c r="A9745" s="536" t="s">
        <v>8</v>
      </c>
      <c r="B9745" s="537" t="str">
        <f>VLOOKUP(A9745,'Materiales '!$C$2:$F$1302,3,0)</f>
        <v>-</v>
      </c>
      <c r="C9745" s="98" t="str">
        <f>VLOOKUP(A9745,'Materiales '!$C$2:$F$1302,3,0)</f>
        <v>-</v>
      </c>
      <c r="D9745" s="99">
        <f>VLOOKUP(A9745,'Materiales '!$C$2:$F$1302,4,0)</f>
        <v>0</v>
      </c>
      <c r="E9745" s="100"/>
      <c r="F9745" s="538">
        <f t="shared" si="565"/>
        <v>0</v>
      </c>
      <c r="G9745" s="539"/>
      <c r="H9745" s="121"/>
      <c r="I9745">
        <f>E9745*G9724</f>
        <v>0</v>
      </c>
      <c r="J9745" s="68"/>
      <c r="K9745" s="56"/>
      <c r="L9745" s="56"/>
      <c r="M9745" s="56"/>
      <c r="N9745" s="56"/>
      <c r="O9745" s="56"/>
    </row>
    <row r="9746" spans="1:15">
      <c r="A9746" s="536" t="s">
        <v>8</v>
      </c>
      <c r="B9746" s="537" t="str">
        <f>VLOOKUP(A9746,'Materiales '!$C$2:$F$1302,3,0)</f>
        <v>-</v>
      </c>
      <c r="C9746" s="98" t="str">
        <f>VLOOKUP(A9746,'Materiales '!$C$2:$F$1302,3,0)</f>
        <v>-</v>
      </c>
      <c r="D9746" s="99">
        <f>VLOOKUP(A9746,'Materiales '!$C$2:$F$1302,4,0)</f>
        <v>0</v>
      </c>
      <c r="E9746" s="100"/>
      <c r="F9746" s="538">
        <f t="shared" si="565"/>
        <v>0</v>
      </c>
      <c r="G9746" s="539"/>
      <c r="H9746" s="121"/>
      <c r="I9746">
        <f>E9746*G9724</f>
        <v>0</v>
      </c>
      <c r="J9746" s="68"/>
      <c r="K9746" s="56"/>
      <c r="L9746" s="56"/>
      <c r="M9746" s="56"/>
      <c r="N9746" s="56"/>
      <c r="O9746" s="56"/>
    </row>
    <row r="9747" spans="1:15">
      <c r="A9747" s="536" t="s">
        <v>8</v>
      </c>
      <c r="B9747" s="537" t="str">
        <f>VLOOKUP(A9747,'Materiales '!$C$2:$F$1302,3,0)</f>
        <v>-</v>
      </c>
      <c r="C9747" s="98" t="str">
        <f>VLOOKUP(A9747,'Materiales '!$C$2:$F$1302,3,0)</f>
        <v>-</v>
      </c>
      <c r="D9747" s="99">
        <f>VLOOKUP(A9747,'Materiales '!$C$2:$F$1302,4,0)</f>
        <v>0</v>
      </c>
      <c r="E9747" s="100"/>
      <c r="F9747" s="538">
        <f>E9747*D9747</f>
        <v>0</v>
      </c>
      <c r="G9747" s="539"/>
      <c r="H9747" s="120"/>
      <c r="I9747">
        <f>E9747*G9724</f>
        <v>0</v>
      </c>
      <c r="J9747" s="68"/>
      <c r="K9747" s="56"/>
      <c r="L9747" s="56"/>
      <c r="M9747" s="56"/>
      <c r="N9747" s="56"/>
      <c r="O9747" s="56"/>
    </row>
    <row r="9748" spans="1:15" ht="16.5">
      <c r="A9748" s="540" t="s">
        <v>4099</v>
      </c>
      <c r="B9748" s="541"/>
      <c r="C9748" s="541"/>
      <c r="D9748" s="541"/>
      <c r="E9748" s="541"/>
      <c r="F9748" s="541"/>
      <c r="G9748" s="542"/>
      <c r="H9748" s="116">
        <f>SUM(F9734:F9747)</f>
        <v>30273.600000000002</v>
      </c>
      <c r="J9748" s="68"/>
      <c r="K9748" s="56"/>
      <c r="L9748" s="56"/>
      <c r="M9748" s="56"/>
      <c r="N9748" s="56"/>
      <c r="O9748" s="56"/>
    </row>
    <row r="9749" spans="1:15" ht="16.5">
      <c r="A9749" s="543" t="s">
        <v>4231</v>
      </c>
      <c r="B9749" s="544"/>
      <c r="C9749" s="544"/>
      <c r="D9749" s="544"/>
      <c r="E9749" s="545"/>
      <c r="F9749" s="544"/>
      <c r="G9749" s="544"/>
      <c r="H9749" s="546"/>
      <c r="J9749" s="68"/>
      <c r="K9749" s="56"/>
      <c r="L9749" s="56"/>
      <c r="M9749" s="56"/>
      <c r="N9749" s="56"/>
      <c r="O9749" s="56"/>
    </row>
    <row r="9750" spans="1:15">
      <c r="A9750" s="547" t="s">
        <v>7</v>
      </c>
      <c r="B9750" s="548"/>
      <c r="C9750" s="108" t="s">
        <v>4232</v>
      </c>
      <c r="D9750" s="107" t="s">
        <v>4233</v>
      </c>
      <c r="E9750" s="206" t="s">
        <v>4234</v>
      </c>
      <c r="F9750" s="549" t="s">
        <v>4218</v>
      </c>
      <c r="G9750" s="549"/>
      <c r="H9750" s="119"/>
      <c r="K9750" s="56"/>
      <c r="L9750" s="56"/>
      <c r="M9750" s="56"/>
      <c r="N9750" s="56"/>
      <c r="O9750" s="56"/>
    </row>
    <row r="9751" spans="1:15">
      <c r="A9751" s="550" t="s">
        <v>3928</v>
      </c>
      <c r="B9751" s="551"/>
      <c r="C9751" s="232">
        <v>1</v>
      </c>
      <c r="D9751" s="102">
        <v>8.0000000000000002E-3</v>
      </c>
      <c r="E9751" s="103">
        <f>VLOOKUP(A9751,'Equip, Herr y Transp'!$B$2:$D$218,3,0)</f>
        <v>160000</v>
      </c>
      <c r="F9751" s="552">
        <f>E9751*D9751*C9751</f>
        <v>1280</v>
      </c>
      <c r="G9751" s="553"/>
      <c r="H9751" s="117"/>
      <c r="M9751" s="56"/>
    </row>
    <row r="9752" spans="1:15" ht="16.5">
      <c r="A9752" s="554" t="s">
        <v>4216</v>
      </c>
      <c r="B9752" s="555"/>
      <c r="C9752" s="555"/>
      <c r="D9752" s="555"/>
      <c r="E9752" s="555"/>
      <c r="F9752" s="555"/>
      <c r="G9752" s="555"/>
      <c r="H9752" s="105">
        <f>F9751</f>
        <v>1280</v>
      </c>
    </row>
    <row r="9753" spans="1:15" ht="16.5">
      <c r="A9753" s="543" t="s">
        <v>4235</v>
      </c>
      <c r="B9753" s="544"/>
      <c r="C9753" s="544"/>
      <c r="D9753" s="544"/>
      <c r="E9753" s="544"/>
      <c r="F9753" s="544"/>
      <c r="G9753" s="544"/>
      <c r="H9753" s="546"/>
    </row>
    <row r="9754" spans="1:15">
      <c r="A9754" s="547" t="s">
        <v>7</v>
      </c>
      <c r="B9754" s="548"/>
      <c r="C9754" s="106" t="s">
        <v>1</v>
      </c>
      <c r="D9754" s="107" t="s">
        <v>4236</v>
      </c>
      <c r="E9754" s="108" t="s">
        <v>4215</v>
      </c>
      <c r="F9754" s="547" t="s">
        <v>5</v>
      </c>
      <c r="G9754" s="556"/>
      <c r="H9754" s="119"/>
    </row>
    <row r="9755" spans="1:15">
      <c r="A9755" s="550" t="s">
        <v>4196</v>
      </c>
      <c r="B9755" s="551"/>
      <c r="C9755" s="101">
        <v>1</v>
      </c>
      <c r="D9755" s="104">
        <f>VLOOKUP(A9755,'Mano Obra'!$B$2:$T$117,19,0)</f>
        <v>166624</v>
      </c>
      <c r="E9755" s="246">
        <f>H9717</f>
        <v>1.2500000000000001E-2</v>
      </c>
      <c r="F9755" s="538">
        <f>E9755*D9755*C9755</f>
        <v>2082.8000000000002</v>
      </c>
      <c r="G9755" s="557"/>
      <c r="H9755" s="121"/>
      <c r="I9755" s="69"/>
      <c r="J9755" s="136">
        <f>((('Mano Obra'!$M$4/30)*F9755)/D9755)*G9724</f>
        <v>0</v>
      </c>
    </row>
    <row r="9756" spans="1:15">
      <c r="A9756" s="558" t="s">
        <v>4197</v>
      </c>
      <c r="B9756" s="559">
        <f>VLOOKUP(A9756,'Mano Obra'!$B$3:$D$290,2,0)</f>
        <v>2090000.0000000002</v>
      </c>
      <c r="C9756" s="101">
        <v>2</v>
      </c>
      <c r="D9756" s="104">
        <f>VLOOKUP(A9756,'Mano Obra'!$B$2:$T$117,19,0)</f>
        <v>120456</v>
      </c>
      <c r="E9756" s="246">
        <f>H9717</f>
        <v>1.2500000000000001E-2</v>
      </c>
      <c r="F9756" s="538">
        <f t="shared" ref="F9756:F9757" si="566">E9756*D9756*C9756</f>
        <v>3011.4</v>
      </c>
      <c r="G9756" s="557"/>
      <c r="H9756" s="121"/>
      <c r="J9756" s="136">
        <f>((('Mano Obra'!$M$5/30)*F9756)/D9756)*G9724</f>
        <v>0</v>
      </c>
    </row>
    <row r="9757" spans="1:15">
      <c r="A9757" s="558" t="s">
        <v>4186</v>
      </c>
      <c r="B9757" s="559">
        <f>VLOOKUP(A9757,'Mano Obra'!$B$3:$D$290,2,0)</f>
        <v>1100000</v>
      </c>
      <c r="C9757" s="101">
        <v>1</v>
      </c>
      <c r="D9757" s="104">
        <f>VLOOKUP(A9757,'Mano Obra'!$B$2:$T$117,19,0)</f>
        <v>72664</v>
      </c>
      <c r="E9757" s="246">
        <f>H9717</f>
        <v>1.2500000000000001E-2</v>
      </c>
      <c r="F9757" s="538">
        <f t="shared" si="566"/>
        <v>908.30000000000007</v>
      </c>
      <c r="G9757" s="557"/>
      <c r="H9757" s="120"/>
      <c r="J9757" s="136">
        <f>((('Mano Obra'!$M$6/30)*F9757)/D9757)*G9724</f>
        <v>0</v>
      </c>
    </row>
    <row r="9758" spans="1:15" ht="16.5">
      <c r="A9758" s="560" t="s">
        <v>4101</v>
      </c>
      <c r="B9758" s="560"/>
      <c r="C9758" s="560"/>
      <c r="D9758" s="560"/>
      <c r="E9758" s="560"/>
      <c r="F9758" s="560"/>
      <c r="G9758" s="560"/>
      <c r="H9758" s="105">
        <f>SUM(F9755:F9757)</f>
        <v>6002.5000000000009</v>
      </c>
      <c r="J9758" s="136"/>
    </row>
    <row r="9759" spans="1:15">
      <c r="A9759" s="227" t="s">
        <v>4237</v>
      </c>
      <c r="B9759" s="205"/>
      <c r="C9759" s="205"/>
      <c r="D9759" s="202"/>
      <c r="E9759" s="203"/>
      <c r="F9759" s="204"/>
      <c r="G9759" s="203"/>
      <c r="H9759" s="212"/>
    </row>
    <row r="9760" spans="1:15">
      <c r="A9760" s="561" t="s">
        <v>4224</v>
      </c>
      <c r="B9760" s="562"/>
      <c r="C9760" s="562"/>
      <c r="D9760" s="562"/>
      <c r="E9760" s="200"/>
      <c r="F9760" s="201" t="s">
        <v>4238</v>
      </c>
      <c r="G9760" s="200" t="s">
        <v>4239</v>
      </c>
      <c r="H9760" s="213"/>
    </row>
    <row r="9761" spans="1:14">
      <c r="A9761" s="223" t="s">
        <v>4097</v>
      </c>
      <c r="B9761" s="72"/>
      <c r="C9761" s="72"/>
      <c r="D9761" s="73"/>
      <c r="E9761" s="78"/>
      <c r="F9761" s="79">
        <v>0</v>
      </c>
      <c r="G9761" s="80">
        <f>F9761*H9725</f>
        <v>0</v>
      </c>
      <c r="H9761" s="212"/>
    </row>
    <row r="9762" spans="1:14">
      <c r="A9762" s="224" t="s">
        <v>4240</v>
      </c>
      <c r="B9762" s="81"/>
      <c r="C9762" s="81"/>
      <c r="D9762" s="82"/>
      <c r="E9762" s="78"/>
      <c r="F9762" s="79">
        <v>0</v>
      </c>
      <c r="G9762" s="80">
        <f>F9762*H9725</f>
        <v>0</v>
      </c>
      <c r="H9762" s="212"/>
    </row>
    <row r="9763" spans="1:14">
      <c r="A9763" s="224" t="s">
        <v>4</v>
      </c>
      <c r="B9763" s="81"/>
      <c r="C9763" s="81"/>
      <c r="D9763" s="82"/>
      <c r="E9763" s="78"/>
      <c r="F9763" s="79">
        <v>0</v>
      </c>
      <c r="G9763" s="80">
        <f>F9763*H9725</f>
        <v>0</v>
      </c>
      <c r="H9763" s="212"/>
    </row>
    <row r="9764" spans="1:14">
      <c r="A9764" s="225"/>
      <c r="B9764" s="83"/>
      <c r="C9764" s="75"/>
      <c r="D9764" s="84"/>
      <c r="E9764" s="85"/>
      <c r="F9764" s="86"/>
      <c r="G9764" s="87"/>
      <c r="H9764" s="214"/>
    </row>
    <row r="9765" spans="1:14">
      <c r="A9765" s="226"/>
      <c r="B9765" s="83"/>
      <c r="C9765" s="83"/>
      <c r="D9765" s="84"/>
      <c r="E9765" s="88"/>
      <c r="F9765" s="563" t="s">
        <v>4241</v>
      </c>
      <c r="G9765" s="564"/>
      <c r="H9765" s="233">
        <f>H9725+G9761+G9762+G9763</f>
        <v>38845.193750000006</v>
      </c>
    </row>
    <row r="9767" spans="1:14" ht="16.5">
      <c r="A9767" s="90"/>
      <c r="B9767" s="90"/>
      <c r="C9767" s="90"/>
      <c r="D9767" s="90"/>
      <c r="E9767" s="90"/>
      <c r="F9767" s="90"/>
      <c r="G9767" s="90"/>
      <c r="H9767" s="381"/>
    </row>
    <row r="9768" spans="1:14">
      <c r="A9768" s="579" t="s">
        <v>4225</v>
      </c>
      <c r="B9768" s="580"/>
      <c r="C9768" s="580"/>
      <c r="D9768" s="580"/>
      <c r="E9768" s="580"/>
      <c r="F9768" s="580"/>
      <c r="G9768" s="580"/>
      <c r="H9768" s="581"/>
    </row>
    <row r="9769" spans="1:14" ht="16.5">
      <c r="A9769" s="91"/>
      <c r="B9769" s="92"/>
      <c r="C9769" s="92"/>
      <c r="D9769" s="92"/>
      <c r="E9769" s="92"/>
      <c r="F9769" s="93"/>
      <c r="G9769" s="94"/>
      <c r="H9769" s="380">
        <f>ROUND((6/60)/8,4)</f>
        <v>1.2500000000000001E-2</v>
      </c>
      <c r="I9769" s="115"/>
    </row>
    <row r="9770" spans="1:14">
      <c r="A9770" s="582" t="s">
        <v>4220</v>
      </c>
      <c r="B9770" s="584" t="str">
        <f>COSTOS!$C$14</f>
        <v>MODERNIZACION A TECNOLOGIA LED</v>
      </c>
      <c r="C9770" s="584"/>
      <c r="D9770" s="584"/>
      <c r="E9770" s="584"/>
      <c r="F9770" s="584"/>
      <c r="G9770" s="584"/>
      <c r="H9770" s="585" t="s">
        <v>4221</v>
      </c>
    </row>
    <row r="9771" spans="1:14">
      <c r="A9771" s="583"/>
      <c r="B9771" s="584"/>
      <c r="C9771" s="584"/>
      <c r="D9771" s="584"/>
      <c r="E9771" s="584"/>
      <c r="F9771" s="584"/>
      <c r="G9771" s="584"/>
      <c r="H9771" s="585"/>
    </row>
    <row r="9772" spans="1:14">
      <c r="A9772" s="583"/>
      <c r="B9772" s="584"/>
      <c r="C9772" s="584"/>
      <c r="D9772" s="584"/>
      <c r="E9772" s="584"/>
      <c r="F9772" s="584"/>
      <c r="G9772" s="584"/>
      <c r="H9772" s="585"/>
    </row>
    <row r="9773" spans="1:14" ht="15" customHeight="1">
      <c r="A9773" s="583"/>
      <c r="B9773" s="584"/>
      <c r="C9773" s="584"/>
      <c r="D9773" s="584"/>
      <c r="E9773" s="584"/>
      <c r="F9773" s="584"/>
      <c r="G9773" s="584"/>
      <c r="H9773" s="216">
        <f ca="1">TODAY()</f>
        <v>44889</v>
      </c>
      <c r="K9773" t="s">
        <v>4391</v>
      </c>
      <c r="L9773" t="s">
        <v>4392</v>
      </c>
      <c r="M9773" t="s">
        <v>4393</v>
      </c>
      <c r="N9773" t="s">
        <v>4394</v>
      </c>
    </row>
    <row r="9774" spans="1:14" ht="60.75" customHeight="1">
      <c r="A9774" s="228" t="s">
        <v>4222</v>
      </c>
      <c r="B9774" s="565" t="str">
        <f>COSTOS!$D$16</f>
        <v>Luminarias</v>
      </c>
      <c r="C9774" s="565"/>
      <c r="D9774" s="565"/>
      <c r="E9774" s="565"/>
      <c r="F9774" s="565"/>
      <c r="G9774" s="70" t="s">
        <v>4223</v>
      </c>
      <c r="H9774" s="387">
        <v>7.11</v>
      </c>
      <c r="K9774" s="62">
        <f>H9800</f>
        <v>72999.360000000001</v>
      </c>
      <c r="L9774" s="62">
        <f>H9810</f>
        <v>6002.5000000000009</v>
      </c>
      <c r="M9774" s="62">
        <f>H9783</f>
        <v>1289.09375</v>
      </c>
      <c r="N9774" s="62">
        <f>H9804</f>
        <v>1280</v>
      </c>
    </row>
    <row r="9775" spans="1:14" ht="43.15" customHeight="1">
      <c r="A9775" s="229" t="s">
        <v>4224</v>
      </c>
      <c r="B9775" s="566" t="str">
        <f>VLOOKUP(H9774,COSTOS!C:M,2,0)</f>
        <v>Canalizacion con un ducto 2" IMC x 500 mts</v>
      </c>
      <c r="C9775" s="567"/>
      <c r="D9775" s="567"/>
      <c r="E9775" s="568"/>
      <c r="F9775" s="71" t="s">
        <v>0</v>
      </c>
      <c r="G9775" s="356" t="str">
        <f>VLOOKUP(H9774,COSTOS!C:M,8,0)</f>
        <v>Ml</v>
      </c>
      <c r="H9775" s="276"/>
      <c r="I9775" s="306"/>
      <c r="J9775" s="308"/>
      <c r="K9775" s="308"/>
      <c r="L9775" s="308"/>
    </row>
    <row r="9776" spans="1:14">
      <c r="A9776" s="230"/>
      <c r="B9776" s="112"/>
      <c r="C9776" s="112"/>
      <c r="D9776" s="112"/>
      <c r="E9776" s="113"/>
      <c r="F9776" s="114" t="s">
        <v>1</v>
      </c>
      <c r="G9776" s="356">
        <f>VLOOKUP(H9774,COSTOS!C:M,9,0)</f>
        <v>0</v>
      </c>
      <c r="H9776" s="357"/>
      <c r="I9776" s="307"/>
    </row>
    <row r="9777" spans="1:15" ht="16.5">
      <c r="A9777" s="231" t="s">
        <v>4226</v>
      </c>
      <c r="B9777" s="75"/>
      <c r="C9777" s="75"/>
      <c r="D9777" s="76"/>
      <c r="E9777" s="209"/>
      <c r="F9777" s="210"/>
      <c r="G9777" s="211" t="s">
        <v>4227</v>
      </c>
      <c r="H9777" s="217">
        <f>H9783+H9800+H9804+H9810</f>
        <v>81570.953750000001</v>
      </c>
    </row>
    <row r="9778" spans="1:15" ht="39">
      <c r="A9778" s="569" t="s">
        <v>4224</v>
      </c>
      <c r="B9778" s="569"/>
      <c r="C9778" s="569"/>
      <c r="D9778" s="77" t="s">
        <v>0</v>
      </c>
      <c r="E9778" s="207" t="s">
        <v>4228</v>
      </c>
      <c r="F9778" s="208" t="s">
        <v>4215</v>
      </c>
      <c r="G9778" s="74" t="s">
        <v>2</v>
      </c>
      <c r="H9778" s="218" t="s">
        <v>4229</v>
      </c>
      <c r="K9778" s="309"/>
    </row>
    <row r="9779" spans="1:15">
      <c r="A9779" s="536" t="s">
        <v>3946</v>
      </c>
      <c r="B9779" s="570" t="str">
        <f>VLOOKUP(A9779,'Equip, Herr y Transp'!$B$2:$D$739,2,0)</f>
        <v>EQU</v>
      </c>
      <c r="C9779" s="570"/>
      <c r="D9779" s="95" t="str">
        <f>VLOOKUP(A9779,'Equip, Herr y Transp'!$B$2:$D$218,2,0)</f>
        <v>EQU</v>
      </c>
      <c r="E9779" s="95">
        <f>VLOOKUP(A9779,'Equip, Herr y Transp'!$B$2:$D$218,3,0)</f>
        <v>14130</v>
      </c>
      <c r="F9779" s="96">
        <f>H9769</f>
        <v>1.2500000000000001E-2</v>
      </c>
      <c r="G9779" s="122">
        <f>F9779*E9779</f>
        <v>176.625</v>
      </c>
      <c r="H9779" s="118"/>
    </row>
    <row r="9780" spans="1:15">
      <c r="A9780" s="536" t="s">
        <v>3914</v>
      </c>
      <c r="B9780" s="570" t="str">
        <f>VLOOKUP(A9780,'Equip, Herr y Transp'!$B$2:$D$739,2,0)</f>
        <v>EQU</v>
      </c>
      <c r="C9780" s="570"/>
      <c r="D9780" s="95" t="str">
        <f>VLOOKUP(A9780,'Equip, Herr y Transp'!$B$2:$D$218,2,0)</f>
        <v>EQU</v>
      </c>
      <c r="E9780" s="95">
        <f>VLOOKUP(A9780,'Equip, Herr y Transp'!$B$2:$D$218,3,0)</f>
        <v>6250</v>
      </c>
      <c r="F9780" s="96">
        <f>H9769</f>
        <v>1.2500000000000001E-2</v>
      </c>
      <c r="G9780" s="122">
        <f>F9780*E9780</f>
        <v>78.125</v>
      </c>
      <c r="H9780" s="117"/>
    </row>
    <row r="9781" spans="1:15">
      <c r="A9781" s="536" t="s">
        <v>4144</v>
      </c>
      <c r="B9781" s="570" t="str">
        <f>VLOOKUP(A9781,'Equip, Herr y Transp'!$B$2:$D$739,2,0)</f>
        <v>EQU</v>
      </c>
      <c r="C9781" s="570"/>
      <c r="D9781" s="95" t="str">
        <f>VLOOKUP(A9781,'Equip, Herr y Transp'!$B$2:$D$218,2,0)</f>
        <v>EQU</v>
      </c>
      <c r="E9781" s="95">
        <f>VLOOKUP(A9781,'Equip, Herr y Transp'!$B$2:$D$218,3,0)</f>
        <v>75000</v>
      </c>
      <c r="F9781" s="96">
        <f>H9769</f>
        <v>1.2500000000000001E-2</v>
      </c>
      <c r="G9781" s="122">
        <f>F9781*E9781</f>
        <v>937.5</v>
      </c>
      <c r="H9781" s="117"/>
    </row>
    <row r="9782" spans="1:15">
      <c r="A9782" s="536" t="s">
        <v>3903</v>
      </c>
      <c r="B9782" s="570" t="str">
        <f>VLOOKUP(A9782,'Equip, Herr y Transp'!$B$2:$D$739,2,0)</f>
        <v>EQU</v>
      </c>
      <c r="C9782" s="570"/>
      <c r="D9782" s="95" t="str">
        <f>VLOOKUP(A9782,'Equip, Herr y Transp'!$B$2:$D$218,2,0)</f>
        <v>EQU</v>
      </c>
      <c r="E9782" s="95">
        <f>VLOOKUP(A9782,'Equip, Herr y Transp'!$B$2:$D$218,3,0)</f>
        <v>7747.5</v>
      </c>
      <c r="F9782" s="96">
        <f>H9769</f>
        <v>1.2500000000000001E-2</v>
      </c>
      <c r="G9782" s="122">
        <f>F9782*E9782</f>
        <v>96.84375</v>
      </c>
      <c r="H9782" s="117"/>
    </row>
    <row r="9783" spans="1:15" ht="16.5">
      <c r="A9783" s="540" t="s">
        <v>4100</v>
      </c>
      <c r="B9783" s="541"/>
      <c r="C9783" s="541"/>
      <c r="D9783" s="541"/>
      <c r="E9783" s="541"/>
      <c r="F9783" s="541"/>
      <c r="G9783" s="541"/>
      <c r="H9783" s="97">
        <f>SUM(G9779:G9782)</f>
        <v>1289.09375</v>
      </c>
    </row>
    <row r="9784" spans="1:15" ht="16.5">
      <c r="A9784" s="571" t="s">
        <v>4230</v>
      </c>
      <c r="B9784" s="572"/>
      <c r="C9784" s="572"/>
      <c r="D9784" s="572"/>
      <c r="E9784" s="572"/>
      <c r="F9784" s="572"/>
      <c r="G9784" s="572"/>
      <c r="H9784" s="573"/>
      <c r="K9784" s="56"/>
      <c r="L9784" s="56"/>
      <c r="M9784" s="56"/>
      <c r="N9784" s="56"/>
      <c r="O9784" s="56"/>
    </row>
    <row r="9785" spans="1:15" ht="30" customHeight="1">
      <c r="A9785" s="574" t="s">
        <v>7</v>
      </c>
      <c r="B9785" s="575"/>
      <c r="C9785" s="109" t="s">
        <v>0</v>
      </c>
      <c r="D9785" s="110" t="s">
        <v>4098</v>
      </c>
      <c r="E9785" s="111" t="s">
        <v>1</v>
      </c>
      <c r="F9785" s="576" t="s">
        <v>4218</v>
      </c>
      <c r="G9785" s="576"/>
      <c r="H9785" s="215"/>
      <c r="K9785" s="56"/>
      <c r="L9785" s="56"/>
      <c r="M9785" s="56"/>
      <c r="N9785" s="56"/>
      <c r="O9785" s="56"/>
    </row>
    <row r="9786" spans="1:15">
      <c r="A9786" s="577" t="s">
        <v>4592</v>
      </c>
      <c r="B9786" s="578"/>
      <c r="C9786" s="98" t="str">
        <f>VLOOKUP(A9786,'Materiales '!$C$2:$F$1302,3,0)</f>
        <v>Und</v>
      </c>
      <c r="D9786" s="99">
        <f>VLOOKUP(A9786,'Materiales '!$C$2:$F$1302,4,0)</f>
        <v>204204</v>
      </c>
      <c r="E9786" s="100">
        <v>0.34</v>
      </c>
      <c r="F9786" s="538">
        <f>E9786*D9786</f>
        <v>69429.36</v>
      </c>
      <c r="G9786" s="539"/>
      <c r="H9786" s="121"/>
      <c r="I9786">
        <f>E9786*G9776</f>
        <v>0</v>
      </c>
      <c r="J9786" s="67"/>
      <c r="K9786" s="56"/>
      <c r="L9786" s="56"/>
      <c r="M9786" s="56"/>
      <c r="N9786" s="56"/>
      <c r="O9786" s="56"/>
    </row>
    <row r="9787" spans="1:15">
      <c r="A9787" s="577" t="s">
        <v>4639</v>
      </c>
      <c r="B9787" s="578"/>
      <c r="C9787" s="98" t="str">
        <f>VLOOKUP(A9787,'Materiales '!$C$2:$F$1302,3,0)</f>
        <v>Und</v>
      </c>
      <c r="D9787" s="99">
        <f>VLOOKUP(A9787,'Materiales '!$C$2:$F$1302,4,0)</f>
        <v>35700</v>
      </c>
      <c r="E9787" s="100">
        <v>0.1</v>
      </c>
      <c r="F9787" s="538">
        <f t="shared" ref="F9787:F9793" si="567">E9787*D9787</f>
        <v>3570</v>
      </c>
      <c r="G9787" s="539"/>
      <c r="H9787" s="121"/>
      <c r="I9787">
        <f>E9787*G9776</f>
        <v>0</v>
      </c>
      <c r="J9787" s="67"/>
      <c r="K9787" s="56"/>
      <c r="L9787" s="56"/>
      <c r="M9787" s="56"/>
      <c r="N9787" s="56"/>
      <c r="O9787" s="56"/>
    </row>
    <row r="9788" spans="1:15">
      <c r="A9788" s="536" t="s">
        <v>8</v>
      </c>
      <c r="B9788" s="537" t="str">
        <f>VLOOKUP(A9788,'Materiales '!$C$2:$F$1302,3,0)</f>
        <v>-</v>
      </c>
      <c r="C9788" s="98" t="str">
        <f>VLOOKUP(A9788,'Materiales '!$C$2:$F$1302,3,0)</f>
        <v>-</v>
      </c>
      <c r="D9788" s="99">
        <f>VLOOKUP(A9788,'Materiales '!$C$2:$F$1302,4,0)</f>
        <v>0</v>
      </c>
      <c r="E9788" s="100">
        <v>0.34</v>
      </c>
      <c r="F9788" s="538">
        <f t="shared" si="567"/>
        <v>0</v>
      </c>
      <c r="G9788" s="539"/>
      <c r="H9788" s="121"/>
      <c r="I9788">
        <f>E9788*G9776</f>
        <v>0</v>
      </c>
      <c r="J9788" s="68"/>
      <c r="K9788" s="56"/>
      <c r="L9788" s="56"/>
      <c r="M9788" s="56"/>
      <c r="N9788" s="56"/>
      <c r="O9788" s="56"/>
    </row>
    <row r="9789" spans="1:15">
      <c r="A9789" s="536" t="s">
        <v>8</v>
      </c>
      <c r="B9789" s="537" t="str">
        <f>VLOOKUP(A9789,'Materiales '!$C$2:$F$1302,3,0)</f>
        <v>-</v>
      </c>
      <c r="C9789" s="98" t="str">
        <f>VLOOKUP(A9789,'Materiales '!$C$2:$F$1302,3,0)</f>
        <v>-</v>
      </c>
      <c r="D9789" s="99">
        <f>VLOOKUP(A9789,'Materiales '!$C$2:$F$1302,4,0)</f>
        <v>0</v>
      </c>
      <c r="E9789" s="100">
        <v>0.02</v>
      </c>
      <c r="F9789" s="538">
        <f t="shared" si="567"/>
        <v>0</v>
      </c>
      <c r="G9789" s="539"/>
      <c r="H9789" s="121"/>
      <c r="I9789">
        <f>E9789*G9776</f>
        <v>0</v>
      </c>
      <c r="J9789" s="68"/>
      <c r="K9789" s="56"/>
      <c r="L9789" s="56"/>
      <c r="M9789" s="56"/>
      <c r="N9789" s="56"/>
      <c r="O9789" s="56"/>
    </row>
    <row r="9790" spans="1:15">
      <c r="A9790" s="536" t="s">
        <v>8</v>
      </c>
      <c r="B9790" s="537" t="str">
        <f>VLOOKUP(A9790,'Materiales '!$C$2:$F$1302,3,0)</f>
        <v>-</v>
      </c>
      <c r="C9790" s="98" t="str">
        <f>VLOOKUP(A9790,'Materiales '!$C$2:$F$1302,3,0)</f>
        <v>-</v>
      </c>
      <c r="D9790" s="99">
        <f>VLOOKUP(A9790,'Materiales '!$C$2:$F$1302,4,0)</f>
        <v>0</v>
      </c>
      <c r="E9790" s="100">
        <v>0.5</v>
      </c>
      <c r="F9790" s="538">
        <f t="shared" si="567"/>
        <v>0</v>
      </c>
      <c r="G9790" s="539"/>
      <c r="H9790" s="121"/>
      <c r="I9790">
        <f>E9790*G9776</f>
        <v>0</v>
      </c>
      <c r="J9790" s="68"/>
      <c r="K9790" s="56"/>
      <c r="L9790" s="56"/>
      <c r="M9790" s="56"/>
      <c r="N9790" s="56"/>
      <c r="O9790" s="56"/>
    </row>
    <row r="9791" spans="1:15">
      <c r="A9791" s="536" t="s">
        <v>8</v>
      </c>
      <c r="B9791" s="537" t="str">
        <f>VLOOKUP(A9791,'Materiales '!$C$2:$F$1302,3,0)</f>
        <v>-</v>
      </c>
      <c r="C9791" s="98" t="str">
        <f>VLOOKUP(A9791,'Materiales '!$C$2:$F$1302,3,0)</f>
        <v>-</v>
      </c>
      <c r="D9791" s="99">
        <f>VLOOKUP(A9791,'Materiales '!$C$2:$F$1302,4,0)</f>
        <v>0</v>
      </c>
      <c r="E9791" s="100">
        <v>1</v>
      </c>
      <c r="F9791" s="538">
        <f t="shared" si="567"/>
        <v>0</v>
      </c>
      <c r="G9791" s="539"/>
      <c r="H9791" s="121"/>
      <c r="I9791">
        <f>E9791*G9776</f>
        <v>0</v>
      </c>
      <c r="J9791" s="68"/>
      <c r="K9791" s="56"/>
      <c r="L9791" s="56"/>
      <c r="M9791" s="56"/>
      <c r="N9791" s="56"/>
      <c r="O9791" s="56"/>
    </row>
    <row r="9792" spans="1:15">
      <c r="A9792" s="536" t="s">
        <v>8</v>
      </c>
      <c r="B9792" s="537" t="str">
        <f>VLOOKUP(A9792,'Materiales '!$C$2:$F$1302,3,0)</f>
        <v>-</v>
      </c>
      <c r="C9792" s="98" t="str">
        <f>VLOOKUP(A9792,'Materiales '!$C$2:$F$1302,3,0)</f>
        <v>-</v>
      </c>
      <c r="D9792" s="99">
        <f>VLOOKUP(A9792,'Materiales '!$C$2:$F$1302,4,0)</f>
        <v>0</v>
      </c>
      <c r="E9792" s="100">
        <v>1</v>
      </c>
      <c r="F9792" s="538">
        <f t="shared" si="567"/>
        <v>0</v>
      </c>
      <c r="G9792" s="539"/>
      <c r="H9792" s="121"/>
      <c r="I9792">
        <f>E9792*G9776</f>
        <v>0</v>
      </c>
      <c r="J9792" s="68"/>
      <c r="K9792" s="56"/>
      <c r="L9792" s="56"/>
      <c r="M9792" s="56"/>
      <c r="N9792" s="56"/>
      <c r="O9792" s="56"/>
    </row>
    <row r="9793" spans="1:15" ht="21.75" customHeight="1">
      <c r="A9793" s="536" t="s">
        <v>8</v>
      </c>
      <c r="B9793" s="537" t="str">
        <f>VLOOKUP(A9793,'Materiales '!$C$2:$F$1302,3,0)</f>
        <v>-</v>
      </c>
      <c r="C9793" s="98" t="str">
        <f>VLOOKUP(A9793,'Materiales '!$C$2:$F$1302,3,0)</f>
        <v>-</v>
      </c>
      <c r="D9793" s="99">
        <f>VLOOKUP(A9793,'Materiales '!$C$2:$F$1302,4,0)</f>
        <v>0</v>
      </c>
      <c r="E9793" s="100"/>
      <c r="F9793" s="538">
        <f t="shared" si="567"/>
        <v>0</v>
      </c>
      <c r="G9793" s="539"/>
      <c r="H9793" s="121"/>
      <c r="I9793">
        <f>E9793*G9776</f>
        <v>0</v>
      </c>
      <c r="J9793" s="68"/>
      <c r="K9793" s="56"/>
      <c r="L9793" s="56"/>
      <c r="M9793" s="56"/>
      <c r="N9793" s="56"/>
      <c r="O9793" s="56"/>
    </row>
    <row r="9794" spans="1:15">
      <c r="A9794" s="536" t="s">
        <v>8</v>
      </c>
      <c r="B9794" s="537" t="str">
        <f>VLOOKUP(A9794,'Materiales '!$C$2:$F$1302,3,0)</f>
        <v>-</v>
      </c>
      <c r="C9794" s="98" t="str">
        <f>VLOOKUP(A9794,'Materiales '!$C$2:$F$1302,3,0)</f>
        <v>-</v>
      </c>
      <c r="D9794" s="99">
        <f>VLOOKUP(A9794,'Materiales '!$C$2:$F$1302,4,0)</f>
        <v>0</v>
      </c>
      <c r="E9794" s="100"/>
      <c r="F9794" s="538">
        <f>E9794*D9794</f>
        <v>0</v>
      </c>
      <c r="G9794" s="539"/>
      <c r="H9794" s="120"/>
      <c r="I9794">
        <f>E9794*G9776</f>
        <v>0</v>
      </c>
      <c r="J9794" s="68"/>
      <c r="K9794" s="56"/>
      <c r="L9794" s="56"/>
      <c r="M9794" s="56"/>
      <c r="N9794" s="56"/>
      <c r="O9794" s="56"/>
    </row>
    <row r="9795" spans="1:15">
      <c r="A9795" s="536" t="s">
        <v>8</v>
      </c>
      <c r="B9795" s="537" t="str">
        <f>VLOOKUP(A9795,'Materiales '!$C$2:$F$1302,3,0)</f>
        <v>-</v>
      </c>
      <c r="C9795" s="98" t="str">
        <f>VLOOKUP(A9795,'Materiales '!$C$2:$F$1302,3,0)</f>
        <v>-</v>
      </c>
      <c r="D9795" s="99">
        <f>VLOOKUP(A9795,'Materiales '!$C$2:$F$1302,4,0)</f>
        <v>0</v>
      </c>
      <c r="E9795" s="100"/>
      <c r="F9795" s="538">
        <f t="shared" ref="F9795:F9798" si="568">E9795*D9795</f>
        <v>0</v>
      </c>
      <c r="G9795" s="539"/>
      <c r="H9795" s="121"/>
      <c r="I9795">
        <f>E9795*G9776</f>
        <v>0</v>
      </c>
      <c r="J9795" s="68"/>
      <c r="K9795" s="56"/>
      <c r="L9795" s="56"/>
      <c r="M9795" s="56"/>
      <c r="N9795" s="56"/>
      <c r="O9795" s="56"/>
    </row>
    <row r="9796" spans="1:15">
      <c r="A9796" s="536" t="s">
        <v>8</v>
      </c>
      <c r="B9796" s="537" t="str">
        <f>VLOOKUP(A9796,'Materiales '!$C$2:$F$1302,3,0)</f>
        <v>-</v>
      </c>
      <c r="C9796" s="98" t="str">
        <f>VLOOKUP(A9796,'Materiales '!$C$2:$F$1302,3,0)</f>
        <v>-</v>
      </c>
      <c r="D9796" s="99">
        <f>VLOOKUP(A9796,'Materiales '!$C$2:$F$1302,4,0)</f>
        <v>0</v>
      </c>
      <c r="E9796" s="100"/>
      <c r="F9796" s="538">
        <f t="shared" si="568"/>
        <v>0</v>
      </c>
      <c r="G9796" s="539"/>
      <c r="H9796" s="121"/>
      <c r="I9796">
        <f>E9796*G9776</f>
        <v>0</v>
      </c>
      <c r="J9796" s="68"/>
      <c r="K9796" s="56"/>
      <c r="L9796" s="56"/>
      <c r="M9796" s="56"/>
      <c r="N9796" s="56"/>
      <c r="O9796" s="56"/>
    </row>
    <row r="9797" spans="1:15">
      <c r="A9797" s="536" t="s">
        <v>8</v>
      </c>
      <c r="B9797" s="537" t="str">
        <f>VLOOKUP(A9797,'Materiales '!$C$2:$F$1302,3,0)</f>
        <v>-</v>
      </c>
      <c r="C9797" s="98" t="str">
        <f>VLOOKUP(A9797,'Materiales '!$C$2:$F$1302,3,0)</f>
        <v>-</v>
      </c>
      <c r="D9797" s="99">
        <f>VLOOKUP(A9797,'Materiales '!$C$2:$F$1302,4,0)</f>
        <v>0</v>
      </c>
      <c r="E9797" s="100"/>
      <c r="F9797" s="538">
        <f t="shared" si="568"/>
        <v>0</v>
      </c>
      <c r="G9797" s="539"/>
      <c r="H9797" s="121"/>
      <c r="I9797">
        <f>E9797*G9776</f>
        <v>0</v>
      </c>
      <c r="J9797" s="68"/>
      <c r="K9797" s="56"/>
      <c r="L9797" s="56"/>
      <c r="M9797" s="56"/>
      <c r="N9797" s="56"/>
      <c r="O9797" s="56"/>
    </row>
    <row r="9798" spans="1:15">
      <c r="A9798" s="536" t="s">
        <v>8</v>
      </c>
      <c r="B9798" s="537" t="str">
        <f>VLOOKUP(A9798,'Materiales '!$C$2:$F$1302,3,0)</f>
        <v>-</v>
      </c>
      <c r="C9798" s="98" t="str">
        <f>VLOOKUP(A9798,'Materiales '!$C$2:$F$1302,3,0)</f>
        <v>-</v>
      </c>
      <c r="D9798" s="99">
        <f>VLOOKUP(A9798,'Materiales '!$C$2:$F$1302,4,0)</f>
        <v>0</v>
      </c>
      <c r="E9798" s="100"/>
      <c r="F9798" s="538">
        <f t="shared" si="568"/>
        <v>0</v>
      </c>
      <c r="G9798" s="539"/>
      <c r="H9798" s="121"/>
      <c r="I9798">
        <f>E9798*G9776</f>
        <v>0</v>
      </c>
      <c r="J9798" s="68"/>
      <c r="K9798" s="56"/>
      <c r="L9798" s="56"/>
      <c r="M9798" s="56"/>
      <c r="N9798" s="56"/>
      <c r="O9798" s="56"/>
    </row>
    <row r="9799" spans="1:15">
      <c r="A9799" s="536" t="s">
        <v>8</v>
      </c>
      <c r="B9799" s="537" t="str">
        <f>VLOOKUP(A9799,'Materiales '!$C$2:$F$1302,3,0)</f>
        <v>-</v>
      </c>
      <c r="C9799" s="98" t="str">
        <f>VLOOKUP(A9799,'Materiales '!$C$2:$F$1302,3,0)</f>
        <v>-</v>
      </c>
      <c r="D9799" s="99">
        <f>VLOOKUP(A9799,'Materiales '!$C$2:$F$1302,4,0)</f>
        <v>0</v>
      </c>
      <c r="E9799" s="100"/>
      <c r="F9799" s="538">
        <f>E9799*D9799</f>
        <v>0</v>
      </c>
      <c r="G9799" s="539"/>
      <c r="H9799" s="120"/>
      <c r="I9799">
        <f>E9799*G9776</f>
        <v>0</v>
      </c>
      <c r="J9799" s="68"/>
      <c r="K9799" s="56"/>
      <c r="L9799" s="56"/>
      <c r="M9799" s="56"/>
      <c r="N9799" s="56"/>
      <c r="O9799" s="56"/>
    </row>
    <row r="9800" spans="1:15" ht="16.5">
      <c r="A9800" s="540" t="s">
        <v>4099</v>
      </c>
      <c r="B9800" s="541"/>
      <c r="C9800" s="541"/>
      <c r="D9800" s="541"/>
      <c r="E9800" s="541"/>
      <c r="F9800" s="541"/>
      <c r="G9800" s="542"/>
      <c r="H9800" s="116">
        <f>SUM(F9786:F9799)</f>
        <v>72999.360000000001</v>
      </c>
      <c r="J9800" s="68"/>
      <c r="K9800" s="56"/>
      <c r="L9800" s="56"/>
      <c r="M9800" s="56"/>
      <c r="N9800" s="56"/>
      <c r="O9800" s="56"/>
    </row>
    <row r="9801" spans="1:15" ht="16.5">
      <c r="A9801" s="543" t="s">
        <v>4231</v>
      </c>
      <c r="B9801" s="544"/>
      <c r="C9801" s="544"/>
      <c r="D9801" s="544"/>
      <c r="E9801" s="545"/>
      <c r="F9801" s="544"/>
      <c r="G9801" s="544"/>
      <c r="H9801" s="546"/>
      <c r="J9801" s="68"/>
      <c r="K9801" s="56"/>
      <c r="L9801" s="56"/>
      <c r="M9801" s="56"/>
      <c r="N9801" s="56"/>
      <c r="O9801" s="56"/>
    </row>
    <row r="9802" spans="1:15">
      <c r="A9802" s="547" t="s">
        <v>7</v>
      </c>
      <c r="B9802" s="548"/>
      <c r="C9802" s="108" t="s">
        <v>4232</v>
      </c>
      <c r="D9802" s="107" t="s">
        <v>4233</v>
      </c>
      <c r="E9802" s="206" t="s">
        <v>4234</v>
      </c>
      <c r="F9802" s="549" t="s">
        <v>4218</v>
      </c>
      <c r="G9802" s="549"/>
      <c r="H9802" s="119"/>
      <c r="K9802" s="56"/>
      <c r="L9802" s="56"/>
      <c r="M9802" s="56"/>
      <c r="N9802" s="56"/>
      <c r="O9802" s="56"/>
    </row>
    <row r="9803" spans="1:15">
      <c r="A9803" s="550" t="s">
        <v>3928</v>
      </c>
      <c r="B9803" s="551"/>
      <c r="C9803" s="232">
        <v>1</v>
      </c>
      <c r="D9803" s="102">
        <v>8.0000000000000002E-3</v>
      </c>
      <c r="E9803" s="103">
        <f>VLOOKUP(A9803,'Equip, Herr y Transp'!$B$2:$D$218,3,0)</f>
        <v>160000</v>
      </c>
      <c r="F9803" s="552">
        <f>E9803*D9803*C9803</f>
        <v>1280</v>
      </c>
      <c r="G9803" s="553"/>
      <c r="H9803" s="117"/>
      <c r="M9803" s="56"/>
    </row>
    <row r="9804" spans="1:15" ht="16.5">
      <c r="A9804" s="554" t="s">
        <v>4216</v>
      </c>
      <c r="B9804" s="555"/>
      <c r="C9804" s="555"/>
      <c r="D9804" s="555"/>
      <c r="E9804" s="555"/>
      <c r="F9804" s="555"/>
      <c r="G9804" s="555"/>
      <c r="H9804" s="105">
        <f>F9803</f>
        <v>1280</v>
      </c>
    </row>
    <row r="9805" spans="1:15" ht="16.5">
      <c r="A9805" s="543" t="s">
        <v>4235</v>
      </c>
      <c r="B9805" s="544"/>
      <c r="C9805" s="544"/>
      <c r="D9805" s="544"/>
      <c r="E9805" s="544"/>
      <c r="F9805" s="544"/>
      <c r="G9805" s="544"/>
      <c r="H9805" s="546"/>
    </row>
    <row r="9806" spans="1:15">
      <c r="A9806" s="547" t="s">
        <v>7</v>
      </c>
      <c r="B9806" s="548"/>
      <c r="C9806" s="106" t="s">
        <v>1</v>
      </c>
      <c r="D9806" s="107" t="s">
        <v>4236</v>
      </c>
      <c r="E9806" s="108" t="s">
        <v>4215</v>
      </c>
      <c r="F9806" s="547" t="s">
        <v>5</v>
      </c>
      <c r="G9806" s="556"/>
      <c r="H9806" s="119"/>
    </row>
    <row r="9807" spans="1:15">
      <c r="A9807" s="550" t="s">
        <v>4196</v>
      </c>
      <c r="B9807" s="551"/>
      <c r="C9807" s="101">
        <v>1</v>
      </c>
      <c r="D9807" s="104">
        <f>VLOOKUP(A9807,'Mano Obra'!$B$2:$T$117,19,0)</f>
        <v>166624</v>
      </c>
      <c r="E9807" s="246">
        <f>H9769</f>
        <v>1.2500000000000001E-2</v>
      </c>
      <c r="F9807" s="538">
        <f>E9807*D9807*C9807</f>
        <v>2082.8000000000002</v>
      </c>
      <c r="G9807" s="557"/>
      <c r="H9807" s="121"/>
      <c r="I9807" s="69"/>
      <c r="J9807" s="136">
        <f>((('Mano Obra'!$M$4/30)*F9807)/D9807)*G9776</f>
        <v>0</v>
      </c>
    </row>
    <row r="9808" spans="1:15">
      <c r="A9808" s="558" t="s">
        <v>4197</v>
      </c>
      <c r="B9808" s="559">
        <f>VLOOKUP(A9808,'Mano Obra'!$B$3:$D$290,2,0)</f>
        <v>2090000.0000000002</v>
      </c>
      <c r="C9808" s="101">
        <v>2</v>
      </c>
      <c r="D9808" s="104">
        <f>VLOOKUP(A9808,'Mano Obra'!$B$2:$T$117,19,0)</f>
        <v>120456</v>
      </c>
      <c r="E9808" s="246">
        <f>H9769</f>
        <v>1.2500000000000001E-2</v>
      </c>
      <c r="F9808" s="538">
        <f t="shared" ref="F9808:F9809" si="569">E9808*D9808*C9808</f>
        <v>3011.4</v>
      </c>
      <c r="G9808" s="557"/>
      <c r="H9808" s="121"/>
      <c r="J9808" s="136">
        <f>((('Mano Obra'!$M$5/30)*F9808)/D9808)*G9776</f>
        <v>0</v>
      </c>
    </row>
    <row r="9809" spans="1:10">
      <c r="A9809" s="558" t="s">
        <v>4186</v>
      </c>
      <c r="B9809" s="559">
        <f>VLOOKUP(A9809,'Mano Obra'!$B$3:$D$290,2,0)</f>
        <v>1100000</v>
      </c>
      <c r="C9809" s="101">
        <v>1</v>
      </c>
      <c r="D9809" s="104">
        <f>VLOOKUP(A9809,'Mano Obra'!$B$2:$T$117,19,0)</f>
        <v>72664</v>
      </c>
      <c r="E9809" s="246">
        <f>H9769</f>
        <v>1.2500000000000001E-2</v>
      </c>
      <c r="F9809" s="538">
        <f t="shared" si="569"/>
        <v>908.30000000000007</v>
      </c>
      <c r="G9809" s="557"/>
      <c r="H9809" s="120"/>
      <c r="J9809" s="136">
        <f>((('Mano Obra'!$M$6/30)*F9809)/D9809)*G9776</f>
        <v>0</v>
      </c>
    </row>
    <row r="9810" spans="1:10" ht="16.5">
      <c r="A9810" s="560" t="s">
        <v>4101</v>
      </c>
      <c r="B9810" s="560"/>
      <c r="C9810" s="560"/>
      <c r="D9810" s="560"/>
      <c r="E9810" s="560"/>
      <c r="F9810" s="560"/>
      <c r="G9810" s="560"/>
      <c r="H9810" s="105">
        <f>SUM(F9807:F9809)</f>
        <v>6002.5000000000009</v>
      </c>
      <c r="J9810" s="136"/>
    </row>
    <row r="9811" spans="1:10">
      <c r="A9811" s="227" t="s">
        <v>4237</v>
      </c>
      <c r="B9811" s="205"/>
      <c r="C9811" s="205"/>
      <c r="D9811" s="202"/>
      <c r="E9811" s="203"/>
      <c r="F9811" s="204"/>
      <c r="G9811" s="203"/>
      <c r="H9811" s="212"/>
    </row>
    <row r="9812" spans="1:10">
      <c r="A9812" s="561" t="s">
        <v>4224</v>
      </c>
      <c r="B9812" s="562"/>
      <c r="C9812" s="562"/>
      <c r="D9812" s="562"/>
      <c r="E9812" s="200"/>
      <c r="F9812" s="201" t="s">
        <v>4238</v>
      </c>
      <c r="G9812" s="200" t="s">
        <v>4239</v>
      </c>
      <c r="H9812" s="213"/>
    </row>
    <row r="9813" spans="1:10">
      <c r="A9813" s="223" t="s">
        <v>4097</v>
      </c>
      <c r="B9813" s="72"/>
      <c r="C9813" s="72"/>
      <c r="D9813" s="73"/>
      <c r="E9813" s="78"/>
      <c r="F9813" s="79">
        <v>0</v>
      </c>
      <c r="G9813" s="80">
        <f>F9813*H9777</f>
        <v>0</v>
      </c>
      <c r="H9813" s="212"/>
    </row>
    <row r="9814" spans="1:10">
      <c r="A9814" s="224" t="s">
        <v>4240</v>
      </c>
      <c r="B9814" s="81"/>
      <c r="C9814" s="81"/>
      <c r="D9814" s="82"/>
      <c r="E9814" s="78"/>
      <c r="F9814" s="79">
        <v>0</v>
      </c>
      <c r="G9814" s="80">
        <f>F9814*H9777</f>
        <v>0</v>
      </c>
      <c r="H9814" s="212"/>
    </row>
    <row r="9815" spans="1:10">
      <c r="A9815" s="224" t="s">
        <v>4</v>
      </c>
      <c r="B9815" s="81"/>
      <c r="C9815" s="81"/>
      <c r="D9815" s="82"/>
      <c r="E9815" s="78"/>
      <c r="F9815" s="79">
        <v>0</v>
      </c>
      <c r="G9815" s="80">
        <f>F9815*H9777</f>
        <v>0</v>
      </c>
      <c r="H9815" s="212"/>
    </row>
    <row r="9816" spans="1:10">
      <c r="A9816" s="225"/>
      <c r="B9816" s="83"/>
      <c r="C9816" s="75"/>
      <c r="D9816" s="84"/>
      <c r="E9816" s="85"/>
      <c r="F9816" s="86"/>
      <c r="G9816" s="87"/>
      <c r="H9816" s="214"/>
    </row>
    <row r="9817" spans="1:10">
      <c r="A9817" s="226"/>
      <c r="B9817" s="83"/>
      <c r="C9817" s="83"/>
      <c r="D9817" s="84"/>
      <c r="E9817" s="88"/>
      <c r="F9817" s="563" t="s">
        <v>4241</v>
      </c>
      <c r="G9817" s="564"/>
      <c r="H9817" s="233">
        <f>H9777+G9813+G9814+G9815</f>
        <v>81570.953750000001</v>
      </c>
    </row>
    <row r="9819" spans="1:10" ht="16.5">
      <c r="A9819" s="90"/>
      <c r="B9819" s="90"/>
      <c r="C9819" s="90"/>
      <c r="D9819" s="90"/>
      <c r="E9819" s="90"/>
      <c r="F9819" s="90"/>
      <c r="G9819" s="90"/>
      <c r="H9819" s="381"/>
    </row>
    <row r="9820" spans="1:10">
      <c r="A9820" s="579" t="s">
        <v>4225</v>
      </c>
      <c r="B9820" s="580"/>
      <c r="C9820" s="580"/>
      <c r="D9820" s="580"/>
      <c r="E9820" s="580"/>
      <c r="F9820" s="580"/>
      <c r="G9820" s="580"/>
      <c r="H9820" s="581"/>
    </row>
    <row r="9821" spans="1:10" ht="16.5">
      <c r="A9821" s="91"/>
      <c r="B9821" s="92"/>
      <c r="C9821" s="92"/>
      <c r="D9821" s="92"/>
      <c r="E9821" s="92"/>
      <c r="F9821" s="93"/>
      <c r="G9821" s="94"/>
      <c r="H9821" s="380">
        <f>ROUND((19/60)/8,4)</f>
        <v>3.9600000000000003E-2</v>
      </c>
      <c r="I9821" s="115"/>
    </row>
    <row r="9822" spans="1:10">
      <c r="A9822" s="582" t="s">
        <v>4220</v>
      </c>
      <c r="B9822" s="584" t="str">
        <f>COSTOS!$C$14</f>
        <v>MODERNIZACION A TECNOLOGIA LED</v>
      </c>
      <c r="C9822" s="584"/>
      <c r="D9822" s="584"/>
      <c r="E9822" s="584"/>
      <c r="F9822" s="584"/>
      <c r="G9822" s="584"/>
      <c r="H9822" s="585" t="s">
        <v>4221</v>
      </c>
    </row>
    <row r="9823" spans="1:10">
      <c r="A9823" s="583"/>
      <c r="B9823" s="584"/>
      <c r="C9823" s="584"/>
      <c r="D9823" s="584"/>
      <c r="E9823" s="584"/>
      <c r="F9823" s="584"/>
      <c r="G9823" s="584"/>
      <c r="H9823" s="585"/>
    </row>
    <row r="9824" spans="1:10">
      <c r="A9824" s="583"/>
      <c r="B9824" s="584"/>
      <c r="C9824" s="584"/>
      <c r="D9824" s="584"/>
      <c r="E9824" s="584"/>
      <c r="F9824" s="584"/>
      <c r="G9824" s="584"/>
      <c r="H9824" s="585"/>
    </row>
    <row r="9825" spans="1:15" ht="15" customHeight="1">
      <c r="A9825" s="583"/>
      <c r="B9825" s="584"/>
      <c r="C9825" s="584"/>
      <c r="D9825" s="584"/>
      <c r="E9825" s="584"/>
      <c r="F9825" s="584"/>
      <c r="G9825" s="584"/>
      <c r="H9825" s="216">
        <f ca="1">TODAY()</f>
        <v>44889</v>
      </c>
      <c r="K9825" t="s">
        <v>4391</v>
      </c>
      <c r="L9825" t="s">
        <v>4392</v>
      </c>
      <c r="M9825" t="s">
        <v>4393</v>
      </c>
      <c r="N9825" t="s">
        <v>4394</v>
      </c>
    </row>
    <row r="9826" spans="1:15" ht="60.75" customHeight="1">
      <c r="A9826" s="228" t="s">
        <v>4222</v>
      </c>
      <c r="B9826" s="565" t="str">
        <f>COSTOS!$D$16</f>
        <v>Luminarias</v>
      </c>
      <c r="C9826" s="565"/>
      <c r="D9826" s="565"/>
      <c r="E9826" s="565"/>
      <c r="F9826" s="565"/>
      <c r="G9826" s="70" t="s">
        <v>4223</v>
      </c>
      <c r="H9826" s="387">
        <v>7.12</v>
      </c>
      <c r="K9826" s="62">
        <f>H9852</f>
        <v>24932.880000000001</v>
      </c>
      <c r="L9826" s="62">
        <f>H9862</f>
        <v>19015.920000000002</v>
      </c>
      <c r="M9826" s="62">
        <f>H9835</f>
        <v>4083.8490000000006</v>
      </c>
      <c r="N9826" s="62">
        <f>H9856</f>
        <v>1280</v>
      </c>
    </row>
    <row r="9827" spans="1:15" ht="43.15" customHeight="1">
      <c r="A9827" s="229" t="s">
        <v>4224</v>
      </c>
      <c r="B9827" s="566" t="str">
        <f>VLOOKUP(H9826,COSTOS!C:M,2,0)</f>
        <v>Canalizacion con un ducto 3" PVC x 500 mts</v>
      </c>
      <c r="C9827" s="567"/>
      <c r="D9827" s="567"/>
      <c r="E9827" s="568"/>
      <c r="F9827" s="71" t="s">
        <v>0</v>
      </c>
      <c r="G9827" s="356" t="str">
        <f>VLOOKUP(H9826,COSTOS!C:M,8,0)</f>
        <v>Ml</v>
      </c>
      <c r="H9827" s="276"/>
      <c r="I9827" s="306"/>
      <c r="J9827" s="308"/>
      <c r="K9827" s="308"/>
      <c r="L9827" s="308"/>
    </row>
    <row r="9828" spans="1:15">
      <c r="A9828" s="230"/>
      <c r="B9828" s="112"/>
      <c r="C9828" s="112"/>
      <c r="D9828" s="112"/>
      <c r="E9828" s="113"/>
      <c r="F9828" s="114" t="s">
        <v>1</v>
      </c>
      <c r="G9828" s="356">
        <f>VLOOKUP(H9826,COSTOS!C:M,9,0)</f>
        <v>0</v>
      </c>
      <c r="H9828" s="357"/>
      <c r="I9828" s="307"/>
    </row>
    <row r="9829" spans="1:15" ht="16.5">
      <c r="A9829" s="231" t="s">
        <v>4226</v>
      </c>
      <c r="B9829" s="75"/>
      <c r="C9829" s="75"/>
      <c r="D9829" s="76"/>
      <c r="E9829" s="209"/>
      <c r="F9829" s="210"/>
      <c r="G9829" s="211" t="s">
        <v>4227</v>
      </c>
      <c r="H9829" s="217">
        <f>H9835+H9852+H9856+H9862</f>
        <v>49312.649000000005</v>
      </c>
    </row>
    <row r="9830" spans="1:15" ht="39">
      <c r="A9830" s="569" t="s">
        <v>4224</v>
      </c>
      <c r="B9830" s="569"/>
      <c r="C9830" s="569"/>
      <c r="D9830" s="77" t="s">
        <v>0</v>
      </c>
      <c r="E9830" s="207" t="s">
        <v>4228</v>
      </c>
      <c r="F9830" s="208" t="s">
        <v>4215</v>
      </c>
      <c r="G9830" s="74" t="s">
        <v>2</v>
      </c>
      <c r="H9830" s="218" t="s">
        <v>4229</v>
      </c>
      <c r="K9830" s="309"/>
    </row>
    <row r="9831" spans="1:15">
      <c r="A9831" s="536" t="s">
        <v>3946</v>
      </c>
      <c r="B9831" s="570" t="str">
        <f>VLOOKUP(A9831,'Equip, Herr y Transp'!$B$2:$D$739,2,0)</f>
        <v>EQU</v>
      </c>
      <c r="C9831" s="570"/>
      <c r="D9831" s="95" t="str">
        <f>VLOOKUP(A9831,'Equip, Herr y Transp'!$B$2:$D$218,2,0)</f>
        <v>EQU</v>
      </c>
      <c r="E9831" s="95">
        <f>VLOOKUP(A9831,'Equip, Herr y Transp'!$B$2:$D$218,3,0)</f>
        <v>14130</v>
      </c>
      <c r="F9831" s="96">
        <f>H9821</f>
        <v>3.9600000000000003E-2</v>
      </c>
      <c r="G9831" s="122">
        <f>F9831*E9831</f>
        <v>559.548</v>
      </c>
      <c r="H9831" s="118"/>
    </row>
    <row r="9832" spans="1:15">
      <c r="A9832" s="536" t="s">
        <v>3914</v>
      </c>
      <c r="B9832" s="570" t="str">
        <f>VLOOKUP(A9832,'Equip, Herr y Transp'!$B$2:$D$739,2,0)</f>
        <v>EQU</v>
      </c>
      <c r="C9832" s="570"/>
      <c r="D9832" s="95" t="str">
        <f>VLOOKUP(A9832,'Equip, Herr y Transp'!$B$2:$D$218,2,0)</f>
        <v>EQU</v>
      </c>
      <c r="E9832" s="95">
        <f>VLOOKUP(A9832,'Equip, Herr y Transp'!$B$2:$D$218,3,0)</f>
        <v>6250</v>
      </c>
      <c r="F9832" s="96">
        <f>H9821</f>
        <v>3.9600000000000003E-2</v>
      </c>
      <c r="G9832" s="122">
        <f>F9832*E9832</f>
        <v>247.50000000000003</v>
      </c>
      <c r="H9832" s="117"/>
    </row>
    <row r="9833" spans="1:15">
      <c r="A9833" s="536" t="s">
        <v>4144</v>
      </c>
      <c r="B9833" s="570" t="str">
        <f>VLOOKUP(A9833,'Equip, Herr y Transp'!$B$2:$D$739,2,0)</f>
        <v>EQU</v>
      </c>
      <c r="C9833" s="570"/>
      <c r="D9833" s="95" t="str">
        <f>VLOOKUP(A9833,'Equip, Herr y Transp'!$B$2:$D$218,2,0)</f>
        <v>EQU</v>
      </c>
      <c r="E9833" s="95">
        <f>VLOOKUP(A9833,'Equip, Herr y Transp'!$B$2:$D$218,3,0)</f>
        <v>75000</v>
      </c>
      <c r="F9833" s="96">
        <f>H9821</f>
        <v>3.9600000000000003E-2</v>
      </c>
      <c r="G9833" s="122">
        <f>F9833*E9833</f>
        <v>2970.0000000000005</v>
      </c>
      <c r="H9833" s="117"/>
    </row>
    <row r="9834" spans="1:15">
      <c r="A9834" s="536" t="s">
        <v>3903</v>
      </c>
      <c r="B9834" s="570" t="str">
        <f>VLOOKUP(A9834,'Equip, Herr y Transp'!$B$2:$D$739,2,0)</f>
        <v>EQU</v>
      </c>
      <c r="C9834" s="570"/>
      <c r="D9834" s="95" t="str">
        <f>VLOOKUP(A9834,'Equip, Herr y Transp'!$B$2:$D$218,2,0)</f>
        <v>EQU</v>
      </c>
      <c r="E9834" s="95">
        <f>VLOOKUP(A9834,'Equip, Herr y Transp'!$B$2:$D$218,3,0)</f>
        <v>7747.5</v>
      </c>
      <c r="F9834" s="96">
        <f>H9821</f>
        <v>3.9600000000000003E-2</v>
      </c>
      <c r="G9834" s="122">
        <f>F9834*E9834</f>
        <v>306.80100000000004</v>
      </c>
      <c r="H9834" s="117"/>
    </row>
    <row r="9835" spans="1:15" ht="16.5">
      <c r="A9835" s="540" t="s">
        <v>4100</v>
      </c>
      <c r="B9835" s="541"/>
      <c r="C9835" s="541"/>
      <c r="D9835" s="541"/>
      <c r="E9835" s="541"/>
      <c r="F9835" s="541"/>
      <c r="G9835" s="541"/>
      <c r="H9835" s="97">
        <f>SUM(G9831:G9834)</f>
        <v>4083.8490000000006</v>
      </c>
    </row>
    <row r="9836" spans="1:15" ht="16.5">
      <c r="A9836" s="571" t="s">
        <v>4230</v>
      </c>
      <c r="B9836" s="572"/>
      <c r="C9836" s="572"/>
      <c r="D9836" s="572"/>
      <c r="E9836" s="572"/>
      <c r="F9836" s="572"/>
      <c r="G9836" s="572"/>
      <c r="H9836" s="573"/>
      <c r="K9836" s="56"/>
      <c r="L9836" s="56"/>
      <c r="M9836" s="56"/>
      <c r="N9836" s="56"/>
      <c r="O9836" s="56"/>
    </row>
    <row r="9837" spans="1:15" ht="30" customHeight="1">
      <c r="A9837" s="574" t="s">
        <v>7</v>
      </c>
      <c r="B9837" s="575"/>
      <c r="C9837" s="109" t="s">
        <v>0</v>
      </c>
      <c r="D9837" s="110" t="s">
        <v>4098</v>
      </c>
      <c r="E9837" s="111" t="s">
        <v>1</v>
      </c>
      <c r="F9837" s="576" t="s">
        <v>4218</v>
      </c>
      <c r="G9837" s="576"/>
      <c r="H9837" s="215"/>
      <c r="K9837" s="56"/>
      <c r="L9837" s="56"/>
      <c r="M9837" s="56"/>
      <c r="N9837" s="56"/>
      <c r="O9837" s="56"/>
    </row>
    <row r="9838" spans="1:15">
      <c r="A9838" s="577" t="s">
        <v>5006</v>
      </c>
      <c r="B9838" s="578"/>
      <c r="C9838" s="98" t="str">
        <f>VLOOKUP(A9838,'Materiales '!$C$2:$F$1302,3,0)</f>
        <v>Und</v>
      </c>
      <c r="D9838" s="99">
        <f>VLOOKUP(A9838,'Materiales '!$C$2:$F$1302,4,0)</f>
        <v>62832</v>
      </c>
      <c r="E9838" s="100">
        <v>0.34</v>
      </c>
      <c r="F9838" s="538">
        <f>E9838*D9838</f>
        <v>21362.880000000001</v>
      </c>
      <c r="G9838" s="539"/>
      <c r="H9838" s="121"/>
      <c r="I9838">
        <f>E9838*G9828</f>
        <v>0</v>
      </c>
      <c r="J9838" s="67"/>
      <c r="K9838" s="56"/>
      <c r="L9838" s="56"/>
      <c r="M9838" s="56"/>
      <c r="N9838" s="56"/>
      <c r="O9838" s="56"/>
    </row>
    <row r="9839" spans="1:15">
      <c r="A9839" s="577" t="s">
        <v>4639</v>
      </c>
      <c r="B9839" s="578"/>
      <c r="C9839" s="98" t="str">
        <f>VLOOKUP(A9839,'Materiales '!$C$2:$F$1302,3,0)</f>
        <v>Und</v>
      </c>
      <c r="D9839" s="99">
        <f>VLOOKUP(A9839,'Materiales '!$C$2:$F$1302,4,0)</f>
        <v>35700</v>
      </c>
      <c r="E9839" s="100">
        <v>0.1</v>
      </c>
      <c r="F9839" s="538">
        <f t="shared" ref="F9839:F9845" si="570">E9839*D9839</f>
        <v>3570</v>
      </c>
      <c r="G9839" s="539"/>
      <c r="H9839" s="121"/>
      <c r="I9839">
        <f>E9839*G9828</f>
        <v>0</v>
      </c>
      <c r="J9839" s="67"/>
      <c r="K9839" s="56"/>
      <c r="L9839" s="56"/>
      <c r="M9839" s="56"/>
      <c r="N9839" s="56"/>
      <c r="O9839" s="56"/>
    </row>
    <row r="9840" spans="1:15">
      <c r="A9840" s="536" t="s">
        <v>8</v>
      </c>
      <c r="B9840" s="537" t="str">
        <f>VLOOKUP(A9840,'Materiales '!$C$2:$F$1302,3,0)</f>
        <v>-</v>
      </c>
      <c r="C9840" s="98" t="str">
        <f>VLOOKUP(A9840,'Materiales '!$C$2:$F$1302,3,0)</f>
        <v>-</v>
      </c>
      <c r="D9840" s="99">
        <f>VLOOKUP(A9840,'Materiales '!$C$2:$F$1302,4,0)</f>
        <v>0</v>
      </c>
      <c r="E9840" s="100">
        <v>0.34</v>
      </c>
      <c r="F9840" s="538">
        <f t="shared" si="570"/>
        <v>0</v>
      </c>
      <c r="G9840" s="539"/>
      <c r="H9840" s="121"/>
      <c r="I9840">
        <f>E9840*G9828</f>
        <v>0</v>
      </c>
      <c r="J9840" s="68"/>
      <c r="K9840" s="56"/>
      <c r="L9840" s="56"/>
      <c r="M9840" s="56"/>
      <c r="N9840" s="56"/>
      <c r="O9840" s="56"/>
    </row>
    <row r="9841" spans="1:15">
      <c r="A9841" s="536" t="s">
        <v>8</v>
      </c>
      <c r="B9841" s="537" t="str">
        <f>VLOOKUP(A9841,'Materiales '!$C$2:$F$1302,3,0)</f>
        <v>-</v>
      </c>
      <c r="C9841" s="98" t="str">
        <f>VLOOKUP(A9841,'Materiales '!$C$2:$F$1302,3,0)</f>
        <v>-</v>
      </c>
      <c r="D9841" s="99">
        <f>VLOOKUP(A9841,'Materiales '!$C$2:$F$1302,4,0)</f>
        <v>0</v>
      </c>
      <c r="E9841" s="100">
        <v>0.02</v>
      </c>
      <c r="F9841" s="538">
        <f t="shared" si="570"/>
        <v>0</v>
      </c>
      <c r="G9841" s="539"/>
      <c r="H9841" s="121"/>
      <c r="I9841">
        <f>E9841*G9828</f>
        <v>0</v>
      </c>
      <c r="J9841" s="68"/>
      <c r="K9841" s="56"/>
      <c r="L9841" s="56"/>
      <c r="M9841" s="56"/>
      <c r="N9841" s="56"/>
      <c r="O9841" s="56"/>
    </row>
    <row r="9842" spans="1:15">
      <c r="A9842" s="536" t="s">
        <v>8</v>
      </c>
      <c r="B9842" s="537" t="str">
        <f>VLOOKUP(A9842,'Materiales '!$C$2:$F$1302,3,0)</f>
        <v>-</v>
      </c>
      <c r="C9842" s="98" t="str">
        <f>VLOOKUP(A9842,'Materiales '!$C$2:$F$1302,3,0)</f>
        <v>-</v>
      </c>
      <c r="D9842" s="99">
        <f>VLOOKUP(A9842,'Materiales '!$C$2:$F$1302,4,0)</f>
        <v>0</v>
      </c>
      <c r="E9842" s="100">
        <v>0.5</v>
      </c>
      <c r="F9842" s="538">
        <f t="shared" si="570"/>
        <v>0</v>
      </c>
      <c r="G9842" s="539"/>
      <c r="H9842" s="121"/>
      <c r="I9842">
        <f>E9842*G9828</f>
        <v>0</v>
      </c>
      <c r="J9842" s="68"/>
      <c r="K9842" s="56"/>
      <c r="L9842" s="56"/>
      <c r="M9842" s="56"/>
      <c r="N9842" s="56"/>
      <c r="O9842" s="56"/>
    </row>
    <row r="9843" spans="1:15">
      <c r="A9843" s="536" t="s">
        <v>8</v>
      </c>
      <c r="B9843" s="537" t="str">
        <f>VLOOKUP(A9843,'Materiales '!$C$2:$F$1302,3,0)</f>
        <v>-</v>
      </c>
      <c r="C9843" s="98" t="str">
        <f>VLOOKUP(A9843,'Materiales '!$C$2:$F$1302,3,0)</f>
        <v>-</v>
      </c>
      <c r="D9843" s="99">
        <f>VLOOKUP(A9843,'Materiales '!$C$2:$F$1302,4,0)</f>
        <v>0</v>
      </c>
      <c r="E9843" s="100">
        <v>1</v>
      </c>
      <c r="F9843" s="538">
        <f t="shared" si="570"/>
        <v>0</v>
      </c>
      <c r="G9843" s="539"/>
      <c r="H9843" s="121"/>
      <c r="I9843">
        <f>E9843*G9828</f>
        <v>0</v>
      </c>
      <c r="J9843" s="68"/>
      <c r="K9843" s="56"/>
      <c r="L9843" s="56"/>
      <c r="M9843" s="56"/>
      <c r="N9843" s="56"/>
      <c r="O9843" s="56"/>
    </row>
    <row r="9844" spans="1:15">
      <c r="A9844" s="536" t="s">
        <v>8</v>
      </c>
      <c r="B9844" s="537" t="str">
        <f>VLOOKUP(A9844,'Materiales '!$C$2:$F$1302,3,0)</f>
        <v>-</v>
      </c>
      <c r="C9844" s="98" t="str">
        <f>VLOOKUP(A9844,'Materiales '!$C$2:$F$1302,3,0)</f>
        <v>-</v>
      </c>
      <c r="D9844" s="99">
        <f>VLOOKUP(A9844,'Materiales '!$C$2:$F$1302,4,0)</f>
        <v>0</v>
      </c>
      <c r="E9844" s="100">
        <v>1</v>
      </c>
      <c r="F9844" s="538">
        <f t="shared" si="570"/>
        <v>0</v>
      </c>
      <c r="G9844" s="539"/>
      <c r="H9844" s="121"/>
      <c r="I9844">
        <f>E9844*G9828</f>
        <v>0</v>
      </c>
      <c r="J9844" s="68"/>
      <c r="K9844" s="56"/>
      <c r="L9844" s="56"/>
      <c r="M9844" s="56"/>
      <c r="N9844" s="56"/>
      <c r="O9844" s="56"/>
    </row>
    <row r="9845" spans="1:15" ht="21.75" customHeight="1">
      <c r="A9845" s="536" t="s">
        <v>8</v>
      </c>
      <c r="B9845" s="537" t="str">
        <f>VLOOKUP(A9845,'Materiales '!$C$2:$F$1302,3,0)</f>
        <v>-</v>
      </c>
      <c r="C9845" s="98" t="str">
        <f>VLOOKUP(A9845,'Materiales '!$C$2:$F$1302,3,0)</f>
        <v>-</v>
      </c>
      <c r="D9845" s="99">
        <f>VLOOKUP(A9845,'Materiales '!$C$2:$F$1302,4,0)</f>
        <v>0</v>
      </c>
      <c r="E9845" s="100"/>
      <c r="F9845" s="538">
        <f t="shared" si="570"/>
        <v>0</v>
      </c>
      <c r="G9845" s="539"/>
      <c r="H9845" s="121"/>
      <c r="I9845">
        <f>E9845*G9828</f>
        <v>0</v>
      </c>
      <c r="J9845" s="68"/>
      <c r="K9845" s="56"/>
      <c r="L9845" s="56"/>
      <c r="M9845" s="56"/>
      <c r="N9845" s="56"/>
      <c r="O9845" s="56"/>
    </row>
    <row r="9846" spans="1:15">
      <c r="A9846" s="536" t="s">
        <v>8</v>
      </c>
      <c r="B9846" s="537" t="str">
        <f>VLOOKUP(A9846,'Materiales '!$C$2:$F$1302,3,0)</f>
        <v>-</v>
      </c>
      <c r="C9846" s="98" t="str">
        <f>VLOOKUP(A9846,'Materiales '!$C$2:$F$1302,3,0)</f>
        <v>-</v>
      </c>
      <c r="D9846" s="99">
        <f>VLOOKUP(A9846,'Materiales '!$C$2:$F$1302,4,0)</f>
        <v>0</v>
      </c>
      <c r="E9846" s="100"/>
      <c r="F9846" s="538">
        <f>E9846*D9846</f>
        <v>0</v>
      </c>
      <c r="G9846" s="539"/>
      <c r="H9846" s="120"/>
      <c r="I9846">
        <f>E9846*G9828</f>
        <v>0</v>
      </c>
      <c r="J9846" s="68"/>
      <c r="K9846" s="56"/>
      <c r="L9846" s="56"/>
      <c r="M9846" s="56"/>
      <c r="N9846" s="56"/>
      <c r="O9846" s="56"/>
    </row>
    <row r="9847" spans="1:15">
      <c r="A9847" s="536" t="s">
        <v>8</v>
      </c>
      <c r="B9847" s="537" t="str">
        <f>VLOOKUP(A9847,'Materiales '!$C$2:$F$1302,3,0)</f>
        <v>-</v>
      </c>
      <c r="C9847" s="98" t="str">
        <f>VLOOKUP(A9847,'Materiales '!$C$2:$F$1302,3,0)</f>
        <v>-</v>
      </c>
      <c r="D9847" s="99">
        <f>VLOOKUP(A9847,'Materiales '!$C$2:$F$1302,4,0)</f>
        <v>0</v>
      </c>
      <c r="E9847" s="100"/>
      <c r="F9847" s="538">
        <f t="shared" ref="F9847:F9850" si="571">E9847*D9847</f>
        <v>0</v>
      </c>
      <c r="G9847" s="539"/>
      <c r="H9847" s="121"/>
      <c r="I9847">
        <f>E9847*G9828</f>
        <v>0</v>
      </c>
      <c r="J9847" s="68"/>
      <c r="K9847" s="56"/>
      <c r="L9847" s="56"/>
      <c r="M9847" s="56"/>
      <c r="N9847" s="56"/>
      <c r="O9847" s="56"/>
    </row>
    <row r="9848" spans="1:15">
      <c r="A9848" s="536" t="s">
        <v>8</v>
      </c>
      <c r="B9848" s="537" t="str">
        <f>VLOOKUP(A9848,'Materiales '!$C$2:$F$1302,3,0)</f>
        <v>-</v>
      </c>
      <c r="C9848" s="98" t="str">
        <f>VLOOKUP(A9848,'Materiales '!$C$2:$F$1302,3,0)</f>
        <v>-</v>
      </c>
      <c r="D9848" s="99">
        <f>VLOOKUP(A9848,'Materiales '!$C$2:$F$1302,4,0)</f>
        <v>0</v>
      </c>
      <c r="E9848" s="100"/>
      <c r="F9848" s="538">
        <f t="shared" si="571"/>
        <v>0</v>
      </c>
      <c r="G9848" s="539"/>
      <c r="H9848" s="121"/>
      <c r="I9848">
        <f>E9848*G9828</f>
        <v>0</v>
      </c>
      <c r="J9848" s="68"/>
      <c r="K9848" s="56"/>
      <c r="L9848" s="56"/>
      <c r="M9848" s="56"/>
      <c r="N9848" s="56"/>
      <c r="O9848" s="56"/>
    </row>
    <row r="9849" spans="1:15">
      <c r="A9849" s="536" t="s">
        <v>8</v>
      </c>
      <c r="B9849" s="537" t="str">
        <f>VLOOKUP(A9849,'Materiales '!$C$2:$F$1302,3,0)</f>
        <v>-</v>
      </c>
      <c r="C9849" s="98" t="str">
        <f>VLOOKUP(A9849,'Materiales '!$C$2:$F$1302,3,0)</f>
        <v>-</v>
      </c>
      <c r="D9849" s="99">
        <f>VLOOKUP(A9849,'Materiales '!$C$2:$F$1302,4,0)</f>
        <v>0</v>
      </c>
      <c r="E9849" s="100"/>
      <c r="F9849" s="538">
        <f t="shared" si="571"/>
        <v>0</v>
      </c>
      <c r="G9849" s="539"/>
      <c r="H9849" s="121"/>
      <c r="I9849">
        <f>E9849*G9828</f>
        <v>0</v>
      </c>
      <c r="J9849" s="68"/>
      <c r="K9849" s="56"/>
      <c r="L9849" s="56"/>
      <c r="M9849" s="56"/>
      <c r="N9849" s="56"/>
      <c r="O9849" s="56"/>
    </row>
    <row r="9850" spans="1:15">
      <c r="A9850" s="536" t="s">
        <v>8</v>
      </c>
      <c r="B9850" s="537" t="str">
        <f>VLOOKUP(A9850,'Materiales '!$C$2:$F$1302,3,0)</f>
        <v>-</v>
      </c>
      <c r="C9850" s="98" t="str">
        <f>VLOOKUP(A9850,'Materiales '!$C$2:$F$1302,3,0)</f>
        <v>-</v>
      </c>
      <c r="D9850" s="99">
        <f>VLOOKUP(A9850,'Materiales '!$C$2:$F$1302,4,0)</f>
        <v>0</v>
      </c>
      <c r="E9850" s="100"/>
      <c r="F9850" s="538">
        <f t="shared" si="571"/>
        <v>0</v>
      </c>
      <c r="G9850" s="539"/>
      <c r="H9850" s="121"/>
      <c r="I9850">
        <f>E9850*G9828</f>
        <v>0</v>
      </c>
      <c r="J9850" s="68"/>
      <c r="K9850" s="56"/>
      <c r="L9850" s="56"/>
      <c r="M9850" s="56"/>
      <c r="N9850" s="56"/>
      <c r="O9850" s="56"/>
    </row>
    <row r="9851" spans="1:15">
      <c r="A9851" s="536" t="s">
        <v>8</v>
      </c>
      <c r="B9851" s="537" t="str">
        <f>VLOOKUP(A9851,'Materiales '!$C$2:$F$1302,3,0)</f>
        <v>-</v>
      </c>
      <c r="C9851" s="98" t="str">
        <f>VLOOKUP(A9851,'Materiales '!$C$2:$F$1302,3,0)</f>
        <v>-</v>
      </c>
      <c r="D9851" s="99">
        <f>VLOOKUP(A9851,'Materiales '!$C$2:$F$1302,4,0)</f>
        <v>0</v>
      </c>
      <c r="E9851" s="100"/>
      <c r="F9851" s="538">
        <f>E9851*D9851</f>
        <v>0</v>
      </c>
      <c r="G9851" s="539"/>
      <c r="H9851" s="120"/>
      <c r="I9851">
        <f>E9851*G9828</f>
        <v>0</v>
      </c>
      <c r="J9851" s="68"/>
      <c r="K9851" s="56"/>
      <c r="L9851" s="56"/>
      <c r="M9851" s="56"/>
      <c r="N9851" s="56"/>
      <c r="O9851" s="56"/>
    </row>
    <row r="9852" spans="1:15" ht="16.5">
      <c r="A9852" s="540" t="s">
        <v>4099</v>
      </c>
      <c r="B9852" s="541"/>
      <c r="C9852" s="541"/>
      <c r="D9852" s="541"/>
      <c r="E9852" s="541"/>
      <c r="F9852" s="541"/>
      <c r="G9852" s="542"/>
      <c r="H9852" s="116">
        <f>SUM(F9838:F9851)</f>
        <v>24932.880000000001</v>
      </c>
      <c r="J9852" s="68"/>
      <c r="K9852" s="56"/>
      <c r="L9852" s="56"/>
      <c r="M9852" s="56"/>
      <c r="N9852" s="56"/>
      <c r="O9852" s="56"/>
    </row>
    <row r="9853" spans="1:15" ht="16.5">
      <c r="A9853" s="543" t="s">
        <v>4231</v>
      </c>
      <c r="B9853" s="544"/>
      <c r="C9853" s="544"/>
      <c r="D9853" s="544"/>
      <c r="E9853" s="545"/>
      <c r="F9853" s="544"/>
      <c r="G9853" s="544"/>
      <c r="H9853" s="546"/>
      <c r="J9853" s="68"/>
      <c r="K9853" s="56"/>
      <c r="L9853" s="56"/>
      <c r="M9853" s="56"/>
      <c r="N9853" s="56"/>
      <c r="O9853" s="56"/>
    </row>
    <row r="9854" spans="1:15">
      <c r="A9854" s="547" t="s">
        <v>7</v>
      </c>
      <c r="B9854" s="548"/>
      <c r="C9854" s="108" t="s">
        <v>4232</v>
      </c>
      <c r="D9854" s="107" t="s">
        <v>4233</v>
      </c>
      <c r="E9854" s="206" t="s">
        <v>4234</v>
      </c>
      <c r="F9854" s="549" t="s">
        <v>4218</v>
      </c>
      <c r="G9854" s="549"/>
      <c r="H9854" s="119"/>
      <c r="K9854" s="56"/>
      <c r="L9854" s="56"/>
      <c r="M9854" s="56"/>
      <c r="N9854" s="56"/>
      <c r="O9854" s="56"/>
    </row>
    <row r="9855" spans="1:15">
      <c r="A9855" s="550" t="s">
        <v>3928</v>
      </c>
      <c r="B9855" s="551"/>
      <c r="C9855" s="232">
        <v>1</v>
      </c>
      <c r="D9855" s="102">
        <v>8.0000000000000002E-3</v>
      </c>
      <c r="E9855" s="103">
        <f>VLOOKUP(A9855,'Equip, Herr y Transp'!$B$2:$D$218,3,0)</f>
        <v>160000</v>
      </c>
      <c r="F9855" s="552">
        <f>E9855*D9855*C9855</f>
        <v>1280</v>
      </c>
      <c r="G9855" s="553"/>
      <c r="H9855" s="117"/>
      <c r="M9855" s="56"/>
    </row>
    <row r="9856" spans="1:15" ht="16.5">
      <c r="A9856" s="554" t="s">
        <v>4216</v>
      </c>
      <c r="B9856" s="555"/>
      <c r="C9856" s="555"/>
      <c r="D9856" s="555"/>
      <c r="E9856" s="555"/>
      <c r="F9856" s="555"/>
      <c r="G9856" s="555"/>
      <c r="H9856" s="105">
        <f>F9855</f>
        <v>1280</v>
      </c>
    </row>
    <row r="9857" spans="1:10" ht="16.5">
      <c r="A9857" s="543" t="s">
        <v>4235</v>
      </c>
      <c r="B9857" s="544"/>
      <c r="C9857" s="544"/>
      <c r="D9857" s="544"/>
      <c r="E9857" s="544"/>
      <c r="F9857" s="544"/>
      <c r="G9857" s="544"/>
      <c r="H9857" s="546"/>
    </row>
    <row r="9858" spans="1:10">
      <c r="A9858" s="547" t="s">
        <v>7</v>
      </c>
      <c r="B9858" s="548"/>
      <c r="C9858" s="106" t="s">
        <v>1</v>
      </c>
      <c r="D9858" s="107" t="s">
        <v>4236</v>
      </c>
      <c r="E9858" s="108" t="s">
        <v>4215</v>
      </c>
      <c r="F9858" s="547" t="s">
        <v>5</v>
      </c>
      <c r="G9858" s="556"/>
      <c r="H9858" s="119"/>
    </row>
    <row r="9859" spans="1:10">
      <c r="A9859" s="550" t="s">
        <v>4196</v>
      </c>
      <c r="B9859" s="551"/>
      <c r="C9859" s="101">
        <v>1</v>
      </c>
      <c r="D9859" s="104">
        <f>VLOOKUP(A9859,'Mano Obra'!$B$2:$T$117,19,0)</f>
        <v>166624</v>
      </c>
      <c r="E9859" s="246">
        <f>H9821</f>
        <v>3.9600000000000003E-2</v>
      </c>
      <c r="F9859" s="538">
        <f>E9859*D9859*C9859</f>
        <v>6598.3104000000003</v>
      </c>
      <c r="G9859" s="557"/>
      <c r="H9859" s="121"/>
      <c r="I9859" s="69"/>
      <c r="J9859" s="136">
        <f>((('Mano Obra'!$M$4/30)*F9859)/D9859)*G9828</f>
        <v>0</v>
      </c>
    </row>
    <row r="9860" spans="1:10">
      <c r="A9860" s="558" t="s">
        <v>4197</v>
      </c>
      <c r="B9860" s="559">
        <f>VLOOKUP(A9860,'Mano Obra'!$B$3:$D$290,2,0)</f>
        <v>2090000.0000000002</v>
      </c>
      <c r="C9860" s="101">
        <v>2</v>
      </c>
      <c r="D9860" s="104">
        <f>VLOOKUP(A9860,'Mano Obra'!$B$2:$T$117,19,0)</f>
        <v>120456</v>
      </c>
      <c r="E9860" s="246">
        <f>H9821</f>
        <v>3.9600000000000003E-2</v>
      </c>
      <c r="F9860" s="538">
        <f t="shared" ref="F9860:F9861" si="572">E9860*D9860*C9860</f>
        <v>9540.1152000000002</v>
      </c>
      <c r="G9860" s="557"/>
      <c r="H9860" s="121"/>
      <c r="J9860" s="136">
        <f>((('Mano Obra'!$M$5/30)*F9860)/D9860)*G9828</f>
        <v>0</v>
      </c>
    </row>
    <row r="9861" spans="1:10">
      <c r="A9861" s="558" t="s">
        <v>4186</v>
      </c>
      <c r="B9861" s="559">
        <f>VLOOKUP(A9861,'Mano Obra'!$B$3:$D$290,2,0)</f>
        <v>1100000</v>
      </c>
      <c r="C9861" s="101">
        <v>1</v>
      </c>
      <c r="D9861" s="104">
        <f>VLOOKUP(A9861,'Mano Obra'!$B$2:$T$117,19,0)</f>
        <v>72664</v>
      </c>
      <c r="E9861" s="246">
        <f>H9821</f>
        <v>3.9600000000000003E-2</v>
      </c>
      <c r="F9861" s="538">
        <f t="shared" si="572"/>
        <v>2877.4944</v>
      </c>
      <c r="G9861" s="557"/>
      <c r="H9861" s="120"/>
      <c r="J9861" s="136">
        <f>((('Mano Obra'!$M$6/30)*F9861)/D9861)*G9828</f>
        <v>0</v>
      </c>
    </row>
    <row r="9862" spans="1:10" ht="16.5">
      <c r="A9862" s="560" t="s">
        <v>4101</v>
      </c>
      <c r="B9862" s="560"/>
      <c r="C9862" s="560"/>
      <c r="D9862" s="560"/>
      <c r="E9862" s="560"/>
      <c r="F9862" s="560"/>
      <c r="G9862" s="560"/>
      <c r="H9862" s="105">
        <f>SUM(F9859:F9861)</f>
        <v>19015.920000000002</v>
      </c>
      <c r="J9862" s="136"/>
    </row>
    <row r="9863" spans="1:10">
      <c r="A9863" s="227" t="s">
        <v>4237</v>
      </c>
      <c r="B9863" s="205"/>
      <c r="C9863" s="205"/>
      <c r="D9863" s="202"/>
      <c r="E9863" s="203"/>
      <c r="F9863" s="204"/>
      <c r="G9863" s="203"/>
      <c r="H9863" s="212"/>
    </row>
    <row r="9864" spans="1:10">
      <c r="A9864" s="561" t="s">
        <v>4224</v>
      </c>
      <c r="B9864" s="562"/>
      <c r="C9864" s="562"/>
      <c r="D9864" s="562"/>
      <c r="E9864" s="200"/>
      <c r="F9864" s="201" t="s">
        <v>4238</v>
      </c>
      <c r="G9864" s="200" t="s">
        <v>4239</v>
      </c>
      <c r="H9864" s="213"/>
    </row>
    <row r="9865" spans="1:10">
      <c r="A9865" s="223" t="s">
        <v>4097</v>
      </c>
      <c r="B9865" s="72"/>
      <c r="C9865" s="72"/>
      <c r="D9865" s="73"/>
      <c r="E9865" s="78"/>
      <c r="F9865" s="79">
        <v>0</v>
      </c>
      <c r="G9865" s="80">
        <f>F9865*H9829</f>
        <v>0</v>
      </c>
      <c r="H9865" s="212"/>
    </row>
    <row r="9866" spans="1:10">
      <c r="A9866" s="224" t="s">
        <v>4240</v>
      </c>
      <c r="B9866" s="81"/>
      <c r="C9866" s="81"/>
      <c r="D9866" s="82"/>
      <c r="E9866" s="78"/>
      <c r="F9866" s="79">
        <v>0</v>
      </c>
      <c r="G9866" s="80">
        <f>F9866*H9829</f>
        <v>0</v>
      </c>
      <c r="H9866" s="212"/>
    </row>
    <row r="9867" spans="1:10">
      <c r="A9867" s="224" t="s">
        <v>4</v>
      </c>
      <c r="B9867" s="81"/>
      <c r="C9867" s="81"/>
      <c r="D9867" s="82"/>
      <c r="E9867" s="78"/>
      <c r="F9867" s="79">
        <v>0</v>
      </c>
      <c r="G9867" s="80">
        <f>F9867*H9829</f>
        <v>0</v>
      </c>
      <c r="H9867" s="212"/>
    </row>
    <row r="9868" spans="1:10">
      <c r="A9868" s="225"/>
      <c r="B9868" s="83"/>
      <c r="C9868" s="75"/>
      <c r="D9868" s="84"/>
      <c r="E9868" s="85"/>
      <c r="F9868" s="86"/>
      <c r="G9868" s="87"/>
      <c r="H9868" s="214"/>
    </row>
    <row r="9869" spans="1:10">
      <c r="A9869" s="226"/>
      <c r="B9869" s="83"/>
      <c r="C9869" s="83"/>
      <c r="D9869" s="84"/>
      <c r="E9869" s="88"/>
      <c r="F9869" s="563" t="s">
        <v>4241</v>
      </c>
      <c r="G9869" s="564"/>
      <c r="H9869" s="233">
        <f>H9829+G9865+G9866+G9867</f>
        <v>49312.649000000005</v>
      </c>
    </row>
  </sheetData>
  <mergeCells count="11763">
    <mergeCell ref="A4324:B4324"/>
    <mergeCell ref="F4324:G4324"/>
    <mergeCell ref="A4325:B4325"/>
    <mergeCell ref="F4325:G4325"/>
    <mergeCell ref="A4326:B4326"/>
    <mergeCell ref="F4326:G4326"/>
    <mergeCell ref="A4327:B4327"/>
    <mergeCell ref="F4327:G4327"/>
    <mergeCell ref="A4328:G4328"/>
    <mergeCell ref="A4329:H4329"/>
    <mergeCell ref="A4330:B4330"/>
    <mergeCell ref="F4330:G4330"/>
    <mergeCell ref="A4331:B4331"/>
    <mergeCell ref="F4331:G4331"/>
    <mergeCell ref="A4332:G4332"/>
    <mergeCell ref="A4333:H4333"/>
    <mergeCell ref="A4334:B4334"/>
    <mergeCell ref="F4334:G4334"/>
    <mergeCell ref="A4335:B4335"/>
    <mergeCell ref="F4335:G4335"/>
    <mergeCell ref="A4336:B4336"/>
    <mergeCell ref="F4336:G4336"/>
    <mergeCell ref="A4337:B4337"/>
    <mergeCell ref="F4337:G4337"/>
    <mergeCell ref="A4338:G4338"/>
    <mergeCell ref="A4340:D4340"/>
    <mergeCell ref="F4345:G4345"/>
    <mergeCell ref="A4297:H4297"/>
    <mergeCell ref="A4299:A4302"/>
    <mergeCell ref="B4299:G4302"/>
    <mergeCell ref="H4299:H4301"/>
    <mergeCell ref="B4303:F4303"/>
    <mergeCell ref="B4304:E4304"/>
    <mergeCell ref="A4307:C4307"/>
    <mergeCell ref="A4308:C4308"/>
    <mergeCell ref="A4309:C4309"/>
    <mergeCell ref="A4310:C4310"/>
    <mergeCell ref="A4311:G4311"/>
    <mergeCell ref="A4312:H4312"/>
    <mergeCell ref="A4313:B4313"/>
    <mergeCell ref="F4313:G4313"/>
    <mergeCell ref="A4314:B4314"/>
    <mergeCell ref="F4314:G4314"/>
    <mergeCell ref="A4315:B4315"/>
    <mergeCell ref="F4315:G4315"/>
    <mergeCell ref="A4316:B4316"/>
    <mergeCell ref="F4316:G4316"/>
    <mergeCell ref="A4317:B4317"/>
    <mergeCell ref="F4317:G4317"/>
    <mergeCell ref="A4318:B4318"/>
    <mergeCell ref="F4318:G4318"/>
    <mergeCell ref="A4319:B4319"/>
    <mergeCell ref="F4319:G4319"/>
    <mergeCell ref="A4320:B4320"/>
    <mergeCell ref="F4320:G4320"/>
    <mergeCell ref="A4321:B4321"/>
    <mergeCell ref="F4321:G4321"/>
    <mergeCell ref="A4322:B4322"/>
    <mergeCell ref="F4322:G4322"/>
    <mergeCell ref="A4323:B4323"/>
    <mergeCell ref="F4323:G4323"/>
    <mergeCell ref="A5866:B5866"/>
    <mergeCell ref="F5866:G5866"/>
    <mergeCell ref="A5867:G5867"/>
    <mergeCell ref="A5868:H5868"/>
    <mergeCell ref="A5869:B5869"/>
    <mergeCell ref="F5869:G5869"/>
    <mergeCell ref="A5870:B5870"/>
    <mergeCell ref="F5870:G5870"/>
    <mergeCell ref="A5871:B5871"/>
    <mergeCell ref="F5871:G5871"/>
    <mergeCell ref="A5872:B5872"/>
    <mergeCell ref="F5872:G5872"/>
    <mergeCell ref="A5873:G5873"/>
    <mergeCell ref="A5875:D5875"/>
    <mergeCell ref="F5880:G5880"/>
    <mergeCell ref="A5848:B5848"/>
    <mergeCell ref="F5848:G5848"/>
    <mergeCell ref="A5849:B5849"/>
    <mergeCell ref="F5849:G5849"/>
    <mergeCell ref="A5850:B5850"/>
    <mergeCell ref="F5850:G5850"/>
    <mergeCell ref="A5851:B5851"/>
    <mergeCell ref="F5851:G5851"/>
    <mergeCell ref="A5852:B5852"/>
    <mergeCell ref="F5852:G5852"/>
    <mergeCell ref="A5853:B5853"/>
    <mergeCell ref="F5853:G5853"/>
    <mergeCell ref="A5854:B5854"/>
    <mergeCell ref="F5854:G5854"/>
    <mergeCell ref="A5855:B5855"/>
    <mergeCell ref="F5855:G5855"/>
    <mergeCell ref="A5856:B5856"/>
    <mergeCell ref="F5856:G5856"/>
    <mergeCell ref="A5857:B5857"/>
    <mergeCell ref="F5857:G5857"/>
    <mergeCell ref="A5858:B5858"/>
    <mergeCell ref="F5858:G5858"/>
    <mergeCell ref="A5859:B5859"/>
    <mergeCell ref="F5859:G5859"/>
    <mergeCell ref="A5860:B5860"/>
    <mergeCell ref="F5860:G5860"/>
    <mergeCell ref="A5861:B5861"/>
    <mergeCell ref="F5861:G5861"/>
    <mergeCell ref="A5862:B5862"/>
    <mergeCell ref="F5862:G5862"/>
    <mergeCell ref="A5863:G5863"/>
    <mergeCell ref="A5864:H5864"/>
    <mergeCell ref="A5865:B5865"/>
    <mergeCell ref="F5865:G5865"/>
    <mergeCell ref="A5811:B5811"/>
    <mergeCell ref="F5811:G5811"/>
    <mergeCell ref="A5812:G5812"/>
    <mergeCell ref="A5813:H5813"/>
    <mergeCell ref="A5814:B5814"/>
    <mergeCell ref="F5814:G5814"/>
    <mergeCell ref="A5815:B5815"/>
    <mergeCell ref="F5815:G5815"/>
    <mergeCell ref="A5816:G5816"/>
    <mergeCell ref="A5817:H5817"/>
    <mergeCell ref="A5818:B5818"/>
    <mergeCell ref="F5818:G5818"/>
    <mergeCell ref="A5819:B5819"/>
    <mergeCell ref="F5819:G5819"/>
    <mergeCell ref="A5820:B5820"/>
    <mergeCell ref="F5820:G5820"/>
    <mergeCell ref="A5821:B5821"/>
    <mergeCell ref="F5821:G5821"/>
    <mergeCell ref="A5822:G5822"/>
    <mergeCell ref="A5824:D5824"/>
    <mergeCell ref="F5829:G5829"/>
    <mergeCell ref="A5832:H5832"/>
    <mergeCell ref="A5834:A5837"/>
    <mergeCell ref="B5834:G5837"/>
    <mergeCell ref="H5834:H5836"/>
    <mergeCell ref="B5838:F5838"/>
    <mergeCell ref="B5839:E5839"/>
    <mergeCell ref="A5842:C5842"/>
    <mergeCell ref="A5843:C5843"/>
    <mergeCell ref="A5844:C5844"/>
    <mergeCell ref="A5845:C5845"/>
    <mergeCell ref="A5846:G5846"/>
    <mergeCell ref="A5847:H5847"/>
    <mergeCell ref="A5791:C5791"/>
    <mergeCell ref="A5792:C5792"/>
    <mergeCell ref="A5793:C5793"/>
    <mergeCell ref="A5794:C5794"/>
    <mergeCell ref="A5795:G5795"/>
    <mergeCell ref="A5796:H5796"/>
    <mergeCell ref="A5797:B5797"/>
    <mergeCell ref="F5797:G5797"/>
    <mergeCell ref="A5798:B5798"/>
    <mergeCell ref="F5798:G5798"/>
    <mergeCell ref="A5799:B5799"/>
    <mergeCell ref="F5799:G5799"/>
    <mergeCell ref="A5800:B5800"/>
    <mergeCell ref="F5800:G5800"/>
    <mergeCell ref="A5801:B5801"/>
    <mergeCell ref="F5801:G5801"/>
    <mergeCell ref="A5802:B5802"/>
    <mergeCell ref="F5802:G5802"/>
    <mergeCell ref="A5803:B5803"/>
    <mergeCell ref="F5803:G5803"/>
    <mergeCell ref="A5804:B5804"/>
    <mergeCell ref="F5804:G5804"/>
    <mergeCell ref="A5805:B5805"/>
    <mergeCell ref="F5805:G5805"/>
    <mergeCell ref="A5806:B5806"/>
    <mergeCell ref="F5806:G5806"/>
    <mergeCell ref="A5807:B5807"/>
    <mergeCell ref="F5807:G5807"/>
    <mergeCell ref="A5808:B5808"/>
    <mergeCell ref="F5808:G5808"/>
    <mergeCell ref="A5809:B5809"/>
    <mergeCell ref="F5809:G5809"/>
    <mergeCell ref="A5810:B5810"/>
    <mergeCell ref="F5810:G5810"/>
    <mergeCell ref="A4273:B4273"/>
    <mergeCell ref="F4273:G4273"/>
    <mergeCell ref="A4274:B4274"/>
    <mergeCell ref="F4274:G4274"/>
    <mergeCell ref="A4275:B4275"/>
    <mergeCell ref="F4275:G4275"/>
    <mergeCell ref="A4276:B4276"/>
    <mergeCell ref="F4276:G4276"/>
    <mergeCell ref="A4277:G4277"/>
    <mergeCell ref="A4278:H4278"/>
    <mergeCell ref="A4279:B4279"/>
    <mergeCell ref="F4279:G4279"/>
    <mergeCell ref="A4280:B4280"/>
    <mergeCell ref="F4280:G4280"/>
    <mergeCell ref="A4281:G4281"/>
    <mergeCell ref="A4282:H4282"/>
    <mergeCell ref="A4283:B4283"/>
    <mergeCell ref="F4283:G4283"/>
    <mergeCell ref="A4284:B4284"/>
    <mergeCell ref="F4284:G4284"/>
    <mergeCell ref="A4285:B4285"/>
    <mergeCell ref="F4285:G4285"/>
    <mergeCell ref="A4286:B4286"/>
    <mergeCell ref="F4286:G4286"/>
    <mergeCell ref="A4287:G4287"/>
    <mergeCell ref="A4289:D4289"/>
    <mergeCell ref="F4294:G4294"/>
    <mergeCell ref="A5781:H5781"/>
    <mergeCell ref="A5783:A5786"/>
    <mergeCell ref="B5783:G5786"/>
    <mergeCell ref="H5783:H5785"/>
    <mergeCell ref="B5787:F5787"/>
    <mergeCell ref="B5788:E5788"/>
    <mergeCell ref="A5708:B5708"/>
    <mergeCell ref="F5708:G5708"/>
    <mergeCell ref="A5709:B5709"/>
    <mergeCell ref="F5709:G5709"/>
    <mergeCell ref="A5710:G5710"/>
    <mergeCell ref="A5691:C5691"/>
    <mergeCell ref="A5692:C5692"/>
    <mergeCell ref="A5693:G5693"/>
    <mergeCell ref="A5694:H5694"/>
    <mergeCell ref="A5695:B5695"/>
    <mergeCell ref="F5695:G5695"/>
    <mergeCell ref="A5696:B5696"/>
    <mergeCell ref="F5696:G5696"/>
    <mergeCell ref="A5697:B5697"/>
    <mergeCell ref="F5697:G5697"/>
    <mergeCell ref="A5698:B5698"/>
    <mergeCell ref="F5698:G5698"/>
    <mergeCell ref="A5699:B5699"/>
    <mergeCell ref="F5699:G5699"/>
    <mergeCell ref="A5700:B5700"/>
    <mergeCell ref="F5700:G5700"/>
    <mergeCell ref="A5701:B5701"/>
    <mergeCell ref="F5701:G5701"/>
    <mergeCell ref="A5643:H5643"/>
    <mergeCell ref="A5644:B5644"/>
    <mergeCell ref="F5644:G5644"/>
    <mergeCell ref="A5645:B5645"/>
    <mergeCell ref="F5645:G5645"/>
    <mergeCell ref="A5646:B5646"/>
    <mergeCell ref="F5646:G5646"/>
    <mergeCell ref="F5317:G5317"/>
    <mergeCell ref="A4246:H4246"/>
    <mergeCell ref="A4248:A4251"/>
    <mergeCell ref="B4248:G4251"/>
    <mergeCell ref="H4248:H4250"/>
    <mergeCell ref="B4252:F4252"/>
    <mergeCell ref="B4253:E4253"/>
    <mergeCell ref="A4256:C4256"/>
    <mergeCell ref="A4257:C4257"/>
    <mergeCell ref="A4258:C4258"/>
    <mergeCell ref="A4259:C4259"/>
    <mergeCell ref="A4260:G4260"/>
    <mergeCell ref="A4261:H4261"/>
    <mergeCell ref="A4262:B4262"/>
    <mergeCell ref="F4262:G4262"/>
    <mergeCell ref="A4263:B4263"/>
    <mergeCell ref="F4263:G4263"/>
    <mergeCell ref="A4264:B4264"/>
    <mergeCell ref="F4264:G4264"/>
    <mergeCell ref="A4265:B4265"/>
    <mergeCell ref="F4265:G4265"/>
    <mergeCell ref="A4266:B4266"/>
    <mergeCell ref="F4266:G4266"/>
    <mergeCell ref="A4267:B4267"/>
    <mergeCell ref="F4267:G4267"/>
    <mergeCell ref="A4268:B4268"/>
    <mergeCell ref="F4268:G4268"/>
    <mergeCell ref="A4269:B4269"/>
    <mergeCell ref="F4269:G4269"/>
    <mergeCell ref="A4270:B4270"/>
    <mergeCell ref="F4270:G4270"/>
    <mergeCell ref="A4271:B4271"/>
    <mergeCell ref="F4271:G4271"/>
    <mergeCell ref="A4272:B4272"/>
    <mergeCell ref="F4272:G4272"/>
    <mergeCell ref="A9807:B9807"/>
    <mergeCell ref="F9807:G9807"/>
    <mergeCell ref="A9808:B9808"/>
    <mergeCell ref="F9808:G9808"/>
    <mergeCell ref="A9809:B9809"/>
    <mergeCell ref="F9809:G9809"/>
    <mergeCell ref="A9810:G9810"/>
    <mergeCell ref="A9812:D9812"/>
    <mergeCell ref="F9817:G9817"/>
    <mergeCell ref="A9796:B9796"/>
    <mergeCell ref="F9796:G9796"/>
    <mergeCell ref="A9797:B9797"/>
    <mergeCell ref="F9797:G9797"/>
    <mergeCell ref="A9798:B9798"/>
    <mergeCell ref="F9798:G9798"/>
    <mergeCell ref="A9799:B9799"/>
    <mergeCell ref="F9799:G9799"/>
    <mergeCell ref="A9800:G9800"/>
    <mergeCell ref="A9801:H9801"/>
    <mergeCell ref="A9802:B9802"/>
    <mergeCell ref="F9802:G9802"/>
    <mergeCell ref="A9803:B9803"/>
    <mergeCell ref="F9803:G9803"/>
    <mergeCell ref="A9804:G9804"/>
    <mergeCell ref="A9805:H9805"/>
    <mergeCell ref="A9806:B9806"/>
    <mergeCell ref="F9806:G9806"/>
    <mergeCell ref="A9787:B9787"/>
    <mergeCell ref="F9787:G9787"/>
    <mergeCell ref="A9788:B9788"/>
    <mergeCell ref="F9788:G9788"/>
    <mergeCell ref="A9789:B9789"/>
    <mergeCell ref="F9789:G9789"/>
    <mergeCell ref="A9790:B9790"/>
    <mergeCell ref="F9790:G9790"/>
    <mergeCell ref="A9791:B9791"/>
    <mergeCell ref="F9791:G9791"/>
    <mergeCell ref="A9792:B9792"/>
    <mergeCell ref="F9792:G9792"/>
    <mergeCell ref="A9793:B9793"/>
    <mergeCell ref="F9793:G9793"/>
    <mergeCell ref="A9794:B9794"/>
    <mergeCell ref="F9794:G9794"/>
    <mergeCell ref="A9795:B9795"/>
    <mergeCell ref="F9795:G9795"/>
    <mergeCell ref="A9768:H9768"/>
    <mergeCell ref="A9770:A9773"/>
    <mergeCell ref="B9770:G9773"/>
    <mergeCell ref="H9770:H9772"/>
    <mergeCell ref="B9774:F9774"/>
    <mergeCell ref="B9775:E9775"/>
    <mergeCell ref="A9778:C9778"/>
    <mergeCell ref="A9779:C9779"/>
    <mergeCell ref="A9780:C9780"/>
    <mergeCell ref="A9781:C9781"/>
    <mergeCell ref="A9782:C9782"/>
    <mergeCell ref="A9783:G9783"/>
    <mergeCell ref="A9784:H9784"/>
    <mergeCell ref="A9785:B9785"/>
    <mergeCell ref="F9785:G9785"/>
    <mergeCell ref="A9786:B9786"/>
    <mergeCell ref="F9786:G9786"/>
    <mergeCell ref="A9753:H9753"/>
    <mergeCell ref="A9754:B9754"/>
    <mergeCell ref="F9754:G9754"/>
    <mergeCell ref="A9755:B9755"/>
    <mergeCell ref="F9755:G9755"/>
    <mergeCell ref="A9756:B9756"/>
    <mergeCell ref="F9756:G9756"/>
    <mergeCell ref="A9757:B9757"/>
    <mergeCell ref="F9757:G9757"/>
    <mergeCell ref="A9758:G9758"/>
    <mergeCell ref="A9760:D9760"/>
    <mergeCell ref="F9765:G9765"/>
    <mergeCell ref="A9716:H9716"/>
    <mergeCell ref="A9718:A9721"/>
    <mergeCell ref="B9718:G9721"/>
    <mergeCell ref="H9718:H9720"/>
    <mergeCell ref="B9722:F9722"/>
    <mergeCell ref="B9723:E9723"/>
    <mergeCell ref="A9726:C9726"/>
    <mergeCell ref="A9727:C9727"/>
    <mergeCell ref="A9728:C9728"/>
    <mergeCell ref="A9729:C9729"/>
    <mergeCell ref="A9730:C9730"/>
    <mergeCell ref="A9731:G9731"/>
    <mergeCell ref="A9732:H9732"/>
    <mergeCell ref="A9733:B9733"/>
    <mergeCell ref="F9733:G9733"/>
    <mergeCell ref="A9743:B9743"/>
    <mergeCell ref="F9743:G9743"/>
    <mergeCell ref="A9744:B9744"/>
    <mergeCell ref="F9744:G9744"/>
    <mergeCell ref="A9745:B9745"/>
    <mergeCell ref="F9745:G9745"/>
    <mergeCell ref="A9746:B9746"/>
    <mergeCell ref="F9746:G9746"/>
    <mergeCell ref="A9747:B9747"/>
    <mergeCell ref="F9747:G9747"/>
    <mergeCell ref="A9748:G9748"/>
    <mergeCell ref="A9749:H9749"/>
    <mergeCell ref="A9750:B9750"/>
    <mergeCell ref="F9750:G9750"/>
    <mergeCell ref="A9751:B9751"/>
    <mergeCell ref="F9751:G9751"/>
    <mergeCell ref="A9752:G9752"/>
    <mergeCell ref="A9734:B9734"/>
    <mergeCell ref="F9734:G9734"/>
    <mergeCell ref="A9735:B9735"/>
    <mergeCell ref="F9735:G9735"/>
    <mergeCell ref="A9736:B9736"/>
    <mergeCell ref="F9736:G9736"/>
    <mergeCell ref="A9737:B9737"/>
    <mergeCell ref="F9737:G9737"/>
    <mergeCell ref="A9738:B9738"/>
    <mergeCell ref="F9738:G9738"/>
    <mergeCell ref="A9739:B9739"/>
    <mergeCell ref="F9739:G9739"/>
    <mergeCell ref="A9740:B9740"/>
    <mergeCell ref="F9740:G9740"/>
    <mergeCell ref="A9741:B9741"/>
    <mergeCell ref="F9741:G9741"/>
    <mergeCell ref="A9742:B9742"/>
    <mergeCell ref="F9742:G9742"/>
    <mergeCell ref="A9708:D9708"/>
    <mergeCell ref="F9713:G9713"/>
    <mergeCell ref="A9696:G9696"/>
    <mergeCell ref="A9697:H9697"/>
    <mergeCell ref="A9698:B9698"/>
    <mergeCell ref="F9698:G9698"/>
    <mergeCell ref="A9699:B9699"/>
    <mergeCell ref="F9699:G9699"/>
    <mergeCell ref="A9700:G9700"/>
    <mergeCell ref="A9701:H9701"/>
    <mergeCell ref="A9702:B9702"/>
    <mergeCell ref="F9702:G9702"/>
    <mergeCell ref="A9703:B9703"/>
    <mergeCell ref="F9703:G9703"/>
    <mergeCell ref="A9704:B9704"/>
    <mergeCell ref="F9704:G9704"/>
    <mergeCell ref="A9705:B9705"/>
    <mergeCell ref="F9705:G9705"/>
    <mergeCell ref="A9706:G9706"/>
    <mergeCell ref="A9687:B9687"/>
    <mergeCell ref="F9687:G9687"/>
    <mergeCell ref="A9688:B9688"/>
    <mergeCell ref="F9688:G9688"/>
    <mergeCell ref="A9689:B9689"/>
    <mergeCell ref="F9689:G9689"/>
    <mergeCell ref="A9690:B9690"/>
    <mergeCell ref="F9690:G9690"/>
    <mergeCell ref="A9691:B9691"/>
    <mergeCell ref="F9691:G9691"/>
    <mergeCell ref="A9692:B9692"/>
    <mergeCell ref="F9692:G9692"/>
    <mergeCell ref="A9693:B9693"/>
    <mergeCell ref="F9693:G9693"/>
    <mergeCell ref="A9694:B9694"/>
    <mergeCell ref="F9694:G9694"/>
    <mergeCell ref="A9695:B9695"/>
    <mergeCell ref="F9695:G9695"/>
    <mergeCell ref="A9676:C9676"/>
    <mergeCell ref="A9677:C9677"/>
    <mergeCell ref="A9678:C9678"/>
    <mergeCell ref="A9679:G9679"/>
    <mergeCell ref="A9680:H9680"/>
    <mergeCell ref="A9681:B9681"/>
    <mergeCell ref="F9681:G9681"/>
    <mergeCell ref="A9682:B9682"/>
    <mergeCell ref="F9682:G9682"/>
    <mergeCell ref="A9683:B9683"/>
    <mergeCell ref="F9683:G9683"/>
    <mergeCell ref="A9684:B9684"/>
    <mergeCell ref="F9684:G9684"/>
    <mergeCell ref="A9685:B9685"/>
    <mergeCell ref="F9685:G9685"/>
    <mergeCell ref="A9686:B9686"/>
    <mergeCell ref="F9686:G9686"/>
    <mergeCell ref="A9651:B9651"/>
    <mergeCell ref="F9651:G9651"/>
    <mergeCell ref="A9652:B9652"/>
    <mergeCell ref="F9652:G9652"/>
    <mergeCell ref="A9653:B9653"/>
    <mergeCell ref="F9653:G9653"/>
    <mergeCell ref="A9654:G9654"/>
    <mergeCell ref="A9656:D9656"/>
    <mergeCell ref="F9661:G9661"/>
    <mergeCell ref="A9664:H9664"/>
    <mergeCell ref="A9666:A9669"/>
    <mergeCell ref="B9666:G9669"/>
    <mergeCell ref="H9666:H9668"/>
    <mergeCell ref="B9670:F9670"/>
    <mergeCell ref="B9671:E9671"/>
    <mergeCell ref="A9674:C9674"/>
    <mergeCell ref="A9675:C9675"/>
    <mergeCell ref="A9640:B9640"/>
    <mergeCell ref="F9640:G9640"/>
    <mergeCell ref="A9641:B9641"/>
    <mergeCell ref="F9641:G9641"/>
    <mergeCell ref="A9642:B9642"/>
    <mergeCell ref="F9642:G9642"/>
    <mergeCell ref="A9643:B9643"/>
    <mergeCell ref="F9643:G9643"/>
    <mergeCell ref="A9644:G9644"/>
    <mergeCell ref="A9645:H9645"/>
    <mergeCell ref="A9646:B9646"/>
    <mergeCell ref="F9646:G9646"/>
    <mergeCell ref="A9647:B9647"/>
    <mergeCell ref="F9647:G9647"/>
    <mergeCell ref="A9648:G9648"/>
    <mergeCell ref="A9649:H9649"/>
    <mergeCell ref="A9650:B9650"/>
    <mergeCell ref="F9650:G9650"/>
    <mergeCell ref="A9631:B9631"/>
    <mergeCell ref="F9631:G9631"/>
    <mergeCell ref="A9632:B9632"/>
    <mergeCell ref="F9632:G9632"/>
    <mergeCell ref="A9633:B9633"/>
    <mergeCell ref="F9633:G9633"/>
    <mergeCell ref="A9634:B9634"/>
    <mergeCell ref="F9634:G9634"/>
    <mergeCell ref="A9635:B9635"/>
    <mergeCell ref="F9635:G9635"/>
    <mergeCell ref="A9636:B9636"/>
    <mergeCell ref="F9636:G9636"/>
    <mergeCell ref="A9637:B9637"/>
    <mergeCell ref="F9637:G9637"/>
    <mergeCell ref="A9638:B9638"/>
    <mergeCell ref="F9638:G9638"/>
    <mergeCell ref="A9639:B9639"/>
    <mergeCell ref="F9639:G9639"/>
    <mergeCell ref="A9612:H9612"/>
    <mergeCell ref="A9614:A9617"/>
    <mergeCell ref="B9614:G9617"/>
    <mergeCell ref="H9614:H9616"/>
    <mergeCell ref="B9618:F9618"/>
    <mergeCell ref="B9619:E9619"/>
    <mergeCell ref="A9622:C9622"/>
    <mergeCell ref="A9623:C9623"/>
    <mergeCell ref="A9624:C9624"/>
    <mergeCell ref="A9625:C9625"/>
    <mergeCell ref="A9626:C9626"/>
    <mergeCell ref="A9627:G9627"/>
    <mergeCell ref="A9628:H9628"/>
    <mergeCell ref="A9629:B9629"/>
    <mergeCell ref="F9629:G9629"/>
    <mergeCell ref="A9630:B9630"/>
    <mergeCell ref="F9630:G9630"/>
    <mergeCell ref="A3916:B3916"/>
    <mergeCell ref="F3916:G3916"/>
    <mergeCell ref="A3917:B3917"/>
    <mergeCell ref="F3917:G3917"/>
    <mergeCell ref="A3918:B3918"/>
    <mergeCell ref="F3918:G3918"/>
    <mergeCell ref="A3919:B3919"/>
    <mergeCell ref="F3919:G3919"/>
    <mergeCell ref="A3920:G3920"/>
    <mergeCell ref="A3921:H3921"/>
    <mergeCell ref="A3922:B3922"/>
    <mergeCell ref="F3922:G3922"/>
    <mergeCell ref="A3923:B3923"/>
    <mergeCell ref="F3923:G3923"/>
    <mergeCell ref="A3924:G3924"/>
    <mergeCell ref="A3925:H3925"/>
    <mergeCell ref="A3926:B3926"/>
    <mergeCell ref="F3926:G3926"/>
    <mergeCell ref="A7534:G7534"/>
    <mergeCell ref="A7535:H7535"/>
    <mergeCell ref="A7536:B7536"/>
    <mergeCell ref="F7536:G7536"/>
    <mergeCell ref="A7537:B7537"/>
    <mergeCell ref="F7537:G7537"/>
    <mergeCell ref="A6704:B6704"/>
    <mergeCell ref="F6704:G6704"/>
    <mergeCell ref="A6705:B6705"/>
    <mergeCell ref="F6705:G6705"/>
    <mergeCell ref="A6706:B6706"/>
    <mergeCell ref="F6706:G6706"/>
    <mergeCell ref="A6707:G6707"/>
    <mergeCell ref="A6709:D6709"/>
    <mergeCell ref="F6714:G6714"/>
    <mergeCell ref="A6692:B6692"/>
    <mergeCell ref="F6692:G6692"/>
    <mergeCell ref="A5711:H5711"/>
    <mergeCell ref="A5712:B5712"/>
    <mergeCell ref="F5712:G5712"/>
    <mergeCell ref="A5713:B5713"/>
    <mergeCell ref="F5713:G5713"/>
    <mergeCell ref="A5714:G5714"/>
    <mergeCell ref="A5715:H5715"/>
    <mergeCell ref="A5716:B5716"/>
    <mergeCell ref="F5716:G5716"/>
    <mergeCell ref="A5717:B5717"/>
    <mergeCell ref="F5717:G5717"/>
    <mergeCell ref="A5718:B5718"/>
    <mergeCell ref="F5718:G5718"/>
    <mergeCell ref="A5719:B5719"/>
    <mergeCell ref="F5719:G5719"/>
    <mergeCell ref="A5720:G5720"/>
    <mergeCell ref="A5722:D5722"/>
    <mergeCell ref="A5702:B5702"/>
    <mergeCell ref="F5702:G5702"/>
    <mergeCell ref="A5703:B5703"/>
    <mergeCell ref="F5703:G5703"/>
    <mergeCell ref="A5704:B5704"/>
    <mergeCell ref="F5704:G5704"/>
    <mergeCell ref="A5705:B5705"/>
    <mergeCell ref="F5705:G5705"/>
    <mergeCell ref="A5706:B5706"/>
    <mergeCell ref="F5706:G5706"/>
    <mergeCell ref="A5707:B5707"/>
    <mergeCell ref="F5707:G5707"/>
    <mergeCell ref="A3889:H3889"/>
    <mergeCell ref="A3891:A3894"/>
    <mergeCell ref="B3891:G3894"/>
    <mergeCell ref="H3891:H3893"/>
    <mergeCell ref="B3895:F3895"/>
    <mergeCell ref="B3896:E3896"/>
    <mergeCell ref="A3899:C3899"/>
    <mergeCell ref="A3900:C3900"/>
    <mergeCell ref="A3901:C3901"/>
    <mergeCell ref="A3902:C3902"/>
    <mergeCell ref="A3903:G3903"/>
    <mergeCell ref="A3904:H3904"/>
    <mergeCell ref="A3905:B3905"/>
    <mergeCell ref="F3905:G3905"/>
    <mergeCell ref="A3906:B3906"/>
    <mergeCell ref="F3906:G3906"/>
    <mergeCell ref="A3907:B3907"/>
    <mergeCell ref="F3907:G3907"/>
    <mergeCell ref="A3908:B3908"/>
    <mergeCell ref="F7524:G7524"/>
    <mergeCell ref="A7525:B7525"/>
    <mergeCell ref="F7525:G7525"/>
    <mergeCell ref="A7526:B7526"/>
    <mergeCell ref="F7526:G7526"/>
    <mergeCell ref="A7527:B7527"/>
    <mergeCell ref="F7527:G7527"/>
    <mergeCell ref="A7528:B7528"/>
    <mergeCell ref="F7528:G7528"/>
    <mergeCell ref="A7529:B7529"/>
    <mergeCell ref="F7529:G7529"/>
    <mergeCell ref="A7530:G7530"/>
    <mergeCell ref="A7531:H7531"/>
    <mergeCell ref="A7532:B7532"/>
    <mergeCell ref="F7532:G7532"/>
    <mergeCell ref="F5727:G5727"/>
    <mergeCell ref="A7498:H7498"/>
    <mergeCell ref="A7500:A7503"/>
    <mergeCell ref="B7500:G7503"/>
    <mergeCell ref="H7500:H7502"/>
    <mergeCell ref="B7504:F7504"/>
    <mergeCell ref="B7505:E7505"/>
    <mergeCell ref="A7508:C7508"/>
    <mergeCell ref="A7509:C7509"/>
    <mergeCell ref="A7510:C7510"/>
    <mergeCell ref="A7511:C7511"/>
    <mergeCell ref="A7512:C7512"/>
    <mergeCell ref="A7513:G7513"/>
    <mergeCell ref="A7514:H7514"/>
    <mergeCell ref="A7515:B7515"/>
    <mergeCell ref="F7515:G7515"/>
    <mergeCell ref="A7516:B7516"/>
    <mergeCell ref="F7516:G7516"/>
    <mergeCell ref="A6702:H6702"/>
    <mergeCell ref="A6703:B6703"/>
    <mergeCell ref="F6703:G6703"/>
    <mergeCell ref="A3927:B3927"/>
    <mergeCell ref="F3927:G3927"/>
    <mergeCell ref="A3928:B3928"/>
    <mergeCell ref="F3928:G3928"/>
    <mergeCell ref="A3929:B3929"/>
    <mergeCell ref="F3929:G3929"/>
    <mergeCell ref="A3930:G3930"/>
    <mergeCell ref="A3932:D3932"/>
    <mergeCell ref="F3937:G3937"/>
    <mergeCell ref="A3876:B3876"/>
    <mergeCell ref="F3876:G3876"/>
    <mergeCell ref="A3877:B3877"/>
    <mergeCell ref="F3877:G3877"/>
    <mergeCell ref="A3878:B3878"/>
    <mergeCell ref="F3878:G3878"/>
    <mergeCell ref="A3879:G3879"/>
    <mergeCell ref="A3881:D3881"/>
    <mergeCell ref="F3886:G3886"/>
    <mergeCell ref="A5679:H5679"/>
    <mergeCell ref="A5681:A5684"/>
    <mergeCell ref="B5681:G5684"/>
    <mergeCell ref="H5681:H5683"/>
    <mergeCell ref="B5685:F5685"/>
    <mergeCell ref="B5686:E5686"/>
    <mergeCell ref="A5689:C5689"/>
    <mergeCell ref="A5690:C5690"/>
    <mergeCell ref="F3908:G3908"/>
    <mergeCell ref="A3909:B3909"/>
    <mergeCell ref="F3909:G3909"/>
    <mergeCell ref="A3910:B3910"/>
    <mergeCell ref="F3910:G3910"/>
    <mergeCell ref="A3911:B3911"/>
    <mergeCell ref="F3911:G3911"/>
    <mergeCell ref="A3912:B3912"/>
    <mergeCell ref="F3912:G3912"/>
    <mergeCell ref="A3913:B3913"/>
    <mergeCell ref="F3913:G3913"/>
    <mergeCell ref="A3914:B3914"/>
    <mergeCell ref="F3914:G3914"/>
    <mergeCell ref="A3915:B3915"/>
    <mergeCell ref="F3915:G3915"/>
    <mergeCell ref="F5665:G5665"/>
    <mergeCell ref="A5666:B5666"/>
    <mergeCell ref="F5666:G5666"/>
    <mergeCell ref="A5647:B5647"/>
    <mergeCell ref="F5647:G5647"/>
    <mergeCell ref="A5648:B5648"/>
    <mergeCell ref="F5648:G5648"/>
    <mergeCell ref="A5649:B5649"/>
    <mergeCell ref="F5649:G5649"/>
    <mergeCell ref="A5650:B5650"/>
    <mergeCell ref="F5650:G5650"/>
    <mergeCell ref="A5651:B5651"/>
    <mergeCell ref="F5651:G5651"/>
    <mergeCell ref="A5652:B5652"/>
    <mergeCell ref="F5652:G5652"/>
    <mergeCell ref="A5653:B5653"/>
    <mergeCell ref="F5653:G5653"/>
    <mergeCell ref="A5654:B5654"/>
    <mergeCell ref="F5654:G5654"/>
    <mergeCell ref="A5655:B5655"/>
    <mergeCell ref="F5655:G5655"/>
    <mergeCell ref="A5628:H5628"/>
    <mergeCell ref="A5630:A5633"/>
    <mergeCell ref="B5630:G5633"/>
    <mergeCell ref="H5630:H5632"/>
    <mergeCell ref="B5634:F5634"/>
    <mergeCell ref="B5635:E5635"/>
    <mergeCell ref="A5638:C5638"/>
    <mergeCell ref="A5639:C5639"/>
    <mergeCell ref="A5640:C5640"/>
    <mergeCell ref="A5641:C5641"/>
    <mergeCell ref="A5642:G5642"/>
    <mergeCell ref="A3865:B3865"/>
    <mergeCell ref="F3865:G3865"/>
    <mergeCell ref="A3866:B3866"/>
    <mergeCell ref="F3866:G3866"/>
    <mergeCell ref="A3867:B3867"/>
    <mergeCell ref="F3867:G3867"/>
    <mergeCell ref="A3868:B3868"/>
    <mergeCell ref="F3868:G3868"/>
    <mergeCell ref="A3869:G3869"/>
    <mergeCell ref="A3870:H3870"/>
    <mergeCell ref="A3871:B3871"/>
    <mergeCell ref="F3871:G3871"/>
    <mergeCell ref="A3872:B3872"/>
    <mergeCell ref="F3872:G3872"/>
    <mergeCell ref="A3873:G3873"/>
    <mergeCell ref="A3874:H3874"/>
    <mergeCell ref="A3875:B3875"/>
    <mergeCell ref="F3875:G3875"/>
    <mergeCell ref="A3856:B3856"/>
    <mergeCell ref="F3856:G3856"/>
    <mergeCell ref="A3857:B3857"/>
    <mergeCell ref="F3857:G3857"/>
    <mergeCell ref="A3858:B3858"/>
    <mergeCell ref="F3858:G3858"/>
    <mergeCell ref="A3859:B3859"/>
    <mergeCell ref="F3859:G3859"/>
    <mergeCell ref="A3860:B3860"/>
    <mergeCell ref="F3860:G3860"/>
    <mergeCell ref="A3861:B3861"/>
    <mergeCell ref="F3861:G3861"/>
    <mergeCell ref="A3862:B3862"/>
    <mergeCell ref="F3862:G3862"/>
    <mergeCell ref="A3863:B3863"/>
    <mergeCell ref="F3863:G3863"/>
    <mergeCell ref="A3864:B3864"/>
    <mergeCell ref="F3864:G3864"/>
    <mergeCell ref="A3830:D3830"/>
    <mergeCell ref="F3835:G3835"/>
    <mergeCell ref="A3838:H3838"/>
    <mergeCell ref="A3840:A3843"/>
    <mergeCell ref="B3840:G3843"/>
    <mergeCell ref="H3840:H3842"/>
    <mergeCell ref="B3844:F3844"/>
    <mergeCell ref="B3845:E3845"/>
    <mergeCell ref="A3848:C3848"/>
    <mergeCell ref="A3849:C3849"/>
    <mergeCell ref="A3850:C3850"/>
    <mergeCell ref="A3851:C3851"/>
    <mergeCell ref="A3852:G3852"/>
    <mergeCell ref="A3853:H3853"/>
    <mergeCell ref="A3854:B3854"/>
    <mergeCell ref="F3854:G3854"/>
    <mergeCell ref="A3855:B3855"/>
    <mergeCell ref="F3855:G3855"/>
    <mergeCell ref="A3818:G3818"/>
    <mergeCell ref="A3819:H3819"/>
    <mergeCell ref="A3820:B3820"/>
    <mergeCell ref="F3820:G3820"/>
    <mergeCell ref="A3821:B3821"/>
    <mergeCell ref="F3821:G3821"/>
    <mergeCell ref="A3822:G3822"/>
    <mergeCell ref="A3823:H3823"/>
    <mergeCell ref="A3824:B3824"/>
    <mergeCell ref="F3824:G3824"/>
    <mergeCell ref="A3825:B3825"/>
    <mergeCell ref="F3825:G3825"/>
    <mergeCell ref="A3826:B3826"/>
    <mergeCell ref="F3826:G3826"/>
    <mergeCell ref="A3827:B3827"/>
    <mergeCell ref="F3827:G3827"/>
    <mergeCell ref="A3828:G3828"/>
    <mergeCell ref="F3809:G3809"/>
    <mergeCell ref="A3810:B3810"/>
    <mergeCell ref="F3810:G3810"/>
    <mergeCell ref="A3811:B3811"/>
    <mergeCell ref="F3811:G3811"/>
    <mergeCell ref="A3812:B3812"/>
    <mergeCell ref="F3812:G3812"/>
    <mergeCell ref="A3813:B3813"/>
    <mergeCell ref="F3813:G3813"/>
    <mergeCell ref="A3814:B3814"/>
    <mergeCell ref="F3814:G3814"/>
    <mergeCell ref="A3815:B3815"/>
    <mergeCell ref="F3815:G3815"/>
    <mergeCell ref="A3816:B3816"/>
    <mergeCell ref="F3816:G3816"/>
    <mergeCell ref="A3817:B3817"/>
    <mergeCell ref="F3817:G3817"/>
    <mergeCell ref="A5667:B5667"/>
    <mergeCell ref="F5667:G5667"/>
    <mergeCell ref="A5668:B5668"/>
    <mergeCell ref="F5668:G5668"/>
    <mergeCell ref="A5669:G5669"/>
    <mergeCell ref="A5671:D5671"/>
    <mergeCell ref="F5676:G5676"/>
    <mergeCell ref="A3787:H3787"/>
    <mergeCell ref="A3789:A3792"/>
    <mergeCell ref="B3789:G3792"/>
    <mergeCell ref="H3789:H3791"/>
    <mergeCell ref="B3793:F3793"/>
    <mergeCell ref="B3794:E3794"/>
    <mergeCell ref="A3797:C3797"/>
    <mergeCell ref="A3798:C3798"/>
    <mergeCell ref="A3799:C3799"/>
    <mergeCell ref="A3800:C3800"/>
    <mergeCell ref="A3801:G3801"/>
    <mergeCell ref="A3802:H3802"/>
    <mergeCell ref="A3803:B3803"/>
    <mergeCell ref="F3803:G3803"/>
    <mergeCell ref="A3804:B3804"/>
    <mergeCell ref="F3804:G3804"/>
    <mergeCell ref="A3805:B3805"/>
    <mergeCell ref="F3805:G3805"/>
    <mergeCell ref="A3806:B3806"/>
    <mergeCell ref="F3806:G3806"/>
    <mergeCell ref="A3807:B3807"/>
    <mergeCell ref="F3807:G3807"/>
    <mergeCell ref="A3808:B3808"/>
    <mergeCell ref="F3808:G3808"/>
    <mergeCell ref="A3809:B3809"/>
    <mergeCell ref="A5656:B5656"/>
    <mergeCell ref="F5656:G5656"/>
    <mergeCell ref="A5657:B5657"/>
    <mergeCell ref="F5657:G5657"/>
    <mergeCell ref="A5658:B5658"/>
    <mergeCell ref="F5658:G5658"/>
    <mergeCell ref="A5659:G5659"/>
    <mergeCell ref="A5660:H5660"/>
    <mergeCell ref="A5661:B5661"/>
    <mergeCell ref="F5661:G5661"/>
    <mergeCell ref="A5662:B5662"/>
    <mergeCell ref="F5662:G5662"/>
    <mergeCell ref="A5663:G5663"/>
    <mergeCell ref="A5664:H5664"/>
    <mergeCell ref="A5665:B5665"/>
    <mergeCell ref="A3566:B3566"/>
    <mergeCell ref="F3566:G3566"/>
    <mergeCell ref="A3567:G3567"/>
    <mergeCell ref="A3568:H3568"/>
    <mergeCell ref="A3569:B3569"/>
    <mergeCell ref="F3569:G3569"/>
    <mergeCell ref="A3570:B3570"/>
    <mergeCell ref="F3570:G3570"/>
    <mergeCell ref="A3571:B3571"/>
    <mergeCell ref="F3571:G3571"/>
    <mergeCell ref="A3572:B3572"/>
    <mergeCell ref="F3572:G3572"/>
    <mergeCell ref="A3573:G3573"/>
    <mergeCell ref="A3575:D3575"/>
    <mergeCell ref="F3580:G3580"/>
    <mergeCell ref="A5356:H5356"/>
    <mergeCell ref="A5357:B5357"/>
    <mergeCell ref="F5357:G5357"/>
    <mergeCell ref="A5358:B5358"/>
    <mergeCell ref="F5358:G5358"/>
    <mergeCell ref="A5359:B5359"/>
    <mergeCell ref="F5359:G5359"/>
    <mergeCell ref="A5360:B5360"/>
    <mergeCell ref="F5360:G5360"/>
    <mergeCell ref="A5361:G5361"/>
    <mergeCell ref="A5363:D5363"/>
    <mergeCell ref="F5368:G5368"/>
    <mergeCell ref="A5346:B5346"/>
    <mergeCell ref="F5346:G5346"/>
    <mergeCell ref="A5347:B5347"/>
    <mergeCell ref="F5347:G5347"/>
    <mergeCell ref="A5348:B5348"/>
    <mergeCell ref="F5348:G5348"/>
    <mergeCell ref="A5349:B5349"/>
    <mergeCell ref="F5349:G5349"/>
    <mergeCell ref="A5350:B5350"/>
    <mergeCell ref="F5350:G5350"/>
    <mergeCell ref="A5351:G5351"/>
    <mergeCell ref="A5352:H5352"/>
    <mergeCell ref="A5353:B5353"/>
    <mergeCell ref="F5353:G5353"/>
    <mergeCell ref="A5354:B5354"/>
    <mergeCell ref="F5354:G5354"/>
    <mergeCell ref="A5355:G5355"/>
    <mergeCell ref="A5337:B5337"/>
    <mergeCell ref="F5337:G5337"/>
    <mergeCell ref="A5338:B5338"/>
    <mergeCell ref="F5338:G5338"/>
    <mergeCell ref="A5339:B5339"/>
    <mergeCell ref="F5339:G5339"/>
    <mergeCell ref="A5340:B5340"/>
    <mergeCell ref="F5340:G5340"/>
    <mergeCell ref="A5341:B5341"/>
    <mergeCell ref="F5341:G5341"/>
    <mergeCell ref="A5342:B5342"/>
    <mergeCell ref="F5342:G5342"/>
    <mergeCell ref="A5343:B5343"/>
    <mergeCell ref="F5343:G5343"/>
    <mergeCell ref="A5344:B5344"/>
    <mergeCell ref="F5344:G5344"/>
    <mergeCell ref="A5345:B5345"/>
    <mergeCell ref="F5345:G5345"/>
    <mergeCell ref="A5310:G5310"/>
    <mergeCell ref="A5312:D5312"/>
    <mergeCell ref="A3556:B3556"/>
    <mergeCell ref="F3556:G3556"/>
    <mergeCell ref="A3557:B3557"/>
    <mergeCell ref="F3557:G3557"/>
    <mergeCell ref="A3558:B3558"/>
    <mergeCell ref="F3558:G3558"/>
    <mergeCell ref="A3559:B3559"/>
    <mergeCell ref="F3559:G3559"/>
    <mergeCell ref="A3560:B3560"/>
    <mergeCell ref="F3560:G3560"/>
    <mergeCell ref="A3561:B3561"/>
    <mergeCell ref="F3561:G3561"/>
    <mergeCell ref="A3562:B3562"/>
    <mergeCell ref="F3562:G3562"/>
    <mergeCell ref="A3563:G3563"/>
    <mergeCell ref="A3564:H3564"/>
    <mergeCell ref="A3565:B3565"/>
    <mergeCell ref="B3539:E3539"/>
    <mergeCell ref="A3542:C3542"/>
    <mergeCell ref="A3543:C3543"/>
    <mergeCell ref="A3544:C3544"/>
    <mergeCell ref="A3545:C3545"/>
    <mergeCell ref="F3565:G3565"/>
    <mergeCell ref="A3546:G3546"/>
    <mergeCell ref="A3547:H3547"/>
    <mergeCell ref="A3548:B3548"/>
    <mergeCell ref="F3548:G3548"/>
    <mergeCell ref="A3549:B3549"/>
    <mergeCell ref="F3549:G3549"/>
    <mergeCell ref="A3550:B3550"/>
    <mergeCell ref="F3550:G3550"/>
    <mergeCell ref="A3551:B3551"/>
    <mergeCell ref="F3551:G3551"/>
    <mergeCell ref="A3552:B3552"/>
    <mergeCell ref="F3552:G3552"/>
    <mergeCell ref="A3553:B3553"/>
    <mergeCell ref="F3553:G3553"/>
    <mergeCell ref="A3554:B3554"/>
    <mergeCell ref="F3554:G3554"/>
    <mergeCell ref="A3555:B3555"/>
    <mergeCell ref="F3555:G3555"/>
    <mergeCell ref="A3345:B3345"/>
    <mergeCell ref="F3413:G3413"/>
    <mergeCell ref="A3414:G3414"/>
    <mergeCell ref="A3415:H3415"/>
    <mergeCell ref="A3416:B3416"/>
    <mergeCell ref="F3416:G3416"/>
    <mergeCell ref="A3417:B3417"/>
    <mergeCell ref="F3417:G3417"/>
    <mergeCell ref="A3418:B3418"/>
    <mergeCell ref="F3418:G3418"/>
    <mergeCell ref="A3419:B3419"/>
    <mergeCell ref="F3419:G3419"/>
    <mergeCell ref="A3420:G3420"/>
    <mergeCell ref="A3422:D3422"/>
    <mergeCell ref="F3427:G3427"/>
    <mergeCell ref="A3517:H3517"/>
    <mergeCell ref="A3518:B3518"/>
    <mergeCell ref="F3518:G3518"/>
    <mergeCell ref="A3519:B3519"/>
    <mergeCell ref="F3519:G3519"/>
    <mergeCell ref="A3520:B3520"/>
    <mergeCell ref="F3520:G3520"/>
    <mergeCell ref="A3521:B3521"/>
    <mergeCell ref="F3521:G3521"/>
    <mergeCell ref="A3522:G3522"/>
    <mergeCell ref="A3524:D3524"/>
    <mergeCell ref="F3529:G3529"/>
    <mergeCell ref="A3532:H3532"/>
    <mergeCell ref="A3534:A3537"/>
    <mergeCell ref="B3534:G3537"/>
    <mergeCell ref="H3534:H3536"/>
    <mergeCell ref="B3538:F3538"/>
    <mergeCell ref="A3507:B3507"/>
    <mergeCell ref="F3507:G3507"/>
    <mergeCell ref="A3508:B3508"/>
    <mergeCell ref="F3508:G3508"/>
    <mergeCell ref="A3509:B3509"/>
    <mergeCell ref="F3509:G3509"/>
    <mergeCell ref="A3510:B3510"/>
    <mergeCell ref="F3510:G3510"/>
    <mergeCell ref="A3511:B3511"/>
    <mergeCell ref="F3511:G3511"/>
    <mergeCell ref="A3512:G3512"/>
    <mergeCell ref="A3513:H3513"/>
    <mergeCell ref="A3514:B3514"/>
    <mergeCell ref="F3514:G3514"/>
    <mergeCell ref="A3515:B3515"/>
    <mergeCell ref="F3515:G3515"/>
    <mergeCell ref="A3516:G3516"/>
    <mergeCell ref="B3432:G3435"/>
    <mergeCell ref="H3432:H3434"/>
    <mergeCell ref="B3436:F3436"/>
    <mergeCell ref="B3437:E3437"/>
    <mergeCell ref="A3440:C3440"/>
    <mergeCell ref="A3441:C3441"/>
    <mergeCell ref="A3442:C3442"/>
    <mergeCell ref="A3443:C3443"/>
    <mergeCell ref="A3444:G3444"/>
    <mergeCell ref="A3445:H3445"/>
    <mergeCell ref="A3446:B3446"/>
    <mergeCell ref="F3446:G3446"/>
    <mergeCell ref="A3447:B3447"/>
    <mergeCell ref="F3447:G3447"/>
    <mergeCell ref="A3448:B3448"/>
    <mergeCell ref="A3292:H3292"/>
    <mergeCell ref="A3293:B3293"/>
    <mergeCell ref="F3293:G3293"/>
    <mergeCell ref="A3294:B3294"/>
    <mergeCell ref="F3294:G3294"/>
    <mergeCell ref="A3295:B3295"/>
    <mergeCell ref="F3295:G3295"/>
    <mergeCell ref="A3296:B3296"/>
    <mergeCell ref="F3296:G3296"/>
    <mergeCell ref="A3297:B3297"/>
    <mergeCell ref="F3297:G3297"/>
    <mergeCell ref="A3298:B3298"/>
    <mergeCell ref="F3298:G3298"/>
    <mergeCell ref="A3299:B3299"/>
    <mergeCell ref="F3299:G3299"/>
    <mergeCell ref="A3498:B3498"/>
    <mergeCell ref="F3498:G3498"/>
    <mergeCell ref="A3499:B3499"/>
    <mergeCell ref="F3499:G3499"/>
    <mergeCell ref="A3500:B3500"/>
    <mergeCell ref="F3500:G3500"/>
    <mergeCell ref="A3501:B3501"/>
    <mergeCell ref="F3501:G3501"/>
    <mergeCell ref="A3502:B3502"/>
    <mergeCell ref="F3502:G3502"/>
    <mergeCell ref="A3503:B3503"/>
    <mergeCell ref="F3503:G3503"/>
    <mergeCell ref="A3504:B3504"/>
    <mergeCell ref="F3504:G3504"/>
    <mergeCell ref="A3505:B3505"/>
    <mergeCell ref="F3505:G3505"/>
    <mergeCell ref="A3506:B3506"/>
    <mergeCell ref="F3506:G3506"/>
    <mergeCell ref="F3314:G3314"/>
    <mergeCell ref="A3315:B3315"/>
    <mergeCell ref="F3315:G3315"/>
    <mergeCell ref="A3481:H3481"/>
    <mergeCell ref="A3483:A3486"/>
    <mergeCell ref="B3483:G3486"/>
    <mergeCell ref="H3483:H3485"/>
    <mergeCell ref="B3487:F3487"/>
    <mergeCell ref="B3488:E3488"/>
    <mergeCell ref="A3491:C3491"/>
    <mergeCell ref="A3492:C3492"/>
    <mergeCell ref="A3493:C3493"/>
    <mergeCell ref="A3494:C3494"/>
    <mergeCell ref="A3495:G3495"/>
    <mergeCell ref="A3496:H3496"/>
    <mergeCell ref="A3497:B3497"/>
    <mergeCell ref="F3497:G3497"/>
    <mergeCell ref="A3328:H3328"/>
    <mergeCell ref="A3330:A3333"/>
    <mergeCell ref="B3330:G3333"/>
    <mergeCell ref="H3330:H3332"/>
    <mergeCell ref="B3334:F3334"/>
    <mergeCell ref="B3335:E3335"/>
    <mergeCell ref="A3338:C3338"/>
    <mergeCell ref="A3339:C3339"/>
    <mergeCell ref="A3340:C3340"/>
    <mergeCell ref="A3341:C3341"/>
    <mergeCell ref="A3342:G3342"/>
    <mergeCell ref="A3343:H3343"/>
    <mergeCell ref="A3344:B3344"/>
    <mergeCell ref="F3344:G3344"/>
    <mergeCell ref="A5320:H5320"/>
    <mergeCell ref="A5322:A5325"/>
    <mergeCell ref="B5322:G5325"/>
    <mergeCell ref="H5322:H5324"/>
    <mergeCell ref="B5326:F5326"/>
    <mergeCell ref="B5327:E5327"/>
    <mergeCell ref="A5330:C5330"/>
    <mergeCell ref="A5331:C5331"/>
    <mergeCell ref="A5332:C5332"/>
    <mergeCell ref="A5333:C5333"/>
    <mergeCell ref="A5334:G5334"/>
    <mergeCell ref="A5335:H5335"/>
    <mergeCell ref="A5336:B5336"/>
    <mergeCell ref="F5336:G5336"/>
    <mergeCell ref="A5299:B5299"/>
    <mergeCell ref="F5299:G5299"/>
    <mergeCell ref="A5300:G5300"/>
    <mergeCell ref="A5301:H5301"/>
    <mergeCell ref="A5302:B5302"/>
    <mergeCell ref="F5302:G5302"/>
    <mergeCell ref="A5303:B5303"/>
    <mergeCell ref="F5303:G5303"/>
    <mergeCell ref="A5304:G5304"/>
    <mergeCell ref="A5305:H5305"/>
    <mergeCell ref="A5306:B5306"/>
    <mergeCell ref="F5306:G5306"/>
    <mergeCell ref="A5307:B5307"/>
    <mergeCell ref="F5307:G5307"/>
    <mergeCell ref="A5308:B5308"/>
    <mergeCell ref="F5308:G5308"/>
    <mergeCell ref="A5309:B5309"/>
    <mergeCell ref="F5309:G5309"/>
    <mergeCell ref="A5290:B5290"/>
    <mergeCell ref="F5290:G5290"/>
    <mergeCell ref="A5291:B5291"/>
    <mergeCell ref="F5291:G5291"/>
    <mergeCell ref="A5292:B5292"/>
    <mergeCell ref="F5292:G5292"/>
    <mergeCell ref="A5293:B5293"/>
    <mergeCell ref="F5293:G5293"/>
    <mergeCell ref="A5294:B5294"/>
    <mergeCell ref="F5294:G5294"/>
    <mergeCell ref="A5295:B5295"/>
    <mergeCell ref="F5295:G5295"/>
    <mergeCell ref="A5296:B5296"/>
    <mergeCell ref="F5296:G5296"/>
    <mergeCell ref="A5297:B5297"/>
    <mergeCell ref="F5297:G5297"/>
    <mergeCell ref="A5298:B5298"/>
    <mergeCell ref="F5298:G5298"/>
    <mergeCell ref="B5275:F5275"/>
    <mergeCell ref="B5276:E5276"/>
    <mergeCell ref="A5279:C5279"/>
    <mergeCell ref="A5280:C5280"/>
    <mergeCell ref="A5281:C5281"/>
    <mergeCell ref="A5282:C5282"/>
    <mergeCell ref="A5283:G5283"/>
    <mergeCell ref="A5284:H5284"/>
    <mergeCell ref="A5285:B5285"/>
    <mergeCell ref="F5285:G5285"/>
    <mergeCell ref="A5286:B5286"/>
    <mergeCell ref="F5286:G5286"/>
    <mergeCell ref="A5287:B5287"/>
    <mergeCell ref="F5287:G5287"/>
    <mergeCell ref="A5288:B5288"/>
    <mergeCell ref="F5288:G5288"/>
    <mergeCell ref="A5289:B5289"/>
    <mergeCell ref="F5289:G5289"/>
    <mergeCell ref="A5252:B5252"/>
    <mergeCell ref="F5252:G5252"/>
    <mergeCell ref="A5253:G5253"/>
    <mergeCell ref="A5254:H5254"/>
    <mergeCell ref="A5255:B5255"/>
    <mergeCell ref="F5255:G5255"/>
    <mergeCell ref="A5256:B5256"/>
    <mergeCell ref="F5256:G5256"/>
    <mergeCell ref="A5257:B5257"/>
    <mergeCell ref="F5257:G5257"/>
    <mergeCell ref="A5258:B5258"/>
    <mergeCell ref="F5258:G5258"/>
    <mergeCell ref="A5259:G5259"/>
    <mergeCell ref="A5261:D5261"/>
    <mergeCell ref="F5266:G5266"/>
    <mergeCell ref="A5269:H5269"/>
    <mergeCell ref="A5271:A5274"/>
    <mergeCell ref="B5271:G5274"/>
    <mergeCell ref="H5271:H5273"/>
    <mergeCell ref="A5242:B5242"/>
    <mergeCell ref="F5242:G5242"/>
    <mergeCell ref="A5243:B5243"/>
    <mergeCell ref="F5243:G5243"/>
    <mergeCell ref="A5244:B5244"/>
    <mergeCell ref="F5244:G5244"/>
    <mergeCell ref="A5245:B5245"/>
    <mergeCell ref="F5245:G5245"/>
    <mergeCell ref="A5246:B5246"/>
    <mergeCell ref="F5246:G5246"/>
    <mergeCell ref="A5247:B5247"/>
    <mergeCell ref="F5247:G5247"/>
    <mergeCell ref="A5248:B5248"/>
    <mergeCell ref="F5248:G5248"/>
    <mergeCell ref="A5249:G5249"/>
    <mergeCell ref="A5250:H5250"/>
    <mergeCell ref="A5251:B5251"/>
    <mergeCell ref="F5251:G5251"/>
    <mergeCell ref="A5232:G5232"/>
    <mergeCell ref="A5233:H5233"/>
    <mergeCell ref="A5234:B5234"/>
    <mergeCell ref="F5234:G5234"/>
    <mergeCell ref="A5235:B5235"/>
    <mergeCell ref="F5235:G5235"/>
    <mergeCell ref="A5236:B5236"/>
    <mergeCell ref="F5236:G5236"/>
    <mergeCell ref="A5237:B5237"/>
    <mergeCell ref="F5237:G5237"/>
    <mergeCell ref="A5238:B5238"/>
    <mergeCell ref="F5238:G5238"/>
    <mergeCell ref="A5239:B5239"/>
    <mergeCell ref="F5239:G5239"/>
    <mergeCell ref="A5240:B5240"/>
    <mergeCell ref="F5240:G5240"/>
    <mergeCell ref="A5241:B5241"/>
    <mergeCell ref="F5241:G5241"/>
    <mergeCell ref="A5206:B5206"/>
    <mergeCell ref="F5206:G5206"/>
    <mergeCell ref="A5207:B5207"/>
    <mergeCell ref="F5207:G5207"/>
    <mergeCell ref="A5208:G5208"/>
    <mergeCell ref="A5210:D5210"/>
    <mergeCell ref="F5215:G5215"/>
    <mergeCell ref="A5218:H5218"/>
    <mergeCell ref="A5220:A5223"/>
    <mergeCell ref="B5220:G5223"/>
    <mergeCell ref="H5220:H5222"/>
    <mergeCell ref="B5224:F5224"/>
    <mergeCell ref="B5225:E5225"/>
    <mergeCell ref="A5228:C5228"/>
    <mergeCell ref="A5229:C5229"/>
    <mergeCell ref="A5230:C5230"/>
    <mergeCell ref="A5231:C5231"/>
    <mergeCell ref="A5195:B5195"/>
    <mergeCell ref="F5195:G5195"/>
    <mergeCell ref="A5196:B5196"/>
    <mergeCell ref="F5196:G5196"/>
    <mergeCell ref="A5197:B5197"/>
    <mergeCell ref="F5197:G5197"/>
    <mergeCell ref="A5198:G5198"/>
    <mergeCell ref="A5199:H5199"/>
    <mergeCell ref="A5200:B5200"/>
    <mergeCell ref="F5200:G5200"/>
    <mergeCell ref="A5201:B5201"/>
    <mergeCell ref="F5201:G5201"/>
    <mergeCell ref="A5202:G5202"/>
    <mergeCell ref="A5203:H5203"/>
    <mergeCell ref="A5204:B5204"/>
    <mergeCell ref="F5204:G5204"/>
    <mergeCell ref="A5205:B5205"/>
    <mergeCell ref="F5205:G5205"/>
    <mergeCell ref="A5186:B5186"/>
    <mergeCell ref="F5186:G5186"/>
    <mergeCell ref="A5187:B5187"/>
    <mergeCell ref="F5187:G5187"/>
    <mergeCell ref="A5188:B5188"/>
    <mergeCell ref="F5188:G5188"/>
    <mergeCell ref="A5189:B5189"/>
    <mergeCell ref="F5189:G5189"/>
    <mergeCell ref="A5190:B5190"/>
    <mergeCell ref="F5190:G5190"/>
    <mergeCell ref="A5191:B5191"/>
    <mergeCell ref="F5191:G5191"/>
    <mergeCell ref="A5192:B5192"/>
    <mergeCell ref="F5192:G5192"/>
    <mergeCell ref="A5193:B5193"/>
    <mergeCell ref="F5193:G5193"/>
    <mergeCell ref="A5194:B5194"/>
    <mergeCell ref="F5194:G5194"/>
    <mergeCell ref="A5167:H5167"/>
    <mergeCell ref="A5169:A5172"/>
    <mergeCell ref="B5169:G5172"/>
    <mergeCell ref="H5169:H5171"/>
    <mergeCell ref="B5173:F5173"/>
    <mergeCell ref="B5174:E5174"/>
    <mergeCell ref="A5177:C5177"/>
    <mergeCell ref="A5178:C5178"/>
    <mergeCell ref="A5179:C5179"/>
    <mergeCell ref="A5180:C5180"/>
    <mergeCell ref="A5181:G5181"/>
    <mergeCell ref="A5182:H5182"/>
    <mergeCell ref="A5183:B5183"/>
    <mergeCell ref="F5183:G5183"/>
    <mergeCell ref="A5184:B5184"/>
    <mergeCell ref="F5184:G5184"/>
    <mergeCell ref="A5185:B5185"/>
    <mergeCell ref="F5185:G5185"/>
    <mergeCell ref="A8641:B8641"/>
    <mergeCell ref="F8641:G8641"/>
    <mergeCell ref="A8642:G8642"/>
    <mergeCell ref="A8644:D8644"/>
    <mergeCell ref="F8649:G8649"/>
    <mergeCell ref="A8630:B8630"/>
    <mergeCell ref="F8630:G8630"/>
    <mergeCell ref="A8631:B8631"/>
    <mergeCell ref="F8631:G8631"/>
    <mergeCell ref="A8632:G8632"/>
    <mergeCell ref="A8633:H8633"/>
    <mergeCell ref="A8634:B8634"/>
    <mergeCell ref="F8634:G8634"/>
    <mergeCell ref="A8635:B8635"/>
    <mergeCell ref="F8635:G8635"/>
    <mergeCell ref="A8636:G8636"/>
    <mergeCell ref="A8637:H8637"/>
    <mergeCell ref="A8638:B8638"/>
    <mergeCell ref="F8638:G8638"/>
    <mergeCell ref="A8639:B8639"/>
    <mergeCell ref="F8639:G8639"/>
    <mergeCell ref="A8640:B8640"/>
    <mergeCell ref="F8640:G8640"/>
    <mergeCell ref="A8621:B8621"/>
    <mergeCell ref="F8621:G8621"/>
    <mergeCell ref="A8622:B8622"/>
    <mergeCell ref="F8622:G8622"/>
    <mergeCell ref="A8623:B8623"/>
    <mergeCell ref="F8623:G8623"/>
    <mergeCell ref="A8624:B8624"/>
    <mergeCell ref="F8624:G8624"/>
    <mergeCell ref="A8625:B8625"/>
    <mergeCell ref="F8625:G8625"/>
    <mergeCell ref="A8626:B8626"/>
    <mergeCell ref="F8626:G8626"/>
    <mergeCell ref="A8627:B8627"/>
    <mergeCell ref="F8627:G8627"/>
    <mergeCell ref="A8628:B8628"/>
    <mergeCell ref="F8628:G8628"/>
    <mergeCell ref="A8629:B8629"/>
    <mergeCell ref="F8629:G8629"/>
    <mergeCell ref="A8611:C8611"/>
    <mergeCell ref="A8612:G8612"/>
    <mergeCell ref="A8613:H8613"/>
    <mergeCell ref="A8614:B8614"/>
    <mergeCell ref="F8614:G8614"/>
    <mergeCell ref="A8615:B8615"/>
    <mergeCell ref="F8615:G8615"/>
    <mergeCell ref="A8616:B8616"/>
    <mergeCell ref="F8616:G8616"/>
    <mergeCell ref="A8617:B8617"/>
    <mergeCell ref="F8617:G8617"/>
    <mergeCell ref="A8618:B8618"/>
    <mergeCell ref="F8618:G8618"/>
    <mergeCell ref="A8619:B8619"/>
    <mergeCell ref="F8619:G8619"/>
    <mergeCell ref="A8620:B8620"/>
    <mergeCell ref="F8620:G8620"/>
    <mergeCell ref="A8585:B8585"/>
    <mergeCell ref="F8585:G8585"/>
    <mergeCell ref="A8586:B8586"/>
    <mergeCell ref="F8586:G8586"/>
    <mergeCell ref="A8587:G8587"/>
    <mergeCell ref="A8589:D8589"/>
    <mergeCell ref="F8594:G8594"/>
    <mergeCell ref="A8597:H8597"/>
    <mergeCell ref="A8599:A8602"/>
    <mergeCell ref="B8599:G8602"/>
    <mergeCell ref="H8599:H8601"/>
    <mergeCell ref="B8603:F8603"/>
    <mergeCell ref="B8604:E8604"/>
    <mergeCell ref="A8607:C8607"/>
    <mergeCell ref="A8608:C8608"/>
    <mergeCell ref="A8609:C8609"/>
    <mergeCell ref="A8610:C8610"/>
    <mergeCell ref="A8574:B8574"/>
    <mergeCell ref="F8574:G8574"/>
    <mergeCell ref="A8575:B8575"/>
    <mergeCell ref="F8575:G8575"/>
    <mergeCell ref="A8576:B8576"/>
    <mergeCell ref="F8576:G8576"/>
    <mergeCell ref="A8577:G8577"/>
    <mergeCell ref="A8578:H8578"/>
    <mergeCell ref="A8579:B8579"/>
    <mergeCell ref="F8579:G8579"/>
    <mergeCell ref="A8580:B8580"/>
    <mergeCell ref="F8580:G8580"/>
    <mergeCell ref="A8581:G8581"/>
    <mergeCell ref="A8582:H8582"/>
    <mergeCell ref="A8583:B8583"/>
    <mergeCell ref="F8583:G8583"/>
    <mergeCell ref="A8584:B8584"/>
    <mergeCell ref="F8584:G8584"/>
    <mergeCell ref="A8565:B8565"/>
    <mergeCell ref="F8565:G8565"/>
    <mergeCell ref="A8566:B8566"/>
    <mergeCell ref="F8566:G8566"/>
    <mergeCell ref="A8567:B8567"/>
    <mergeCell ref="F8567:G8567"/>
    <mergeCell ref="A8568:B8568"/>
    <mergeCell ref="F8568:G8568"/>
    <mergeCell ref="A8569:B8569"/>
    <mergeCell ref="F8569:G8569"/>
    <mergeCell ref="A8570:B8570"/>
    <mergeCell ref="F8570:G8570"/>
    <mergeCell ref="A8571:B8571"/>
    <mergeCell ref="F8571:G8571"/>
    <mergeCell ref="A8572:B8572"/>
    <mergeCell ref="F8572:G8572"/>
    <mergeCell ref="A8573:B8573"/>
    <mergeCell ref="F8573:G8573"/>
    <mergeCell ref="A8554:C8554"/>
    <mergeCell ref="A8555:C8555"/>
    <mergeCell ref="A8556:C8556"/>
    <mergeCell ref="A8557:G8557"/>
    <mergeCell ref="A8558:H8558"/>
    <mergeCell ref="A8559:B8559"/>
    <mergeCell ref="F8559:G8559"/>
    <mergeCell ref="A8560:B8560"/>
    <mergeCell ref="F8560:G8560"/>
    <mergeCell ref="A8561:B8561"/>
    <mergeCell ref="F8561:G8561"/>
    <mergeCell ref="A8562:B8562"/>
    <mergeCell ref="F8562:G8562"/>
    <mergeCell ref="A8563:B8563"/>
    <mergeCell ref="F8563:G8563"/>
    <mergeCell ref="A8564:B8564"/>
    <mergeCell ref="F8564:G8564"/>
    <mergeCell ref="A8529:B8529"/>
    <mergeCell ref="F8529:G8529"/>
    <mergeCell ref="A8530:B8530"/>
    <mergeCell ref="F8530:G8530"/>
    <mergeCell ref="A8531:B8531"/>
    <mergeCell ref="F8531:G8531"/>
    <mergeCell ref="A8532:G8532"/>
    <mergeCell ref="A8534:D8534"/>
    <mergeCell ref="F8539:G8539"/>
    <mergeCell ref="A8542:H8542"/>
    <mergeCell ref="A8544:A8547"/>
    <mergeCell ref="B8544:G8547"/>
    <mergeCell ref="H8544:H8546"/>
    <mergeCell ref="B8548:F8548"/>
    <mergeCell ref="B8549:E8549"/>
    <mergeCell ref="A8552:C8552"/>
    <mergeCell ref="A8553:C8553"/>
    <mergeCell ref="A8518:B8518"/>
    <mergeCell ref="F8518:G8518"/>
    <mergeCell ref="A8519:B8519"/>
    <mergeCell ref="F8519:G8519"/>
    <mergeCell ref="A8520:B8520"/>
    <mergeCell ref="F8520:G8520"/>
    <mergeCell ref="A8521:B8521"/>
    <mergeCell ref="F8521:G8521"/>
    <mergeCell ref="A8522:G8522"/>
    <mergeCell ref="A8523:H8523"/>
    <mergeCell ref="A8524:B8524"/>
    <mergeCell ref="F8524:G8524"/>
    <mergeCell ref="A8525:B8525"/>
    <mergeCell ref="F8525:G8525"/>
    <mergeCell ref="A8526:G8526"/>
    <mergeCell ref="A8527:H8527"/>
    <mergeCell ref="A8528:B8528"/>
    <mergeCell ref="F8528:G8528"/>
    <mergeCell ref="A8509:B8509"/>
    <mergeCell ref="F8509:G8509"/>
    <mergeCell ref="A8510:B8510"/>
    <mergeCell ref="F8510:G8510"/>
    <mergeCell ref="A8511:B8511"/>
    <mergeCell ref="F8511:G8511"/>
    <mergeCell ref="A8512:B8512"/>
    <mergeCell ref="F8512:G8512"/>
    <mergeCell ref="A8513:B8513"/>
    <mergeCell ref="F8513:G8513"/>
    <mergeCell ref="A8514:B8514"/>
    <mergeCell ref="F8514:G8514"/>
    <mergeCell ref="A8515:B8515"/>
    <mergeCell ref="F8515:G8515"/>
    <mergeCell ref="A8516:B8516"/>
    <mergeCell ref="F8516:G8516"/>
    <mergeCell ref="A8517:B8517"/>
    <mergeCell ref="F8517:G8517"/>
    <mergeCell ref="B8494:E8494"/>
    <mergeCell ref="A8497:C8497"/>
    <mergeCell ref="A8498:C8498"/>
    <mergeCell ref="A8499:C8499"/>
    <mergeCell ref="A8500:C8500"/>
    <mergeCell ref="A8501:C8501"/>
    <mergeCell ref="A8502:G8502"/>
    <mergeCell ref="A8503:H8503"/>
    <mergeCell ref="A8504:B8504"/>
    <mergeCell ref="F8504:G8504"/>
    <mergeCell ref="A8505:B8505"/>
    <mergeCell ref="F8505:G8505"/>
    <mergeCell ref="A8506:B8506"/>
    <mergeCell ref="F8506:G8506"/>
    <mergeCell ref="A8507:B8507"/>
    <mergeCell ref="F8507:G8507"/>
    <mergeCell ref="A8508:B8508"/>
    <mergeCell ref="F8508:G8508"/>
    <mergeCell ref="A8487:H8487"/>
    <mergeCell ref="A8489:A8492"/>
    <mergeCell ref="B8489:G8492"/>
    <mergeCell ref="H8489:H8491"/>
    <mergeCell ref="B8493:F8493"/>
    <mergeCell ref="A8479:D8479"/>
    <mergeCell ref="F8484:G8484"/>
    <mergeCell ref="A8467:G8467"/>
    <mergeCell ref="A8468:H8468"/>
    <mergeCell ref="A8469:B8469"/>
    <mergeCell ref="F8469:G8469"/>
    <mergeCell ref="A8470:B8470"/>
    <mergeCell ref="F8470:G8470"/>
    <mergeCell ref="A8471:G8471"/>
    <mergeCell ref="A8472:H8472"/>
    <mergeCell ref="A8473:B8473"/>
    <mergeCell ref="F8473:G8473"/>
    <mergeCell ref="A8474:B8474"/>
    <mergeCell ref="F8474:G8474"/>
    <mergeCell ref="A8475:B8475"/>
    <mergeCell ref="A6693:B6693"/>
    <mergeCell ref="F6693:G6693"/>
    <mergeCell ref="A6694:B6694"/>
    <mergeCell ref="F6694:G6694"/>
    <mergeCell ref="A6695:B6695"/>
    <mergeCell ref="F6695:G6695"/>
    <mergeCell ref="A6696:B6696"/>
    <mergeCell ref="F6696:G6696"/>
    <mergeCell ref="A6697:G6697"/>
    <mergeCell ref="A6698:H6698"/>
    <mergeCell ref="A6699:B6699"/>
    <mergeCell ref="F6699:G6699"/>
    <mergeCell ref="A6700:B6700"/>
    <mergeCell ref="F6700:G6700"/>
    <mergeCell ref="A6701:G6701"/>
    <mergeCell ref="F8466:G8466"/>
    <mergeCell ref="A8450:C8450"/>
    <mergeCell ref="A8451:C8451"/>
    <mergeCell ref="A8452:C8452"/>
    <mergeCell ref="A8453:C8453"/>
    <mergeCell ref="A8454:C8454"/>
    <mergeCell ref="A8455:G8455"/>
    <mergeCell ref="A8456:H8456"/>
    <mergeCell ref="A8457:B8457"/>
    <mergeCell ref="F8457:G8457"/>
    <mergeCell ref="F8475:G8475"/>
    <mergeCell ref="A8476:B8476"/>
    <mergeCell ref="F8476:G8476"/>
    <mergeCell ref="A8477:G8477"/>
    <mergeCell ref="A8458:B8458"/>
    <mergeCell ref="F8458:G8458"/>
    <mergeCell ref="A8459:B8459"/>
    <mergeCell ref="F8459:G8459"/>
    <mergeCell ref="A8460:B8460"/>
    <mergeCell ref="F8460:G8460"/>
    <mergeCell ref="A8461:B8461"/>
    <mergeCell ref="F8461:G8461"/>
    <mergeCell ref="A8462:B8462"/>
    <mergeCell ref="F8462:G8462"/>
    <mergeCell ref="A8463:B8463"/>
    <mergeCell ref="F8463:G8463"/>
    <mergeCell ref="A8464:B8464"/>
    <mergeCell ref="F8464:G8464"/>
    <mergeCell ref="A8465:B8465"/>
    <mergeCell ref="B8446:F8446"/>
    <mergeCell ref="B8447:E8447"/>
    <mergeCell ref="A8380:B8380"/>
    <mergeCell ref="F8380:G8380"/>
    <mergeCell ref="A8381:B8381"/>
    <mergeCell ref="F8381:G8381"/>
    <mergeCell ref="A8382:B8382"/>
    <mergeCell ref="F8382:G8382"/>
    <mergeCell ref="A8383:G8383"/>
    <mergeCell ref="A8385:D8385"/>
    <mergeCell ref="F8390:G8390"/>
    <mergeCell ref="A8393:H8393"/>
    <mergeCell ref="A8395:A8398"/>
    <mergeCell ref="B8395:G8398"/>
    <mergeCell ref="H8395:H8397"/>
    <mergeCell ref="B8399:F8399"/>
    <mergeCell ref="B8400:E8400"/>
    <mergeCell ref="A8403:C8403"/>
    <mergeCell ref="A8404:C8404"/>
    <mergeCell ref="A8374:H8374"/>
    <mergeCell ref="A6683:B6683"/>
    <mergeCell ref="F6683:G6683"/>
    <mergeCell ref="A6684:B6684"/>
    <mergeCell ref="F6684:G6684"/>
    <mergeCell ref="A6685:B6685"/>
    <mergeCell ref="F6685:G6685"/>
    <mergeCell ref="A6686:B6686"/>
    <mergeCell ref="F6686:G6686"/>
    <mergeCell ref="A6687:B6687"/>
    <mergeCell ref="F6687:G6687"/>
    <mergeCell ref="A6688:B6688"/>
    <mergeCell ref="F6688:G6688"/>
    <mergeCell ref="A6689:B6689"/>
    <mergeCell ref="F6689:G6689"/>
    <mergeCell ref="A6690:B6690"/>
    <mergeCell ref="F6690:G6690"/>
    <mergeCell ref="A6691:B6691"/>
    <mergeCell ref="F6691:G6691"/>
    <mergeCell ref="A6655:G6655"/>
    <mergeCell ref="A6657:D6657"/>
    <mergeCell ref="F6662:G6662"/>
    <mergeCell ref="A6665:H6665"/>
    <mergeCell ref="A6667:A6670"/>
    <mergeCell ref="B6667:G6670"/>
    <mergeCell ref="H6667:H6669"/>
    <mergeCell ref="B6671:F6671"/>
    <mergeCell ref="B6672:E6672"/>
    <mergeCell ref="A6675:C6675"/>
    <mergeCell ref="A6676:C6676"/>
    <mergeCell ref="A6677:C6677"/>
    <mergeCell ref="A6678:C6678"/>
    <mergeCell ref="A6679:C6679"/>
    <mergeCell ref="A6680:G6680"/>
    <mergeCell ref="A6681:H6681"/>
    <mergeCell ref="A6682:B6682"/>
    <mergeCell ref="F6682:G6682"/>
    <mergeCell ref="A6644:B6644"/>
    <mergeCell ref="F6644:G6644"/>
    <mergeCell ref="A6645:G6645"/>
    <mergeCell ref="A6646:H6646"/>
    <mergeCell ref="A6647:B6647"/>
    <mergeCell ref="F6647:G6647"/>
    <mergeCell ref="A6648:B6648"/>
    <mergeCell ref="F6648:G6648"/>
    <mergeCell ref="A6649:G6649"/>
    <mergeCell ref="A6650:H6650"/>
    <mergeCell ref="A6651:B6651"/>
    <mergeCell ref="F6651:G6651"/>
    <mergeCell ref="A6652:B6652"/>
    <mergeCell ref="F6652:G6652"/>
    <mergeCell ref="A6653:B6653"/>
    <mergeCell ref="F6653:G6653"/>
    <mergeCell ref="A6654:B6654"/>
    <mergeCell ref="F6654:G6654"/>
    <mergeCell ref="A6635:B6635"/>
    <mergeCell ref="F6635:G6635"/>
    <mergeCell ref="A6636:B6636"/>
    <mergeCell ref="F6636:G6636"/>
    <mergeCell ref="A6637:B6637"/>
    <mergeCell ref="F6637:G6637"/>
    <mergeCell ref="A6638:B6638"/>
    <mergeCell ref="F6638:G6638"/>
    <mergeCell ref="A6639:B6639"/>
    <mergeCell ref="F6639:G6639"/>
    <mergeCell ref="A6640:B6640"/>
    <mergeCell ref="F6640:G6640"/>
    <mergeCell ref="A6641:B6641"/>
    <mergeCell ref="F6641:G6641"/>
    <mergeCell ref="A6642:B6642"/>
    <mergeCell ref="F6642:G6642"/>
    <mergeCell ref="A6643:B6643"/>
    <mergeCell ref="F6643:G6643"/>
    <mergeCell ref="F6583:G6583"/>
    <mergeCell ref="A6584:B6584"/>
    <mergeCell ref="F6584:G6584"/>
    <mergeCell ref="A6585:B6585"/>
    <mergeCell ref="F6585:G6585"/>
    <mergeCell ref="A6586:B6586"/>
    <mergeCell ref="F6586:G6586"/>
    <mergeCell ref="A6587:B6587"/>
    <mergeCell ref="F6587:G6587"/>
    <mergeCell ref="B6620:E6620"/>
    <mergeCell ref="A6623:C6623"/>
    <mergeCell ref="A6624:C6624"/>
    <mergeCell ref="A6625:C6625"/>
    <mergeCell ref="A6626:C6626"/>
    <mergeCell ref="A6627:C6627"/>
    <mergeCell ref="A6628:G6628"/>
    <mergeCell ref="A6629:H6629"/>
    <mergeCell ref="A6630:B6630"/>
    <mergeCell ref="F6630:G6630"/>
    <mergeCell ref="A6631:B6631"/>
    <mergeCell ref="F6631:G6631"/>
    <mergeCell ref="A6632:B6632"/>
    <mergeCell ref="F6632:G6632"/>
    <mergeCell ref="A6633:B6633"/>
    <mergeCell ref="F6633:G6633"/>
    <mergeCell ref="A6634:B6634"/>
    <mergeCell ref="F6634:G6634"/>
    <mergeCell ref="A6598:H6598"/>
    <mergeCell ref="A6599:B6599"/>
    <mergeCell ref="F6599:G6599"/>
    <mergeCell ref="A6600:B6600"/>
    <mergeCell ref="F6600:G6600"/>
    <mergeCell ref="A6601:B6601"/>
    <mergeCell ref="F6601:G6601"/>
    <mergeCell ref="A6602:B6602"/>
    <mergeCell ref="F6602:G6602"/>
    <mergeCell ref="A6603:G6603"/>
    <mergeCell ref="A6605:D6605"/>
    <mergeCell ref="F6610:G6610"/>
    <mergeCell ref="A6613:H6613"/>
    <mergeCell ref="A6615:A6618"/>
    <mergeCell ref="B6615:G6618"/>
    <mergeCell ref="H6615:H6617"/>
    <mergeCell ref="B6619:F6619"/>
    <mergeCell ref="A4953:G4953"/>
    <mergeCell ref="A4955:D4955"/>
    <mergeCell ref="F4960:G4960"/>
    <mergeCell ref="A6561:H6561"/>
    <mergeCell ref="A6563:A6566"/>
    <mergeCell ref="B6563:G6566"/>
    <mergeCell ref="H6563:H6565"/>
    <mergeCell ref="B6567:F6567"/>
    <mergeCell ref="B6568:E6568"/>
    <mergeCell ref="A6571:C6571"/>
    <mergeCell ref="A6572:C6572"/>
    <mergeCell ref="A6573:C6573"/>
    <mergeCell ref="A6574:C6574"/>
    <mergeCell ref="A6575:C6575"/>
    <mergeCell ref="A6576:G6576"/>
    <mergeCell ref="A6577:H6577"/>
    <mergeCell ref="A6578:B6578"/>
    <mergeCell ref="F6578:G6578"/>
    <mergeCell ref="A6286:G6286"/>
    <mergeCell ref="A6287:H6287"/>
    <mergeCell ref="A6288:B6288"/>
    <mergeCell ref="F6288:G6288"/>
    <mergeCell ref="A6289:B6289"/>
    <mergeCell ref="F6289:G6289"/>
    <mergeCell ref="A6290:B6290"/>
    <mergeCell ref="F6290:G6290"/>
    <mergeCell ref="A6291:B6291"/>
    <mergeCell ref="F6291:G6291"/>
    <mergeCell ref="A6280:B6280"/>
    <mergeCell ref="F6280:G6280"/>
    <mergeCell ref="A6281:B6281"/>
    <mergeCell ref="F6281:G6281"/>
    <mergeCell ref="A4942:B4942"/>
    <mergeCell ref="F4942:G4942"/>
    <mergeCell ref="A4943:G4943"/>
    <mergeCell ref="A4944:H4944"/>
    <mergeCell ref="A4945:B4945"/>
    <mergeCell ref="F4945:G4945"/>
    <mergeCell ref="A4946:B4946"/>
    <mergeCell ref="F4946:G4946"/>
    <mergeCell ref="A4947:G4947"/>
    <mergeCell ref="A4948:H4948"/>
    <mergeCell ref="A4949:B4949"/>
    <mergeCell ref="F4949:G4949"/>
    <mergeCell ref="A4950:B4950"/>
    <mergeCell ref="F4950:G4950"/>
    <mergeCell ref="A4951:B4951"/>
    <mergeCell ref="F4951:G4951"/>
    <mergeCell ref="A4952:B4952"/>
    <mergeCell ref="F4952:G4952"/>
    <mergeCell ref="A6292:G6292"/>
    <mergeCell ref="A6294:D6294"/>
    <mergeCell ref="F6299:G6299"/>
    <mergeCell ref="A6270:B6270"/>
    <mergeCell ref="F6270:G6270"/>
    <mergeCell ref="A6271:B6271"/>
    <mergeCell ref="F6271:G6271"/>
    <mergeCell ref="A6272:B6272"/>
    <mergeCell ref="F6272:G6272"/>
    <mergeCell ref="A6273:B6273"/>
    <mergeCell ref="F6273:G6273"/>
    <mergeCell ref="A6274:B6274"/>
    <mergeCell ref="F6274:G6274"/>
    <mergeCell ref="A6263:C6263"/>
    <mergeCell ref="A4933:B4933"/>
    <mergeCell ref="F4933:G4933"/>
    <mergeCell ref="A4934:B4934"/>
    <mergeCell ref="F4934:G4934"/>
    <mergeCell ref="A4935:B4935"/>
    <mergeCell ref="F4935:G4935"/>
    <mergeCell ref="A4936:B4936"/>
    <mergeCell ref="F4936:G4936"/>
    <mergeCell ref="A4937:B4937"/>
    <mergeCell ref="F4937:G4937"/>
    <mergeCell ref="A4938:B4938"/>
    <mergeCell ref="F4938:G4938"/>
    <mergeCell ref="A4939:B4939"/>
    <mergeCell ref="F4939:G4939"/>
    <mergeCell ref="A4940:B4940"/>
    <mergeCell ref="F4940:G4940"/>
    <mergeCell ref="A4941:B4941"/>
    <mergeCell ref="F4941:G4941"/>
    <mergeCell ref="B4919:E4919"/>
    <mergeCell ref="A4922:C4922"/>
    <mergeCell ref="A4923:C4923"/>
    <mergeCell ref="A4924:C4924"/>
    <mergeCell ref="A4925:C4925"/>
    <mergeCell ref="A4926:G4926"/>
    <mergeCell ref="A4927:H4927"/>
    <mergeCell ref="A4928:B4928"/>
    <mergeCell ref="F4928:G4928"/>
    <mergeCell ref="A4929:B4929"/>
    <mergeCell ref="F4929:G4929"/>
    <mergeCell ref="A4930:B4930"/>
    <mergeCell ref="F4930:G4930"/>
    <mergeCell ref="A4931:B4931"/>
    <mergeCell ref="F4931:G4931"/>
    <mergeCell ref="A4932:B4932"/>
    <mergeCell ref="F4932:G4932"/>
    <mergeCell ref="A4897:H4897"/>
    <mergeCell ref="A4898:B4898"/>
    <mergeCell ref="F4898:G4898"/>
    <mergeCell ref="A4899:B4899"/>
    <mergeCell ref="F4899:G4899"/>
    <mergeCell ref="A4900:B4900"/>
    <mergeCell ref="F4900:G4900"/>
    <mergeCell ref="A4901:B4901"/>
    <mergeCell ref="F4901:G4901"/>
    <mergeCell ref="A4902:G4902"/>
    <mergeCell ref="A4904:D4904"/>
    <mergeCell ref="F4909:G4909"/>
    <mergeCell ref="A4912:H4912"/>
    <mergeCell ref="A4914:A4917"/>
    <mergeCell ref="B4914:G4917"/>
    <mergeCell ref="H4914:H4916"/>
    <mergeCell ref="B4918:F4918"/>
    <mergeCell ref="A4887:B4887"/>
    <mergeCell ref="F4887:G4887"/>
    <mergeCell ref="A4888:B4888"/>
    <mergeCell ref="F4888:G4888"/>
    <mergeCell ref="A4889:B4889"/>
    <mergeCell ref="F4889:G4889"/>
    <mergeCell ref="A4890:B4890"/>
    <mergeCell ref="F4890:G4890"/>
    <mergeCell ref="A4891:B4891"/>
    <mergeCell ref="F4891:G4891"/>
    <mergeCell ref="A4892:G4892"/>
    <mergeCell ref="A4893:H4893"/>
    <mergeCell ref="A4894:B4894"/>
    <mergeCell ref="F4894:G4894"/>
    <mergeCell ref="A4895:B4895"/>
    <mergeCell ref="F4895:G4895"/>
    <mergeCell ref="A4896:G4896"/>
    <mergeCell ref="A4878:B4878"/>
    <mergeCell ref="F4878:G4878"/>
    <mergeCell ref="A4879:B4879"/>
    <mergeCell ref="F4879:G4879"/>
    <mergeCell ref="A4880:B4880"/>
    <mergeCell ref="F4880:G4880"/>
    <mergeCell ref="A4881:B4881"/>
    <mergeCell ref="F4881:G4881"/>
    <mergeCell ref="A4882:B4882"/>
    <mergeCell ref="F4882:G4882"/>
    <mergeCell ref="A4883:B4883"/>
    <mergeCell ref="F4883:G4883"/>
    <mergeCell ref="A4884:B4884"/>
    <mergeCell ref="F4884:G4884"/>
    <mergeCell ref="A4885:B4885"/>
    <mergeCell ref="F4885:G4885"/>
    <mergeCell ref="A4886:B4886"/>
    <mergeCell ref="F4886:G4886"/>
    <mergeCell ref="A4851:G4851"/>
    <mergeCell ref="A4853:D4853"/>
    <mergeCell ref="F4858:G4858"/>
    <mergeCell ref="A4861:H4861"/>
    <mergeCell ref="A4863:A4866"/>
    <mergeCell ref="B4863:G4866"/>
    <mergeCell ref="H4863:H4865"/>
    <mergeCell ref="B4867:F4867"/>
    <mergeCell ref="B4868:E4868"/>
    <mergeCell ref="A4871:C4871"/>
    <mergeCell ref="A4872:C4872"/>
    <mergeCell ref="A4873:C4873"/>
    <mergeCell ref="A4874:C4874"/>
    <mergeCell ref="A4875:G4875"/>
    <mergeCell ref="A4876:H4876"/>
    <mergeCell ref="A4877:B4877"/>
    <mergeCell ref="F4877:G4877"/>
    <mergeCell ref="A4840:B4840"/>
    <mergeCell ref="F4840:G4840"/>
    <mergeCell ref="A4841:G4841"/>
    <mergeCell ref="A4842:H4842"/>
    <mergeCell ref="A4843:B4843"/>
    <mergeCell ref="F4843:G4843"/>
    <mergeCell ref="A4844:B4844"/>
    <mergeCell ref="F4844:G4844"/>
    <mergeCell ref="A4845:G4845"/>
    <mergeCell ref="A4846:H4846"/>
    <mergeCell ref="A4847:B4847"/>
    <mergeCell ref="F4847:G4847"/>
    <mergeCell ref="A4848:B4848"/>
    <mergeCell ref="F4848:G4848"/>
    <mergeCell ref="A4849:B4849"/>
    <mergeCell ref="F4849:G4849"/>
    <mergeCell ref="A4850:B4850"/>
    <mergeCell ref="F4850:G4850"/>
    <mergeCell ref="A4831:B4831"/>
    <mergeCell ref="F4831:G4831"/>
    <mergeCell ref="A4832:B4832"/>
    <mergeCell ref="F4832:G4832"/>
    <mergeCell ref="A4833:B4833"/>
    <mergeCell ref="F4833:G4833"/>
    <mergeCell ref="A4834:B4834"/>
    <mergeCell ref="F4834:G4834"/>
    <mergeCell ref="A4835:B4835"/>
    <mergeCell ref="F4835:G4835"/>
    <mergeCell ref="A4836:B4836"/>
    <mergeCell ref="F4836:G4836"/>
    <mergeCell ref="A4837:B4837"/>
    <mergeCell ref="F4837:G4837"/>
    <mergeCell ref="A4838:B4838"/>
    <mergeCell ref="F4838:G4838"/>
    <mergeCell ref="A4839:B4839"/>
    <mergeCell ref="F4839:G4839"/>
    <mergeCell ref="A4822:C4822"/>
    <mergeCell ref="A4823:C4823"/>
    <mergeCell ref="A4824:G4824"/>
    <mergeCell ref="A4825:H4825"/>
    <mergeCell ref="A4826:B4826"/>
    <mergeCell ref="F4826:G4826"/>
    <mergeCell ref="A4827:B4827"/>
    <mergeCell ref="F4827:G4827"/>
    <mergeCell ref="A4828:B4828"/>
    <mergeCell ref="F4828:G4828"/>
    <mergeCell ref="A4829:B4829"/>
    <mergeCell ref="F4829:G4829"/>
    <mergeCell ref="A4830:B4830"/>
    <mergeCell ref="F4830:G4830"/>
    <mergeCell ref="A2451:G2451"/>
    <mergeCell ref="A2453:D2453"/>
    <mergeCell ref="F2458:G2458"/>
    <mergeCell ref="A4810:H4810"/>
    <mergeCell ref="A4812:A4815"/>
    <mergeCell ref="B4812:G4815"/>
    <mergeCell ref="H4812:H4814"/>
    <mergeCell ref="B4816:F4816"/>
    <mergeCell ref="A4669:C4669"/>
    <mergeCell ref="A4670:C4670"/>
    <mergeCell ref="A4671:G4671"/>
    <mergeCell ref="A4672:H4672"/>
    <mergeCell ref="A4673:B4673"/>
    <mergeCell ref="F4673:G4673"/>
    <mergeCell ref="A4674:B4674"/>
    <mergeCell ref="F4674:G4674"/>
    <mergeCell ref="A4675:B4675"/>
    <mergeCell ref="F4675:G4675"/>
    <mergeCell ref="A4676:B4676"/>
    <mergeCell ref="F4676:G4676"/>
    <mergeCell ref="A4644:B4644"/>
    <mergeCell ref="F4644:G4644"/>
    <mergeCell ref="A4645:B4645"/>
    <mergeCell ref="A3277:H3277"/>
    <mergeCell ref="A3279:A3282"/>
    <mergeCell ref="B3279:G3282"/>
    <mergeCell ref="H3279:H3281"/>
    <mergeCell ref="B3283:F3283"/>
    <mergeCell ref="B3284:E3284"/>
    <mergeCell ref="A3287:C3287"/>
    <mergeCell ref="A3288:C3288"/>
    <mergeCell ref="A3289:C3289"/>
    <mergeCell ref="F4645:G4645"/>
    <mergeCell ref="A4646:B4646"/>
    <mergeCell ref="F4646:G4646"/>
    <mergeCell ref="A4647:G4647"/>
    <mergeCell ref="A4649:D4649"/>
    <mergeCell ref="F4654:G4654"/>
    <mergeCell ref="A4657:H4657"/>
    <mergeCell ref="A4659:A4662"/>
    <mergeCell ref="B4659:G4662"/>
    <mergeCell ref="H4659:H4661"/>
    <mergeCell ref="B4663:F4663"/>
    <mergeCell ref="B4664:E4664"/>
    <mergeCell ref="A4667:C4667"/>
    <mergeCell ref="A4668:C4668"/>
    <mergeCell ref="A4625:B4625"/>
    <mergeCell ref="A3300:B3300"/>
    <mergeCell ref="F3300:G3300"/>
    <mergeCell ref="A3301:B3301"/>
    <mergeCell ref="A2444:B2444"/>
    <mergeCell ref="F2444:G2444"/>
    <mergeCell ref="A2445:G2445"/>
    <mergeCell ref="A2446:H2446"/>
    <mergeCell ref="A2447:B2447"/>
    <mergeCell ref="F2447:G2447"/>
    <mergeCell ref="A2448:B2448"/>
    <mergeCell ref="F2448:G2448"/>
    <mergeCell ref="A2449:B2449"/>
    <mergeCell ref="F2449:G2449"/>
    <mergeCell ref="A2450:B2450"/>
    <mergeCell ref="F2450:G2450"/>
    <mergeCell ref="A2431:B2431"/>
    <mergeCell ref="F2431:G2431"/>
    <mergeCell ref="A2432:B2432"/>
    <mergeCell ref="F2432:G2432"/>
    <mergeCell ref="A2433:B2433"/>
    <mergeCell ref="F2433:G2433"/>
    <mergeCell ref="A2434:B2434"/>
    <mergeCell ref="F2434:G2434"/>
    <mergeCell ref="A2435:B2435"/>
    <mergeCell ref="F2435:G2435"/>
    <mergeCell ref="A2436:B2436"/>
    <mergeCell ref="F2436:G2436"/>
    <mergeCell ref="A2437:B2437"/>
    <mergeCell ref="F2437:G2437"/>
    <mergeCell ref="A2438:B2438"/>
    <mergeCell ref="F2438:G2438"/>
    <mergeCell ref="A2439:B2439"/>
    <mergeCell ref="F2439:G2439"/>
    <mergeCell ref="B4817:E4817"/>
    <mergeCell ref="A4820:C4820"/>
    <mergeCell ref="A4821:C4821"/>
    <mergeCell ref="F3301:G3301"/>
    <mergeCell ref="A3302:B3302"/>
    <mergeCell ref="F3302:G3302"/>
    <mergeCell ref="A3303:B3303"/>
    <mergeCell ref="F3303:G3303"/>
    <mergeCell ref="A3304:B3304"/>
    <mergeCell ref="F3304:G3304"/>
    <mergeCell ref="A3316:B3316"/>
    <mergeCell ref="F3316:G3316"/>
    <mergeCell ref="A3317:B3317"/>
    <mergeCell ref="F3317:G3317"/>
    <mergeCell ref="A3318:G3318"/>
    <mergeCell ref="A3320:D3320"/>
    <mergeCell ref="F3325:G3325"/>
    <mergeCell ref="A3305:B3305"/>
    <mergeCell ref="F3305:G3305"/>
    <mergeCell ref="A3306:B3306"/>
    <mergeCell ref="F3306:G3306"/>
    <mergeCell ref="A3307:B3307"/>
    <mergeCell ref="F3307:G3307"/>
    <mergeCell ref="A3308:G3308"/>
    <mergeCell ref="A3309:H3309"/>
    <mergeCell ref="A3310:B3310"/>
    <mergeCell ref="F3310:G3310"/>
    <mergeCell ref="A3311:B3311"/>
    <mergeCell ref="F3311:G3311"/>
    <mergeCell ref="A3312:G3312"/>
    <mergeCell ref="A3313:H3313"/>
    <mergeCell ref="A3314:B3314"/>
    <mergeCell ref="A3290:C3290"/>
    <mergeCell ref="A3291:G3291"/>
    <mergeCell ref="A2425:H2425"/>
    <mergeCell ref="A2426:B2426"/>
    <mergeCell ref="F2426:G2426"/>
    <mergeCell ref="A2427:B2427"/>
    <mergeCell ref="F2427:G2427"/>
    <mergeCell ref="A2428:B2428"/>
    <mergeCell ref="F2428:G2428"/>
    <mergeCell ref="A2429:B2429"/>
    <mergeCell ref="F2429:G2429"/>
    <mergeCell ref="A2430:B2430"/>
    <mergeCell ref="F2430:G2430"/>
    <mergeCell ref="A2395:H2395"/>
    <mergeCell ref="A2396:B2396"/>
    <mergeCell ref="F2396:G2396"/>
    <mergeCell ref="A2397:B2397"/>
    <mergeCell ref="F2397:G2397"/>
    <mergeCell ref="A2398:B2398"/>
    <mergeCell ref="F2398:G2398"/>
    <mergeCell ref="A2399:B2399"/>
    <mergeCell ref="F2399:G2399"/>
    <mergeCell ref="A2400:G2400"/>
    <mergeCell ref="A2402:D2402"/>
    <mergeCell ref="F2407:G2407"/>
    <mergeCell ref="A2410:H2410"/>
    <mergeCell ref="A2412:A2415"/>
    <mergeCell ref="B2412:G2415"/>
    <mergeCell ref="H2412:H2414"/>
    <mergeCell ref="B2416:F2416"/>
    <mergeCell ref="A2440:B2440"/>
    <mergeCell ref="F2440:G2440"/>
    <mergeCell ref="A2441:G2441"/>
    <mergeCell ref="A2442:H2442"/>
    <mergeCell ref="A2443:B2443"/>
    <mergeCell ref="F2443:G2443"/>
    <mergeCell ref="A2389:B2389"/>
    <mergeCell ref="F2389:G2389"/>
    <mergeCell ref="A2390:G2390"/>
    <mergeCell ref="A2391:H2391"/>
    <mergeCell ref="A2392:B2392"/>
    <mergeCell ref="F2392:G2392"/>
    <mergeCell ref="A2393:B2393"/>
    <mergeCell ref="F2393:G2393"/>
    <mergeCell ref="A2394:G2394"/>
    <mergeCell ref="A2376:B2376"/>
    <mergeCell ref="F2376:G2376"/>
    <mergeCell ref="A2377:B2377"/>
    <mergeCell ref="F2377:G2377"/>
    <mergeCell ref="A2378:B2378"/>
    <mergeCell ref="F2378:G2378"/>
    <mergeCell ref="A2379:B2379"/>
    <mergeCell ref="F2379:G2379"/>
    <mergeCell ref="A2380:B2380"/>
    <mergeCell ref="F2380:G2380"/>
    <mergeCell ref="A2381:B2381"/>
    <mergeCell ref="F2381:G2381"/>
    <mergeCell ref="A2382:B2382"/>
    <mergeCell ref="F2382:G2382"/>
    <mergeCell ref="A2383:B2383"/>
    <mergeCell ref="F2383:G2383"/>
    <mergeCell ref="A2384:B2384"/>
    <mergeCell ref="F2384:G2384"/>
    <mergeCell ref="B2417:E2417"/>
    <mergeCell ref="A2420:C2420"/>
    <mergeCell ref="A2421:C2421"/>
    <mergeCell ref="A2422:C2422"/>
    <mergeCell ref="A2423:C2423"/>
    <mergeCell ref="A2424:G2424"/>
    <mergeCell ref="A2369:C2369"/>
    <mergeCell ref="A2370:C2370"/>
    <mergeCell ref="A2371:C2371"/>
    <mergeCell ref="A2372:C2372"/>
    <mergeCell ref="A2373:G2373"/>
    <mergeCell ref="A2374:H2374"/>
    <mergeCell ref="A2375:B2375"/>
    <mergeCell ref="F2375:G2375"/>
    <mergeCell ref="A2338:B2338"/>
    <mergeCell ref="F2338:G2338"/>
    <mergeCell ref="A2339:G2339"/>
    <mergeCell ref="A2340:H2340"/>
    <mergeCell ref="A2341:B2341"/>
    <mergeCell ref="F2341:G2341"/>
    <mergeCell ref="A2342:B2342"/>
    <mergeCell ref="F2342:G2342"/>
    <mergeCell ref="A2343:G2343"/>
    <mergeCell ref="A2344:H2344"/>
    <mergeCell ref="A2345:B2345"/>
    <mergeCell ref="F2345:G2345"/>
    <mergeCell ref="A2346:B2346"/>
    <mergeCell ref="F2346:G2346"/>
    <mergeCell ref="A2347:B2347"/>
    <mergeCell ref="F2347:G2347"/>
    <mergeCell ref="A2348:B2348"/>
    <mergeCell ref="F2348:G2348"/>
    <mergeCell ref="A2385:B2385"/>
    <mergeCell ref="F2385:G2385"/>
    <mergeCell ref="A2386:B2386"/>
    <mergeCell ref="F2386:G2386"/>
    <mergeCell ref="A2387:B2387"/>
    <mergeCell ref="F2387:G2387"/>
    <mergeCell ref="A2388:B2388"/>
    <mergeCell ref="F2388:G2388"/>
    <mergeCell ref="A2335:B2335"/>
    <mergeCell ref="F2335:G2335"/>
    <mergeCell ref="A2336:B2336"/>
    <mergeCell ref="F2336:G2336"/>
    <mergeCell ref="A2337:B2337"/>
    <mergeCell ref="F2337:G2337"/>
    <mergeCell ref="B2314:F2314"/>
    <mergeCell ref="B2315:E2315"/>
    <mergeCell ref="A2318:C2318"/>
    <mergeCell ref="A2319:C2319"/>
    <mergeCell ref="A2320:C2320"/>
    <mergeCell ref="A2321:C2321"/>
    <mergeCell ref="A2322:G2322"/>
    <mergeCell ref="A2323:H2323"/>
    <mergeCell ref="A2324:B2324"/>
    <mergeCell ref="F2324:G2324"/>
    <mergeCell ref="A2325:B2325"/>
    <mergeCell ref="F2325:G2325"/>
    <mergeCell ref="A2326:B2326"/>
    <mergeCell ref="F2326:G2326"/>
    <mergeCell ref="A2327:B2327"/>
    <mergeCell ref="F2327:G2327"/>
    <mergeCell ref="A2328:B2328"/>
    <mergeCell ref="F2328:G2328"/>
    <mergeCell ref="A2349:G2349"/>
    <mergeCell ref="A2351:D2351"/>
    <mergeCell ref="F2356:G2356"/>
    <mergeCell ref="A2359:H2359"/>
    <mergeCell ref="A2361:A2364"/>
    <mergeCell ref="B2361:G2364"/>
    <mergeCell ref="H2361:H2363"/>
    <mergeCell ref="B2365:F2365"/>
    <mergeCell ref="B2366:E2366"/>
    <mergeCell ref="A2308:H2308"/>
    <mergeCell ref="A2310:A2313"/>
    <mergeCell ref="B2310:G2313"/>
    <mergeCell ref="H2310:H2312"/>
    <mergeCell ref="F2282:G2282"/>
    <mergeCell ref="A2283:B2283"/>
    <mergeCell ref="F2283:G2283"/>
    <mergeCell ref="A2284:B2284"/>
    <mergeCell ref="F2284:G2284"/>
    <mergeCell ref="A2285:B2285"/>
    <mergeCell ref="F2285:G2285"/>
    <mergeCell ref="A2286:B2286"/>
    <mergeCell ref="F2286:G2286"/>
    <mergeCell ref="A2287:B2287"/>
    <mergeCell ref="F2287:G2287"/>
    <mergeCell ref="A2288:G2288"/>
    <mergeCell ref="A2289:H2289"/>
    <mergeCell ref="A2290:B2290"/>
    <mergeCell ref="F2290:G2290"/>
    <mergeCell ref="A2291:B2291"/>
    <mergeCell ref="F2291:G2291"/>
    <mergeCell ref="A2329:B2329"/>
    <mergeCell ref="F2329:G2329"/>
    <mergeCell ref="A2330:B2330"/>
    <mergeCell ref="F2330:G2330"/>
    <mergeCell ref="A2331:B2331"/>
    <mergeCell ref="F2331:G2331"/>
    <mergeCell ref="A2332:B2332"/>
    <mergeCell ref="F2332:G2332"/>
    <mergeCell ref="A2333:B2333"/>
    <mergeCell ref="F2333:G2333"/>
    <mergeCell ref="A2334:B2334"/>
    <mergeCell ref="F2334:G2334"/>
    <mergeCell ref="A2294:B2294"/>
    <mergeCell ref="F2294:G2294"/>
    <mergeCell ref="A2295:B2295"/>
    <mergeCell ref="F2295:G2295"/>
    <mergeCell ref="A2296:B2296"/>
    <mergeCell ref="F2296:G2296"/>
    <mergeCell ref="A2297:B2297"/>
    <mergeCell ref="F2297:G2297"/>
    <mergeCell ref="A2298:G2298"/>
    <mergeCell ref="A2300:D2300"/>
    <mergeCell ref="F2305:G2305"/>
    <mergeCell ref="A8375:B8375"/>
    <mergeCell ref="F8375:G8375"/>
    <mergeCell ref="A8376:B8376"/>
    <mergeCell ref="F8376:G8376"/>
    <mergeCell ref="A8377:G8377"/>
    <mergeCell ref="A8378:H8378"/>
    <mergeCell ref="A8379:B8379"/>
    <mergeCell ref="F8379:G8379"/>
    <mergeCell ref="A8366:B8366"/>
    <mergeCell ref="F8366:G8366"/>
    <mergeCell ref="A8369:B8369"/>
    <mergeCell ref="F8369:G8369"/>
    <mergeCell ref="A8370:B8370"/>
    <mergeCell ref="B8442:G8445"/>
    <mergeCell ref="H8442:H8444"/>
    <mergeCell ref="F8410:G8410"/>
    <mergeCell ref="A8411:B8411"/>
    <mergeCell ref="F8411:G8411"/>
    <mergeCell ref="A8412:B8412"/>
    <mergeCell ref="F8412:G8412"/>
    <mergeCell ref="A8413:B8413"/>
    <mergeCell ref="F8413:G8413"/>
    <mergeCell ref="A8414:B8414"/>
    <mergeCell ref="F8414:G8414"/>
    <mergeCell ref="A8415:B8415"/>
    <mergeCell ref="F8415:G8415"/>
    <mergeCell ref="A8416:B8416"/>
    <mergeCell ref="F8416:G8416"/>
    <mergeCell ref="A8420:G8420"/>
    <mergeCell ref="A8421:H8421"/>
    <mergeCell ref="A8422:B8422"/>
    <mergeCell ref="F8422:G8422"/>
    <mergeCell ref="F8419:G8419"/>
    <mergeCell ref="F8370:G8370"/>
    <mergeCell ref="A8372:B8372"/>
    <mergeCell ref="F8372:G8372"/>
    <mergeCell ref="A8373:G8373"/>
    <mergeCell ref="A8368:B8368"/>
    <mergeCell ref="F8368:G8368"/>
    <mergeCell ref="A8367:B8367"/>
    <mergeCell ref="F8367:G8367"/>
    <mergeCell ref="A8371:B8371"/>
    <mergeCell ref="F8371:G8371"/>
    <mergeCell ref="A2257:H2257"/>
    <mergeCell ref="A2259:A2262"/>
    <mergeCell ref="B2259:G2262"/>
    <mergeCell ref="H2259:H2261"/>
    <mergeCell ref="B2263:F2263"/>
    <mergeCell ref="B2264:E2264"/>
    <mergeCell ref="A2267:C2267"/>
    <mergeCell ref="A2268:C2268"/>
    <mergeCell ref="A2269:C2269"/>
    <mergeCell ref="A2270:C2270"/>
    <mergeCell ref="A2271:G2271"/>
    <mergeCell ref="A2272:H2272"/>
    <mergeCell ref="A2273:B2273"/>
    <mergeCell ref="F2273:G2273"/>
    <mergeCell ref="A2274:B2274"/>
    <mergeCell ref="F2274:G2274"/>
    <mergeCell ref="A2275:B2275"/>
    <mergeCell ref="F2275:G2275"/>
    <mergeCell ref="A2276:B2276"/>
    <mergeCell ref="F2276:G2276"/>
    <mergeCell ref="A2277:B2277"/>
    <mergeCell ref="F2277:G2277"/>
    <mergeCell ref="A2278:B2278"/>
    <mergeCell ref="F2278:G2278"/>
    <mergeCell ref="A2279:B2279"/>
    <mergeCell ref="F2279:G2279"/>
    <mergeCell ref="A2280:B2280"/>
    <mergeCell ref="F2280:G2280"/>
    <mergeCell ref="A2281:B2281"/>
    <mergeCell ref="F2281:G2281"/>
    <mergeCell ref="A2282:B2282"/>
    <mergeCell ref="A2292:G2292"/>
    <mergeCell ref="A2293:H2293"/>
    <mergeCell ref="A1787:G1787"/>
    <mergeCell ref="A1789:D1789"/>
    <mergeCell ref="F1794:G1794"/>
    <mergeCell ref="A1776:B1776"/>
    <mergeCell ref="F1776:G1776"/>
    <mergeCell ref="A1777:G1777"/>
    <mergeCell ref="A1778:H1778"/>
    <mergeCell ref="A1779:B1779"/>
    <mergeCell ref="F1779:G1779"/>
    <mergeCell ref="A1780:B1780"/>
    <mergeCell ref="F1780:G1780"/>
    <mergeCell ref="A1781:G1781"/>
    <mergeCell ref="A1782:H1782"/>
    <mergeCell ref="A1783:B1783"/>
    <mergeCell ref="F1783:G1783"/>
    <mergeCell ref="A1784:B1784"/>
    <mergeCell ref="F1784:G1784"/>
    <mergeCell ref="A1785:B1785"/>
    <mergeCell ref="F1785:G1785"/>
    <mergeCell ref="A1786:B1786"/>
    <mergeCell ref="F1786:G1786"/>
    <mergeCell ref="A1767:B1767"/>
    <mergeCell ref="F1767:G1767"/>
    <mergeCell ref="A1768:B1768"/>
    <mergeCell ref="F1768:G1768"/>
    <mergeCell ref="A1769:B1769"/>
    <mergeCell ref="F1769:G1769"/>
    <mergeCell ref="A1770:B1770"/>
    <mergeCell ref="F1770:G1770"/>
    <mergeCell ref="A1771:B1771"/>
    <mergeCell ref="F1771:G1771"/>
    <mergeCell ref="A1772:B1772"/>
    <mergeCell ref="F1772:G1772"/>
    <mergeCell ref="A1773:B1773"/>
    <mergeCell ref="F1773:G1773"/>
    <mergeCell ref="A1774:B1774"/>
    <mergeCell ref="F1774:G1774"/>
    <mergeCell ref="A1775:B1775"/>
    <mergeCell ref="F1775:G1775"/>
    <mergeCell ref="B1753:E1753"/>
    <mergeCell ref="A1756:C1756"/>
    <mergeCell ref="A1757:C1757"/>
    <mergeCell ref="A1758:C1758"/>
    <mergeCell ref="A1759:C1759"/>
    <mergeCell ref="A1760:G1760"/>
    <mergeCell ref="A1761:H1761"/>
    <mergeCell ref="A1762:B1762"/>
    <mergeCell ref="F1762:G1762"/>
    <mergeCell ref="A1763:B1763"/>
    <mergeCell ref="F1763:G1763"/>
    <mergeCell ref="A1764:B1764"/>
    <mergeCell ref="F1764:G1764"/>
    <mergeCell ref="A1765:B1765"/>
    <mergeCell ref="F1765:G1765"/>
    <mergeCell ref="A1766:B1766"/>
    <mergeCell ref="F1766:G1766"/>
    <mergeCell ref="A1731:H1731"/>
    <mergeCell ref="A1732:B1732"/>
    <mergeCell ref="F1732:G1732"/>
    <mergeCell ref="A1733:B1733"/>
    <mergeCell ref="F1733:G1733"/>
    <mergeCell ref="A1734:B1734"/>
    <mergeCell ref="F1734:G1734"/>
    <mergeCell ref="A1735:B1735"/>
    <mergeCell ref="F1735:G1735"/>
    <mergeCell ref="A1736:G1736"/>
    <mergeCell ref="A1738:D1738"/>
    <mergeCell ref="F1743:G1743"/>
    <mergeCell ref="A1746:H1746"/>
    <mergeCell ref="A1748:A1751"/>
    <mergeCell ref="B1748:G1751"/>
    <mergeCell ref="H1748:H1750"/>
    <mergeCell ref="B1752:F1752"/>
    <mergeCell ref="A1721:B1721"/>
    <mergeCell ref="F1721:G1721"/>
    <mergeCell ref="A1722:B1722"/>
    <mergeCell ref="F1722:G1722"/>
    <mergeCell ref="A1723:B1723"/>
    <mergeCell ref="F1723:G1723"/>
    <mergeCell ref="A1724:B1724"/>
    <mergeCell ref="F1724:G1724"/>
    <mergeCell ref="A1725:B1725"/>
    <mergeCell ref="F1725:G1725"/>
    <mergeCell ref="A1726:G1726"/>
    <mergeCell ref="A1727:H1727"/>
    <mergeCell ref="A1728:B1728"/>
    <mergeCell ref="F1728:G1728"/>
    <mergeCell ref="A1729:B1729"/>
    <mergeCell ref="F1729:G1729"/>
    <mergeCell ref="A1730:G1730"/>
    <mergeCell ref="A1712:B1712"/>
    <mergeCell ref="F1712:G1712"/>
    <mergeCell ref="A1713:B1713"/>
    <mergeCell ref="F1713:G1713"/>
    <mergeCell ref="A1714:B1714"/>
    <mergeCell ref="F1714:G1714"/>
    <mergeCell ref="A1715:B1715"/>
    <mergeCell ref="F1715:G1715"/>
    <mergeCell ref="A1716:B1716"/>
    <mergeCell ref="F1716:G1716"/>
    <mergeCell ref="A1717:B1717"/>
    <mergeCell ref="F1717:G1717"/>
    <mergeCell ref="A1718:B1718"/>
    <mergeCell ref="F1718:G1718"/>
    <mergeCell ref="A1719:B1719"/>
    <mergeCell ref="F1719:G1719"/>
    <mergeCell ref="A1720:B1720"/>
    <mergeCell ref="F1720:G1720"/>
    <mergeCell ref="A1684:G1684"/>
    <mergeCell ref="A1686:D1686"/>
    <mergeCell ref="F1691:G1691"/>
    <mergeCell ref="A1695:H1695"/>
    <mergeCell ref="A1697:A1700"/>
    <mergeCell ref="B1697:G1700"/>
    <mergeCell ref="H1697:H1699"/>
    <mergeCell ref="B1701:F1701"/>
    <mergeCell ref="B1702:E1702"/>
    <mergeCell ref="A1705:C1705"/>
    <mergeCell ref="A1706:C1706"/>
    <mergeCell ref="A1707:C1707"/>
    <mergeCell ref="A1708:C1708"/>
    <mergeCell ref="A1709:G1709"/>
    <mergeCell ref="A1710:H1710"/>
    <mergeCell ref="A1711:B1711"/>
    <mergeCell ref="F1711:G1711"/>
    <mergeCell ref="A1673:B1673"/>
    <mergeCell ref="F1673:G1673"/>
    <mergeCell ref="A1674:G1674"/>
    <mergeCell ref="A1675:H1675"/>
    <mergeCell ref="A1676:B1676"/>
    <mergeCell ref="F1676:G1676"/>
    <mergeCell ref="A1677:B1677"/>
    <mergeCell ref="F1677:G1677"/>
    <mergeCell ref="A1678:G1678"/>
    <mergeCell ref="A1679:H1679"/>
    <mergeCell ref="A1680:B1680"/>
    <mergeCell ref="F1680:G1680"/>
    <mergeCell ref="A1681:B1681"/>
    <mergeCell ref="F1681:G1681"/>
    <mergeCell ref="A1682:B1682"/>
    <mergeCell ref="F1682:G1682"/>
    <mergeCell ref="A1683:B1683"/>
    <mergeCell ref="F1683:G1683"/>
    <mergeCell ref="A1664:B1664"/>
    <mergeCell ref="F1664:G1664"/>
    <mergeCell ref="A1665:B1665"/>
    <mergeCell ref="F1665:G1665"/>
    <mergeCell ref="A1666:B1666"/>
    <mergeCell ref="F1666:G1666"/>
    <mergeCell ref="A1667:B1667"/>
    <mergeCell ref="F1667:G1667"/>
    <mergeCell ref="A1668:B1668"/>
    <mergeCell ref="F1668:G1668"/>
    <mergeCell ref="A1669:B1669"/>
    <mergeCell ref="F1669:G1669"/>
    <mergeCell ref="A1670:B1670"/>
    <mergeCell ref="F1670:G1670"/>
    <mergeCell ref="A1671:B1671"/>
    <mergeCell ref="F1671:G1671"/>
    <mergeCell ref="A1672:B1672"/>
    <mergeCell ref="F1672:G1672"/>
    <mergeCell ref="B1650:E1650"/>
    <mergeCell ref="A1653:C1653"/>
    <mergeCell ref="A1654:C1654"/>
    <mergeCell ref="A1655:C1655"/>
    <mergeCell ref="A1656:C1656"/>
    <mergeCell ref="A1657:G1657"/>
    <mergeCell ref="A1658:H1658"/>
    <mergeCell ref="A1659:B1659"/>
    <mergeCell ref="F1659:G1659"/>
    <mergeCell ref="A1660:B1660"/>
    <mergeCell ref="F1660:G1660"/>
    <mergeCell ref="A1661:B1661"/>
    <mergeCell ref="F1661:G1661"/>
    <mergeCell ref="A1662:B1662"/>
    <mergeCell ref="F1662:G1662"/>
    <mergeCell ref="A1663:B1663"/>
    <mergeCell ref="F1663:G1663"/>
    <mergeCell ref="A1628:H1628"/>
    <mergeCell ref="A1629:B1629"/>
    <mergeCell ref="F1629:G1629"/>
    <mergeCell ref="A1630:B1630"/>
    <mergeCell ref="F1630:G1630"/>
    <mergeCell ref="A1631:B1631"/>
    <mergeCell ref="F1631:G1631"/>
    <mergeCell ref="A1632:B1632"/>
    <mergeCell ref="F1632:G1632"/>
    <mergeCell ref="A1633:G1633"/>
    <mergeCell ref="A1635:D1635"/>
    <mergeCell ref="F1640:G1640"/>
    <mergeCell ref="A1643:H1643"/>
    <mergeCell ref="A1645:A1648"/>
    <mergeCell ref="B1645:G1648"/>
    <mergeCell ref="H1645:H1647"/>
    <mergeCell ref="B1649:F1649"/>
    <mergeCell ref="A1618:B1618"/>
    <mergeCell ref="F1618:G1618"/>
    <mergeCell ref="A1619:B1619"/>
    <mergeCell ref="F1619:G1619"/>
    <mergeCell ref="A1620:B1620"/>
    <mergeCell ref="F1620:G1620"/>
    <mergeCell ref="A1621:B1621"/>
    <mergeCell ref="F1621:G1621"/>
    <mergeCell ref="A1622:B1622"/>
    <mergeCell ref="F1622:G1622"/>
    <mergeCell ref="A1623:G1623"/>
    <mergeCell ref="A1624:H1624"/>
    <mergeCell ref="A1625:B1625"/>
    <mergeCell ref="F1625:G1625"/>
    <mergeCell ref="A1626:B1626"/>
    <mergeCell ref="F1626:G1626"/>
    <mergeCell ref="A1627:G1627"/>
    <mergeCell ref="A1609:B1609"/>
    <mergeCell ref="F1609:G1609"/>
    <mergeCell ref="A1610:B1610"/>
    <mergeCell ref="F1610:G1610"/>
    <mergeCell ref="A1611:B1611"/>
    <mergeCell ref="F1611:G1611"/>
    <mergeCell ref="A1612:B1612"/>
    <mergeCell ref="F1612:G1612"/>
    <mergeCell ref="A1613:B1613"/>
    <mergeCell ref="F1613:G1613"/>
    <mergeCell ref="A1614:B1614"/>
    <mergeCell ref="F1614:G1614"/>
    <mergeCell ref="A1615:B1615"/>
    <mergeCell ref="F1615:G1615"/>
    <mergeCell ref="A1616:B1616"/>
    <mergeCell ref="F1616:G1616"/>
    <mergeCell ref="A1617:B1617"/>
    <mergeCell ref="F1617:G1617"/>
    <mergeCell ref="A1582:G1582"/>
    <mergeCell ref="A1584:D1584"/>
    <mergeCell ref="F1589:G1589"/>
    <mergeCell ref="A1592:H1592"/>
    <mergeCell ref="A1594:A1597"/>
    <mergeCell ref="B1594:G1597"/>
    <mergeCell ref="H1594:H1596"/>
    <mergeCell ref="B1598:F1598"/>
    <mergeCell ref="B1599:E1599"/>
    <mergeCell ref="A1602:C1602"/>
    <mergeCell ref="A1603:C1603"/>
    <mergeCell ref="A1604:C1604"/>
    <mergeCell ref="A1605:C1605"/>
    <mergeCell ref="A1606:G1606"/>
    <mergeCell ref="A1607:H1607"/>
    <mergeCell ref="A1608:B1608"/>
    <mergeCell ref="F1608:G1608"/>
    <mergeCell ref="A1571:B1571"/>
    <mergeCell ref="F1571:G1571"/>
    <mergeCell ref="A1572:G1572"/>
    <mergeCell ref="A1573:H1573"/>
    <mergeCell ref="A1574:B1574"/>
    <mergeCell ref="F1574:G1574"/>
    <mergeCell ref="A1575:B1575"/>
    <mergeCell ref="F1575:G1575"/>
    <mergeCell ref="A1576:G1576"/>
    <mergeCell ref="A1577:H1577"/>
    <mergeCell ref="A1578:B1578"/>
    <mergeCell ref="F1578:G1578"/>
    <mergeCell ref="A1579:B1579"/>
    <mergeCell ref="F1579:G1579"/>
    <mergeCell ref="A1580:B1580"/>
    <mergeCell ref="F1580:G1580"/>
    <mergeCell ref="A1581:B1581"/>
    <mergeCell ref="F1581:G1581"/>
    <mergeCell ref="A1562:B1562"/>
    <mergeCell ref="F1562:G1562"/>
    <mergeCell ref="A1563:B1563"/>
    <mergeCell ref="F1563:G1563"/>
    <mergeCell ref="A1564:B1564"/>
    <mergeCell ref="F1564:G1564"/>
    <mergeCell ref="A1565:B1565"/>
    <mergeCell ref="F1565:G1565"/>
    <mergeCell ref="A1566:B1566"/>
    <mergeCell ref="F1566:G1566"/>
    <mergeCell ref="A1567:B1567"/>
    <mergeCell ref="F1567:G1567"/>
    <mergeCell ref="A1568:B1568"/>
    <mergeCell ref="F1568:G1568"/>
    <mergeCell ref="A1569:B1569"/>
    <mergeCell ref="F1569:G1569"/>
    <mergeCell ref="A1570:B1570"/>
    <mergeCell ref="F1570:G1570"/>
    <mergeCell ref="B1547:F1547"/>
    <mergeCell ref="B1548:E1548"/>
    <mergeCell ref="A1551:C1551"/>
    <mergeCell ref="A1552:C1552"/>
    <mergeCell ref="A1553:C1553"/>
    <mergeCell ref="A1554:C1554"/>
    <mergeCell ref="A1555:G1555"/>
    <mergeCell ref="A1556:H1556"/>
    <mergeCell ref="A1557:B1557"/>
    <mergeCell ref="F1557:G1557"/>
    <mergeCell ref="A1558:B1558"/>
    <mergeCell ref="F1558:G1558"/>
    <mergeCell ref="A1559:B1559"/>
    <mergeCell ref="F1559:G1559"/>
    <mergeCell ref="A1560:B1560"/>
    <mergeCell ref="F1560:G1560"/>
    <mergeCell ref="A1561:B1561"/>
    <mergeCell ref="F1561:G1561"/>
    <mergeCell ref="A1524:B1524"/>
    <mergeCell ref="F1524:G1524"/>
    <mergeCell ref="A1525:G1525"/>
    <mergeCell ref="A1526:H1526"/>
    <mergeCell ref="A1527:B1527"/>
    <mergeCell ref="F1527:G1527"/>
    <mergeCell ref="A1528:B1528"/>
    <mergeCell ref="F1528:G1528"/>
    <mergeCell ref="A1529:B1529"/>
    <mergeCell ref="F1529:G1529"/>
    <mergeCell ref="A1530:B1530"/>
    <mergeCell ref="F1530:G1530"/>
    <mergeCell ref="A1531:G1531"/>
    <mergeCell ref="A1533:D1533"/>
    <mergeCell ref="F1538:G1538"/>
    <mergeCell ref="A1541:H1541"/>
    <mergeCell ref="A1543:A1546"/>
    <mergeCell ref="B1543:G1546"/>
    <mergeCell ref="H1543:H1545"/>
    <mergeCell ref="A1514:B1514"/>
    <mergeCell ref="F1514:G1514"/>
    <mergeCell ref="A1515:B1515"/>
    <mergeCell ref="F1515:G1515"/>
    <mergeCell ref="A1516:B1516"/>
    <mergeCell ref="F1516:G1516"/>
    <mergeCell ref="A1517:B1517"/>
    <mergeCell ref="F1517:G1517"/>
    <mergeCell ref="A1518:B1518"/>
    <mergeCell ref="F1518:G1518"/>
    <mergeCell ref="A1519:B1519"/>
    <mergeCell ref="F1519:G1519"/>
    <mergeCell ref="A1520:B1520"/>
    <mergeCell ref="F1520:G1520"/>
    <mergeCell ref="A1521:G1521"/>
    <mergeCell ref="A1522:H1522"/>
    <mergeCell ref="A1523:B1523"/>
    <mergeCell ref="F1523:G1523"/>
    <mergeCell ref="A1504:G1504"/>
    <mergeCell ref="A1505:H1505"/>
    <mergeCell ref="A1506:B1506"/>
    <mergeCell ref="F1506:G1506"/>
    <mergeCell ref="A1507:B1507"/>
    <mergeCell ref="F1507:G1507"/>
    <mergeCell ref="A1508:B1508"/>
    <mergeCell ref="F1508:G1508"/>
    <mergeCell ref="A1509:B1509"/>
    <mergeCell ref="F1509:G1509"/>
    <mergeCell ref="A1510:B1510"/>
    <mergeCell ref="F1510:G1510"/>
    <mergeCell ref="A1511:B1511"/>
    <mergeCell ref="F1511:G1511"/>
    <mergeCell ref="A1512:B1512"/>
    <mergeCell ref="F1512:G1512"/>
    <mergeCell ref="A1513:B1513"/>
    <mergeCell ref="F1513:G1513"/>
    <mergeCell ref="A1480:G1480"/>
    <mergeCell ref="A1482:D1482"/>
    <mergeCell ref="F1487:G1487"/>
    <mergeCell ref="A1439:H1439"/>
    <mergeCell ref="A1441:A1444"/>
    <mergeCell ref="B1441:G1444"/>
    <mergeCell ref="H1441:H1443"/>
    <mergeCell ref="A1490:H1490"/>
    <mergeCell ref="A1492:A1495"/>
    <mergeCell ref="B1492:G1495"/>
    <mergeCell ref="H1492:H1494"/>
    <mergeCell ref="B1496:F1496"/>
    <mergeCell ref="B1497:E1497"/>
    <mergeCell ref="A1500:C1500"/>
    <mergeCell ref="A1501:C1501"/>
    <mergeCell ref="A1502:C1502"/>
    <mergeCell ref="A1503:C1503"/>
    <mergeCell ref="A1469:B1469"/>
    <mergeCell ref="F1469:G1469"/>
    <mergeCell ref="A1470:G1470"/>
    <mergeCell ref="A1471:H1471"/>
    <mergeCell ref="A1472:B1472"/>
    <mergeCell ref="F1472:G1472"/>
    <mergeCell ref="A1473:B1473"/>
    <mergeCell ref="F1473:G1473"/>
    <mergeCell ref="A1474:G1474"/>
    <mergeCell ref="A1475:H1475"/>
    <mergeCell ref="A1476:B1476"/>
    <mergeCell ref="F1476:G1476"/>
    <mergeCell ref="A1477:B1477"/>
    <mergeCell ref="F1477:G1477"/>
    <mergeCell ref="A1478:B1478"/>
    <mergeCell ref="F1478:G1478"/>
    <mergeCell ref="A1479:B1479"/>
    <mergeCell ref="F1479:G1479"/>
    <mergeCell ref="A1460:B1460"/>
    <mergeCell ref="F1460:G1460"/>
    <mergeCell ref="A1461:B1461"/>
    <mergeCell ref="F1461:G1461"/>
    <mergeCell ref="A1462:B1462"/>
    <mergeCell ref="F1462:G1462"/>
    <mergeCell ref="A1463:B1463"/>
    <mergeCell ref="F1463:G1463"/>
    <mergeCell ref="A1464:B1464"/>
    <mergeCell ref="F1464:G1464"/>
    <mergeCell ref="A1465:B1465"/>
    <mergeCell ref="F1465:G1465"/>
    <mergeCell ref="A1466:B1466"/>
    <mergeCell ref="F1466:G1466"/>
    <mergeCell ref="A1467:B1467"/>
    <mergeCell ref="F1467:G1467"/>
    <mergeCell ref="A1468:B1468"/>
    <mergeCell ref="F1468:G1468"/>
    <mergeCell ref="B1445:F1445"/>
    <mergeCell ref="B1446:E1446"/>
    <mergeCell ref="A1449:C1449"/>
    <mergeCell ref="A1450:C1450"/>
    <mergeCell ref="A1451:C1451"/>
    <mergeCell ref="A1452:C1452"/>
    <mergeCell ref="A1453:G1453"/>
    <mergeCell ref="A1454:H1454"/>
    <mergeCell ref="A1455:B1455"/>
    <mergeCell ref="F1455:G1455"/>
    <mergeCell ref="A1456:B1456"/>
    <mergeCell ref="F1456:G1456"/>
    <mergeCell ref="A1457:B1457"/>
    <mergeCell ref="F1457:G1457"/>
    <mergeCell ref="A1458:B1458"/>
    <mergeCell ref="F1458:G1458"/>
    <mergeCell ref="A1459:B1459"/>
    <mergeCell ref="F1459:G1459"/>
    <mergeCell ref="A1422:B1422"/>
    <mergeCell ref="F1422:G1422"/>
    <mergeCell ref="A1423:G1423"/>
    <mergeCell ref="A1424:H1424"/>
    <mergeCell ref="A1425:B1425"/>
    <mergeCell ref="F1425:G1425"/>
    <mergeCell ref="A1426:B1426"/>
    <mergeCell ref="F1426:G1426"/>
    <mergeCell ref="A1427:B1427"/>
    <mergeCell ref="F1427:G1427"/>
    <mergeCell ref="A1428:B1428"/>
    <mergeCell ref="F1428:G1428"/>
    <mergeCell ref="A1429:G1429"/>
    <mergeCell ref="A1431:D1431"/>
    <mergeCell ref="F1436:G1436"/>
    <mergeCell ref="A1412:B1412"/>
    <mergeCell ref="F1412:G1412"/>
    <mergeCell ref="A1413:B1413"/>
    <mergeCell ref="F1413:G1413"/>
    <mergeCell ref="A1414:B1414"/>
    <mergeCell ref="F1414:G1414"/>
    <mergeCell ref="A1415:B1415"/>
    <mergeCell ref="F1415:G1415"/>
    <mergeCell ref="A1416:B1416"/>
    <mergeCell ref="F1416:G1416"/>
    <mergeCell ref="A1417:B1417"/>
    <mergeCell ref="F1417:G1417"/>
    <mergeCell ref="A1418:B1418"/>
    <mergeCell ref="F1418:G1418"/>
    <mergeCell ref="A1419:G1419"/>
    <mergeCell ref="A1420:H1420"/>
    <mergeCell ref="A1421:B1421"/>
    <mergeCell ref="F1421:G1421"/>
    <mergeCell ref="A1402:G1402"/>
    <mergeCell ref="A1403:H1403"/>
    <mergeCell ref="A1404:B1404"/>
    <mergeCell ref="F1404:G1404"/>
    <mergeCell ref="A1405:B1405"/>
    <mergeCell ref="F1405:G1405"/>
    <mergeCell ref="A1406:B1406"/>
    <mergeCell ref="F1406:G1406"/>
    <mergeCell ref="A1407:B1407"/>
    <mergeCell ref="F1407:G1407"/>
    <mergeCell ref="A1408:B1408"/>
    <mergeCell ref="F1408:G1408"/>
    <mergeCell ref="A1409:B1409"/>
    <mergeCell ref="F1409:G1409"/>
    <mergeCell ref="A1410:B1410"/>
    <mergeCell ref="F1410:G1410"/>
    <mergeCell ref="A1411:B1411"/>
    <mergeCell ref="F1411:G1411"/>
    <mergeCell ref="A1376:B1376"/>
    <mergeCell ref="F1376:G1376"/>
    <mergeCell ref="A1377:B1377"/>
    <mergeCell ref="F1377:G1377"/>
    <mergeCell ref="A1378:G1378"/>
    <mergeCell ref="A1380:D1380"/>
    <mergeCell ref="F1385:G1385"/>
    <mergeCell ref="A1388:H1388"/>
    <mergeCell ref="A1390:A1393"/>
    <mergeCell ref="B1390:G1393"/>
    <mergeCell ref="H1390:H1392"/>
    <mergeCell ref="B1394:F1394"/>
    <mergeCell ref="B1395:E1395"/>
    <mergeCell ref="A1398:C1398"/>
    <mergeCell ref="A1399:C1399"/>
    <mergeCell ref="A1400:C1400"/>
    <mergeCell ref="A1401:C1401"/>
    <mergeCell ref="A1365:B1365"/>
    <mergeCell ref="F1365:G1365"/>
    <mergeCell ref="A1366:B1366"/>
    <mergeCell ref="F1366:G1366"/>
    <mergeCell ref="A1367:B1367"/>
    <mergeCell ref="F1367:G1367"/>
    <mergeCell ref="A1368:G1368"/>
    <mergeCell ref="A1369:H1369"/>
    <mergeCell ref="A1370:B1370"/>
    <mergeCell ref="F1370:G1370"/>
    <mergeCell ref="A1371:B1371"/>
    <mergeCell ref="F1371:G1371"/>
    <mergeCell ref="A1372:G1372"/>
    <mergeCell ref="A1373:H1373"/>
    <mergeCell ref="A1374:B1374"/>
    <mergeCell ref="F1374:G1374"/>
    <mergeCell ref="A1375:B1375"/>
    <mergeCell ref="F1375:G1375"/>
    <mergeCell ref="A1356:B1356"/>
    <mergeCell ref="F1356:G1356"/>
    <mergeCell ref="A1357:B1357"/>
    <mergeCell ref="F1357:G1357"/>
    <mergeCell ref="A1358:B1358"/>
    <mergeCell ref="F1358:G1358"/>
    <mergeCell ref="A1359:B1359"/>
    <mergeCell ref="F1359:G1359"/>
    <mergeCell ref="A1360:B1360"/>
    <mergeCell ref="F1360:G1360"/>
    <mergeCell ref="A1361:B1361"/>
    <mergeCell ref="F1361:G1361"/>
    <mergeCell ref="A1362:B1362"/>
    <mergeCell ref="F1362:G1362"/>
    <mergeCell ref="A1363:B1363"/>
    <mergeCell ref="F1363:G1363"/>
    <mergeCell ref="A1364:B1364"/>
    <mergeCell ref="F1364:G1364"/>
    <mergeCell ref="A1337:H1337"/>
    <mergeCell ref="A1339:A1342"/>
    <mergeCell ref="B1339:G1342"/>
    <mergeCell ref="H1339:H1341"/>
    <mergeCell ref="B1343:F1343"/>
    <mergeCell ref="B1344:E1344"/>
    <mergeCell ref="A1347:C1347"/>
    <mergeCell ref="A1348:C1348"/>
    <mergeCell ref="A1349:C1349"/>
    <mergeCell ref="A1350:C1350"/>
    <mergeCell ref="A1351:G1351"/>
    <mergeCell ref="A1352:H1352"/>
    <mergeCell ref="A1353:B1353"/>
    <mergeCell ref="F1353:G1353"/>
    <mergeCell ref="A1354:B1354"/>
    <mergeCell ref="F1354:G1354"/>
    <mergeCell ref="A1355:B1355"/>
    <mergeCell ref="F1355:G1355"/>
    <mergeCell ref="A1324:B1324"/>
    <mergeCell ref="F1324:G1324"/>
    <mergeCell ref="A1325:B1325"/>
    <mergeCell ref="F1325:G1325"/>
    <mergeCell ref="A1326:B1326"/>
    <mergeCell ref="F1326:G1326"/>
    <mergeCell ref="A1327:G1327"/>
    <mergeCell ref="A1329:D1329"/>
    <mergeCell ref="F1334:G1334"/>
    <mergeCell ref="A1286:H1286"/>
    <mergeCell ref="A1288:A1291"/>
    <mergeCell ref="B1288:G1291"/>
    <mergeCell ref="H1288:H1290"/>
    <mergeCell ref="B1292:F1292"/>
    <mergeCell ref="B1293:E1293"/>
    <mergeCell ref="A1296:C1296"/>
    <mergeCell ref="A1297:C1297"/>
    <mergeCell ref="A1298:C1298"/>
    <mergeCell ref="A1299:C1299"/>
    <mergeCell ref="A1300:G1300"/>
    <mergeCell ref="A1301:H1301"/>
    <mergeCell ref="A1302:B1302"/>
    <mergeCell ref="F1302:G1302"/>
    <mergeCell ref="A1303:B1303"/>
    <mergeCell ref="F1303:G1303"/>
    <mergeCell ref="A1313:B1313"/>
    <mergeCell ref="F1313:G1313"/>
    <mergeCell ref="A1314:B1314"/>
    <mergeCell ref="F1314:G1314"/>
    <mergeCell ref="A1315:B1315"/>
    <mergeCell ref="F1315:G1315"/>
    <mergeCell ref="A1316:B1316"/>
    <mergeCell ref="F1316:G1316"/>
    <mergeCell ref="A1317:G1317"/>
    <mergeCell ref="A1318:H1318"/>
    <mergeCell ref="A1319:B1319"/>
    <mergeCell ref="F1319:G1319"/>
    <mergeCell ref="A1320:B1320"/>
    <mergeCell ref="F1320:G1320"/>
    <mergeCell ref="A1321:G1321"/>
    <mergeCell ref="A1322:H1322"/>
    <mergeCell ref="A1323:B1323"/>
    <mergeCell ref="F1323:G1323"/>
    <mergeCell ref="A1304:B1304"/>
    <mergeCell ref="F1304:G1304"/>
    <mergeCell ref="A1305:B1305"/>
    <mergeCell ref="F1305:G1305"/>
    <mergeCell ref="A1306:B1306"/>
    <mergeCell ref="F1306:G1306"/>
    <mergeCell ref="A1307:B1307"/>
    <mergeCell ref="F1307:G1307"/>
    <mergeCell ref="A1308:B1308"/>
    <mergeCell ref="F1308:G1308"/>
    <mergeCell ref="A1309:B1309"/>
    <mergeCell ref="F1309:G1309"/>
    <mergeCell ref="A1310:B1310"/>
    <mergeCell ref="F1310:G1310"/>
    <mergeCell ref="A1311:B1311"/>
    <mergeCell ref="F1311:G1311"/>
    <mergeCell ref="A1312:B1312"/>
    <mergeCell ref="F1312:G1312"/>
    <mergeCell ref="F1283:G1283"/>
    <mergeCell ref="A1267:H1267"/>
    <mergeCell ref="A1268:B1268"/>
    <mergeCell ref="F1268:G1268"/>
    <mergeCell ref="A1269:B1269"/>
    <mergeCell ref="F1269:G1269"/>
    <mergeCell ref="A1270:G1270"/>
    <mergeCell ref="A1271:H1271"/>
    <mergeCell ref="A1272:B1272"/>
    <mergeCell ref="F1272:G1272"/>
    <mergeCell ref="A1273:B1273"/>
    <mergeCell ref="F1273:G1273"/>
    <mergeCell ref="A1274:B1274"/>
    <mergeCell ref="F1274:G1274"/>
    <mergeCell ref="A1275:B1275"/>
    <mergeCell ref="F1275:G1275"/>
    <mergeCell ref="A1276:G1276"/>
    <mergeCell ref="A1278:D1278"/>
    <mergeCell ref="A1258:B1258"/>
    <mergeCell ref="F1258:G1258"/>
    <mergeCell ref="A1259:B1259"/>
    <mergeCell ref="F1259:G1259"/>
    <mergeCell ref="A1260:B1260"/>
    <mergeCell ref="F1260:G1260"/>
    <mergeCell ref="A1261:B1261"/>
    <mergeCell ref="F1261:G1261"/>
    <mergeCell ref="A1262:B1262"/>
    <mergeCell ref="F1262:G1262"/>
    <mergeCell ref="A1263:B1263"/>
    <mergeCell ref="F1263:G1263"/>
    <mergeCell ref="A1264:B1264"/>
    <mergeCell ref="F1264:G1264"/>
    <mergeCell ref="A1265:B1265"/>
    <mergeCell ref="F1265:G1265"/>
    <mergeCell ref="A1266:G1266"/>
    <mergeCell ref="A1247:C1247"/>
    <mergeCell ref="A1248:C1248"/>
    <mergeCell ref="A1249:G1249"/>
    <mergeCell ref="A1250:H1250"/>
    <mergeCell ref="A1251:B1251"/>
    <mergeCell ref="F1251:G1251"/>
    <mergeCell ref="A1252:B1252"/>
    <mergeCell ref="F1252:G1252"/>
    <mergeCell ref="A1253:B1253"/>
    <mergeCell ref="F1253:G1253"/>
    <mergeCell ref="A1254:B1254"/>
    <mergeCell ref="F1254:G1254"/>
    <mergeCell ref="A1255:B1255"/>
    <mergeCell ref="F1255:G1255"/>
    <mergeCell ref="A1256:B1256"/>
    <mergeCell ref="F1256:G1256"/>
    <mergeCell ref="A1257:B1257"/>
    <mergeCell ref="F1257:G1257"/>
    <mergeCell ref="A1222:B1222"/>
    <mergeCell ref="F1222:G1222"/>
    <mergeCell ref="A1223:B1223"/>
    <mergeCell ref="F1223:G1223"/>
    <mergeCell ref="A1224:B1224"/>
    <mergeCell ref="F1224:G1224"/>
    <mergeCell ref="A1225:G1225"/>
    <mergeCell ref="A1227:D1227"/>
    <mergeCell ref="F1232:G1232"/>
    <mergeCell ref="A1235:H1235"/>
    <mergeCell ref="A1237:A1240"/>
    <mergeCell ref="B1237:G1240"/>
    <mergeCell ref="H1237:H1239"/>
    <mergeCell ref="B1241:F1241"/>
    <mergeCell ref="B1242:E1242"/>
    <mergeCell ref="A1245:C1245"/>
    <mergeCell ref="A1246:C1246"/>
    <mergeCell ref="A1211:B1211"/>
    <mergeCell ref="F1211:G1211"/>
    <mergeCell ref="A1212:B1212"/>
    <mergeCell ref="F1212:G1212"/>
    <mergeCell ref="A1213:B1213"/>
    <mergeCell ref="F1213:G1213"/>
    <mergeCell ref="A1214:B1214"/>
    <mergeCell ref="F1214:G1214"/>
    <mergeCell ref="A1215:G1215"/>
    <mergeCell ref="A1216:H1216"/>
    <mergeCell ref="A1217:B1217"/>
    <mergeCell ref="F1217:G1217"/>
    <mergeCell ref="A1218:B1218"/>
    <mergeCell ref="F1218:G1218"/>
    <mergeCell ref="A1219:G1219"/>
    <mergeCell ref="A1220:H1220"/>
    <mergeCell ref="A1221:B1221"/>
    <mergeCell ref="F1221:G1221"/>
    <mergeCell ref="A1202:B1202"/>
    <mergeCell ref="F1202:G1202"/>
    <mergeCell ref="A1203:B1203"/>
    <mergeCell ref="F1203:G1203"/>
    <mergeCell ref="A1204:B1204"/>
    <mergeCell ref="F1204:G1204"/>
    <mergeCell ref="A1205:B1205"/>
    <mergeCell ref="F1205:G1205"/>
    <mergeCell ref="A1206:B1206"/>
    <mergeCell ref="F1206:G1206"/>
    <mergeCell ref="A1207:B1207"/>
    <mergeCell ref="F1207:G1207"/>
    <mergeCell ref="A1208:B1208"/>
    <mergeCell ref="F1208:G1208"/>
    <mergeCell ref="A1209:B1209"/>
    <mergeCell ref="F1209:G1209"/>
    <mergeCell ref="A1210:B1210"/>
    <mergeCell ref="F1210:G1210"/>
    <mergeCell ref="F1181:G1181"/>
    <mergeCell ref="A1184:H1184"/>
    <mergeCell ref="A1186:A1189"/>
    <mergeCell ref="B1186:G1189"/>
    <mergeCell ref="H1186:H1188"/>
    <mergeCell ref="B1190:F1190"/>
    <mergeCell ref="B1191:E1191"/>
    <mergeCell ref="A1194:C1194"/>
    <mergeCell ref="A1195:C1195"/>
    <mergeCell ref="A1196:C1196"/>
    <mergeCell ref="A1197:C1197"/>
    <mergeCell ref="A1198:G1198"/>
    <mergeCell ref="A1199:H1199"/>
    <mergeCell ref="A1200:B1200"/>
    <mergeCell ref="F1200:G1200"/>
    <mergeCell ref="A1201:B1201"/>
    <mergeCell ref="F1201:G1201"/>
    <mergeCell ref="A1165:H1165"/>
    <mergeCell ref="A1166:B1166"/>
    <mergeCell ref="F1166:G1166"/>
    <mergeCell ref="A1167:B1167"/>
    <mergeCell ref="F1167:G1167"/>
    <mergeCell ref="A1168:G1168"/>
    <mergeCell ref="A1169:H1169"/>
    <mergeCell ref="A1170:B1170"/>
    <mergeCell ref="F1170:G1170"/>
    <mergeCell ref="A1171:B1171"/>
    <mergeCell ref="F1171:G1171"/>
    <mergeCell ref="A1172:B1172"/>
    <mergeCell ref="F1172:G1172"/>
    <mergeCell ref="A1173:B1173"/>
    <mergeCell ref="F1173:G1173"/>
    <mergeCell ref="A1174:G1174"/>
    <mergeCell ref="A1176:D1176"/>
    <mergeCell ref="A1156:B1156"/>
    <mergeCell ref="F1156:G1156"/>
    <mergeCell ref="A1157:B1157"/>
    <mergeCell ref="F1157:G1157"/>
    <mergeCell ref="A1158:B1158"/>
    <mergeCell ref="F1158:G1158"/>
    <mergeCell ref="A1159:B1159"/>
    <mergeCell ref="F1159:G1159"/>
    <mergeCell ref="A1160:B1160"/>
    <mergeCell ref="F1160:G1160"/>
    <mergeCell ref="A1161:B1161"/>
    <mergeCell ref="F1161:G1161"/>
    <mergeCell ref="A1162:B1162"/>
    <mergeCell ref="F1162:G1162"/>
    <mergeCell ref="A1163:B1163"/>
    <mergeCell ref="F1163:G1163"/>
    <mergeCell ref="A1164:G1164"/>
    <mergeCell ref="A1145:C1145"/>
    <mergeCell ref="A1146:C1146"/>
    <mergeCell ref="A1147:G1147"/>
    <mergeCell ref="A1148:H1148"/>
    <mergeCell ref="A1149:B1149"/>
    <mergeCell ref="F1149:G1149"/>
    <mergeCell ref="A1150:B1150"/>
    <mergeCell ref="F1150:G1150"/>
    <mergeCell ref="A1151:B1151"/>
    <mergeCell ref="F1151:G1151"/>
    <mergeCell ref="A1152:B1152"/>
    <mergeCell ref="F1152:G1152"/>
    <mergeCell ref="A1153:B1153"/>
    <mergeCell ref="F1153:G1153"/>
    <mergeCell ref="A1154:B1154"/>
    <mergeCell ref="F1154:G1154"/>
    <mergeCell ref="A1155:B1155"/>
    <mergeCell ref="F1155:G1155"/>
    <mergeCell ref="A1065:B1065"/>
    <mergeCell ref="F1065:G1065"/>
    <mergeCell ref="A1066:B1066"/>
    <mergeCell ref="F1066:G1066"/>
    <mergeCell ref="A1067:B1067"/>
    <mergeCell ref="F1067:G1067"/>
    <mergeCell ref="A1068:G1068"/>
    <mergeCell ref="A1070:D1070"/>
    <mergeCell ref="F1075:G1075"/>
    <mergeCell ref="A1133:H1133"/>
    <mergeCell ref="A1135:A1138"/>
    <mergeCell ref="B1135:G1138"/>
    <mergeCell ref="H1135:H1137"/>
    <mergeCell ref="B1139:F1139"/>
    <mergeCell ref="B1140:E1140"/>
    <mergeCell ref="A1143:C1143"/>
    <mergeCell ref="A1144:C1144"/>
    <mergeCell ref="A1123:G1123"/>
    <mergeCell ref="A1125:D1125"/>
    <mergeCell ref="F1130:G1130"/>
    <mergeCell ref="A1116:B1116"/>
    <mergeCell ref="F1116:G1116"/>
    <mergeCell ref="A1117:G1117"/>
    <mergeCell ref="A1118:H1118"/>
    <mergeCell ref="A1119:B1119"/>
    <mergeCell ref="F1119:G1119"/>
    <mergeCell ref="A1120:B1120"/>
    <mergeCell ref="F1120:G1120"/>
    <mergeCell ref="A1121:B1121"/>
    <mergeCell ref="F1121:G1121"/>
    <mergeCell ref="A1122:B1122"/>
    <mergeCell ref="F1122:G1122"/>
    <mergeCell ref="A1112:B1112"/>
    <mergeCell ref="F1112:G1112"/>
    <mergeCell ref="A1113:G1113"/>
    <mergeCell ref="A1114:H1114"/>
    <mergeCell ref="A1115:B1115"/>
    <mergeCell ref="F1115:G1115"/>
    <mergeCell ref="A1103:B1103"/>
    <mergeCell ref="F1103:G1103"/>
    <mergeCell ref="A1104:B1104"/>
    <mergeCell ref="F1104:G1104"/>
    <mergeCell ref="A1105:B1105"/>
    <mergeCell ref="F1105:G1105"/>
    <mergeCell ref="A1106:B1106"/>
    <mergeCell ref="F1106:G1106"/>
    <mergeCell ref="A1054:B1054"/>
    <mergeCell ref="F1054:G1054"/>
    <mergeCell ref="A1055:B1055"/>
    <mergeCell ref="F1055:G1055"/>
    <mergeCell ref="A1056:B1056"/>
    <mergeCell ref="F1056:G1056"/>
    <mergeCell ref="A1057:B1057"/>
    <mergeCell ref="F1057:G1057"/>
    <mergeCell ref="A1058:G1058"/>
    <mergeCell ref="A1059:H1059"/>
    <mergeCell ref="A1060:B1060"/>
    <mergeCell ref="F1060:G1060"/>
    <mergeCell ref="A1061:B1061"/>
    <mergeCell ref="F1061:G1061"/>
    <mergeCell ref="A1062:G1062"/>
    <mergeCell ref="A1063:H1063"/>
    <mergeCell ref="A1064:B1064"/>
    <mergeCell ref="F1064:G1064"/>
    <mergeCell ref="A1045:B1045"/>
    <mergeCell ref="F1045:G1045"/>
    <mergeCell ref="A1046:B1046"/>
    <mergeCell ref="F1046:G1046"/>
    <mergeCell ref="A1047:B1047"/>
    <mergeCell ref="F1047:G1047"/>
    <mergeCell ref="A1048:B1048"/>
    <mergeCell ref="F1048:G1048"/>
    <mergeCell ref="A1049:B1049"/>
    <mergeCell ref="F1049:G1049"/>
    <mergeCell ref="A1050:B1050"/>
    <mergeCell ref="F1050:G1050"/>
    <mergeCell ref="A1051:B1051"/>
    <mergeCell ref="F1051:G1051"/>
    <mergeCell ref="A1052:B1052"/>
    <mergeCell ref="F1052:G1052"/>
    <mergeCell ref="A1053:B1053"/>
    <mergeCell ref="F1053:G1053"/>
    <mergeCell ref="F1024:G1024"/>
    <mergeCell ref="A1027:H1027"/>
    <mergeCell ref="A1029:A1032"/>
    <mergeCell ref="B1029:G1032"/>
    <mergeCell ref="H1029:H1031"/>
    <mergeCell ref="B1033:F1033"/>
    <mergeCell ref="B1034:E1034"/>
    <mergeCell ref="A1037:C1037"/>
    <mergeCell ref="A1038:C1038"/>
    <mergeCell ref="A1039:C1039"/>
    <mergeCell ref="A1040:C1040"/>
    <mergeCell ref="A1041:G1041"/>
    <mergeCell ref="A1042:H1042"/>
    <mergeCell ref="A1043:B1043"/>
    <mergeCell ref="F1043:G1043"/>
    <mergeCell ref="A1044:B1044"/>
    <mergeCell ref="F1044:G1044"/>
    <mergeCell ref="A1008:H1008"/>
    <mergeCell ref="A1009:B1009"/>
    <mergeCell ref="F1009:G1009"/>
    <mergeCell ref="A1010:B1010"/>
    <mergeCell ref="F1010:G1010"/>
    <mergeCell ref="A1011:G1011"/>
    <mergeCell ref="A1012:H1012"/>
    <mergeCell ref="A1013:B1013"/>
    <mergeCell ref="F1013:G1013"/>
    <mergeCell ref="A1014:B1014"/>
    <mergeCell ref="F1014:G1014"/>
    <mergeCell ref="A1015:B1015"/>
    <mergeCell ref="F1015:G1015"/>
    <mergeCell ref="A1016:B1016"/>
    <mergeCell ref="F1016:G1016"/>
    <mergeCell ref="A1017:G1017"/>
    <mergeCell ref="A1019:D1019"/>
    <mergeCell ref="A999:B999"/>
    <mergeCell ref="F999:G999"/>
    <mergeCell ref="A1000:B1000"/>
    <mergeCell ref="F1000:G1000"/>
    <mergeCell ref="A1001:B1001"/>
    <mergeCell ref="F1001:G1001"/>
    <mergeCell ref="A1002:B1002"/>
    <mergeCell ref="F1002:G1002"/>
    <mergeCell ref="A1003:B1003"/>
    <mergeCell ref="F1003:G1003"/>
    <mergeCell ref="A1004:B1004"/>
    <mergeCell ref="F1004:G1004"/>
    <mergeCell ref="A1005:B1005"/>
    <mergeCell ref="F1005:G1005"/>
    <mergeCell ref="A1006:B1006"/>
    <mergeCell ref="F1006:G1006"/>
    <mergeCell ref="A1007:G1007"/>
    <mergeCell ref="A988:C988"/>
    <mergeCell ref="A989:C989"/>
    <mergeCell ref="A990:G990"/>
    <mergeCell ref="A991:H991"/>
    <mergeCell ref="A992:B992"/>
    <mergeCell ref="F992:G992"/>
    <mergeCell ref="A993:B993"/>
    <mergeCell ref="F993:G993"/>
    <mergeCell ref="A994:B994"/>
    <mergeCell ref="F994:G994"/>
    <mergeCell ref="A995:B995"/>
    <mergeCell ref="F995:G995"/>
    <mergeCell ref="A996:B996"/>
    <mergeCell ref="F996:G996"/>
    <mergeCell ref="A997:B997"/>
    <mergeCell ref="F997:G997"/>
    <mergeCell ref="A998:B998"/>
    <mergeCell ref="F998:G998"/>
    <mergeCell ref="A963:B963"/>
    <mergeCell ref="F963:G963"/>
    <mergeCell ref="A964:B964"/>
    <mergeCell ref="F964:G964"/>
    <mergeCell ref="A965:B965"/>
    <mergeCell ref="F965:G965"/>
    <mergeCell ref="A966:G966"/>
    <mergeCell ref="A968:D968"/>
    <mergeCell ref="F973:G973"/>
    <mergeCell ref="A976:H976"/>
    <mergeCell ref="A978:A981"/>
    <mergeCell ref="B978:G981"/>
    <mergeCell ref="H978:H980"/>
    <mergeCell ref="B982:F982"/>
    <mergeCell ref="B983:E983"/>
    <mergeCell ref="A986:C986"/>
    <mergeCell ref="A987:C987"/>
    <mergeCell ref="A952:B952"/>
    <mergeCell ref="F952:G952"/>
    <mergeCell ref="A953:B953"/>
    <mergeCell ref="F953:G953"/>
    <mergeCell ref="A954:B954"/>
    <mergeCell ref="F954:G954"/>
    <mergeCell ref="A955:B955"/>
    <mergeCell ref="F955:G955"/>
    <mergeCell ref="A956:G956"/>
    <mergeCell ref="A957:H957"/>
    <mergeCell ref="A958:B958"/>
    <mergeCell ref="F958:G958"/>
    <mergeCell ref="A959:B959"/>
    <mergeCell ref="F959:G959"/>
    <mergeCell ref="A960:G960"/>
    <mergeCell ref="A961:H961"/>
    <mergeCell ref="A962:B962"/>
    <mergeCell ref="F962:G962"/>
    <mergeCell ref="A943:B943"/>
    <mergeCell ref="F943:G943"/>
    <mergeCell ref="A944:B944"/>
    <mergeCell ref="F944:G944"/>
    <mergeCell ref="A945:B945"/>
    <mergeCell ref="F945:G945"/>
    <mergeCell ref="A946:B946"/>
    <mergeCell ref="F946:G946"/>
    <mergeCell ref="A947:B947"/>
    <mergeCell ref="F947:G947"/>
    <mergeCell ref="A948:B948"/>
    <mergeCell ref="F948:G948"/>
    <mergeCell ref="A949:B949"/>
    <mergeCell ref="F949:G949"/>
    <mergeCell ref="A950:B950"/>
    <mergeCell ref="F950:G950"/>
    <mergeCell ref="A951:B951"/>
    <mergeCell ref="F951:G951"/>
    <mergeCell ref="A917:D917"/>
    <mergeCell ref="F922:G922"/>
    <mergeCell ref="A925:H925"/>
    <mergeCell ref="A927:A930"/>
    <mergeCell ref="B927:G930"/>
    <mergeCell ref="H927:H929"/>
    <mergeCell ref="B931:F931"/>
    <mergeCell ref="B932:E932"/>
    <mergeCell ref="A935:C935"/>
    <mergeCell ref="A936:C936"/>
    <mergeCell ref="A937:C937"/>
    <mergeCell ref="A938:C938"/>
    <mergeCell ref="A939:G939"/>
    <mergeCell ref="A940:H940"/>
    <mergeCell ref="A941:B941"/>
    <mergeCell ref="F941:G941"/>
    <mergeCell ref="A942:B942"/>
    <mergeCell ref="F942:G942"/>
    <mergeCell ref="A908:B908"/>
    <mergeCell ref="F908:G908"/>
    <mergeCell ref="A909:G909"/>
    <mergeCell ref="A910:H910"/>
    <mergeCell ref="A911:B911"/>
    <mergeCell ref="F911:G911"/>
    <mergeCell ref="A912:B912"/>
    <mergeCell ref="F912:G912"/>
    <mergeCell ref="A913:B913"/>
    <mergeCell ref="F913:G913"/>
    <mergeCell ref="A914:B914"/>
    <mergeCell ref="F914:G914"/>
    <mergeCell ref="A915:G915"/>
    <mergeCell ref="A874:H874"/>
    <mergeCell ref="A876:A879"/>
    <mergeCell ref="B876:G879"/>
    <mergeCell ref="H876:H878"/>
    <mergeCell ref="B880:F880"/>
    <mergeCell ref="B881:E881"/>
    <mergeCell ref="A884:C884"/>
    <mergeCell ref="A885:C885"/>
    <mergeCell ref="A886:C886"/>
    <mergeCell ref="A887:C887"/>
    <mergeCell ref="A888:G888"/>
    <mergeCell ref="A889:H889"/>
    <mergeCell ref="A890:B890"/>
    <mergeCell ref="F890:G890"/>
    <mergeCell ref="A891:B891"/>
    <mergeCell ref="F891:G891"/>
    <mergeCell ref="A892:B892"/>
    <mergeCell ref="F892:G892"/>
    <mergeCell ref="A893:B893"/>
    <mergeCell ref="F893:G893"/>
    <mergeCell ref="A894:B894"/>
    <mergeCell ref="F894:G894"/>
    <mergeCell ref="A895:B895"/>
    <mergeCell ref="F895:G895"/>
    <mergeCell ref="A896:B896"/>
    <mergeCell ref="F896:G896"/>
    <mergeCell ref="A897:B897"/>
    <mergeCell ref="F897:G897"/>
    <mergeCell ref="A898:B898"/>
    <mergeCell ref="A1107:B1107"/>
    <mergeCell ref="F1107:G1107"/>
    <mergeCell ref="A1108:B1108"/>
    <mergeCell ref="F1108:G1108"/>
    <mergeCell ref="A1109:B1109"/>
    <mergeCell ref="F1109:G1109"/>
    <mergeCell ref="A1110:B1110"/>
    <mergeCell ref="F1110:G1110"/>
    <mergeCell ref="A1111:B1111"/>
    <mergeCell ref="F1111:G1111"/>
    <mergeCell ref="B1088:F1088"/>
    <mergeCell ref="B1089:E1089"/>
    <mergeCell ref="A1092:C1092"/>
    <mergeCell ref="A1093:C1093"/>
    <mergeCell ref="A1094:C1094"/>
    <mergeCell ref="A1095:C1095"/>
    <mergeCell ref="A1096:G1096"/>
    <mergeCell ref="A1097:H1097"/>
    <mergeCell ref="A1098:B1098"/>
    <mergeCell ref="F1098:G1098"/>
    <mergeCell ref="A1099:B1099"/>
    <mergeCell ref="F1099:G1099"/>
    <mergeCell ref="A1100:B1100"/>
    <mergeCell ref="F1100:G1100"/>
    <mergeCell ref="A1101:B1101"/>
    <mergeCell ref="F1101:G1101"/>
    <mergeCell ref="A1102:B1102"/>
    <mergeCell ref="F1102:G1102"/>
    <mergeCell ref="A857:B857"/>
    <mergeCell ref="F857:G857"/>
    <mergeCell ref="A858:G858"/>
    <mergeCell ref="A859:H859"/>
    <mergeCell ref="A860:B860"/>
    <mergeCell ref="F860:G860"/>
    <mergeCell ref="A861:B861"/>
    <mergeCell ref="F861:G861"/>
    <mergeCell ref="A862:B862"/>
    <mergeCell ref="F862:G862"/>
    <mergeCell ref="A863:B863"/>
    <mergeCell ref="F863:G863"/>
    <mergeCell ref="A864:G864"/>
    <mergeCell ref="A866:D866"/>
    <mergeCell ref="F871:G871"/>
    <mergeCell ref="A1082:H1082"/>
    <mergeCell ref="A1084:A1087"/>
    <mergeCell ref="B1084:G1087"/>
    <mergeCell ref="H1084:H1086"/>
    <mergeCell ref="F898:G898"/>
    <mergeCell ref="A899:B899"/>
    <mergeCell ref="F899:G899"/>
    <mergeCell ref="A900:B900"/>
    <mergeCell ref="F900:G900"/>
    <mergeCell ref="A901:B901"/>
    <mergeCell ref="F901:G901"/>
    <mergeCell ref="A902:B902"/>
    <mergeCell ref="F902:G902"/>
    <mergeCell ref="A903:B903"/>
    <mergeCell ref="F903:G903"/>
    <mergeCell ref="A904:B904"/>
    <mergeCell ref="F904:G904"/>
    <mergeCell ref="A905:G905"/>
    <mergeCell ref="A906:H906"/>
    <mergeCell ref="A907:B907"/>
    <mergeCell ref="F907:G907"/>
    <mergeCell ref="A847:B847"/>
    <mergeCell ref="F847:G847"/>
    <mergeCell ref="A848:B848"/>
    <mergeCell ref="F848:G848"/>
    <mergeCell ref="A849:B849"/>
    <mergeCell ref="F849:G849"/>
    <mergeCell ref="A850:B850"/>
    <mergeCell ref="F850:G850"/>
    <mergeCell ref="A851:B851"/>
    <mergeCell ref="F851:G851"/>
    <mergeCell ref="A852:B852"/>
    <mergeCell ref="F852:G852"/>
    <mergeCell ref="A853:B853"/>
    <mergeCell ref="F853:G853"/>
    <mergeCell ref="A854:G854"/>
    <mergeCell ref="A855:H855"/>
    <mergeCell ref="A856:B856"/>
    <mergeCell ref="F856:G856"/>
    <mergeCell ref="A837:G837"/>
    <mergeCell ref="A838:H838"/>
    <mergeCell ref="A839:B839"/>
    <mergeCell ref="F839:G839"/>
    <mergeCell ref="A840:B840"/>
    <mergeCell ref="F840:G840"/>
    <mergeCell ref="A841:B841"/>
    <mergeCell ref="F841:G841"/>
    <mergeCell ref="A842:B842"/>
    <mergeCell ref="F842:G842"/>
    <mergeCell ref="A843:B843"/>
    <mergeCell ref="F843:G843"/>
    <mergeCell ref="A844:B844"/>
    <mergeCell ref="F844:G844"/>
    <mergeCell ref="A845:B845"/>
    <mergeCell ref="F845:G845"/>
    <mergeCell ref="A846:B846"/>
    <mergeCell ref="F846:G846"/>
    <mergeCell ref="A8963:B8963"/>
    <mergeCell ref="F8963:G8963"/>
    <mergeCell ref="A8964:B8964"/>
    <mergeCell ref="F8964:G8964"/>
    <mergeCell ref="A8965:G8965"/>
    <mergeCell ref="A8967:D8967"/>
    <mergeCell ref="F8972:G8972"/>
    <mergeCell ref="A8955:G8955"/>
    <mergeCell ref="A8956:H8956"/>
    <mergeCell ref="A8957:B8957"/>
    <mergeCell ref="F8957:G8957"/>
    <mergeCell ref="A8958:B8958"/>
    <mergeCell ref="F8958:G8958"/>
    <mergeCell ref="A9022:D9022"/>
    <mergeCell ref="A8405:C8405"/>
    <mergeCell ref="A8406:C8406"/>
    <mergeCell ref="A8407:C8407"/>
    <mergeCell ref="A8408:G8408"/>
    <mergeCell ref="A8409:H8409"/>
    <mergeCell ref="A8410:B8410"/>
    <mergeCell ref="A8940:B8940"/>
    <mergeCell ref="F8940:G8940"/>
    <mergeCell ref="A8941:B8941"/>
    <mergeCell ref="F8941:G8941"/>
    <mergeCell ref="A8942:B8942"/>
    <mergeCell ref="F8942:G8942"/>
    <mergeCell ref="A8943:B8943"/>
    <mergeCell ref="F8943:G8943"/>
    <mergeCell ref="A8944:B8944"/>
    <mergeCell ref="F8944:G8944"/>
    <mergeCell ref="A8933:C8933"/>
    <mergeCell ref="A8934:C8934"/>
    <mergeCell ref="A8935:G8935"/>
    <mergeCell ref="A8936:H8936"/>
    <mergeCell ref="A8937:B8937"/>
    <mergeCell ref="F8937:G8937"/>
    <mergeCell ref="A8938:B8938"/>
    <mergeCell ref="F8938:G8938"/>
    <mergeCell ref="A8939:B8939"/>
    <mergeCell ref="F8939:G8939"/>
    <mergeCell ref="A8417:B8417"/>
    <mergeCell ref="F8417:G8417"/>
    <mergeCell ref="A8418:B8418"/>
    <mergeCell ref="F8418:G8418"/>
    <mergeCell ref="A8419:B8419"/>
    <mergeCell ref="F8465:G8465"/>
    <mergeCell ref="A8466:B8466"/>
    <mergeCell ref="A8423:B8423"/>
    <mergeCell ref="F8423:G8423"/>
    <mergeCell ref="A8424:G8424"/>
    <mergeCell ref="A8425:H8425"/>
    <mergeCell ref="A8426:B8426"/>
    <mergeCell ref="F8426:G8426"/>
    <mergeCell ref="A8427:B8427"/>
    <mergeCell ref="F8427:G8427"/>
    <mergeCell ref="A8428:B8428"/>
    <mergeCell ref="F8428:G8428"/>
    <mergeCell ref="A8429:B8429"/>
    <mergeCell ref="F8429:G8429"/>
    <mergeCell ref="A8430:G8430"/>
    <mergeCell ref="A8432:D8432"/>
    <mergeCell ref="F8437:G8437"/>
    <mergeCell ref="A8440:H8440"/>
    <mergeCell ref="A8442:A8445"/>
    <mergeCell ref="A9182:G9182"/>
    <mergeCell ref="A9184:D9184"/>
    <mergeCell ref="F9189:G9189"/>
    <mergeCell ref="A8975:H8975"/>
    <mergeCell ref="A8977:A8980"/>
    <mergeCell ref="B8977:G8980"/>
    <mergeCell ref="H8977:H8979"/>
    <mergeCell ref="B8981:F8981"/>
    <mergeCell ref="B8982:E8982"/>
    <mergeCell ref="A8985:C8985"/>
    <mergeCell ref="A8986:C8986"/>
    <mergeCell ref="A8987:C8987"/>
    <mergeCell ref="A8988:C8988"/>
    <mergeCell ref="A8989:C8989"/>
    <mergeCell ref="A8990:G8990"/>
    <mergeCell ref="A8991:H8991"/>
    <mergeCell ref="A8992:B8992"/>
    <mergeCell ref="F8992:G8992"/>
    <mergeCell ref="A8993:B8993"/>
    <mergeCell ref="F8993:G8993"/>
    <mergeCell ref="A8994:B8994"/>
    <mergeCell ref="F8994:G8994"/>
    <mergeCell ref="A8995:B8995"/>
    <mergeCell ref="F8995:G8995"/>
    <mergeCell ref="A9176:G9176"/>
    <mergeCell ref="A9177:H9177"/>
    <mergeCell ref="A9178:B9178"/>
    <mergeCell ref="F9178:G9178"/>
    <mergeCell ref="A9179:B9179"/>
    <mergeCell ref="F9179:G9179"/>
    <mergeCell ref="A9180:B9180"/>
    <mergeCell ref="F9180:G9180"/>
    <mergeCell ref="A9181:B9181"/>
    <mergeCell ref="F9181:G9181"/>
    <mergeCell ref="A9170:B9170"/>
    <mergeCell ref="F9170:G9170"/>
    <mergeCell ref="A9171:B9171"/>
    <mergeCell ref="F9171:G9171"/>
    <mergeCell ref="A9172:G9172"/>
    <mergeCell ref="A9173:H9173"/>
    <mergeCell ref="A9174:B9174"/>
    <mergeCell ref="A9017:B9017"/>
    <mergeCell ref="F9017:G9017"/>
    <mergeCell ref="A9018:B9018"/>
    <mergeCell ref="F9018:G9018"/>
    <mergeCell ref="A9019:B9019"/>
    <mergeCell ref="F9019:G9019"/>
    <mergeCell ref="A9020:G9020"/>
    <mergeCell ref="F9174:G9174"/>
    <mergeCell ref="A9175:B9175"/>
    <mergeCell ref="F9175:G9175"/>
    <mergeCell ref="A9165:B9165"/>
    <mergeCell ref="F9165:G9165"/>
    <mergeCell ref="A9166:B9166"/>
    <mergeCell ref="F9166:G9166"/>
    <mergeCell ref="A9167:B9167"/>
    <mergeCell ref="F9167:G9167"/>
    <mergeCell ref="A9168:B9168"/>
    <mergeCell ref="F9168:G9168"/>
    <mergeCell ref="A9169:B9169"/>
    <mergeCell ref="F9169:G9169"/>
    <mergeCell ref="A9160:B9160"/>
    <mergeCell ref="F9160:G9160"/>
    <mergeCell ref="A9161:B9161"/>
    <mergeCell ref="F9161:G9161"/>
    <mergeCell ref="A9162:B9162"/>
    <mergeCell ref="F9162:G9162"/>
    <mergeCell ref="A9163:B9163"/>
    <mergeCell ref="F9163:G9163"/>
    <mergeCell ref="A9164:B9164"/>
    <mergeCell ref="F9164:G9164"/>
    <mergeCell ref="A9153:C9153"/>
    <mergeCell ref="A9154:C9154"/>
    <mergeCell ref="A9155:G9155"/>
    <mergeCell ref="A9156:H9156"/>
    <mergeCell ref="A9157:B9157"/>
    <mergeCell ref="F9157:G9157"/>
    <mergeCell ref="A9158:B9158"/>
    <mergeCell ref="F9158:G9158"/>
    <mergeCell ref="A9159:B9159"/>
    <mergeCell ref="F9159:G9159"/>
    <mergeCell ref="A9140:H9140"/>
    <mergeCell ref="A9142:A9145"/>
    <mergeCell ref="B9142:G9145"/>
    <mergeCell ref="H9142:H9144"/>
    <mergeCell ref="B9146:F9146"/>
    <mergeCell ref="B9147:E9147"/>
    <mergeCell ref="A9150:C9150"/>
    <mergeCell ref="A9151:C9151"/>
    <mergeCell ref="A9152:C9152"/>
    <mergeCell ref="A9127:B9127"/>
    <mergeCell ref="F9127:G9127"/>
    <mergeCell ref="A9128:B9128"/>
    <mergeCell ref="F9128:G9128"/>
    <mergeCell ref="A9129:B9129"/>
    <mergeCell ref="F9129:G9129"/>
    <mergeCell ref="A9130:G9130"/>
    <mergeCell ref="A9132:D9132"/>
    <mergeCell ref="F9137:G9137"/>
    <mergeCell ref="A9120:G9120"/>
    <mergeCell ref="A9121:H9121"/>
    <mergeCell ref="A9122:B9122"/>
    <mergeCell ref="F9122:G9122"/>
    <mergeCell ref="A9123:B9123"/>
    <mergeCell ref="F9123:G9123"/>
    <mergeCell ref="A9124:G9124"/>
    <mergeCell ref="A9125:H9125"/>
    <mergeCell ref="A9126:B9126"/>
    <mergeCell ref="F9126:G9126"/>
    <mergeCell ref="A9005:B9005"/>
    <mergeCell ref="F9005:G9005"/>
    <mergeCell ref="A9117:B9117"/>
    <mergeCell ref="F9117:G9117"/>
    <mergeCell ref="A9118:B9118"/>
    <mergeCell ref="F9118:G9118"/>
    <mergeCell ref="A9008:B9008"/>
    <mergeCell ref="F9008:G9008"/>
    <mergeCell ref="A9119:B9119"/>
    <mergeCell ref="F9119:G9119"/>
    <mergeCell ref="A9007:B9007"/>
    <mergeCell ref="F9007:G9007"/>
    <mergeCell ref="A9009:B9009"/>
    <mergeCell ref="F9009:G9009"/>
    <mergeCell ref="A9010:G9010"/>
    <mergeCell ref="A9011:H9011"/>
    <mergeCell ref="A9012:B9012"/>
    <mergeCell ref="F9012:G9012"/>
    <mergeCell ref="A9013:B9013"/>
    <mergeCell ref="F9013:G9013"/>
    <mergeCell ref="A9014:G9014"/>
    <mergeCell ref="A9015:H9015"/>
    <mergeCell ref="A9113:B9113"/>
    <mergeCell ref="F9113:G9113"/>
    <mergeCell ref="A9114:B9114"/>
    <mergeCell ref="F9114:G9114"/>
    <mergeCell ref="A9115:B9115"/>
    <mergeCell ref="F9115:G9115"/>
    <mergeCell ref="A9116:B9116"/>
    <mergeCell ref="F9116:G9116"/>
    <mergeCell ref="A9108:B9108"/>
    <mergeCell ref="F9108:G9108"/>
    <mergeCell ref="A9109:B9109"/>
    <mergeCell ref="F9109:G9109"/>
    <mergeCell ref="A9110:B9110"/>
    <mergeCell ref="F9110:G9110"/>
    <mergeCell ref="A9111:B9111"/>
    <mergeCell ref="F9111:G9111"/>
    <mergeCell ref="A9112:B9112"/>
    <mergeCell ref="F9112:G9112"/>
    <mergeCell ref="A9101:C9101"/>
    <mergeCell ref="A9102:C9102"/>
    <mergeCell ref="A9103:G9103"/>
    <mergeCell ref="A9104:H9104"/>
    <mergeCell ref="A9105:B9105"/>
    <mergeCell ref="F9105:G9105"/>
    <mergeCell ref="A9106:B9106"/>
    <mergeCell ref="F9106:G9106"/>
    <mergeCell ref="A9107:B9107"/>
    <mergeCell ref="F9107:G9107"/>
    <mergeCell ref="A9088:H9088"/>
    <mergeCell ref="A9090:A9093"/>
    <mergeCell ref="B9090:G9093"/>
    <mergeCell ref="H9090:H9092"/>
    <mergeCell ref="B9094:F9094"/>
    <mergeCell ref="B9095:E9095"/>
    <mergeCell ref="A9098:C9098"/>
    <mergeCell ref="A9099:C9099"/>
    <mergeCell ref="A9100:C9100"/>
    <mergeCell ref="A8951:B8951"/>
    <mergeCell ref="F8951:G8951"/>
    <mergeCell ref="A8952:B8952"/>
    <mergeCell ref="F8952:G8952"/>
    <mergeCell ref="A8953:B8953"/>
    <mergeCell ref="F8953:G8953"/>
    <mergeCell ref="A8954:B8954"/>
    <mergeCell ref="F8954:G8954"/>
    <mergeCell ref="A8945:B8945"/>
    <mergeCell ref="F8945:G8945"/>
    <mergeCell ref="A8946:B8946"/>
    <mergeCell ref="F8946:G8946"/>
    <mergeCell ref="A8947:B8947"/>
    <mergeCell ref="F8947:G8947"/>
    <mergeCell ref="A8948:B8948"/>
    <mergeCell ref="F8948:G8948"/>
    <mergeCell ref="A8949:B8949"/>
    <mergeCell ref="F8949:G8949"/>
    <mergeCell ref="B9037:E9037"/>
    <mergeCell ref="A9040:C9040"/>
    <mergeCell ref="A9041:C9041"/>
    <mergeCell ref="A9042:C9042"/>
    <mergeCell ref="A9043:C9043"/>
    <mergeCell ref="A9044:C9044"/>
    <mergeCell ref="A9045:G9045"/>
    <mergeCell ref="A9046:H9046"/>
    <mergeCell ref="A9047:B9047"/>
    <mergeCell ref="F9047:G9047"/>
    <mergeCell ref="A9048:B9048"/>
    <mergeCell ref="F9048:G9048"/>
    <mergeCell ref="A9049:B9049"/>
    <mergeCell ref="F9049:G9049"/>
    <mergeCell ref="A9050:B9050"/>
    <mergeCell ref="F9050:G9050"/>
    <mergeCell ref="A9051:B9051"/>
    <mergeCell ref="F9051:G9051"/>
    <mergeCell ref="A9052:B9052"/>
    <mergeCell ref="F9052:G9052"/>
    <mergeCell ref="A9053:B9053"/>
    <mergeCell ref="F9053:G9053"/>
    <mergeCell ref="A9054:B9054"/>
    <mergeCell ref="F9054:G9054"/>
    <mergeCell ref="A9055:B9055"/>
    <mergeCell ref="F9055:G9055"/>
    <mergeCell ref="A9056:B9056"/>
    <mergeCell ref="F9056:G9056"/>
    <mergeCell ref="A9057:B9057"/>
    <mergeCell ref="F9057:G9057"/>
    <mergeCell ref="A9058:B9058"/>
    <mergeCell ref="F9058:G9058"/>
    <mergeCell ref="A9059:B9059"/>
    <mergeCell ref="F9059:G9059"/>
    <mergeCell ref="A9060:B9060"/>
    <mergeCell ref="F9060:G9060"/>
    <mergeCell ref="A9072:B9072"/>
    <mergeCell ref="F9072:G9072"/>
    <mergeCell ref="A9073:B9073"/>
    <mergeCell ref="F9073:G9073"/>
    <mergeCell ref="A9074:B9074"/>
    <mergeCell ref="F6322:G6322"/>
    <mergeCell ref="A6323:B6323"/>
    <mergeCell ref="F6323:G6323"/>
    <mergeCell ref="A8361:B8361"/>
    <mergeCell ref="F8361:G8361"/>
    <mergeCell ref="A8362:B8362"/>
    <mergeCell ref="F8362:G8362"/>
    <mergeCell ref="A8363:B8363"/>
    <mergeCell ref="F8363:G8363"/>
    <mergeCell ref="A8364:B8364"/>
    <mergeCell ref="F8364:G8364"/>
    <mergeCell ref="A8365:B8365"/>
    <mergeCell ref="F8365:G8365"/>
    <mergeCell ref="A8356:B8356"/>
    <mergeCell ref="F8356:G8356"/>
    <mergeCell ref="A8357:B8357"/>
    <mergeCell ref="F8357:G8357"/>
    <mergeCell ref="A8358:B8358"/>
    <mergeCell ref="F8358:G8358"/>
    <mergeCell ref="A8359:B8359"/>
    <mergeCell ref="F8359:G8359"/>
    <mergeCell ref="A8360:B8360"/>
    <mergeCell ref="F8360:G8360"/>
    <mergeCell ref="A8348:C8348"/>
    <mergeCell ref="A8349:C8349"/>
    <mergeCell ref="A8350:C8350"/>
    <mergeCell ref="A8351:C8351"/>
    <mergeCell ref="A8352:C8352"/>
    <mergeCell ref="A8353:G8353"/>
    <mergeCell ref="A8354:H8354"/>
    <mergeCell ref="A8355:B8355"/>
    <mergeCell ref="F8355:G8355"/>
    <mergeCell ref="A8338:H8338"/>
    <mergeCell ref="A8340:A8343"/>
    <mergeCell ref="B8340:G8343"/>
    <mergeCell ref="H8340:H8342"/>
    <mergeCell ref="B8344:F8344"/>
    <mergeCell ref="B8345:E8345"/>
    <mergeCell ref="A6588:B6588"/>
    <mergeCell ref="F6588:G6588"/>
    <mergeCell ref="A6589:B6589"/>
    <mergeCell ref="F6589:G6589"/>
    <mergeCell ref="A6590:B6590"/>
    <mergeCell ref="F6590:G6590"/>
    <mergeCell ref="A6591:B6591"/>
    <mergeCell ref="F6591:G6591"/>
    <mergeCell ref="A6592:B6592"/>
    <mergeCell ref="F6592:G6592"/>
    <mergeCell ref="A6593:G6593"/>
    <mergeCell ref="A6594:H6594"/>
    <mergeCell ref="A6595:B6595"/>
    <mergeCell ref="F6595:G6595"/>
    <mergeCell ref="A6596:B6596"/>
    <mergeCell ref="F6596:G6596"/>
    <mergeCell ref="A6597:G6597"/>
    <mergeCell ref="A6579:B6579"/>
    <mergeCell ref="F6579:G6579"/>
    <mergeCell ref="A6580:B6580"/>
    <mergeCell ref="F6580:G6580"/>
    <mergeCell ref="A6581:B6581"/>
    <mergeCell ref="F6581:G6581"/>
    <mergeCell ref="A6582:B6582"/>
    <mergeCell ref="F6582:G6582"/>
    <mergeCell ref="A6583:B6583"/>
    <mergeCell ref="A6324:B6324"/>
    <mergeCell ref="F6324:G6324"/>
    <mergeCell ref="A6325:B6325"/>
    <mergeCell ref="F6325:G6325"/>
    <mergeCell ref="A6326:B6326"/>
    <mergeCell ref="F6326:G6326"/>
    <mergeCell ref="A6327:B6327"/>
    <mergeCell ref="F6327:G6327"/>
    <mergeCell ref="A6328:B6328"/>
    <mergeCell ref="F6328:G6328"/>
    <mergeCell ref="A6329:B6329"/>
    <mergeCell ref="F6329:G6329"/>
    <mergeCell ref="A6330:B6330"/>
    <mergeCell ref="F6330:G6330"/>
    <mergeCell ref="A6331:B6331"/>
    <mergeCell ref="F6331:G6331"/>
    <mergeCell ref="A6332:B6332"/>
    <mergeCell ref="F6332:G6332"/>
    <mergeCell ref="A6333:B6333"/>
    <mergeCell ref="F6333:G6333"/>
    <mergeCell ref="A6334:G6334"/>
    <mergeCell ref="A6335:H6335"/>
    <mergeCell ref="A6336:B6336"/>
    <mergeCell ref="F6336:G6336"/>
    <mergeCell ref="A6264:C6264"/>
    <mergeCell ref="A6265:G6265"/>
    <mergeCell ref="A6266:H6266"/>
    <mergeCell ref="A6267:B6267"/>
    <mergeCell ref="F6267:G6267"/>
    <mergeCell ref="A6268:B6268"/>
    <mergeCell ref="F6268:G6268"/>
    <mergeCell ref="A6269:B6269"/>
    <mergeCell ref="F6269:G6269"/>
    <mergeCell ref="B6309:E6309"/>
    <mergeCell ref="A6312:C6312"/>
    <mergeCell ref="A6313:C6313"/>
    <mergeCell ref="A6314:C6314"/>
    <mergeCell ref="A6315:C6315"/>
    <mergeCell ref="A6316:C6316"/>
    <mergeCell ref="A6317:G6317"/>
    <mergeCell ref="A6318:H6318"/>
    <mergeCell ref="A6319:B6319"/>
    <mergeCell ref="F6319:G6319"/>
    <mergeCell ref="A6320:B6320"/>
    <mergeCell ref="F6320:G6320"/>
    <mergeCell ref="A6321:B6321"/>
    <mergeCell ref="F6321:G6321"/>
    <mergeCell ref="A6282:G6282"/>
    <mergeCell ref="A6283:H6283"/>
    <mergeCell ref="A6284:B6284"/>
    <mergeCell ref="F6284:G6284"/>
    <mergeCell ref="A6285:B6285"/>
    <mergeCell ref="F6285:G6285"/>
    <mergeCell ref="A6275:B6275"/>
    <mergeCell ref="F6275:G6275"/>
    <mergeCell ref="A6276:B6276"/>
    <mergeCell ref="F6276:G6276"/>
    <mergeCell ref="A6277:B6277"/>
    <mergeCell ref="F6277:G6277"/>
    <mergeCell ref="A6278:B6278"/>
    <mergeCell ref="F6278:G6278"/>
    <mergeCell ref="A6279:B6279"/>
    <mergeCell ref="F6279:G6279"/>
    <mergeCell ref="A6322:B6322"/>
    <mergeCell ref="A6250:H6250"/>
    <mergeCell ref="A6252:A6255"/>
    <mergeCell ref="B6252:G6255"/>
    <mergeCell ref="H6252:H6254"/>
    <mergeCell ref="B6256:F6256"/>
    <mergeCell ref="B6257:E6257"/>
    <mergeCell ref="A6260:C6260"/>
    <mergeCell ref="A6261:C6261"/>
    <mergeCell ref="A6262:C6262"/>
    <mergeCell ref="A6237:B6237"/>
    <mergeCell ref="F6237:G6237"/>
    <mergeCell ref="A6238:B6238"/>
    <mergeCell ref="F6238:G6238"/>
    <mergeCell ref="A6239:B6239"/>
    <mergeCell ref="F6239:G6239"/>
    <mergeCell ref="A6240:G6240"/>
    <mergeCell ref="A6242:D6242"/>
    <mergeCell ref="F6247:G6247"/>
    <mergeCell ref="A6231:H6231"/>
    <mergeCell ref="A6232:B6232"/>
    <mergeCell ref="F6232:G6232"/>
    <mergeCell ref="A6233:B6233"/>
    <mergeCell ref="F6233:G6233"/>
    <mergeCell ref="A6234:G6234"/>
    <mergeCell ref="A6235:H6235"/>
    <mergeCell ref="A6236:B6236"/>
    <mergeCell ref="F6236:G6236"/>
    <mergeCell ref="A6226:B6226"/>
    <mergeCell ref="F6226:G6226"/>
    <mergeCell ref="A6227:B6227"/>
    <mergeCell ref="F6227:G6227"/>
    <mergeCell ref="A6228:B6228"/>
    <mergeCell ref="F6228:G6228"/>
    <mergeCell ref="A6229:B6229"/>
    <mergeCell ref="F6229:G6229"/>
    <mergeCell ref="A6230:G6230"/>
    <mergeCell ref="A6221:B6221"/>
    <mergeCell ref="F6221:G6221"/>
    <mergeCell ref="A6222:B6222"/>
    <mergeCell ref="F6222:G6222"/>
    <mergeCell ref="A6223:B6223"/>
    <mergeCell ref="F6223:G6223"/>
    <mergeCell ref="A6224:B6224"/>
    <mergeCell ref="F6224:G6224"/>
    <mergeCell ref="A6225:B6225"/>
    <mergeCell ref="F6225:G6225"/>
    <mergeCell ref="A6216:B6216"/>
    <mergeCell ref="F6216:G6216"/>
    <mergeCell ref="A6217:B6217"/>
    <mergeCell ref="F6217:G6217"/>
    <mergeCell ref="A6218:B6218"/>
    <mergeCell ref="F6218:G6218"/>
    <mergeCell ref="A6219:B6219"/>
    <mergeCell ref="F6219:G6219"/>
    <mergeCell ref="A6220:B6220"/>
    <mergeCell ref="F6220:G6220"/>
    <mergeCell ref="A6208:C6208"/>
    <mergeCell ref="A6209:C6209"/>
    <mergeCell ref="A6210:C6210"/>
    <mergeCell ref="A6211:C6211"/>
    <mergeCell ref="A6212:C6212"/>
    <mergeCell ref="A6213:G6213"/>
    <mergeCell ref="A6214:H6214"/>
    <mergeCell ref="A6215:B6215"/>
    <mergeCell ref="F6215:G6215"/>
    <mergeCell ref="A6188:G6188"/>
    <mergeCell ref="A6190:D6190"/>
    <mergeCell ref="F6195:G6195"/>
    <mergeCell ref="A6198:H6198"/>
    <mergeCell ref="A6200:A6203"/>
    <mergeCell ref="B6200:G6203"/>
    <mergeCell ref="H6200:H6202"/>
    <mergeCell ref="B6204:F6204"/>
    <mergeCell ref="B6205:E6205"/>
    <mergeCell ref="A6182:G6182"/>
    <mergeCell ref="A6183:H6183"/>
    <mergeCell ref="A6184:B6184"/>
    <mergeCell ref="F6184:G6184"/>
    <mergeCell ref="A6185:B6185"/>
    <mergeCell ref="F6185:G6185"/>
    <mergeCell ref="A6186:B6186"/>
    <mergeCell ref="F6186:G6186"/>
    <mergeCell ref="A6187:B6187"/>
    <mergeCell ref="F6187:G6187"/>
    <mergeCell ref="A6176:B6176"/>
    <mergeCell ref="F6176:G6176"/>
    <mergeCell ref="A6177:B6177"/>
    <mergeCell ref="F6177:G6177"/>
    <mergeCell ref="A6178:G6178"/>
    <mergeCell ref="A6179:H6179"/>
    <mergeCell ref="A6180:B6180"/>
    <mergeCell ref="F6180:G6180"/>
    <mergeCell ref="A6181:B6181"/>
    <mergeCell ref="F6181:G6181"/>
    <mergeCell ref="A6171:B6171"/>
    <mergeCell ref="F6171:G6171"/>
    <mergeCell ref="A6172:B6172"/>
    <mergeCell ref="F6172:G6172"/>
    <mergeCell ref="A6173:B6173"/>
    <mergeCell ref="F6173:G6173"/>
    <mergeCell ref="A6174:B6174"/>
    <mergeCell ref="F6174:G6174"/>
    <mergeCell ref="A6175:B6175"/>
    <mergeCell ref="F6175:G6175"/>
    <mergeCell ref="A6166:B6166"/>
    <mergeCell ref="F6166:G6166"/>
    <mergeCell ref="A6167:B6167"/>
    <mergeCell ref="F6167:G6167"/>
    <mergeCell ref="A6168:B6168"/>
    <mergeCell ref="F6168:G6168"/>
    <mergeCell ref="A6169:B6169"/>
    <mergeCell ref="F6169:G6169"/>
    <mergeCell ref="A6170:B6170"/>
    <mergeCell ref="F6170:G6170"/>
    <mergeCell ref="A6159:C6159"/>
    <mergeCell ref="A6160:C6160"/>
    <mergeCell ref="A6161:G6161"/>
    <mergeCell ref="A6162:H6162"/>
    <mergeCell ref="A6163:B6163"/>
    <mergeCell ref="F6163:G6163"/>
    <mergeCell ref="A6164:B6164"/>
    <mergeCell ref="F6164:G6164"/>
    <mergeCell ref="A6165:B6165"/>
    <mergeCell ref="F6165:G6165"/>
    <mergeCell ref="A6146:H6146"/>
    <mergeCell ref="A6148:A6151"/>
    <mergeCell ref="B6148:G6151"/>
    <mergeCell ref="H6148:H6150"/>
    <mergeCell ref="B6152:F6152"/>
    <mergeCell ref="B6153:E6153"/>
    <mergeCell ref="A6156:C6156"/>
    <mergeCell ref="A6157:C6157"/>
    <mergeCell ref="A6158:C6158"/>
    <mergeCell ref="A6133:B6133"/>
    <mergeCell ref="F6133:G6133"/>
    <mergeCell ref="A6134:B6134"/>
    <mergeCell ref="F6134:G6134"/>
    <mergeCell ref="A6135:B6135"/>
    <mergeCell ref="F6135:G6135"/>
    <mergeCell ref="A6136:G6136"/>
    <mergeCell ref="A6138:D6138"/>
    <mergeCell ref="F6143:G6143"/>
    <mergeCell ref="A6127:H6127"/>
    <mergeCell ref="A6128:B6128"/>
    <mergeCell ref="F6128:G6128"/>
    <mergeCell ref="A6129:B6129"/>
    <mergeCell ref="F6129:G6129"/>
    <mergeCell ref="A6130:G6130"/>
    <mergeCell ref="A6131:H6131"/>
    <mergeCell ref="A6132:B6132"/>
    <mergeCell ref="F6132:G6132"/>
    <mergeCell ref="A6122:B6122"/>
    <mergeCell ref="F6122:G6122"/>
    <mergeCell ref="A6123:B6123"/>
    <mergeCell ref="F6123:G6123"/>
    <mergeCell ref="A6124:B6124"/>
    <mergeCell ref="F6124:G6124"/>
    <mergeCell ref="A6125:B6125"/>
    <mergeCell ref="F6125:G6125"/>
    <mergeCell ref="A6126:G6126"/>
    <mergeCell ref="A6117:B6117"/>
    <mergeCell ref="F6117:G6117"/>
    <mergeCell ref="A6118:B6118"/>
    <mergeCell ref="F6118:G6118"/>
    <mergeCell ref="A6119:B6119"/>
    <mergeCell ref="F6119:G6119"/>
    <mergeCell ref="A6120:B6120"/>
    <mergeCell ref="F6120:G6120"/>
    <mergeCell ref="A6121:B6121"/>
    <mergeCell ref="F6121:G6121"/>
    <mergeCell ref="A6112:B6112"/>
    <mergeCell ref="F6112:G6112"/>
    <mergeCell ref="A6113:B6113"/>
    <mergeCell ref="F6113:G6113"/>
    <mergeCell ref="A6114:B6114"/>
    <mergeCell ref="F6114:G6114"/>
    <mergeCell ref="A6115:B6115"/>
    <mergeCell ref="F6115:G6115"/>
    <mergeCell ref="A6116:B6116"/>
    <mergeCell ref="F6116:G6116"/>
    <mergeCell ref="A6104:C6104"/>
    <mergeCell ref="A6105:C6105"/>
    <mergeCell ref="A6106:C6106"/>
    <mergeCell ref="A6107:C6107"/>
    <mergeCell ref="A6108:C6108"/>
    <mergeCell ref="A6109:G6109"/>
    <mergeCell ref="A6110:H6110"/>
    <mergeCell ref="A6111:B6111"/>
    <mergeCell ref="F6111:G6111"/>
    <mergeCell ref="A6084:G6084"/>
    <mergeCell ref="A6086:D6086"/>
    <mergeCell ref="F6091:G6091"/>
    <mergeCell ref="A6094:H6094"/>
    <mergeCell ref="A6096:A6099"/>
    <mergeCell ref="B6096:G6099"/>
    <mergeCell ref="H6096:H6098"/>
    <mergeCell ref="B6100:F6100"/>
    <mergeCell ref="B6101:E6101"/>
    <mergeCell ref="A6078:G6078"/>
    <mergeCell ref="A6079:H6079"/>
    <mergeCell ref="A6080:B6080"/>
    <mergeCell ref="F6080:G6080"/>
    <mergeCell ref="A6081:B6081"/>
    <mergeCell ref="F6081:G6081"/>
    <mergeCell ref="A6082:B6082"/>
    <mergeCell ref="F6082:G6082"/>
    <mergeCell ref="A6083:B6083"/>
    <mergeCell ref="F6083:G6083"/>
    <mergeCell ref="A6072:B6072"/>
    <mergeCell ref="F6072:G6072"/>
    <mergeCell ref="A6073:B6073"/>
    <mergeCell ref="F6073:G6073"/>
    <mergeCell ref="A6074:G6074"/>
    <mergeCell ref="A6075:H6075"/>
    <mergeCell ref="A6076:B6076"/>
    <mergeCell ref="F6076:G6076"/>
    <mergeCell ref="A6077:B6077"/>
    <mergeCell ref="F6077:G6077"/>
    <mergeCell ref="A6067:B6067"/>
    <mergeCell ref="F6067:G6067"/>
    <mergeCell ref="A6068:B6068"/>
    <mergeCell ref="F6068:G6068"/>
    <mergeCell ref="A6069:B6069"/>
    <mergeCell ref="F6069:G6069"/>
    <mergeCell ref="A6070:B6070"/>
    <mergeCell ref="F6070:G6070"/>
    <mergeCell ref="A6071:B6071"/>
    <mergeCell ref="F6071:G6071"/>
    <mergeCell ref="A6062:B6062"/>
    <mergeCell ref="F6062:G6062"/>
    <mergeCell ref="A6063:B6063"/>
    <mergeCell ref="F6063:G6063"/>
    <mergeCell ref="A6064:B6064"/>
    <mergeCell ref="F6064:G6064"/>
    <mergeCell ref="A6065:B6065"/>
    <mergeCell ref="F6065:G6065"/>
    <mergeCell ref="A6066:B6066"/>
    <mergeCell ref="F6066:G6066"/>
    <mergeCell ref="A6055:C6055"/>
    <mergeCell ref="A6056:C6056"/>
    <mergeCell ref="A6057:G6057"/>
    <mergeCell ref="A6058:H6058"/>
    <mergeCell ref="A6059:B6059"/>
    <mergeCell ref="F6059:G6059"/>
    <mergeCell ref="A6060:B6060"/>
    <mergeCell ref="F6060:G6060"/>
    <mergeCell ref="A6061:B6061"/>
    <mergeCell ref="F6061:G6061"/>
    <mergeCell ref="A6042:H6042"/>
    <mergeCell ref="A6044:A6047"/>
    <mergeCell ref="B6044:G6047"/>
    <mergeCell ref="H6044:H6046"/>
    <mergeCell ref="B6048:F6048"/>
    <mergeCell ref="B6049:E6049"/>
    <mergeCell ref="A6052:C6052"/>
    <mergeCell ref="A6053:C6053"/>
    <mergeCell ref="A6054:C6054"/>
    <mergeCell ref="A6029:B6029"/>
    <mergeCell ref="F6029:G6029"/>
    <mergeCell ref="A6030:B6030"/>
    <mergeCell ref="F6030:G6030"/>
    <mergeCell ref="A6031:B6031"/>
    <mergeCell ref="F6031:G6031"/>
    <mergeCell ref="A6032:G6032"/>
    <mergeCell ref="A6034:D6034"/>
    <mergeCell ref="F6039:G6039"/>
    <mergeCell ref="A6023:H6023"/>
    <mergeCell ref="A6024:B6024"/>
    <mergeCell ref="F6024:G6024"/>
    <mergeCell ref="A6025:B6025"/>
    <mergeCell ref="F6025:G6025"/>
    <mergeCell ref="A6026:G6026"/>
    <mergeCell ref="A6027:H6027"/>
    <mergeCell ref="A6028:B6028"/>
    <mergeCell ref="F6028:G6028"/>
    <mergeCell ref="A6018:B6018"/>
    <mergeCell ref="F6018:G6018"/>
    <mergeCell ref="A6019:B6019"/>
    <mergeCell ref="F6019:G6019"/>
    <mergeCell ref="A6020:B6020"/>
    <mergeCell ref="F6020:G6020"/>
    <mergeCell ref="A6021:B6021"/>
    <mergeCell ref="F6021:G6021"/>
    <mergeCell ref="A6022:G6022"/>
    <mergeCell ref="A6013:B6013"/>
    <mergeCell ref="F6013:G6013"/>
    <mergeCell ref="A6014:B6014"/>
    <mergeCell ref="F6014:G6014"/>
    <mergeCell ref="A6015:B6015"/>
    <mergeCell ref="F6015:G6015"/>
    <mergeCell ref="A6016:B6016"/>
    <mergeCell ref="F6016:G6016"/>
    <mergeCell ref="A6017:B6017"/>
    <mergeCell ref="F6017:G6017"/>
    <mergeCell ref="A6008:B6008"/>
    <mergeCell ref="F6008:G6008"/>
    <mergeCell ref="A6009:B6009"/>
    <mergeCell ref="F6009:G6009"/>
    <mergeCell ref="A6010:B6010"/>
    <mergeCell ref="F6010:G6010"/>
    <mergeCell ref="A6011:B6011"/>
    <mergeCell ref="F6011:G6011"/>
    <mergeCell ref="A6012:B6012"/>
    <mergeCell ref="F6012:G6012"/>
    <mergeCell ref="A6000:C6000"/>
    <mergeCell ref="A6001:C6001"/>
    <mergeCell ref="A6002:C6002"/>
    <mergeCell ref="A6003:C6003"/>
    <mergeCell ref="A6004:C6004"/>
    <mergeCell ref="A6005:G6005"/>
    <mergeCell ref="A6006:H6006"/>
    <mergeCell ref="A6007:B6007"/>
    <mergeCell ref="F6007:G6007"/>
    <mergeCell ref="A5982:D5982"/>
    <mergeCell ref="F5987:G5987"/>
    <mergeCell ref="A5990:H5990"/>
    <mergeCell ref="A5992:A5995"/>
    <mergeCell ref="B5992:G5995"/>
    <mergeCell ref="H5992:H5994"/>
    <mergeCell ref="B5996:F5996"/>
    <mergeCell ref="B5997:E5997"/>
    <mergeCell ref="A5974:G5974"/>
    <mergeCell ref="A5975:H5975"/>
    <mergeCell ref="A5976:B5976"/>
    <mergeCell ref="F5976:G5976"/>
    <mergeCell ref="A5977:B5977"/>
    <mergeCell ref="F5977:G5977"/>
    <mergeCell ref="A5978:B5978"/>
    <mergeCell ref="F5978:G5978"/>
    <mergeCell ref="A5979:B5979"/>
    <mergeCell ref="F5979:G5979"/>
    <mergeCell ref="A5970:G5970"/>
    <mergeCell ref="A5971:H5971"/>
    <mergeCell ref="A5972:B5972"/>
    <mergeCell ref="F5972:G5972"/>
    <mergeCell ref="A5973:B5973"/>
    <mergeCell ref="F5973:G5973"/>
    <mergeCell ref="A5963:B5963"/>
    <mergeCell ref="F5963:G5963"/>
    <mergeCell ref="A5964:B5964"/>
    <mergeCell ref="F5964:G5964"/>
    <mergeCell ref="A5965:B5965"/>
    <mergeCell ref="F5965:G5965"/>
    <mergeCell ref="A5966:B5966"/>
    <mergeCell ref="F5966:G5966"/>
    <mergeCell ref="A5967:B5967"/>
    <mergeCell ref="F5967:G5967"/>
    <mergeCell ref="A5980:G5980"/>
    <mergeCell ref="A5961:B5961"/>
    <mergeCell ref="F5961:G5961"/>
    <mergeCell ref="A5962:B5962"/>
    <mergeCell ref="F5962:G5962"/>
    <mergeCell ref="A5951:C5951"/>
    <mergeCell ref="A5952:C5952"/>
    <mergeCell ref="A5953:G5953"/>
    <mergeCell ref="A5954:H5954"/>
    <mergeCell ref="A5955:B5955"/>
    <mergeCell ref="F5955:G5955"/>
    <mergeCell ref="A5956:B5956"/>
    <mergeCell ref="F5956:G5956"/>
    <mergeCell ref="A5957:B5957"/>
    <mergeCell ref="F5957:G5957"/>
    <mergeCell ref="A5968:B5968"/>
    <mergeCell ref="F5968:G5968"/>
    <mergeCell ref="A5969:B5969"/>
    <mergeCell ref="F5969:G5969"/>
    <mergeCell ref="A5925:B5925"/>
    <mergeCell ref="F5925:G5925"/>
    <mergeCell ref="A5926:B5926"/>
    <mergeCell ref="F5926:G5926"/>
    <mergeCell ref="A5927:B5927"/>
    <mergeCell ref="F5927:G5927"/>
    <mergeCell ref="A5928:G5928"/>
    <mergeCell ref="A5930:D5930"/>
    <mergeCell ref="F5935:G5935"/>
    <mergeCell ref="A5924:B5924"/>
    <mergeCell ref="F5924:G5924"/>
    <mergeCell ref="A5958:B5958"/>
    <mergeCell ref="F5958:G5958"/>
    <mergeCell ref="A5959:B5959"/>
    <mergeCell ref="F5959:G5959"/>
    <mergeCell ref="A5960:B5960"/>
    <mergeCell ref="F5960:G5960"/>
    <mergeCell ref="A5909:B5909"/>
    <mergeCell ref="F5909:G5909"/>
    <mergeCell ref="A5910:B5910"/>
    <mergeCell ref="F5910:G5910"/>
    <mergeCell ref="A5911:B5911"/>
    <mergeCell ref="F5911:G5911"/>
    <mergeCell ref="A5912:B5912"/>
    <mergeCell ref="F5912:G5912"/>
    <mergeCell ref="A5913:B5913"/>
    <mergeCell ref="F5913:G5913"/>
    <mergeCell ref="A5904:B5904"/>
    <mergeCell ref="F5904:G5904"/>
    <mergeCell ref="A5905:B5905"/>
    <mergeCell ref="F5905:G5905"/>
    <mergeCell ref="A5906:B5906"/>
    <mergeCell ref="F5906:G5906"/>
    <mergeCell ref="A5907:B5907"/>
    <mergeCell ref="F5907:G5907"/>
    <mergeCell ref="A5908:B5908"/>
    <mergeCell ref="F5908:G5908"/>
    <mergeCell ref="F4625:G4625"/>
    <mergeCell ref="A4626:B4626"/>
    <mergeCell ref="F4626:G4626"/>
    <mergeCell ref="A4627:B4627"/>
    <mergeCell ref="F4627:G4627"/>
    <mergeCell ref="A4638:H4638"/>
    <mergeCell ref="A4639:B4639"/>
    <mergeCell ref="F4639:G4639"/>
    <mergeCell ref="A4640:B4640"/>
    <mergeCell ref="F4640:G4640"/>
    <mergeCell ref="A4641:G4641"/>
    <mergeCell ref="A4642:H4642"/>
    <mergeCell ref="A4643:B4643"/>
    <mergeCell ref="F4643:G4643"/>
    <mergeCell ref="A4633:B4633"/>
    <mergeCell ref="F4633:G4633"/>
    <mergeCell ref="A4634:B4634"/>
    <mergeCell ref="F4634:G4634"/>
    <mergeCell ref="A4635:B4635"/>
    <mergeCell ref="F4635:G4635"/>
    <mergeCell ref="A4636:B4636"/>
    <mergeCell ref="F4636:G4636"/>
    <mergeCell ref="A4637:G4637"/>
    <mergeCell ref="A4696:B4696"/>
    <mergeCell ref="F4696:G4696"/>
    <mergeCell ref="A4697:B4697"/>
    <mergeCell ref="F4697:G4697"/>
    <mergeCell ref="A4698:G4698"/>
    <mergeCell ref="A4700:D4700"/>
    <mergeCell ref="F4705:G4705"/>
    <mergeCell ref="A4708:H4708"/>
    <mergeCell ref="A4710:A4713"/>
    <mergeCell ref="B4710:G4713"/>
    <mergeCell ref="H4710:H4712"/>
    <mergeCell ref="B4714:F4714"/>
    <mergeCell ref="B4715:E4715"/>
    <mergeCell ref="B4612:F4612"/>
    <mergeCell ref="B4613:E4613"/>
    <mergeCell ref="A4616:C4616"/>
    <mergeCell ref="A4617:C4617"/>
    <mergeCell ref="A4618:C4618"/>
    <mergeCell ref="A4619:C4619"/>
    <mergeCell ref="A4620:G4620"/>
    <mergeCell ref="A4621:H4621"/>
    <mergeCell ref="A4622:B4622"/>
    <mergeCell ref="F4622:G4622"/>
    <mergeCell ref="A4606:H4606"/>
    <mergeCell ref="A4608:A4611"/>
    <mergeCell ref="B4608:G4611"/>
    <mergeCell ref="H4608:H4610"/>
    <mergeCell ref="A5886:H5886"/>
    <mergeCell ref="A5888:A5891"/>
    <mergeCell ref="B5888:G5891"/>
    <mergeCell ref="H5888:H5890"/>
    <mergeCell ref="A4628:B4628"/>
    <mergeCell ref="F4628:G4628"/>
    <mergeCell ref="A4629:B4629"/>
    <mergeCell ref="F4629:G4629"/>
    <mergeCell ref="A4630:B4630"/>
    <mergeCell ref="F4630:G4630"/>
    <mergeCell ref="A4631:B4631"/>
    <mergeCell ref="F4631:G4631"/>
    <mergeCell ref="A4632:B4632"/>
    <mergeCell ref="F4632:G4632"/>
    <mergeCell ref="A4623:B4623"/>
    <mergeCell ref="F4623:G4623"/>
    <mergeCell ref="A4624:B4624"/>
    <mergeCell ref="F4624:G4624"/>
    <mergeCell ref="A4677:B4677"/>
    <mergeCell ref="F4677:G4677"/>
    <mergeCell ref="A4678:B4678"/>
    <mergeCell ref="F4678:G4678"/>
    <mergeCell ref="A4679:B4679"/>
    <mergeCell ref="F4679:G4679"/>
    <mergeCell ref="A4680:B4680"/>
    <mergeCell ref="F4680:G4680"/>
    <mergeCell ref="A4681:B4681"/>
    <mergeCell ref="F4681:G4681"/>
    <mergeCell ref="A4682:B4682"/>
    <mergeCell ref="F4682:G4682"/>
    <mergeCell ref="A4683:B4683"/>
    <mergeCell ref="F4683:G4683"/>
    <mergeCell ref="A4685:B4685"/>
    <mergeCell ref="F4685:G4685"/>
    <mergeCell ref="A4686:B4686"/>
    <mergeCell ref="F4686:G4686"/>
    <mergeCell ref="A4687:B4687"/>
    <mergeCell ref="F4687:G4687"/>
    <mergeCell ref="A4688:G4688"/>
    <mergeCell ref="A4689:H4689"/>
    <mergeCell ref="A4690:B4690"/>
    <mergeCell ref="F4690:G4690"/>
    <mergeCell ref="A4691:B4691"/>
    <mergeCell ref="F4691:G4691"/>
    <mergeCell ref="A4692:G4692"/>
    <mergeCell ref="A4693:H4693"/>
    <mergeCell ref="A4694:B4694"/>
    <mergeCell ref="F4694:G4694"/>
    <mergeCell ref="A4695:B4695"/>
    <mergeCell ref="F4695:G4695"/>
    <mergeCell ref="A4595:G4595"/>
    <mergeCell ref="A4597:D4597"/>
    <mergeCell ref="F4602:G4602"/>
    <mergeCell ref="A4589:G4589"/>
    <mergeCell ref="A4590:H4590"/>
    <mergeCell ref="A4591:B4591"/>
    <mergeCell ref="F4591:G4591"/>
    <mergeCell ref="A4592:B4592"/>
    <mergeCell ref="F4592:G4592"/>
    <mergeCell ref="A4593:B4593"/>
    <mergeCell ref="F4593:G4593"/>
    <mergeCell ref="A4594:B4594"/>
    <mergeCell ref="F4594:G4594"/>
    <mergeCell ref="A4583:B4583"/>
    <mergeCell ref="F4583:G4583"/>
    <mergeCell ref="A4584:B4584"/>
    <mergeCell ref="F4584:G4584"/>
    <mergeCell ref="A4585:G4585"/>
    <mergeCell ref="A4586:H4586"/>
    <mergeCell ref="A4587:B4587"/>
    <mergeCell ref="F4587:G4587"/>
    <mergeCell ref="A4588:B4588"/>
    <mergeCell ref="F4588:G4588"/>
    <mergeCell ref="A4578:B4578"/>
    <mergeCell ref="F4578:G4578"/>
    <mergeCell ref="A4579:B4579"/>
    <mergeCell ref="F4579:G4579"/>
    <mergeCell ref="A4580:B4580"/>
    <mergeCell ref="F4580:G4580"/>
    <mergeCell ref="A4581:B4581"/>
    <mergeCell ref="F4581:G4581"/>
    <mergeCell ref="A4582:B4582"/>
    <mergeCell ref="F4582:G4582"/>
    <mergeCell ref="A4526:B4526"/>
    <mergeCell ref="F4526:G4526"/>
    <mergeCell ref="A4527:B4527"/>
    <mergeCell ref="F4527:G4527"/>
    <mergeCell ref="A4528:B4528"/>
    <mergeCell ref="F4528:G4528"/>
    <mergeCell ref="A4529:B4529"/>
    <mergeCell ref="F4529:G4529"/>
    <mergeCell ref="A4520:B4520"/>
    <mergeCell ref="F4520:G4520"/>
    <mergeCell ref="A4521:B4521"/>
    <mergeCell ref="F4521:G4521"/>
    <mergeCell ref="A4522:B4522"/>
    <mergeCell ref="F4522:G4522"/>
    <mergeCell ref="A4523:B4523"/>
    <mergeCell ref="F4523:G4523"/>
    <mergeCell ref="A4524:B4524"/>
    <mergeCell ref="F4524:G4524"/>
    <mergeCell ref="A4573:B4573"/>
    <mergeCell ref="F4573:G4573"/>
    <mergeCell ref="A4574:B4574"/>
    <mergeCell ref="F4574:G4574"/>
    <mergeCell ref="A4575:B4575"/>
    <mergeCell ref="F4575:G4575"/>
    <mergeCell ref="A4576:B4576"/>
    <mergeCell ref="F4576:G4576"/>
    <mergeCell ref="A4577:B4577"/>
    <mergeCell ref="F4577:G4577"/>
    <mergeCell ref="A4567:C4567"/>
    <mergeCell ref="A4568:G4568"/>
    <mergeCell ref="A4569:H4569"/>
    <mergeCell ref="A4570:B4570"/>
    <mergeCell ref="F4570:G4570"/>
    <mergeCell ref="A4571:B4571"/>
    <mergeCell ref="F4571:G4571"/>
    <mergeCell ref="A4572:B4572"/>
    <mergeCell ref="F4572:G4572"/>
    <mergeCell ref="A4554:H4554"/>
    <mergeCell ref="A4556:A4559"/>
    <mergeCell ref="B4556:G4559"/>
    <mergeCell ref="H4556:H4558"/>
    <mergeCell ref="B4560:F4560"/>
    <mergeCell ref="B4561:E4561"/>
    <mergeCell ref="A4564:C4564"/>
    <mergeCell ref="A4565:C4565"/>
    <mergeCell ref="A4566:C4566"/>
    <mergeCell ref="A4541:B4541"/>
    <mergeCell ref="F4541:G4541"/>
    <mergeCell ref="A4542:B4542"/>
    <mergeCell ref="F4542:G4542"/>
    <mergeCell ref="A4543:B4543"/>
    <mergeCell ref="F4543:G4543"/>
    <mergeCell ref="A4544:G4544"/>
    <mergeCell ref="A4546:D4546"/>
    <mergeCell ref="F4551:G4551"/>
    <mergeCell ref="A811:B811"/>
    <mergeCell ref="F811:G811"/>
    <mergeCell ref="A812:G812"/>
    <mergeCell ref="A814:D814"/>
    <mergeCell ref="F819:G819"/>
    <mergeCell ref="A4503:H4503"/>
    <mergeCell ref="A4505:A4508"/>
    <mergeCell ref="B4505:G4508"/>
    <mergeCell ref="H4505:H4507"/>
    <mergeCell ref="A805:B805"/>
    <mergeCell ref="F805:G805"/>
    <mergeCell ref="A806:G806"/>
    <mergeCell ref="A807:H807"/>
    <mergeCell ref="A808:B808"/>
    <mergeCell ref="F808:G808"/>
    <mergeCell ref="A809:B809"/>
    <mergeCell ref="F809:G809"/>
    <mergeCell ref="A810:B810"/>
    <mergeCell ref="F810:G810"/>
    <mergeCell ref="F4430:G4430"/>
    <mergeCell ref="A4431:B4431"/>
    <mergeCell ref="F4431:G4431"/>
    <mergeCell ref="A4432:G4432"/>
    <mergeCell ref="A4433:H4433"/>
    <mergeCell ref="A4434:B4434"/>
    <mergeCell ref="F4434:G4434"/>
    <mergeCell ref="A4435:B4435"/>
    <mergeCell ref="F4435:G4435"/>
    <mergeCell ref="A4436:G4436"/>
    <mergeCell ref="A4437:H4437"/>
    <mergeCell ref="A4438:B4438"/>
    <mergeCell ref="A4419:B4419"/>
    <mergeCell ref="A4386:H4386"/>
    <mergeCell ref="A4387:B4387"/>
    <mergeCell ref="F4387:G4387"/>
    <mergeCell ref="A4388:B4388"/>
    <mergeCell ref="F4370:G4370"/>
    <mergeCell ref="A4373:B4373"/>
    <mergeCell ref="F4373:G4373"/>
    <mergeCell ref="A4372:B4372"/>
    <mergeCell ref="F4372:G4372"/>
    <mergeCell ref="A4375:B4375"/>
    <mergeCell ref="F4375:G4375"/>
    <mergeCell ref="A4376:B4376"/>
    <mergeCell ref="F4376:G4376"/>
    <mergeCell ref="A4442:G4442"/>
    <mergeCell ref="A4444:D4444"/>
    <mergeCell ref="F4449:G4449"/>
    <mergeCell ref="A4452:H4452"/>
    <mergeCell ref="A4454:A4457"/>
    <mergeCell ref="B4454:G4457"/>
    <mergeCell ref="A4422:B4422"/>
    <mergeCell ref="F4422:G4422"/>
    <mergeCell ref="A4371:B4371"/>
    <mergeCell ref="A823:H823"/>
    <mergeCell ref="A825:A828"/>
    <mergeCell ref="B825:G828"/>
    <mergeCell ref="H825:H827"/>
    <mergeCell ref="B829:F829"/>
    <mergeCell ref="B830:E830"/>
    <mergeCell ref="A833:C833"/>
    <mergeCell ref="A834:C834"/>
    <mergeCell ref="A835:C835"/>
    <mergeCell ref="A836:C836"/>
    <mergeCell ref="A799:B799"/>
    <mergeCell ref="F799:G799"/>
    <mergeCell ref="A800:B800"/>
    <mergeCell ref="F800:G800"/>
    <mergeCell ref="A801:B801"/>
    <mergeCell ref="F801:G801"/>
    <mergeCell ref="A802:G802"/>
    <mergeCell ref="A803:H803"/>
    <mergeCell ref="A804:B804"/>
    <mergeCell ref="F804:G804"/>
    <mergeCell ref="A794:B794"/>
    <mergeCell ref="F794:G794"/>
    <mergeCell ref="A795:B795"/>
    <mergeCell ref="F795:G795"/>
    <mergeCell ref="A796:B796"/>
    <mergeCell ref="F796:G796"/>
    <mergeCell ref="A797:B797"/>
    <mergeCell ref="F797:G797"/>
    <mergeCell ref="A798:B798"/>
    <mergeCell ref="F798:G798"/>
    <mergeCell ref="A789:B789"/>
    <mergeCell ref="F789:G789"/>
    <mergeCell ref="A790:B790"/>
    <mergeCell ref="F790:G790"/>
    <mergeCell ref="A791:B791"/>
    <mergeCell ref="F791:G791"/>
    <mergeCell ref="A792:B792"/>
    <mergeCell ref="F792:G792"/>
    <mergeCell ref="A793:B793"/>
    <mergeCell ref="F793:G793"/>
    <mergeCell ref="A781:C781"/>
    <mergeCell ref="A782:C782"/>
    <mergeCell ref="A783:C783"/>
    <mergeCell ref="A784:C784"/>
    <mergeCell ref="A785:G785"/>
    <mergeCell ref="A786:H786"/>
    <mergeCell ref="A787:B787"/>
    <mergeCell ref="F787:G787"/>
    <mergeCell ref="A788:B788"/>
    <mergeCell ref="F788:G788"/>
    <mergeCell ref="A761:G761"/>
    <mergeCell ref="A763:D763"/>
    <mergeCell ref="F768:G768"/>
    <mergeCell ref="A771:H771"/>
    <mergeCell ref="A773:A776"/>
    <mergeCell ref="B773:G776"/>
    <mergeCell ref="H773:H775"/>
    <mergeCell ref="B777:F777"/>
    <mergeCell ref="B778:E778"/>
    <mergeCell ref="A755:G755"/>
    <mergeCell ref="A756:H756"/>
    <mergeCell ref="A757:B757"/>
    <mergeCell ref="F757:G757"/>
    <mergeCell ref="A758:B758"/>
    <mergeCell ref="F758:G758"/>
    <mergeCell ref="A759:B759"/>
    <mergeCell ref="F759:G759"/>
    <mergeCell ref="A760:B760"/>
    <mergeCell ref="F760:G760"/>
    <mergeCell ref="A749:B749"/>
    <mergeCell ref="F749:G749"/>
    <mergeCell ref="A750:B750"/>
    <mergeCell ref="F750:G750"/>
    <mergeCell ref="A751:G751"/>
    <mergeCell ref="A752:H752"/>
    <mergeCell ref="A753:B753"/>
    <mergeCell ref="F753:G753"/>
    <mergeCell ref="A754:B754"/>
    <mergeCell ref="F754:G754"/>
    <mergeCell ref="A744:B744"/>
    <mergeCell ref="F744:G744"/>
    <mergeCell ref="A745:B745"/>
    <mergeCell ref="F745:G745"/>
    <mergeCell ref="A746:B746"/>
    <mergeCell ref="F746:G746"/>
    <mergeCell ref="A747:B747"/>
    <mergeCell ref="F747:G747"/>
    <mergeCell ref="A748:B748"/>
    <mergeCell ref="F748:G748"/>
    <mergeCell ref="A739:B739"/>
    <mergeCell ref="F739:G739"/>
    <mergeCell ref="A740:B740"/>
    <mergeCell ref="F740:G740"/>
    <mergeCell ref="A741:B741"/>
    <mergeCell ref="F741:G741"/>
    <mergeCell ref="A742:B742"/>
    <mergeCell ref="F742:G742"/>
    <mergeCell ref="A743:B743"/>
    <mergeCell ref="F743:G743"/>
    <mergeCell ref="A733:C733"/>
    <mergeCell ref="A734:G734"/>
    <mergeCell ref="A735:H735"/>
    <mergeCell ref="A736:B736"/>
    <mergeCell ref="F736:G736"/>
    <mergeCell ref="A737:B737"/>
    <mergeCell ref="F737:G737"/>
    <mergeCell ref="A738:B738"/>
    <mergeCell ref="F738:G738"/>
    <mergeCell ref="A720:H720"/>
    <mergeCell ref="A722:A725"/>
    <mergeCell ref="B722:G725"/>
    <mergeCell ref="H722:H724"/>
    <mergeCell ref="B726:F726"/>
    <mergeCell ref="B727:E727"/>
    <mergeCell ref="A730:C730"/>
    <mergeCell ref="A731:C731"/>
    <mergeCell ref="A732:C732"/>
    <mergeCell ref="A707:B707"/>
    <mergeCell ref="F707:G707"/>
    <mergeCell ref="A708:B708"/>
    <mergeCell ref="F708:G708"/>
    <mergeCell ref="A709:B709"/>
    <mergeCell ref="F709:G709"/>
    <mergeCell ref="A710:G710"/>
    <mergeCell ref="A712:D712"/>
    <mergeCell ref="F717:G717"/>
    <mergeCell ref="A701:H701"/>
    <mergeCell ref="A702:B702"/>
    <mergeCell ref="F702:G702"/>
    <mergeCell ref="A703:B703"/>
    <mergeCell ref="F703:G703"/>
    <mergeCell ref="A704:G704"/>
    <mergeCell ref="A705:H705"/>
    <mergeCell ref="A706:B706"/>
    <mergeCell ref="F706:G706"/>
    <mergeCell ref="A696:B696"/>
    <mergeCell ref="F696:G696"/>
    <mergeCell ref="A697:B697"/>
    <mergeCell ref="F697:G697"/>
    <mergeCell ref="A698:B698"/>
    <mergeCell ref="F698:G698"/>
    <mergeCell ref="A699:B699"/>
    <mergeCell ref="F699:G699"/>
    <mergeCell ref="A700:G700"/>
    <mergeCell ref="A691:B691"/>
    <mergeCell ref="F691:G691"/>
    <mergeCell ref="A692:B692"/>
    <mergeCell ref="F692:G692"/>
    <mergeCell ref="A693:B693"/>
    <mergeCell ref="F693:G693"/>
    <mergeCell ref="A694:B694"/>
    <mergeCell ref="F694:G694"/>
    <mergeCell ref="A695:B695"/>
    <mergeCell ref="F695:G695"/>
    <mergeCell ref="A686:B686"/>
    <mergeCell ref="F686:G686"/>
    <mergeCell ref="A687:B687"/>
    <mergeCell ref="F687:G687"/>
    <mergeCell ref="A688:B688"/>
    <mergeCell ref="F688:G688"/>
    <mergeCell ref="A689:B689"/>
    <mergeCell ref="F689:G689"/>
    <mergeCell ref="A690:B690"/>
    <mergeCell ref="F690:G690"/>
    <mergeCell ref="B675:F675"/>
    <mergeCell ref="B676:E676"/>
    <mergeCell ref="A679:C679"/>
    <mergeCell ref="A680:C680"/>
    <mergeCell ref="A681:C681"/>
    <mergeCell ref="A682:C682"/>
    <mergeCell ref="A683:G683"/>
    <mergeCell ref="A684:H684"/>
    <mergeCell ref="A685:B685"/>
    <mergeCell ref="F685:G685"/>
    <mergeCell ref="A658:B658"/>
    <mergeCell ref="F658:G658"/>
    <mergeCell ref="A659:G659"/>
    <mergeCell ref="A661:D661"/>
    <mergeCell ref="F666:G666"/>
    <mergeCell ref="A669:H669"/>
    <mergeCell ref="A671:A674"/>
    <mergeCell ref="B671:G674"/>
    <mergeCell ref="H671:H673"/>
    <mergeCell ref="A652:B652"/>
    <mergeCell ref="F652:G652"/>
    <mergeCell ref="A653:G653"/>
    <mergeCell ref="A654:H654"/>
    <mergeCell ref="A655:B655"/>
    <mergeCell ref="F655:G655"/>
    <mergeCell ref="A656:B656"/>
    <mergeCell ref="F656:G656"/>
    <mergeCell ref="A657:B657"/>
    <mergeCell ref="F657:G657"/>
    <mergeCell ref="A646:B646"/>
    <mergeCell ref="F646:G646"/>
    <mergeCell ref="A647:B647"/>
    <mergeCell ref="F647:G647"/>
    <mergeCell ref="A648:B648"/>
    <mergeCell ref="F648:G648"/>
    <mergeCell ref="A649:G649"/>
    <mergeCell ref="A650:H650"/>
    <mergeCell ref="A651:B651"/>
    <mergeCell ref="F651:G651"/>
    <mergeCell ref="A641:B641"/>
    <mergeCell ref="F641:G641"/>
    <mergeCell ref="A642:B642"/>
    <mergeCell ref="F642:G642"/>
    <mergeCell ref="A643:B643"/>
    <mergeCell ref="F643:G643"/>
    <mergeCell ref="A644:B644"/>
    <mergeCell ref="F644:G644"/>
    <mergeCell ref="A645:B645"/>
    <mergeCell ref="F645:G645"/>
    <mergeCell ref="A636:B636"/>
    <mergeCell ref="F636:G636"/>
    <mergeCell ref="A637:B637"/>
    <mergeCell ref="F637:G637"/>
    <mergeCell ref="A638:B638"/>
    <mergeCell ref="F638:G638"/>
    <mergeCell ref="A639:B639"/>
    <mergeCell ref="F639:G639"/>
    <mergeCell ref="A640:B640"/>
    <mergeCell ref="F640:G640"/>
    <mergeCell ref="A628:C628"/>
    <mergeCell ref="A629:C629"/>
    <mergeCell ref="A630:C630"/>
    <mergeCell ref="A631:C631"/>
    <mergeCell ref="A632:G632"/>
    <mergeCell ref="A633:H633"/>
    <mergeCell ref="A634:B634"/>
    <mergeCell ref="F634:G634"/>
    <mergeCell ref="A635:B635"/>
    <mergeCell ref="F635:G635"/>
    <mergeCell ref="A608:G608"/>
    <mergeCell ref="A610:D610"/>
    <mergeCell ref="F615:G615"/>
    <mergeCell ref="A618:H618"/>
    <mergeCell ref="A620:A623"/>
    <mergeCell ref="B620:G623"/>
    <mergeCell ref="H620:H622"/>
    <mergeCell ref="B624:F624"/>
    <mergeCell ref="B625:E625"/>
    <mergeCell ref="A603:H603"/>
    <mergeCell ref="A604:B604"/>
    <mergeCell ref="F604:G604"/>
    <mergeCell ref="A605:B605"/>
    <mergeCell ref="F605:G605"/>
    <mergeCell ref="A606:B606"/>
    <mergeCell ref="F606:G606"/>
    <mergeCell ref="A607:B607"/>
    <mergeCell ref="F607:G607"/>
    <mergeCell ref="A596:B596"/>
    <mergeCell ref="F596:G596"/>
    <mergeCell ref="A597:B597"/>
    <mergeCell ref="F597:G597"/>
    <mergeCell ref="A598:G598"/>
    <mergeCell ref="A599:H599"/>
    <mergeCell ref="A600:B600"/>
    <mergeCell ref="F600:G600"/>
    <mergeCell ref="A601:B601"/>
    <mergeCell ref="F601:G601"/>
    <mergeCell ref="A593:B593"/>
    <mergeCell ref="F593:G593"/>
    <mergeCell ref="A594:B594"/>
    <mergeCell ref="F594:G594"/>
    <mergeCell ref="A595:B595"/>
    <mergeCell ref="F595:G595"/>
    <mergeCell ref="A586:B586"/>
    <mergeCell ref="F586:G586"/>
    <mergeCell ref="A587:B587"/>
    <mergeCell ref="F587:G587"/>
    <mergeCell ref="A588:B588"/>
    <mergeCell ref="F588:G588"/>
    <mergeCell ref="A589:B589"/>
    <mergeCell ref="F589:G589"/>
    <mergeCell ref="A590:B590"/>
    <mergeCell ref="F590:G590"/>
    <mergeCell ref="A602:G602"/>
    <mergeCell ref="F583:G583"/>
    <mergeCell ref="A584:B584"/>
    <mergeCell ref="F584:G584"/>
    <mergeCell ref="A585:B585"/>
    <mergeCell ref="F585:G585"/>
    <mergeCell ref="A567:H567"/>
    <mergeCell ref="A569:A572"/>
    <mergeCell ref="B569:G572"/>
    <mergeCell ref="H569:H571"/>
    <mergeCell ref="B573:F573"/>
    <mergeCell ref="B574:E574"/>
    <mergeCell ref="A577:C577"/>
    <mergeCell ref="A578:C578"/>
    <mergeCell ref="A579:C579"/>
    <mergeCell ref="A591:B591"/>
    <mergeCell ref="F591:G591"/>
    <mergeCell ref="A592:B592"/>
    <mergeCell ref="F592:G592"/>
    <mergeCell ref="A4478:B4478"/>
    <mergeCell ref="F4478:G4478"/>
    <mergeCell ref="A4479:B4479"/>
    <mergeCell ref="F4479:G4479"/>
    <mergeCell ref="A4480:B4480"/>
    <mergeCell ref="F4480:G4480"/>
    <mergeCell ref="A516:H516"/>
    <mergeCell ref="A518:A521"/>
    <mergeCell ref="B518:G521"/>
    <mergeCell ref="H518:H520"/>
    <mergeCell ref="B522:F522"/>
    <mergeCell ref="B523:E523"/>
    <mergeCell ref="A526:C526"/>
    <mergeCell ref="A527:C527"/>
    <mergeCell ref="A528:C528"/>
    <mergeCell ref="A529:C529"/>
    <mergeCell ref="A530:G530"/>
    <mergeCell ref="A531:H531"/>
    <mergeCell ref="A532:B532"/>
    <mergeCell ref="F532:G532"/>
    <mergeCell ref="A533:B533"/>
    <mergeCell ref="F533:G533"/>
    <mergeCell ref="A554:B554"/>
    <mergeCell ref="F554:G554"/>
    <mergeCell ref="A555:B555"/>
    <mergeCell ref="F555:G555"/>
    <mergeCell ref="A556:B556"/>
    <mergeCell ref="F556:G556"/>
    <mergeCell ref="A557:G557"/>
    <mergeCell ref="A559:D559"/>
    <mergeCell ref="F564:G564"/>
    <mergeCell ref="A547:G547"/>
    <mergeCell ref="F4469:G4469"/>
    <mergeCell ref="A4474:B4474"/>
    <mergeCell ref="F4474:G4474"/>
    <mergeCell ref="F4438:G4438"/>
    <mergeCell ref="A4428:B4428"/>
    <mergeCell ref="F4428:G4428"/>
    <mergeCell ref="A4429:B4429"/>
    <mergeCell ref="F4429:G4429"/>
    <mergeCell ref="A4430:B4430"/>
    <mergeCell ref="A542:B542"/>
    <mergeCell ref="F542:G542"/>
    <mergeCell ref="A543:B543"/>
    <mergeCell ref="F543:G543"/>
    <mergeCell ref="A544:B544"/>
    <mergeCell ref="F544:G544"/>
    <mergeCell ref="A545:B545"/>
    <mergeCell ref="F545:G545"/>
    <mergeCell ref="A546:B546"/>
    <mergeCell ref="F546:G546"/>
    <mergeCell ref="A548:H548"/>
    <mergeCell ref="A549:B549"/>
    <mergeCell ref="F549:G549"/>
    <mergeCell ref="A550:B550"/>
    <mergeCell ref="F550:G550"/>
    <mergeCell ref="A551:G551"/>
    <mergeCell ref="A552:H552"/>
    <mergeCell ref="A553:B553"/>
    <mergeCell ref="F553:G553"/>
    <mergeCell ref="A580:C580"/>
    <mergeCell ref="A581:G581"/>
    <mergeCell ref="A582:H582"/>
    <mergeCell ref="A583:B583"/>
    <mergeCell ref="A4389:B4389"/>
    <mergeCell ref="F4389:G4389"/>
    <mergeCell ref="A4390:B4390"/>
    <mergeCell ref="F4390:G4390"/>
    <mergeCell ref="A4391:G4391"/>
    <mergeCell ref="A4417:B4417"/>
    <mergeCell ref="F4417:G4417"/>
    <mergeCell ref="A4418:B4418"/>
    <mergeCell ref="F4418:G4418"/>
    <mergeCell ref="A534:B534"/>
    <mergeCell ref="F534:G534"/>
    <mergeCell ref="A4477:B4477"/>
    <mergeCell ref="F4477:G4477"/>
    <mergeCell ref="A4470:B4470"/>
    <mergeCell ref="F4470:G4470"/>
    <mergeCell ref="A4473:B4473"/>
    <mergeCell ref="F4473:G4473"/>
    <mergeCell ref="A4471:B4471"/>
    <mergeCell ref="F4471:G4471"/>
    <mergeCell ref="A4472:B4472"/>
    <mergeCell ref="F4472:G4472"/>
    <mergeCell ref="A4475:B4475"/>
    <mergeCell ref="F4475:G4475"/>
    <mergeCell ref="A4476:B4476"/>
    <mergeCell ref="F4476:G4476"/>
    <mergeCell ref="A4439:B4439"/>
    <mergeCell ref="F4439:G4439"/>
    <mergeCell ref="A4440:B4440"/>
    <mergeCell ref="F4440:G4440"/>
    <mergeCell ref="A4468:B4468"/>
    <mergeCell ref="F4468:G4468"/>
    <mergeCell ref="A4469:B4469"/>
    <mergeCell ref="A4381:G4381"/>
    <mergeCell ref="F4388:G4388"/>
    <mergeCell ref="A4378:B4378"/>
    <mergeCell ref="F4378:G4378"/>
    <mergeCell ref="A4379:B4379"/>
    <mergeCell ref="F4379:G4379"/>
    <mergeCell ref="A4380:B4380"/>
    <mergeCell ref="F4380:G4380"/>
    <mergeCell ref="A4382:H4382"/>
    <mergeCell ref="A4383:B4383"/>
    <mergeCell ref="F4383:G4383"/>
    <mergeCell ref="A4384:B4384"/>
    <mergeCell ref="F4384:G4384"/>
    <mergeCell ref="A4385:G4385"/>
    <mergeCell ref="A504:B504"/>
    <mergeCell ref="F504:G504"/>
    <mergeCell ref="A4367:B4367"/>
    <mergeCell ref="F4367:G4367"/>
    <mergeCell ref="A4368:B4368"/>
    <mergeCell ref="F4368:G4368"/>
    <mergeCell ref="A4369:B4369"/>
    <mergeCell ref="F4369:G4369"/>
    <mergeCell ref="A4366:B4366"/>
    <mergeCell ref="F4366:G4366"/>
    <mergeCell ref="A535:B535"/>
    <mergeCell ref="F535:G535"/>
    <mergeCell ref="A536:B536"/>
    <mergeCell ref="F536:G536"/>
    <mergeCell ref="A537:B537"/>
    <mergeCell ref="F537:G537"/>
    <mergeCell ref="A538:B538"/>
    <mergeCell ref="F538:G538"/>
    <mergeCell ref="A539:B539"/>
    <mergeCell ref="F539:G539"/>
    <mergeCell ref="A540:B540"/>
    <mergeCell ref="F540:G540"/>
    <mergeCell ref="A541:B541"/>
    <mergeCell ref="F541:G541"/>
    <mergeCell ref="F503:G503"/>
    <mergeCell ref="A493:B493"/>
    <mergeCell ref="F493:G493"/>
    <mergeCell ref="A494:B494"/>
    <mergeCell ref="F494:G494"/>
    <mergeCell ref="A495:G495"/>
    <mergeCell ref="A496:H496"/>
    <mergeCell ref="A497:B497"/>
    <mergeCell ref="F497:G497"/>
    <mergeCell ref="A498:B498"/>
    <mergeCell ref="F498:G498"/>
    <mergeCell ref="A499:G499"/>
    <mergeCell ref="A500:H500"/>
    <mergeCell ref="A501:B501"/>
    <mergeCell ref="F501:G501"/>
    <mergeCell ref="A502:B502"/>
    <mergeCell ref="F502:G502"/>
    <mergeCell ref="A503:B503"/>
    <mergeCell ref="A505:G505"/>
    <mergeCell ref="A507:D507"/>
    <mergeCell ref="F512:G512"/>
    <mergeCell ref="A4350:H4350"/>
    <mergeCell ref="A4352:A4355"/>
    <mergeCell ref="B4352:G4355"/>
    <mergeCell ref="H4352:H4354"/>
    <mergeCell ref="B4356:F4356"/>
    <mergeCell ref="B4357:E4357"/>
    <mergeCell ref="A4360:C4360"/>
    <mergeCell ref="A4361:C4361"/>
    <mergeCell ref="A4362:C4362"/>
    <mergeCell ref="A4363:C4363"/>
    <mergeCell ref="A4364:G4364"/>
    <mergeCell ref="A4365:H4365"/>
    <mergeCell ref="A1840:D1840"/>
    <mergeCell ref="F1845:G1845"/>
    <mergeCell ref="A1848:H1848"/>
    <mergeCell ref="A1850:A1853"/>
    <mergeCell ref="B1850:G1853"/>
    <mergeCell ref="H1850:H1852"/>
    <mergeCell ref="B1854:F1854"/>
    <mergeCell ref="A489:B489"/>
    <mergeCell ref="F489:G489"/>
    <mergeCell ref="A492:B492"/>
    <mergeCell ref="F492:G492"/>
    <mergeCell ref="A485:B485"/>
    <mergeCell ref="F485:G485"/>
    <mergeCell ref="A488:B488"/>
    <mergeCell ref="F488:G488"/>
    <mergeCell ref="A487:B487"/>
    <mergeCell ref="F487:G487"/>
    <mergeCell ref="A490:B490"/>
    <mergeCell ref="F490:G490"/>
    <mergeCell ref="A491:B491"/>
    <mergeCell ref="F491:G491"/>
    <mergeCell ref="A482:B482"/>
    <mergeCell ref="F482:G482"/>
    <mergeCell ref="A483:B483"/>
    <mergeCell ref="F483:G483"/>
    <mergeCell ref="A484:B484"/>
    <mergeCell ref="F484:G484"/>
    <mergeCell ref="A486:B486"/>
    <mergeCell ref="F486:G486"/>
    <mergeCell ref="F480:G480"/>
    <mergeCell ref="A481:B481"/>
    <mergeCell ref="F481:G481"/>
    <mergeCell ref="F453:G453"/>
    <mergeCell ref="A443:B443"/>
    <mergeCell ref="F443:G443"/>
    <mergeCell ref="A444:G444"/>
    <mergeCell ref="A445:H445"/>
    <mergeCell ref="A446:B446"/>
    <mergeCell ref="F446:G446"/>
    <mergeCell ref="A447:B447"/>
    <mergeCell ref="F447:G447"/>
    <mergeCell ref="A448:G448"/>
    <mergeCell ref="A449:H449"/>
    <mergeCell ref="A450:B450"/>
    <mergeCell ref="F450:G450"/>
    <mergeCell ref="A451:B451"/>
    <mergeCell ref="F451:G451"/>
    <mergeCell ref="A452:B452"/>
    <mergeCell ref="F452:G452"/>
    <mergeCell ref="A453:B453"/>
    <mergeCell ref="A478:G478"/>
    <mergeCell ref="A479:H479"/>
    <mergeCell ref="A454:G454"/>
    <mergeCell ref="A456:D456"/>
    <mergeCell ref="F461:G461"/>
    <mergeCell ref="A464:H464"/>
    <mergeCell ref="A466:A469"/>
    <mergeCell ref="B466:G469"/>
    <mergeCell ref="H466:H468"/>
    <mergeCell ref="B470:F470"/>
    <mergeCell ref="A439:B439"/>
    <mergeCell ref="F439:G439"/>
    <mergeCell ref="A442:B442"/>
    <mergeCell ref="F442:G442"/>
    <mergeCell ref="A435:B435"/>
    <mergeCell ref="F435:G435"/>
    <mergeCell ref="A438:B438"/>
    <mergeCell ref="F438:G438"/>
    <mergeCell ref="A440:B440"/>
    <mergeCell ref="F440:G440"/>
    <mergeCell ref="A441:B441"/>
    <mergeCell ref="F441:G441"/>
    <mergeCell ref="A433:B433"/>
    <mergeCell ref="F433:G433"/>
    <mergeCell ref="A434:B434"/>
    <mergeCell ref="F434:G434"/>
    <mergeCell ref="A429:B429"/>
    <mergeCell ref="F429:G429"/>
    <mergeCell ref="A430:B430"/>
    <mergeCell ref="F430:G430"/>
    <mergeCell ref="A431:B431"/>
    <mergeCell ref="F431:G431"/>
    <mergeCell ref="A437:B437"/>
    <mergeCell ref="F437:G437"/>
    <mergeCell ref="F436:G436"/>
    <mergeCell ref="A400:B400"/>
    <mergeCell ref="F400:G400"/>
    <mergeCell ref="A401:B401"/>
    <mergeCell ref="F401:G401"/>
    <mergeCell ref="A402:B402"/>
    <mergeCell ref="F402:G402"/>
    <mergeCell ref="A403:G403"/>
    <mergeCell ref="A432:B432"/>
    <mergeCell ref="F432:G432"/>
    <mergeCell ref="A395:B395"/>
    <mergeCell ref="F395:G395"/>
    <mergeCell ref="A393:G393"/>
    <mergeCell ref="A394:H394"/>
    <mergeCell ref="A396:B396"/>
    <mergeCell ref="F396:G396"/>
    <mergeCell ref="A397:G397"/>
    <mergeCell ref="A398:H398"/>
    <mergeCell ref="A399:B399"/>
    <mergeCell ref="F399:G399"/>
    <mergeCell ref="A389:B389"/>
    <mergeCell ref="F389:G389"/>
    <mergeCell ref="A392:B392"/>
    <mergeCell ref="F392:G392"/>
    <mergeCell ref="A385:B385"/>
    <mergeCell ref="F385:G385"/>
    <mergeCell ref="A388:B388"/>
    <mergeCell ref="F388:G388"/>
    <mergeCell ref="A386:B386"/>
    <mergeCell ref="F386:G386"/>
    <mergeCell ref="A387:B387"/>
    <mergeCell ref="F387:G387"/>
    <mergeCell ref="A390:B390"/>
    <mergeCell ref="F390:G390"/>
    <mergeCell ref="A391:B391"/>
    <mergeCell ref="F391:G391"/>
    <mergeCell ref="A382:B382"/>
    <mergeCell ref="F382:G382"/>
    <mergeCell ref="A383:B383"/>
    <mergeCell ref="F383:G383"/>
    <mergeCell ref="A384:B384"/>
    <mergeCell ref="F384:G384"/>
    <mergeCell ref="A379:B379"/>
    <mergeCell ref="F379:G379"/>
    <mergeCell ref="A380:B380"/>
    <mergeCell ref="F380:G380"/>
    <mergeCell ref="A381:B381"/>
    <mergeCell ref="F381:G381"/>
    <mergeCell ref="A378:B378"/>
    <mergeCell ref="F378:G378"/>
    <mergeCell ref="A362:H362"/>
    <mergeCell ref="A364:A367"/>
    <mergeCell ref="B364:G367"/>
    <mergeCell ref="H364:H366"/>
    <mergeCell ref="B368:F368"/>
    <mergeCell ref="B369:E369"/>
    <mergeCell ref="A372:C372"/>
    <mergeCell ref="A373:C373"/>
    <mergeCell ref="A374:C374"/>
    <mergeCell ref="A375:C375"/>
    <mergeCell ref="A376:G376"/>
    <mergeCell ref="A377:H377"/>
    <mergeCell ref="A349:B349"/>
    <mergeCell ref="F349:G349"/>
    <mergeCell ref="A350:B350"/>
    <mergeCell ref="F350:G350"/>
    <mergeCell ref="A351:B351"/>
    <mergeCell ref="F351:G351"/>
    <mergeCell ref="A352:G352"/>
    <mergeCell ref="A354:D354"/>
    <mergeCell ref="F359:G359"/>
    <mergeCell ref="A342:G342"/>
    <mergeCell ref="A346:G346"/>
    <mergeCell ref="A344:B344"/>
    <mergeCell ref="F344:G344"/>
    <mergeCell ref="A345:B345"/>
    <mergeCell ref="F345:G345"/>
    <mergeCell ref="A343:H343"/>
    <mergeCell ref="A347:H347"/>
    <mergeCell ref="A348:B348"/>
    <mergeCell ref="F348:G348"/>
    <mergeCell ref="F334:G334"/>
    <mergeCell ref="A329:B329"/>
    <mergeCell ref="F329:G329"/>
    <mergeCell ref="A330:B330"/>
    <mergeCell ref="F330:G330"/>
    <mergeCell ref="A331:B331"/>
    <mergeCell ref="F331:G331"/>
    <mergeCell ref="A339:B339"/>
    <mergeCell ref="F339:G339"/>
    <mergeCell ref="A335:B335"/>
    <mergeCell ref="F335:G335"/>
    <mergeCell ref="A338:B338"/>
    <mergeCell ref="F338:G338"/>
    <mergeCell ref="A301:G301"/>
    <mergeCell ref="A303:D303"/>
    <mergeCell ref="F308:G308"/>
    <mergeCell ref="A311:H311"/>
    <mergeCell ref="A313:A316"/>
    <mergeCell ref="A327:B327"/>
    <mergeCell ref="F327:G327"/>
    <mergeCell ref="A328:B328"/>
    <mergeCell ref="F328:G328"/>
    <mergeCell ref="B313:G316"/>
    <mergeCell ref="H313:H315"/>
    <mergeCell ref="B317:F317"/>
    <mergeCell ref="B318:E318"/>
    <mergeCell ref="A321:C321"/>
    <mergeCell ref="A322:C322"/>
    <mergeCell ref="A323:C323"/>
    <mergeCell ref="A324:C324"/>
    <mergeCell ref="A325:G325"/>
    <mergeCell ref="A326:H326"/>
    <mergeCell ref="A296:H296"/>
    <mergeCell ref="A297:B297"/>
    <mergeCell ref="F297:G297"/>
    <mergeCell ref="A298:B298"/>
    <mergeCell ref="F298:G298"/>
    <mergeCell ref="A299:B299"/>
    <mergeCell ref="F299:G299"/>
    <mergeCell ref="A300:B300"/>
    <mergeCell ref="F300:G300"/>
    <mergeCell ref="A336:B336"/>
    <mergeCell ref="F336:G336"/>
    <mergeCell ref="A337:B337"/>
    <mergeCell ref="F337:G337"/>
    <mergeCell ref="A290:B290"/>
    <mergeCell ref="F290:G290"/>
    <mergeCell ref="A291:G291"/>
    <mergeCell ref="A292:H292"/>
    <mergeCell ref="A293:B293"/>
    <mergeCell ref="F293:G293"/>
    <mergeCell ref="A294:B294"/>
    <mergeCell ref="F294:G294"/>
    <mergeCell ref="A295:G295"/>
    <mergeCell ref="A289:B289"/>
    <mergeCell ref="F289:G289"/>
    <mergeCell ref="A285:B285"/>
    <mergeCell ref="F285:G285"/>
    <mergeCell ref="A288:B288"/>
    <mergeCell ref="F288:G288"/>
    <mergeCell ref="A286:B286"/>
    <mergeCell ref="F286:G286"/>
    <mergeCell ref="A287:B287"/>
    <mergeCell ref="F287:G287"/>
    <mergeCell ref="A282:B282"/>
    <mergeCell ref="F282:G282"/>
    <mergeCell ref="A283:B283"/>
    <mergeCell ref="F283:G283"/>
    <mergeCell ref="A284:B284"/>
    <mergeCell ref="F284:G284"/>
    <mergeCell ref="A279:B279"/>
    <mergeCell ref="F279:G279"/>
    <mergeCell ref="A280:B280"/>
    <mergeCell ref="F280:G280"/>
    <mergeCell ref="A281:B281"/>
    <mergeCell ref="F281:G281"/>
    <mergeCell ref="A277:B277"/>
    <mergeCell ref="F277:G277"/>
    <mergeCell ref="A278:B278"/>
    <mergeCell ref="F278:G278"/>
    <mergeCell ref="A270:C270"/>
    <mergeCell ref="A271:C271"/>
    <mergeCell ref="A272:C272"/>
    <mergeCell ref="A273:C273"/>
    <mergeCell ref="A274:G274"/>
    <mergeCell ref="A275:H275"/>
    <mergeCell ref="A252:D252"/>
    <mergeCell ref="F257:G257"/>
    <mergeCell ref="A260:H260"/>
    <mergeCell ref="A262:A265"/>
    <mergeCell ref="B262:G265"/>
    <mergeCell ref="H262:H264"/>
    <mergeCell ref="B266:F266"/>
    <mergeCell ref="B267:E267"/>
    <mergeCell ref="A276:B276"/>
    <mergeCell ref="F276:G276"/>
    <mergeCell ref="A243:B243"/>
    <mergeCell ref="F243:G243"/>
    <mergeCell ref="A247:B247"/>
    <mergeCell ref="F247:G247"/>
    <mergeCell ref="A248:B248"/>
    <mergeCell ref="F248:G248"/>
    <mergeCell ref="A249:B249"/>
    <mergeCell ref="F249:G249"/>
    <mergeCell ref="A250:G250"/>
    <mergeCell ref="A239:B239"/>
    <mergeCell ref="F239:G239"/>
    <mergeCell ref="A240:G240"/>
    <mergeCell ref="A241:H241"/>
    <mergeCell ref="A242:B242"/>
    <mergeCell ref="F242:G242"/>
    <mergeCell ref="A235:B235"/>
    <mergeCell ref="F235:G235"/>
    <mergeCell ref="A238:B238"/>
    <mergeCell ref="F238:G238"/>
    <mergeCell ref="A244:G244"/>
    <mergeCell ref="A245:H245"/>
    <mergeCell ref="A246:B246"/>
    <mergeCell ref="F246:G246"/>
    <mergeCell ref="A236:B236"/>
    <mergeCell ref="F236:G236"/>
    <mergeCell ref="A237:B237"/>
    <mergeCell ref="F237:G237"/>
    <mergeCell ref="A233:B233"/>
    <mergeCell ref="F233:G233"/>
    <mergeCell ref="A234:B234"/>
    <mergeCell ref="F234:G234"/>
    <mergeCell ref="A229:B229"/>
    <mergeCell ref="F229:G229"/>
    <mergeCell ref="A230:B230"/>
    <mergeCell ref="F230:G230"/>
    <mergeCell ref="A231:B231"/>
    <mergeCell ref="F231:G231"/>
    <mergeCell ref="A227:B227"/>
    <mergeCell ref="F227:G227"/>
    <mergeCell ref="A228:B228"/>
    <mergeCell ref="F228:G228"/>
    <mergeCell ref="A225:B225"/>
    <mergeCell ref="F225:G225"/>
    <mergeCell ref="B211:G214"/>
    <mergeCell ref="A232:B232"/>
    <mergeCell ref="F232:G232"/>
    <mergeCell ref="A198:B198"/>
    <mergeCell ref="F198:G198"/>
    <mergeCell ref="A199:G199"/>
    <mergeCell ref="A201:D201"/>
    <mergeCell ref="F206:G206"/>
    <mergeCell ref="A209:H209"/>
    <mergeCell ref="A211:A214"/>
    <mergeCell ref="A226:B226"/>
    <mergeCell ref="F226:G226"/>
    <mergeCell ref="A192:B192"/>
    <mergeCell ref="F192:G192"/>
    <mergeCell ref="A193:G193"/>
    <mergeCell ref="A194:H194"/>
    <mergeCell ref="A195:B195"/>
    <mergeCell ref="F195:G195"/>
    <mergeCell ref="A196:B196"/>
    <mergeCell ref="F196:G196"/>
    <mergeCell ref="A197:B197"/>
    <mergeCell ref="F197:G197"/>
    <mergeCell ref="A219:C219"/>
    <mergeCell ref="A220:C220"/>
    <mergeCell ref="A221:C221"/>
    <mergeCell ref="A222:C222"/>
    <mergeCell ref="A223:G223"/>
    <mergeCell ref="A224:H224"/>
    <mergeCell ref="H211:H213"/>
    <mergeCell ref="B215:F215"/>
    <mergeCell ref="B216:E216"/>
    <mergeCell ref="F147:G147"/>
    <mergeCell ref="A141:B141"/>
    <mergeCell ref="F141:G141"/>
    <mergeCell ref="A134:B134"/>
    <mergeCell ref="F134:G134"/>
    <mergeCell ref="A137:B137"/>
    <mergeCell ref="F137:G137"/>
    <mergeCell ref="A135:B135"/>
    <mergeCell ref="F135:G135"/>
    <mergeCell ref="A136:B136"/>
    <mergeCell ref="F136:G136"/>
    <mergeCell ref="A138:G138"/>
    <mergeCell ref="A139:H139"/>
    <mergeCell ref="A140:B140"/>
    <mergeCell ref="F140:G140"/>
    <mergeCell ref="A188:B188"/>
    <mergeCell ref="F188:G188"/>
    <mergeCell ref="A189:G189"/>
    <mergeCell ref="A190:H190"/>
    <mergeCell ref="A191:B191"/>
    <mergeCell ref="F191:G191"/>
    <mergeCell ref="A184:B184"/>
    <mergeCell ref="F184:G184"/>
    <mergeCell ref="A187:B187"/>
    <mergeCell ref="F187:G187"/>
    <mergeCell ref="A185:B185"/>
    <mergeCell ref="F185:G185"/>
    <mergeCell ref="A186:B186"/>
    <mergeCell ref="F186:G186"/>
    <mergeCell ref="A181:B181"/>
    <mergeCell ref="F181:G181"/>
    <mergeCell ref="A182:B182"/>
    <mergeCell ref="F182:G182"/>
    <mergeCell ref="A183:B183"/>
    <mergeCell ref="F183:G183"/>
    <mergeCell ref="A178:B178"/>
    <mergeCell ref="F178:G178"/>
    <mergeCell ref="A179:B179"/>
    <mergeCell ref="F179:G179"/>
    <mergeCell ref="A180:B180"/>
    <mergeCell ref="F180:G180"/>
    <mergeCell ref="A176:B176"/>
    <mergeCell ref="F176:G176"/>
    <mergeCell ref="A177:B177"/>
    <mergeCell ref="F177:G177"/>
    <mergeCell ref="A174:B174"/>
    <mergeCell ref="F174:G174"/>
    <mergeCell ref="B164:F164"/>
    <mergeCell ref="B165:E165"/>
    <mergeCell ref="A168:C168"/>
    <mergeCell ref="A169:C169"/>
    <mergeCell ref="A170:C170"/>
    <mergeCell ref="A171:C171"/>
    <mergeCell ref="A172:G172"/>
    <mergeCell ref="A173:H173"/>
    <mergeCell ref="A78:B78"/>
    <mergeCell ref="A131:B131"/>
    <mergeCell ref="F131:G131"/>
    <mergeCell ref="A132:B132"/>
    <mergeCell ref="F132:G132"/>
    <mergeCell ref="A133:B133"/>
    <mergeCell ref="F133:G133"/>
    <mergeCell ref="A128:B128"/>
    <mergeCell ref="F128:G128"/>
    <mergeCell ref="A129:B129"/>
    <mergeCell ref="F129:G129"/>
    <mergeCell ref="A130:B130"/>
    <mergeCell ref="F130:G130"/>
    <mergeCell ref="B113:F113"/>
    <mergeCell ref="B114:E114"/>
    <mergeCell ref="A118:C118"/>
    <mergeCell ref="A117:C117"/>
    <mergeCell ref="A125:B125"/>
    <mergeCell ref="F125:G125"/>
    <mergeCell ref="A126:B126"/>
    <mergeCell ref="F126:G126"/>
    <mergeCell ref="A127:B127"/>
    <mergeCell ref="F127:G127"/>
    <mergeCell ref="A123:B123"/>
    <mergeCell ref="F123:G123"/>
    <mergeCell ref="A124:B124"/>
    <mergeCell ref="F124:G124"/>
    <mergeCell ref="A119:C119"/>
    <mergeCell ref="A120:C120"/>
    <mergeCell ref="A121:G121"/>
    <mergeCell ref="A122:H122"/>
    <mergeCell ref="A96:B96"/>
    <mergeCell ref="F96:G96"/>
    <mergeCell ref="A97:G97"/>
    <mergeCell ref="A99:D99"/>
    <mergeCell ref="F104:G104"/>
    <mergeCell ref="A107:H107"/>
    <mergeCell ref="A109:A112"/>
    <mergeCell ref="B109:G112"/>
    <mergeCell ref="H109:H111"/>
    <mergeCell ref="F78:G78"/>
    <mergeCell ref="A79:B79"/>
    <mergeCell ref="F79:G79"/>
    <mergeCell ref="A80:B80"/>
    <mergeCell ref="F80:G80"/>
    <mergeCell ref="A84:B84"/>
    <mergeCell ref="A95:B95"/>
    <mergeCell ref="F95:G95"/>
    <mergeCell ref="A81:B81"/>
    <mergeCell ref="F81:G81"/>
    <mergeCell ref="A82:B82"/>
    <mergeCell ref="F82:G82"/>
    <mergeCell ref="A83:B83"/>
    <mergeCell ref="F83:G83"/>
    <mergeCell ref="F41:G41"/>
    <mergeCell ref="A66:C66"/>
    <mergeCell ref="A67:C67"/>
    <mergeCell ref="A75:B75"/>
    <mergeCell ref="F75:G75"/>
    <mergeCell ref="A76:B76"/>
    <mergeCell ref="F76:G76"/>
    <mergeCell ref="A77:B77"/>
    <mergeCell ref="F77:G77"/>
    <mergeCell ref="A72:B72"/>
    <mergeCell ref="F72:G72"/>
    <mergeCell ref="A73:B73"/>
    <mergeCell ref="F73:G73"/>
    <mergeCell ref="A74:B74"/>
    <mergeCell ref="F74:G74"/>
    <mergeCell ref="A40:H40"/>
    <mergeCell ref="A36:H36"/>
    <mergeCell ref="A41:B41"/>
    <mergeCell ref="A39:G39"/>
    <mergeCell ref="F38:G38"/>
    <mergeCell ref="A38:B38"/>
    <mergeCell ref="F42:G42"/>
    <mergeCell ref="F43:G43"/>
    <mergeCell ref="F44:G44"/>
    <mergeCell ref="A45:G45"/>
    <mergeCell ref="A44:B44"/>
    <mergeCell ref="A43:B43"/>
    <mergeCell ref="A42:B42"/>
    <mergeCell ref="A47:D47"/>
    <mergeCell ref="F52:G52"/>
    <mergeCell ref="A56:H56"/>
    <mergeCell ref="A58:A61"/>
    <mergeCell ref="B58:G61"/>
    <mergeCell ref="H58:H60"/>
    <mergeCell ref="B62:F62"/>
    <mergeCell ref="B63:E63"/>
    <mergeCell ref="A68:C68"/>
    <mergeCell ref="A69:C69"/>
    <mergeCell ref="A70:G70"/>
    <mergeCell ref="A71:H71"/>
    <mergeCell ref="F31:G31"/>
    <mergeCell ref="A31:B31"/>
    <mergeCell ref="A35:G35"/>
    <mergeCell ref="A20:B20"/>
    <mergeCell ref="F20:G20"/>
    <mergeCell ref="A16:C16"/>
    <mergeCell ref="F34:G34"/>
    <mergeCell ref="A34:B34"/>
    <mergeCell ref="F21:G21"/>
    <mergeCell ref="A37:B37"/>
    <mergeCell ref="A28:B28"/>
    <mergeCell ref="F27:G27"/>
    <mergeCell ref="A27:B27"/>
    <mergeCell ref="F26:G26"/>
    <mergeCell ref="A26:B26"/>
    <mergeCell ref="F28:G28"/>
    <mergeCell ref="F22:G22"/>
    <mergeCell ref="A25:B25"/>
    <mergeCell ref="F25:G25"/>
    <mergeCell ref="F24:G24"/>
    <mergeCell ref="A24:B24"/>
    <mergeCell ref="F37:G37"/>
    <mergeCell ref="A33:B33"/>
    <mergeCell ref="F33:G33"/>
    <mergeCell ref="F32:G32"/>
    <mergeCell ref="A32:B32"/>
    <mergeCell ref="A4:H4"/>
    <mergeCell ref="A6:A9"/>
    <mergeCell ref="B6:G9"/>
    <mergeCell ref="H6:H8"/>
    <mergeCell ref="B10:F10"/>
    <mergeCell ref="F23:G23"/>
    <mergeCell ref="F30:G30"/>
    <mergeCell ref="F29:G29"/>
    <mergeCell ref="A29:B29"/>
    <mergeCell ref="B11:E11"/>
    <mergeCell ref="A23:B23"/>
    <mergeCell ref="A14:C14"/>
    <mergeCell ref="A15:C15"/>
    <mergeCell ref="A17:C17"/>
    <mergeCell ref="A18:G18"/>
    <mergeCell ref="A21:B21"/>
    <mergeCell ref="A22:B22"/>
    <mergeCell ref="A19:H19"/>
    <mergeCell ref="A30:B30"/>
    <mergeCell ref="A340:B340"/>
    <mergeCell ref="F340:G340"/>
    <mergeCell ref="A341:B341"/>
    <mergeCell ref="F341:G341"/>
    <mergeCell ref="A332:B332"/>
    <mergeCell ref="F332:G332"/>
    <mergeCell ref="A333:B333"/>
    <mergeCell ref="F333:G333"/>
    <mergeCell ref="A334:B334"/>
    <mergeCell ref="A474:C474"/>
    <mergeCell ref="A475:C475"/>
    <mergeCell ref="A476:C476"/>
    <mergeCell ref="A477:C477"/>
    <mergeCell ref="A405:D405"/>
    <mergeCell ref="F410:G410"/>
    <mergeCell ref="A413:H413"/>
    <mergeCell ref="A415:A418"/>
    <mergeCell ref="B415:G418"/>
    <mergeCell ref="H415:H417"/>
    <mergeCell ref="B419:F419"/>
    <mergeCell ref="B420:E420"/>
    <mergeCell ref="A423:C423"/>
    <mergeCell ref="A424:C424"/>
    <mergeCell ref="A425:C425"/>
    <mergeCell ref="A426:C426"/>
    <mergeCell ref="A427:G427"/>
    <mergeCell ref="A428:H428"/>
    <mergeCell ref="A436:B436"/>
    <mergeCell ref="B471:E471"/>
    <mergeCell ref="F84:G84"/>
    <mergeCell ref="A90:B90"/>
    <mergeCell ref="F90:G90"/>
    <mergeCell ref="A91:G91"/>
    <mergeCell ref="A93:B93"/>
    <mergeCell ref="F93:G93"/>
    <mergeCell ref="A94:B94"/>
    <mergeCell ref="F94:G94"/>
    <mergeCell ref="A92:H92"/>
    <mergeCell ref="A89:B89"/>
    <mergeCell ref="F89:G89"/>
    <mergeCell ref="A85:B85"/>
    <mergeCell ref="F85:G85"/>
    <mergeCell ref="A86:B86"/>
    <mergeCell ref="F86:G86"/>
    <mergeCell ref="A87:G87"/>
    <mergeCell ref="A88:H88"/>
    <mergeCell ref="A148:G148"/>
    <mergeCell ref="A150:D150"/>
    <mergeCell ref="F155:G155"/>
    <mergeCell ref="A158:H158"/>
    <mergeCell ref="A160:A163"/>
    <mergeCell ref="B160:G163"/>
    <mergeCell ref="H160:H162"/>
    <mergeCell ref="A175:B175"/>
    <mergeCell ref="F175:G175"/>
    <mergeCell ref="A144:B144"/>
    <mergeCell ref="F144:G144"/>
    <mergeCell ref="A142:G142"/>
    <mergeCell ref="A143:H143"/>
    <mergeCell ref="A145:B145"/>
    <mergeCell ref="F145:G145"/>
    <mergeCell ref="A146:B146"/>
    <mergeCell ref="F146:G146"/>
    <mergeCell ref="A147:B147"/>
    <mergeCell ref="F4371:G4371"/>
    <mergeCell ref="A4374:B4374"/>
    <mergeCell ref="F4374:G4374"/>
    <mergeCell ref="A4377:B4377"/>
    <mergeCell ref="F4377:G4377"/>
    <mergeCell ref="A4370:B4370"/>
    <mergeCell ref="A480:B480"/>
    <mergeCell ref="A4393:D4393"/>
    <mergeCell ref="F4398:G4398"/>
    <mergeCell ref="A4401:H4401"/>
    <mergeCell ref="A4403:A4406"/>
    <mergeCell ref="B4403:G4406"/>
    <mergeCell ref="H4403:H4405"/>
    <mergeCell ref="B4407:F4407"/>
    <mergeCell ref="B4408:E4408"/>
    <mergeCell ref="A4411:C4411"/>
    <mergeCell ref="A4412:C4412"/>
    <mergeCell ref="A4413:C4413"/>
    <mergeCell ref="A4414:C4414"/>
    <mergeCell ref="A4415:G4415"/>
    <mergeCell ref="A4416:H4416"/>
    <mergeCell ref="A4421:B4421"/>
    <mergeCell ref="F4421:G4421"/>
    <mergeCell ref="A4441:B4441"/>
    <mergeCell ref="F4441:G4441"/>
    <mergeCell ref="F4419:G4419"/>
    <mergeCell ref="A4424:B4424"/>
    <mergeCell ref="F4424:G4424"/>
    <mergeCell ref="A4427:B4427"/>
    <mergeCell ref="F4427:G4427"/>
    <mergeCell ref="A4420:B4420"/>
    <mergeCell ref="F4420:G4420"/>
    <mergeCell ref="A4423:B4423"/>
    <mergeCell ref="F4423:G4423"/>
    <mergeCell ref="A4425:B4425"/>
    <mergeCell ref="F4425:G4425"/>
    <mergeCell ref="A4426:B4426"/>
    <mergeCell ref="F4426:G4426"/>
    <mergeCell ref="F1823:G1823"/>
    <mergeCell ref="A1824:B1824"/>
    <mergeCell ref="F1824:G1824"/>
    <mergeCell ref="A1825:B1825"/>
    <mergeCell ref="F1825:G1825"/>
    <mergeCell ref="A1826:B1826"/>
    <mergeCell ref="F1826:G1826"/>
    <mergeCell ref="A1827:B1827"/>
    <mergeCell ref="F1827:G1827"/>
    <mergeCell ref="A1828:G1828"/>
    <mergeCell ref="A1829:H1829"/>
    <mergeCell ref="A1830:B1830"/>
    <mergeCell ref="F1830:G1830"/>
    <mergeCell ref="A1831:B1831"/>
    <mergeCell ref="F1831:G1831"/>
    <mergeCell ref="A1832:G1832"/>
    <mergeCell ref="A1833:H1833"/>
    <mergeCell ref="A1834:B1834"/>
    <mergeCell ref="F1834:G1834"/>
    <mergeCell ref="A1835:B1835"/>
    <mergeCell ref="F1835:G1835"/>
    <mergeCell ref="A1836:B1836"/>
    <mergeCell ref="F1836:G1836"/>
    <mergeCell ref="A1837:B1837"/>
    <mergeCell ref="F1837:G1837"/>
    <mergeCell ref="A1838:G1838"/>
    <mergeCell ref="H4454:H4456"/>
    <mergeCell ref="A4492:B4492"/>
    <mergeCell ref="F4492:G4492"/>
    <mergeCell ref="A4493:G4493"/>
    <mergeCell ref="A4495:D4495"/>
    <mergeCell ref="F4500:G4500"/>
    <mergeCell ref="A4481:B4481"/>
    <mergeCell ref="F4481:G4481"/>
    <mergeCell ref="A4482:B4482"/>
    <mergeCell ref="F4482:G4482"/>
    <mergeCell ref="A4483:G4483"/>
    <mergeCell ref="A4484:H4484"/>
    <mergeCell ref="A4485:B4485"/>
    <mergeCell ref="F4485:G4485"/>
    <mergeCell ref="A4486:B4486"/>
    <mergeCell ref="F4486:G4486"/>
    <mergeCell ref="A4487:G4487"/>
    <mergeCell ref="A4488:H4488"/>
    <mergeCell ref="A4489:B4489"/>
    <mergeCell ref="F4489:G4489"/>
    <mergeCell ref="A4490:B4490"/>
    <mergeCell ref="F4490:G4490"/>
    <mergeCell ref="A4491:B4491"/>
    <mergeCell ref="F4491:G4491"/>
    <mergeCell ref="B4458:F4458"/>
    <mergeCell ref="B4459:E4459"/>
    <mergeCell ref="A4462:C4462"/>
    <mergeCell ref="A4463:C4463"/>
    <mergeCell ref="A4464:C4464"/>
    <mergeCell ref="A4465:C4465"/>
    <mergeCell ref="A4466:G4466"/>
    <mergeCell ref="A4467:H4467"/>
    <mergeCell ref="A4684:B4684"/>
    <mergeCell ref="F4684:G4684"/>
    <mergeCell ref="B4509:F4509"/>
    <mergeCell ref="B4510:E4510"/>
    <mergeCell ref="A4513:C4513"/>
    <mergeCell ref="A4514:C4514"/>
    <mergeCell ref="A4515:C4515"/>
    <mergeCell ref="A4516:C4516"/>
    <mergeCell ref="A4517:G4517"/>
    <mergeCell ref="A4518:H4518"/>
    <mergeCell ref="A4519:B4519"/>
    <mergeCell ref="F4519:G4519"/>
    <mergeCell ref="A4535:H4535"/>
    <mergeCell ref="A4536:B4536"/>
    <mergeCell ref="F4536:G4536"/>
    <mergeCell ref="A4537:B4537"/>
    <mergeCell ref="F4537:G4537"/>
    <mergeCell ref="A4538:G4538"/>
    <mergeCell ref="A4539:H4539"/>
    <mergeCell ref="A4540:B4540"/>
    <mergeCell ref="F4540:G4540"/>
    <mergeCell ref="A4530:B4530"/>
    <mergeCell ref="F4530:G4530"/>
    <mergeCell ref="A4531:B4531"/>
    <mergeCell ref="F4531:G4531"/>
    <mergeCell ref="A4532:B4532"/>
    <mergeCell ref="F4532:G4532"/>
    <mergeCell ref="A4533:B4533"/>
    <mergeCell ref="F4533:G4533"/>
    <mergeCell ref="A4534:G4534"/>
    <mergeCell ref="A4525:B4525"/>
    <mergeCell ref="F4525:G4525"/>
    <mergeCell ref="A4718:C4718"/>
    <mergeCell ref="A4719:C4719"/>
    <mergeCell ref="A4720:C4720"/>
    <mergeCell ref="A4721:C4721"/>
    <mergeCell ref="A4722:G4722"/>
    <mergeCell ref="A4723:H4723"/>
    <mergeCell ref="A4724:B4724"/>
    <mergeCell ref="F4724:G4724"/>
    <mergeCell ref="A4725:B4725"/>
    <mergeCell ref="F4725:G4725"/>
    <mergeCell ref="A4726:B4726"/>
    <mergeCell ref="F4726:G4726"/>
    <mergeCell ref="A4727:B4727"/>
    <mergeCell ref="F4727:G4727"/>
    <mergeCell ref="A4728:B4728"/>
    <mergeCell ref="F4728:G4728"/>
    <mergeCell ref="A4729:B4729"/>
    <mergeCell ref="F4729:G4729"/>
    <mergeCell ref="A4730:B4730"/>
    <mergeCell ref="F4730:G4730"/>
    <mergeCell ref="A4731:B4731"/>
    <mergeCell ref="F4731:G4731"/>
    <mergeCell ref="A4732:B4732"/>
    <mergeCell ref="F4732:G4732"/>
    <mergeCell ref="A4733:B4733"/>
    <mergeCell ref="F4733:G4733"/>
    <mergeCell ref="A4734:B4734"/>
    <mergeCell ref="F4734:G4734"/>
    <mergeCell ref="A4735:B4735"/>
    <mergeCell ref="F4735:G4735"/>
    <mergeCell ref="A4736:B4736"/>
    <mergeCell ref="F4736:G4736"/>
    <mergeCell ref="A4737:B4737"/>
    <mergeCell ref="F4737:G4737"/>
    <mergeCell ref="A4738:B4738"/>
    <mergeCell ref="F4738:G4738"/>
    <mergeCell ref="A4739:G4739"/>
    <mergeCell ref="A4740:H4740"/>
    <mergeCell ref="A4741:B4741"/>
    <mergeCell ref="F4741:G4741"/>
    <mergeCell ref="A4742:B4742"/>
    <mergeCell ref="F4742:G4742"/>
    <mergeCell ref="A4743:G4743"/>
    <mergeCell ref="A4744:H4744"/>
    <mergeCell ref="A4745:B4745"/>
    <mergeCell ref="F4745:G4745"/>
    <mergeCell ref="A4746:B4746"/>
    <mergeCell ref="F4746:G4746"/>
    <mergeCell ref="A4747:B4747"/>
    <mergeCell ref="F4747:G4747"/>
    <mergeCell ref="A4748:B4748"/>
    <mergeCell ref="F4748:G4748"/>
    <mergeCell ref="A4749:G4749"/>
    <mergeCell ref="A4751:D4751"/>
    <mergeCell ref="F4756:G4756"/>
    <mergeCell ref="A4759:H4759"/>
    <mergeCell ref="A4761:A4764"/>
    <mergeCell ref="B4761:G4764"/>
    <mergeCell ref="H4761:H4763"/>
    <mergeCell ref="B4765:F4765"/>
    <mergeCell ref="B4766:E4766"/>
    <mergeCell ref="A4769:C4769"/>
    <mergeCell ref="A4770:C4770"/>
    <mergeCell ref="A4771:C4771"/>
    <mergeCell ref="A4772:C4772"/>
    <mergeCell ref="A4773:G4773"/>
    <mergeCell ref="A4774:H4774"/>
    <mergeCell ref="A4775:B4775"/>
    <mergeCell ref="F4775:G4775"/>
    <mergeCell ref="A4776:B4776"/>
    <mergeCell ref="F4776:G4776"/>
    <mergeCell ref="A4777:B4777"/>
    <mergeCell ref="F4777:G4777"/>
    <mergeCell ref="A4778:B4778"/>
    <mergeCell ref="F4778:G4778"/>
    <mergeCell ref="A4779:B4779"/>
    <mergeCell ref="F4779:G4779"/>
    <mergeCell ref="A4780:B4780"/>
    <mergeCell ref="F4780:G4780"/>
    <mergeCell ref="A4781:B4781"/>
    <mergeCell ref="F4781:G4781"/>
    <mergeCell ref="A4782:B4782"/>
    <mergeCell ref="F4782:G4782"/>
    <mergeCell ref="A4783:B4783"/>
    <mergeCell ref="F4783:G4783"/>
    <mergeCell ref="A4784:B4784"/>
    <mergeCell ref="F4784:G4784"/>
    <mergeCell ref="A4785:B4785"/>
    <mergeCell ref="F4785:G4785"/>
    <mergeCell ref="A4786:B4786"/>
    <mergeCell ref="F4786:G4786"/>
    <mergeCell ref="A4787:B4787"/>
    <mergeCell ref="F4787:G4787"/>
    <mergeCell ref="A4788:B4788"/>
    <mergeCell ref="F4788:G4788"/>
    <mergeCell ref="A4789:B4789"/>
    <mergeCell ref="F4789:G4789"/>
    <mergeCell ref="A4790:G4790"/>
    <mergeCell ref="A4791:H4791"/>
    <mergeCell ref="A4792:B4792"/>
    <mergeCell ref="F4792:G4792"/>
    <mergeCell ref="A4793:B4793"/>
    <mergeCell ref="F4793:G4793"/>
    <mergeCell ref="A4794:G4794"/>
    <mergeCell ref="A4795:H4795"/>
    <mergeCell ref="A4796:B4796"/>
    <mergeCell ref="F4796:G4796"/>
    <mergeCell ref="A4797:B4797"/>
    <mergeCell ref="F4797:G4797"/>
    <mergeCell ref="A4798:B4798"/>
    <mergeCell ref="F4798:G4798"/>
    <mergeCell ref="A4799:B4799"/>
    <mergeCell ref="F4799:G4799"/>
    <mergeCell ref="A4800:G4800"/>
    <mergeCell ref="A4802:D4802"/>
    <mergeCell ref="F4807:G4807"/>
    <mergeCell ref="A6302:H6302"/>
    <mergeCell ref="A6304:A6307"/>
    <mergeCell ref="B6304:G6307"/>
    <mergeCell ref="H6304:H6306"/>
    <mergeCell ref="B6308:F6308"/>
    <mergeCell ref="B5892:F5892"/>
    <mergeCell ref="B5893:E5893"/>
    <mergeCell ref="A5896:C5896"/>
    <mergeCell ref="A5897:C5897"/>
    <mergeCell ref="A5899:C5899"/>
    <mergeCell ref="A5900:C5900"/>
    <mergeCell ref="A5901:G5901"/>
    <mergeCell ref="A5902:H5902"/>
    <mergeCell ref="A5903:B5903"/>
    <mergeCell ref="F5903:G5903"/>
    <mergeCell ref="A5898:C5898"/>
    <mergeCell ref="A5919:H5919"/>
    <mergeCell ref="A5920:B5920"/>
    <mergeCell ref="F5920:G5920"/>
    <mergeCell ref="A5921:B5921"/>
    <mergeCell ref="F5921:G5921"/>
    <mergeCell ref="A5922:G5922"/>
    <mergeCell ref="A5923:H5923"/>
    <mergeCell ref="A5914:B5914"/>
    <mergeCell ref="F5914:G5914"/>
    <mergeCell ref="A5915:B5915"/>
    <mergeCell ref="F5915:G5915"/>
    <mergeCell ref="A5916:B5916"/>
    <mergeCell ref="F5916:G5916"/>
    <mergeCell ref="A5917:B5917"/>
    <mergeCell ref="F5917:G5917"/>
    <mergeCell ref="A5918:G5918"/>
    <mergeCell ref="A5938:H5938"/>
    <mergeCell ref="A5940:A5943"/>
    <mergeCell ref="B5940:G5943"/>
    <mergeCell ref="H5940:H5942"/>
    <mergeCell ref="B5944:F5944"/>
    <mergeCell ref="B5945:E5945"/>
    <mergeCell ref="A5948:C5948"/>
    <mergeCell ref="A5949:C5949"/>
    <mergeCell ref="A5950:C5950"/>
    <mergeCell ref="B4969:F4969"/>
    <mergeCell ref="B4970:E4970"/>
    <mergeCell ref="A4973:C4973"/>
    <mergeCell ref="A4974:C4974"/>
    <mergeCell ref="A4975:C4975"/>
    <mergeCell ref="A4976:C4976"/>
    <mergeCell ref="A4977:G4977"/>
    <mergeCell ref="A4978:H4978"/>
    <mergeCell ref="A6337:B6337"/>
    <mergeCell ref="F6337:G6337"/>
    <mergeCell ref="A6338:G6338"/>
    <mergeCell ref="A6339:H6339"/>
    <mergeCell ref="A6340:B6340"/>
    <mergeCell ref="F6340:G6340"/>
    <mergeCell ref="A6341:B6341"/>
    <mergeCell ref="F6341:G6341"/>
    <mergeCell ref="A6342:B6342"/>
    <mergeCell ref="F6342:G6342"/>
    <mergeCell ref="A6343:B6343"/>
    <mergeCell ref="F6343:G6343"/>
    <mergeCell ref="A6344:G6344"/>
    <mergeCell ref="A6346:D6346"/>
    <mergeCell ref="F6351:G6351"/>
    <mergeCell ref="A6353:H6353"/>
    <mergeCell ref="A6355:A6358"/>
    <mergeCell ref="B6355:G6358"/>
    <mergeCell ref="H6355:H6357"/>
    <mergeCell ref="B6359:F6359"/>
    <mergeCell ref="B6360:E6360"/>
    <mergeCell ref="A6363:C6363"/>
    <mergeCell ref="A6364:C6364"/>
    <mergeCell ref="A6365:C6365"/>
    <mergeCell ref="A6366:C6366"/>
    <mergeCell ref="A6367:C6367"/>
    <mergeCell ref="A6368:G6368"/>
    <mergeCell ref="A6369:H6369"/>
    <mergeCell ref="A6370:B6370"/>
    <mergeCell ref="F6370:G6370"/>
    <mergeCell ref="A6371:B6371"/>
    <mergeCell ref="F6371:G6371"/>
    <mergeCell ref="A6372:B6372"/>
    <mergeCell ref="F6372:G6372"/>
    <mergeCell ref="A6373:B6373"/>
    <mergeCell ref="F6373:G6373"/>
    <mergeCell ref="A6374:B6374"/>
    <mergeCell ref="F6374:G6374"/>
    <mergeCell ref="A6375:B6375"/>
    <mergeCell ref="F6375:G6375"/>
    <mergeCell ref="A6376:B6376"/>
    <mergeCell ref="F6376:G6376"/>
    <mergeCell ref="A6377:B6377"/>
    <mergeCell ref="F6377:G6377"/>
    <mergeCell ref="A6378:B6378"/>
    <mergeCell ref="F6378:G6378"/>
    <mergeCell ref="A6379:B6379"/>
    <mergeCell ref="F6379:G6379"/>
    <mergeCell ref="A6380:B6380"/>
    <mergeCell ref="F6380:G6380"/>
    <mergeCell ref="A6381:B6381"/>
    <mergeCell ref="F6381:G6381"/>
    <mergeCell ref="A6382:B6382"/>
    <mergeCell ref="F6382:G6382"/>
    <mergeCell ref="A6383:B6383"/>
    <mergeCell ref="F6383:G6383"/>
    <mergeCell ref="A6384:B6384"/>
    <mergeCell ref="F6384:G6384"/>
    <mergeCell ref="A6385:G6385"/>
    <mergeCell ref="A6386:H6386"/>
    <mergeCell ref="A6387:B6387"/>
    <mergeCell ref="F6387:G6387"/>
    <mergeCell ref="A6388:B6388"/>
    <mergeCell ref="F6388:G6388"/>
    <mergeCell ref="A6389:G6389"/>
    <mergeCell ref="A6390:H6390"/>
    <mergeCell ref="A6391:B6391"/>
    <mergeCell ref="F6391:G6391"/>
    <mergeCell ref="A6392:B6392"/>
    <mergeCell ref="F6392:G6392"/>
    <mergeCell ref="A6393:B6393"/>
    <mergeCell ref="F6393:G6393"/>
    <mergeCell ref="A6394:B6394"/>
    <mergeCell ref="F6394:G6394"/>
    <mergeCell ref="A6395:G6395"/>
    <mergeCell ref="A6397:D6397"/>
    <mergeCell ref="F6402:G6402"/>
    <mergeCell ref="A6405:H6405"/>
    <mergeCell ref="A6407:A6410"/>
    <mergeCell ref="B6407:G6410"/>
    <mergeCell ref="H6407:H6409"/>
    <mergeCell ref="B6411:F6411"/>
    <mergeCell ref="B6412:E6412"/>
    <mergeCell ref="A6415:C6415"/>
    <mergeCell ref="A6416:C6416"/>
    <mergeCell ref="A6417:C6417"/>
    <mergeCell ref="A6418:C6418"/>
    <mergeCell ref="A6419:C6419"/>
    <mergeCell ref="A6420:G6420"/>
    <mergeCell ref="A6421:H6421"/>
    <mergeCell ref="A6422:B6422"/>
    <mergeCell ref="F6422:G6422"/>
    <mergeCell ref="A6423:B6423"/>
    <mergeCell ref="F6423:G6423"/>
    <mergeCell ref="A6424:B6424"/>
    <mergeCell ref="F6424:G6424"/>
    <mergeCell ref="A6425:B6425"/>
    <mergeCell ref="F6425:G6425"/>
    <mergeCell ref="A6426:B6426"/>
    <mergeCell ref="F6426:G6426"/>
    <mergeCell ref="A6427:B6427"/>
    <mergeCell ref="F6427:G6427"/>
    <mergeCell ref="A6428:B6428"/>
    <mergeCell ref="F6428:G6428"/>
    <mergeCell ref="A6429:B6429"/>
    <mergeCell ref="F6429:G6429"/>
    <mergeCell ref="A6430:B6430"/>
    <mergeCell ref="F6430:G6430"/>
    <mergeCell ref="A6431:B6431"/>
    <mergeCell ref="F6431:G6431"/>
    <mergeCell ref="A6432:B6432"/>
    <mergeCell ref="F6432:G6432"/>
    <mergeCell ref="A6433:B6433"/>
    <mergeCell ref="F6433:G6433"/>
    <mergeCell ref="A6434:B6434"/>
    <mergeCell ref="F6434:G6434"/>
    <mergeCell ref="A6435:B6435"/>
    <mergeCell ref="F6435:G6435"/>
    <mergeCell ref="A6436:B6436"/>
    <mergeCell ref="F6436:G6436"/>
    <mergeCell ref="A6437:G6437"/>
    <mergeCell ref="A6438:H6438"/>
    <mergeCell ref="A6439:B6439"/>
    <mergeCell ref="F6439:G6439"/>
    <mergeCell ref="A6440:B6440"/>
    <mergeCell ref="F6440:G6440"/>
    <mergeCell ref="A6441:G6441"/>
    <mergeCell ref="A6442:H6442"/>
    <mergeCell ref="A6443:B6443"/>
    <mergeCell ref="F6443:G6443"/>
    <mergeCell ref="A6444:B6444"/>
    <mergeCell ref="F6444:G6444"/>
    <mergeCell ref="A6445:B6445"/>
    <mergeCell ref="F6445:G6445"/>
    <mergeCell ref="A6446:B6446"/>
    <mergeCell ref="F6446:G6446"/>
    <mergeCell ref="A6447:G6447"/>
    <mergeCell ref="A6449:D6449"/>
    <mergeCell ref="F6454:G6454"/>
    <mergeCell ref="A6457:H6457"/>
    <mergeCell ref="A6459:A6462"/>
    <mergeCell ref="B6459:G6462"/>
    <mergeCell ref="H6459:H6461"/>
    <mergeCell ref="B6463:F6463"/>
    <mergeCell ref="B6464:E6464"/>
    <mergeCell ref="A6467:C6467"/>
    <mergeCell ref="A6468:C6468"/>
    <mergeCell ref="A6469:C6469"/>
    <mergeCell ref="A6470:C6470"/>
    <mergeCell ref="A6471:C6471"/>
    <mergeCell ref="A6472:G6472"/>
    <mergeCell ref="A6473:H6473"/>
    <mergeCell ref="A6474:B6474"/>
    <mergeCell ref="F6474:G6474"/>
    <mergeCell ref="A6475:B6475"/>
    <mergeCell ref="F6475:G6475"/>
    <mergeCell ref="A6476:B6476"/>
    <mergeCell ref="F6476:G6476"/>
    <mergeCell ref="A6477:B6477"/>
    <mergeCell ref="F6477:G6477"/>
    <mergeCell ref="A6478:B6478"/>
    <mergeCell ref="F6478:G6478"/>
    <mergeCell ref="A6479:B6479"/>
    <mergeCell ref="F6479:G6479"/>
    <mergeCell ref="A6480:B6480"/>
    <mergeCell ref="F6480:G6480"/>
    <mergeCell ref="A6481:B6481"/>
    <mergeCell ref="F6481:G6481"/>
    <mergeCell ref="A6482:B6482"/>
    <mergeCell ref="F6482:G6482"/>
    <mergeCell ref="A6483:B6483"/>
    <mergeCell ref="F6483:G6483"/>
    <mergeCell ref="A6484:B6484"/>
    <mergeCell ref="F6484:G6484"/>
    <mergeCell ref="A6485:B6485"/>
    <mergeCell ref="F6485:G6485"/>
    <mergeCell ref="A6486:B6486"/>
    <mergeCell ref="F6486:G6486"/>
    <mergeCell ref="A6487:B6487"/>
    <mergeCell ref="F6487:G6487"/>
    <mergeCell ref="A6488:B6488"/>
    <mergeCell ref="F6488:G6488"/>
    <mergeCell ref="A6489:G6489"/>
    <mergeCell ref="A6490:H6490"/>
    <mergeCell ref="A6491:B6491"/>
    <mergeCell ref="F6491:G6491"/>
    <mergeCell ref="A6492:B6492"/>
    <mergeCell ref="F6492:G6492"/>
    <mergeCell ref="A6493:G6493"/>
    <mergeCell ref="A6494:H6494"/>
    <mergeCell ref="A6495:B6495"/>
    <mergeCell ref="F6495:G6495"/>
    <mergeCell ref="A6496:B6496"/>
    <mergeCell ref="F6496:G6496"/>
    <mergeCell ref="A6497:B6497"/>
    <mergeCell ref="F6497:G6497"/>
    <mergeCell ref="A6498:B6498"/>
    <mergeCell ref="F6498:G6498"/>
    <mergeCell ref="A6499:G6499"/>
    <mergeCell ref="A6501:D6501"/>
    <mergeCell ref="F6506:G6506"/>
    <mergeCell ref="A6509:H6509"/>
    <mergeCell ref="A6511:A6514"/>
    <mergeCell ref="B6511:G6514"/>
    <mergeCell ref="H6511:H6513"/>
    <mergeCell ref="B6515:F6515"/>
    <mergeCell ref="B6516:E6516"/>
    <mergeCell ref="A6519:C6519"/>
    <mergeCell ref="A6520:C6520"/>
    <mergeCell ref="A6521:C6521"/>
    <mergeCell ref="A6522:C6522"/>
    <mergeCell ref="A6523:C6523"/>
    <mergeCell ref="A6524:G6524"/>
    <mergeCell ref="A6525:H6525"/>
    <mergeCell ref="A6526:B6526"/>
    <mergeCell ref="F6526:G6526"/>
    <mergeCell ref="F6537:G6537"/>
    <mergeCell ref="A6538:B6538"/>
    <mergeCell ref="F6538:G6538"/>
    <mergeCell ref="A6539:B6539"/>
    <mergeCell ref="F6539:G6539"/>
    <mergeCell ref="A6540:B6540"/>
    <mergeCell ref="F6540:G6540"/>
    <mergeCell ref="A6541:G6541"/>
    <mergeCell ref="A6542:H6542"/>
    <mergeCell ref="A6543:B6543"/>
    <mergeCell ref="F6543:G6543"/>
    <mergeCell ref="A6544:B6544"/>
    <mergeCell ref="F6544:G6544"/>
    <mergeCell ref="A6545:G6545"/>
    <mergeCell ref="A6527:B6527"/>
    <mergeCell ref="F6527:G6527"/>
    <mergeCell ref="A6528:B6528"/>
    <mergeCell ref="F6528:G6528"/>
    <mergeCell ref="A6529:B6529"/>
    <mergeCell ref="F6529:G6529"/>
    <mergeCell ref="A6530:B6530"/>
    <mergeCell ref="F6530:G6530"/>
    <mergeCell ref="A6531:B6531"/>
    <mergeCell ref="F6531:G6531"/>
    <mergeCell ref="A6532:B6532"/>
    <mergeCell ref="F6532:G6532"/>
    <mergeCell ref="A6533:B6533"/>
    <mergeCell ref="F6533:G6533"/>
    <mergeCell ref="A6534:B6534"/>
    <mergeCell ref="F6534:G6534"/>
    <mergeCell ref="A6535:B6535"/>
    <mergeCell ref="F6535:G6535"/>
    <mergeCell ref="A9247:H9247"/>
    <mergeCell ref="A9249:A9252"/>
    <mergeCell ref="B9249:G9252"/>
    <mergeCell ref="H9249:H9251"/>
    <mergeCell ref="B9253:F9253"/>
    <mergeCell ref="B9199:E9199"/>
    <mergeCell ref="A9202:C9202"/>
    <mergeCell ref="A9203:C9203"/>
    <mergeCell ref="A9204:C9204"/>
    <mergeCell ref="A9205:C9205"/>
    <mergeCell ref="A9206:C9206"/>
    <mergeCell ref="A9207:G9207"/>
    <mergeCell ref="A9208:H9208"/>
    <mergeCell ref="A9209:B9209"/>
    <mergeCell ref="F9209:G9209"/>
    <mergeCell ref="A9210:B9210"/>
    <mergeCell ref="F9210:G9210"/>
    <mergeCell ref="A9211:B9211"/>
    <mergeCell ref="F9211:G9211"/>
    <mergeCell ref="A9212:B9212"/>
    <mergeCell ref="F9212:G9212"/>
    <mergeCell ref="A9213:B9213"/>
    <mergeCell ref="F9213:G9213"/>
    <mergeCell ref="A9214:B9214"/>
    <mergeCell ref="F9214:G9214"/>
    <mergeCell ref="A9215:B9215"/>
    <mergeCell ref="F9215:G9215"/>
    <mergeCell ref="A9216:B9216"/>
    <mergeCell ref="F9216:G9216"/>
    <mergeCell ref="A9217:B9217"/>
    <mergeCell ref="F9217:G9217"/>
    <mergeCell ref="A9218:B9218"/>
    <mergeCell ref="B9254:E9254"/>
    <mergeCell ref="A9220:B9220"/>
    <mergeCell ref="F9220:G9220"/>
    <mergeCell ref="A9232:B9232"/>
    <mergeCell ref="F9232:G9232"/>
    <mergeCell ref="A9233:B9233"/>
    <mergeCell ref="F9233:G9233"/>
    <mergeCell ref="A9234:G9234"/>
    <mergeCell ref="A9236:D9236"/>
    <mergeCell ref="F9241:G9241"/>
    <mergeCell ref="A9221:B9221"/>
    <mergeCell ref="F9221:G9221"/>
    <mergeCell ref="A9222:B9222"/>
    <mergeCell ref="F9222:G9222"/>
    <mergeCell ref="A9223:B9223"/>
    <mergeCell ref="F9223:G9223"/>
    <mergeCell ref="A9224:G9224"/>
    <mergeCell ref="A9225:H9225"/>
    <mergeCell ref="A9226:B9226"/>
    <mergeCell ref="F9226:G9226"/>
    <mergeCell ref="A9227:B9227"/>
    <mergeCell ref="F9227:G9227"/>
    <mergeCell ref="A9228:G9228"/>
    <mergeCell ref="A9229:H9229"/>
    <mergeCell ref="A9230:B9230"/>
    <mergeCell ref="F9230:G9230"/>
    <mergeCell ref="A9231:B9231"/>
    <mergeCell ref="F9231:G9231"/>
    <mergeCell ref="A9257:C9257"/>
    <mergeCell ref="A9258:C9258"/>
    <mergeCell ref="A9259:C9259"/>
    <mergeCell ref="A9260:C9260"/>
    <mergeCell ref="A9261:C9261"/>
    <mergeCell ref="A9262:G9262"/>
    <mergeCell ref="A9263:H9263"/>
    <mergeCell ref="A9264:B9264"/>
    <mergeCell ref="F9264:G9264"/>
    <mergeCell ref="A9265:B9265"/>
    <mergeCell ref="F9265:G9265"/>
    <mergeCell ref="A9266:B9266"/>
    <mergeCell ref="F9266:G9266"/>
    <mergeCell ref="A9267:B9267"/>
    <mergeCell ref="F9267:G9267"/>
    <mergeCell ref="A9268:B9268"/>
    <mergeCell ref="F9268:G9268"/>
    <mergeCell ref="A9269:B9269"/>
    <mergeCell ref="F9269:G9269"/>
    <mergeCell ref="A9270:B9270"/>
    <mergeCell ref="F9270:G9270"/>
    <mergeCell ref="A9271:B9271"/>
    <mergeCell ref="F9271:G9271"/>
    <mergeCell ref="A9272:B9272"/>
    <mergeCell ref="F9272:G9272"/>
    <mergeCell ref="A9273:B9273"/>
    <mergeCell ref="F9273:G9273"/>
    <mergeCell ref="A9274:B9274"/>
    <mergeCell ref="F9274:G9274"/>
    <mergeCell ref="A9275:B9275"/>
    <mergeCell ref="F9275:G9275"/>
    <mergeCell ref="A9276:B9276"/>
    <mergeCell ref="F9276:G9276"/>
    <mergeCell ref="A9277:B9277"/>
    <mergeCell ref="F9277:G9277"/>
    <mergeCell ref="A9278:B9278"/>
    <mergeCell ref="F9278:G9278"/>
    <mergeCell ref="A9279:G9279"/>
    <mergeCell ref="A9280:H9280"/>
    <mergeCell ref="A9281:B9281"/>
    <mergeCell ref="F9281:G9281"/>
    <mergeCell ref="A9282:B9282"/>
    <mergeCell ref="F9282:G9282"/>
    <mergeCell ref="A9283:G9283"/>
    <mergeCell ref="A9284:H9284"/>
    <mergeCell ref="A9285:B9285"/>
    <mergeCell ref="F9285:G9285"/>
    <mergeCell ref="A9286:B9286"/>
    <mergeCell ref="F9286:G9286"/>
    <mergeCell ref="A9287:B9287"/>
    <mergeCell ref="F9287:G9287"/>
    <mergeCell ref="A9288:B9288"/>
    <mergeCell ref="F9288:G9288"/>
    <mergeCell ref="A9289:G9289"/>
    <mergeCell ref="A9291:D9291"/>
    <mergeCell ref="F9296:G9296"/>
    <mergeCell ref="A9299:H9299"/>
    <mergeCell ref="A9301:A9304"/>
    <mergeCell ref="B9301:G9304"/>
    <mergeCell ref="H9301:H9303"/>
    <mergeCell ref="B9305:F9305"/>
    <mergeCell ref="B9306:E9306"/>
    <mergeCell ref="A9309:C9309"/>
    <mergeCell ref="A9310:C9310"/>
    <mergeCell ref="A9311:C9311"/>
    <mergeCell ref="A9312:C9312"/>
    <mergeCell ref="A9313:C9313"/>
    <mergeCell ref="A9314:G9314"/>
    <mergeCell ref="A9315:H9315"/>
    <mergeCell ref="A9316:B9316"/>
    <mergeCell ref="F9316:G9316"/>
    <mergeCell ref="A9317:B9317"/>
    <mergeCell ref="F9317:G9317"/>
    <mergeCell ref="A9318:B9318"/>
    <mergeCell ref="F9318:G9318"/>
    <mergeCell ref="A9319:B9319"/>
    <mergeCell ref="F9319:G9319"/>
    <mergeCell ref="A9320:B9320"/>
    <mergeCell ref="F9320:G9320"/>
    <mergeCell ref="A9321:B9321"/>
    <mergeCell ref="F9321:G9321"/>
    <mergeCell ref="A9322:B9322"/>
    <mergeCell ref="F9322:G9322"/>
    <mergeCell ref="A9323:B9323"/>
    <mergeCell ref="F9323:G9323"/>
    <mergeCell ref="A9324:B9324"/>
    <mergeCell ref="F9324:G9324"/>
    <mergeCell ref="A9325:B9325"/>
    <mergeCell ref="F9325:G9325"/>
    <mergeCell ref="A9326:B9326"/>
    <mergeCell ref="F9326:G9326"/>
    <mergeCell ref="A9327:B9327"/>
    <mergeCell ref="F9327:G9327"/>
    <mergeCell ref="A9328:B9328"/>
    <mergeCell ref="F9328:G9328"/>
    <mergeCell ref="A9329:B9329"/>
    <mergeCell ref="F9329:G9329"/>
    <mergeCell ref="A9330:B9330"/>
    <mergeCell ref="F9330:G9330"/>
    <mergeCell ref="A9331:G9331"/>
    <mergeCell ref="A9332:H9332"/>
    <mergeCell ref="A9333:B9333"/>
    <mergeCell ref="F9333:G9333"/>
    <mergeCell ref="A9334:B9334"/>
    <mergeCell ref="F9334:G9334"/>
    <mergeCell ref="A9335:G9335"/>
    <mergeCell ref="A9336:H9336"/>
    <mergeCell ref="A9337:B9337"/>
    <mergeCell ref="F9337:G9337"/>
    <mergeCell ref="A9338:B9338"/>
    <mergeCell ref="F9338:G9338"/>
    <mergeCell ref="A9339:B9339"/>
    <mergeCell ref="F9339:G9339"/>
    <mergeCell ref="A9340:B9340"/>
    <mergeCell ref="F9340:G9340"/>
    <mergeCell ref="A9341:G9341"/>
    <mergeCell ref="A9343:D9343"/>
    <mergeCell ref="F9348:G9348"/>
    <mergeCell ref="A9351:H9351"/>
    <mergeCell ref="A9353:A9356"/>
    <mergeCell ref="B9353:G9356"/>
    <mergeCell ref="H9353:H9355"/>
    <mergeCell ref="B9357:F9357"/>
    <mergeCell ref="B9358:E9358"/>
    <mergeCell ref="A9361:C9361"/>
    <mergeCell ref="A9362:C9362"/>
    <mergeCell ref="A9363:C9363"/>
    <mergeCell ref="A9364:C9364"/>
    <mergeCell ref="A9365:C9365"/>
    <mergeCell ref="A9366:G9366"/>
    <mergeCell ref="A9367:H9367"/>
    <mergeCell ref="A9368:B9368"/>
    <mergeCell ref="F9368:G9368"/>
    <mergeCell ref="A9369:B9369"/>
    <mergeCell ref="F9369:G9369"/>
    <mergeCell ref="A9370:B9370"/>
    <mergeCell ref="F9370:G9370"/>
    <mergeCell ref="A9371:B9371"/>
    <mergeCell ref="F9371:G9371"/>
    <mergeCell ref="A9372:B9372"/>
    <mergeCell ref="F9372:G9372"/>
    <mergeCell ref="A9373:B9373"/>
    <mergeCell ref="F9373:G9373"/>
    <mergeCell ref="A9374:B9374"/>
    <mergeCell ref="F9374:G9374"/>
    <mergeCell ref="A9375:B9375"/>
    <mergeCell ref="F9375:G9375"/>
    <mergeCell ref="A9376:B9376"/>
    <mergeCell ref="F9376:G9376"/>
    <mergeCell ref="A9377:B9377"/>
    <mergeCell ref="F9377:G9377"/>
    <mergeCell ref="A9378:B9378"/>
    <mergeCell ref="F9378:G9378"/>
    <mergeCell ref="A9379:B9379"/>
    <mergeCell ref="F9379:G9379"/>
    <mergeCell ref="A9380:B9380"/>
    <mergeCell ref="F9380:G9380"/>
    <mergeCell ref="A9381:B9381"/>
    <mergeCell ref="F9381:G9381"/>
    <mergeCell ref="A9382:B9382"/>
    <mergeCell ref="F9382:G9382"/>
    <mergeCell ref="A9383:G9383"/>
    <mergeCell ref="A9384:H9384"/>
    <mergeCell ref="A9385:B9385"/>
    <mergeCell ref="F9385:G9385"/>
    <mergeCell ref="A9386:B9386"/>
    <mergeCell ref="F9386:G9386"/>
    <mergeCell ref="A9387:G9387"/>
    <mergeCell ref="A9388:H9388"/>
    <mergeCell ref="A9389:B9389"/>
    <mergeCell ref="F9389:G9389"/>
    <mergeCell ref="A9390:B9390"/>
    <mergeCell ref="F9390:G9390"/>
    <mergeCell ref="A9391:B9391"/>
    <mergeCell ref="F9391:G9391"/>
    <mergeCell ref="A9392:B9392"/>
    <mergeCell ref="F9392:G9392"/>
    <mergeCell ref="A9393:G9393"/>
    <mergeCell ref="A9395:D9395"/>
    <mergeCell ref="F9400:G9400"/>
    <mergeCell ref="A9404:H9404"/>
    <mergeCell ref="A9406:A9409"/>
    <mergeCell ref="B9406:G9409"/>
    <mergeCell ref="H9406:H9408"/>
    <mergeCell ref="B9410:F9410"/>
    <mergeCell ref="B9411:E9411"/>
    <mergeCell ref="A9414:C9414"/>
    <mergeCell ref="A9415:C9415"/>
    <mergeCell ref="A9416:C9416"/>
    <mergeCell ref="A9417:C9417"/>
    <mergeCell ref="A9418:C9418"/>
    <mergeCell ref="A9419:G9419"/>
    <mergeCell ref="A9420:H9420"/>
    <mergeCell ref="A9421:B9421"/>
    <mergeCell ref="F9421:G9421"/>
    <mergeCell ref="A9422:B9422"/>
    <mergeCell ref="F9422:G9422"/>
    <mergeCell ref="A9423:B9423"/>
    <mergeCell ref="F9423:G9423"/>
    <mergeCell ref="A9424:B9424"/>
    <mergeCell ref="F9424:G9424"/>
    <mergeCell ref="A9425:B9425"/>
    <mergeCell ref="F9425:G9425"/>
    <mergeCell ref="A9426:B9426"/>
    <mergeCell ref="F9426:G9426"/>
    <mergeCell ref="A9427:B9427"/>
    <mergeCell ref="F9427:G9427"/>
    <mergeCell ref="A9428:B9428"/>
    <mergeCell ref="F9428:G9428"/>
    <mergeCell ref="A9429:B9429"/>
    <mergeCell ref="F9429:G9429"/>
    <mergeCell ref="A9430:B9430"/>
    <mergeCell ref="F9430:G9430"/>
    <mergeCell ref="A9431:B9431"/>
    <mergeCell ref="F9431:G9431"/>
    <mergeCell ref="A9432:B9432"/>
    <mergeCell ref="F9432:G9432"/>
    <mergeCell ref="A9433:B9433"/>
    <mergeCell ref="F9433:G9433"/>
    <mergeCell ref="A9434:B9434"/>
    <mergeCell ref="F9434:G9434"/>
    <mergeCell ref="A9435:B9435"/>
    <mergeCell ref="F9435:G9435"/>
    <mergeCell ref="A9436:G9436"/>
    <mergeCell ref="A9437:H9437"/>
    <mergeCell ref="A9438:B9438"/>
    <mergeCell ref="F9438:G9438"/>
    <mergeCell ref="A9439:B9439"/>
    <mergeCell ref="F9439:G9439"/>
    <mergeCell ref="A9440:G9440"/>
    <mergeCell ref="A9441:H9441"/>
    <mergeCell ref="A9442:B9442"/>
    <mergeCell ref="F9442:G9442"/>
    <mergeCell ref="A9443:B9443"/>
    <mergeCell ref="F9443:G9443"/>
    <mergeCell ref="A9444:B9444"/>
    <mergeCell ref="F9444:G9444"/>
    <mergeCell ref="A9445:B9445"/>
    <mergeCell ref="F9445:G9445"/>
    <mergeCell ref="A9446:G9446"/>
    <mergeCell ref="A9448:D9448"/>
    <mergeCell ref="F9453:G9453"/>
    <mergeCell ref="A9456:H9456"/>
    <mergeCell ref="A9458:A9461"/>
    <mergeCell ref="B9458:G9461"/>
    <mergeCell ref="H9458:H9460"/>
    <mergeCell ref="B9462:F9462"/>
    <mergeCell ref="B9463:E9463"/>
    <mergeCell ref="A9466:C9466"/>
    <mergeCell ref="A9467:C9467"/>
    <mergeCell ref="A9468:C9468"/>
    <mergeCell ref="A9469:C9469"/>
    <mergeCell ref="A9470:C9470"/>
    <mergeCell ref="A9471:G9471"/>
    <mergeCell ref="A9472:H9472"/>
    <mergeCell ref="A9473:B9473"/>
    <mergeCell ref="F9473:G9473"/>
    <mergeCell ref="A9474:B9474"/>
    <mergeCell ref="F9474:G9474"/>
    <mergeCell ref="A9475:B9475"/>
    <mergeCell ref="F9475:G9475"/>
    <mergeCell ref="A9476:B9476"/>
    <mergeCell ref="F9476:G9476"/>
    <mergeCell ref="A9477:B9477"/>
    <mergeCell ref="F9477:G9477"/>
    <mergeCell ref="A9478:B9478"/>
    <mergeCell ref="F9478:G9478"/>
    <mergeCell ref="A9479:B9479"/>
    <mergeCell ref="F9479:G9479"/>
    <mergeCell ref="A9526:B9526"/>
    <mergeCell ref="F9526:G9526"/>
    <mergeCell ref="A9527:B9527"/>
    <mergeCell ref="F9527:G9527"/>
    <mergeCell ref="A9528:B9528"/>
    <mergeCell ref="F9528:G9528"/>
    <mergeCell ref="A9529:B9529"/>
    <mergeCell ref="F9529:G9529"/>
    <mergeCell ref="A9530:B9530"/>
    <mergeCell ref="F9530:G9530"/>
    <mergeCell ref="A9531:B9531"/>
    <mergeCell ref="F9531:G9531"/>
    <mergeCell ref="A9532:B9532"/>
    <mergeCell ref="F9532:G9532"/>
    <mergeCell ref="A9533:B9533"/>
    <mergeCell ref="F9533:G9533"/>
    <mergeCell ref="A9480:B9480"/>
    <mergeCell ref="F9480:G9480"/>
    <mergeCell ref="A9481:B9481"/>
    <mergeCell ref="F9481:G9481"/>
    <mergeCell ref="A9482:B9482"/>
    <mergeCell ref="F9482:G9482"/>
    <mergeCell ref="A9483:B9483"/>
    <mergeCell ref="F9483:G9483"/>
    <mergeCell ref="A9484:B9484"/>
    <mergeCell ref="F9484:G9484"/>
    <mergeCell ref="A9485:B9485"/>
    <mergeCell ref="F9485:G9485"/>
    <mergeCell ref="A9486:B9486"/>
    <mergeCell ref="F9486:G9486"/>
    <mergeCell ref="A9487:B9487"/>
    <mergeCell ref="F9487:G9487"/>
    <mergeCell ref="A9488:G9488"/>
    <mergeCell ref="A9489:H9489"/>
    <mergeCell ref="A9490:B9490"/>
    <mergeCell ref="F9490:G9490"/>
    <mergeCell ref="A9491:B9491"/>
    <mergeCell ref="F9491:G9491"/>
    <mergeCell ref="A9492:G9492"/>
    <mergeCell ref="A9493:H9493"/>
    <mergeCell ref="A9494:B9494"/>
    <mergeCell ref="F9494:G9494"/>
    <mergeCell ref="A9495:B9495"/>
    <mergeCell ref="F9495:G9495"/>
    <mergeCell ref="A9496:B9496"/>
    <mergeCell ref="F9496:G9496"/>
    <mergeCell ref="A9497:B9497"/>
    <mergeCell ref="F9497:G9497"/>
    <mergeCell ref="A9498:G9498"/>
    <mergeCell ref="F9543:G9543"/>
    <mergeCell ref="A9544:G9544"/>
    <mergeCell ref="A9545:H9545"/>
    <mergeCell ref="A9546:B9546"/>
    <mergeCell ref="F9546:G9546"/>
    <mergeCell ref="A9547:B9547"/>
    <mergeCell ref="F9547:G9547"/>
    <mergeCell ref="A9548:B9548"/>
    <mergeCell ref="F9548:G9548"/>
    <mergeCell ref="A9549:B9549"/>
    <mergeCell ref="F9549:G9549"/>
    <mergeCell ref="A9550:G9550"/>
    <mergeCell ref="A9552:D9552"/>
    <mergeCell ref="F9557:G9557"/>
    <mergeCell ref="A1797:H1797"/>
    <mergeCell ref="A1799:A1802"/>
    <mergeCell ref="B1799:G1802"/>
    <mergeCell ref="H1799:H1801"/>
    <mergeCell ref="B1803:F1803"/>
    <mergeCell ref="B1804:E1804"/>
    <mergeCell ref="A1807:C1807"/>
    <mergeCell ref="A1808:C1808"/>
    <mergeCell ref="A1809:C1809"/>
    <mergeCell ref="A1810:C1810"/>
    <mergeCell ref="A1811:G1811"/>
    <mergeCell ref="A1812:H1812"/>
    <mergeCell ref="A1813:B1813"/>
    <mergeCell ref="F1813:G1813"/>
    <mergeCell ref="A1814:B1814"/>
    <mergeCell ref="F1814:G1814"/>
    <mergeCell ref="A1815:B1815"/>
    <mergeCell ref="F1815:G1815"/>
    <mergeCell ref="A1816:B1816"/>
    <mergeCell ref="F1816:G1816"/>
    <mergeCell ref="A1817:B1817"/>
    <mergeCell ref="F1817:G1817"/>
    <mergeCell ref="A1818:B1818"/>
    <mergeCell ref="F1818:G1818"/>
    <mergeCell ref="A1819:B1819"/>
    <mergeCell ref="F1819:G1819"/>
    <mergeCell ref="A1820:B1820"/>
    <mergeCell ref="F1820:G1820"/>
    <mergeCell ref="A1821:B1821"/>
    <mergeCell ref="F1821:G1821"/>
    <mergeCell ref="A1822:B1822"/>
    <mergeCell ref="F1822:G1822"/>
    <mergeCell ref="A1823:B1823"/>
    <mergeCell ref="A9500:D9500"/>
    <mergeCell ref="F9505:G9505"/>
    <mergeCell ref="A9508:H9508"/>
    <mergeCell ref="A9510:A9513"/>
    <mergeCell ref="B9510:G9513"/>
    <mergeCell ref="H9510:H9512"/>
    <mergeCell ref="B9514:F9514"/>
    <mergeCell ref="B9515:E9515"/>
    <mergeCell ref="A9518:C9518"/>
    <mergeCell ref="A9519:C9519"/>
    <mergeCell ref="A9520:C9520"/>
    <mergeCell ref="A9521:C9521"/>
    <mergeCell ref="A9522:C9522"/>
    <mergeCell ref="A9523:G9523"/>
    <mergeCell ref="A9524:H9524"/>
    <mergeCell ref="A9525:B9525"/>
    <mergeCell ref="F9525:G9525"/>
    <mergeCell ref="B1855:E1855"/>
    <mergeCell ref="A1858:C1858"/>
    <mergeCell ref="A1859:C1859"/>
    <mergeCell ref="A1860:C1860"/>
    <mergeCell ref="A1861:C1861"/>
    <mergeCell ref="A1862:G1862"/>
    <mergeCell ref="A1863:H1863"/>
    <mergeCell ref="A1864:B1864"/>
    <mergeCell ref="F1864:G1864"/>
    <mergeCell ref="A1865:B1865"/>
    <mergeCell ref="F1865:G1865"/>
    <mergeCell ref="A1866:B1866"/>
    <mergeCell ref="F1866:G1866"/>
    <mergeCell ref="A1867:B1867"/>
    <mergeCell ref="F1867:G1867"/>
    <mergeCell ref="A1868:B1868"/>
    <mergeCell ref="F1868:G1868"/>
    <mergeCell ref="A1869:B1869"/>
    <mergeCell ref="F1869:G1869"/>
    <mergeCell ref="A1870:B1870"/>
    <mergeCell ref="F1870:G1870"/>
    <mergeCell ref="A1871:B1871"/>
    <mergeCell ref="F1871:G1871"/>
    <mergeCell ref="A1872:B1872"/>
    <mergeCell ref="F1872:G1872"/>
    <mergeCell ref="A1873:B1873"/>
    <mergeCell ref="F1873:G1873"/>
    <mergeCell ref="A1874:B1874"/>
    <mergeCell ref="F1874:G1874"/>
    <mergeCell ref="A1875:B1875"/>
    <mergeCell ref="F1875:G1875"/>
    <mergeCell ref="A1876:B1876"/>
    <mergeCell ref="F1876:G1876"/>
    <mergeCell ref="A1877:B1877"/>
    <mergeCell ref="F1877:G1877"/>
    <mergeCell ref="A1878:B1878"/>
    <mergeCell ref="F1878:G1878"/>
    <mergeCell ref="A1879:G1879"/>
    <mergeCell ref="A1880:H1880"/>
    <mergeCell ref="A1881:B1881"/>
    <mergeCell ref="F1881:G1881"/>
    <mergeCell ref="A1882:B1882"/>
    <mergeCell ref="F1882:G1882"/>
    <mergeCell ref="A1883:G1883"/>
    <mergeCell ref="A1884:H1884"/>
    <mergeCell ref="A1885:B1885"/>
    <mergeCell ref="F1885:G1885"/>
    <mergeCell ref="A1886:B1886"/>
    <mergeCell ref="F1886:G1886"/>
    <mergeCell ref="A1887:B1887"/>
    <mergeCell ref="F1887:G1887"/>
    <mergeCell ref="A1888:B1888"/>
    <mergeCell ref="F1888:G1888"/>
    <mergeCell ref="A1889:G1889"/>
    <mergeCell ref="A1891:D1891"/>
    <mergeCell ref="F1896:G1896"/>
    <mergeCell ref="A1899:H1899"/>
    <mergeCell ref="A1901:A1904"/>
    <mergeCell ref="B1901:G1904"/>
    <mergeCell ref="H1901:H1903"/>
    <mergeCell ref="B1905:F1905"/>
    <mergeCell ref="B1906:E1906"/>
    <mergeCell ref="A1909:C1909"/>
    <mergeCell ref="A1910:C1910"/>
    <mergeCell ref="A1911:C1911"/>
    <mergeCell ref="A1912:C1912"/>
    <mergeCell ref="A1913:G1913"/>
    <mergeCell ref="A1914:H1914"/>
    <mergeCell ref="A1915:B1915"/>
    <mergeCell ref="F1915:G1915"/>
    <mergeCell ref="A1916:B1916"/>
    <mergeCell ref="F1916:G1916"/>
    <mergeCell ref="A1917:B1917"/>
    <mergeCell ref="F1917:G1917"/>
    <mergeCell ref="A1918:B1918"/>
    <mergeCell ref="F1918:G1918"/>
    <mergeCell ref="A1919:B1919"/>
    <mergeCell ref="F1919:G1919"/>
    <mergeCell ref="A1920:B1920"/>
    <mergeCell ref="F1920:G1920"/>
    <mergeCell ref="A1921:B1921"/>
    <mergeCell ref="F1921:G1921"/>
    <mergeCell ref="A1922:B1922"/>
    <mergeCell ref="F1922:G1922"/>
    <mergeCell ref="A1923:B1923"/>
    <mergeCell ref="F1923:G1923"/>
    <mergeCell ref="A1924:B1924"/>
    <mergeCell ref="F1924:G1924"/>
    <mergeCell ref="A1925:B1925"/>
    <mergeCell ref="F1925:G1925"/>
    <mergeCell ref="A1926:B1926"/>
    <mergeCell ref="F1926:G1926"/>
    <mergeCell ref="A1927:B1927"/>
    <mergeCell ref="F1927:G1927"/>
    <mergeCell ref="A1928:B1928"/>
    <mergeCell ref="F1928:G1928"/>
    <mergeCell ref="A1929:B1929"/>
    <mergeCell ref="F1929:G1929"/>
    <mergeCell ref="A1930:G1930"/>
    <mergeCell ref="A1931:H1931"/>
    <mergeCell ref="A1932:B1932"/>
    <mergeCell ref="F1932:G1932"/>
    <mergeCell ref="A1933:B1933"/>
    <mergeCell ref="F1933:G1933"/>
    <mergeCell ref="A1934:G1934"/>
    <mergeCell ref="A1935:H1935"/>
    <mergeCell ref="A1936:B1936"/>
    <mergeCell ref="F1936:G1936"/>
    <mergeCell ref="A1937:B1937"/>
    <mergeCell ref="F1937:G1937"/>
    <mergeCell ref="A1938:B1938"/>
    <mergeCell ref="F1938:G1938"/>
    <mergeCell ref="A1939:B1939"/>
    <mergeCell ref="F1939:G1939"/>
    <mergeCell ref="A1940:G1940"/>
    <mergeCell ref="A1942:D1942"/>
    <mergeCell ref="F1947:G1947"/>
    <mergeCell ref="A1950:H1950"/>
    <mergeCell ref="A1952:A1955"/>
    <mergeCell ref="B1952:G1955"/>
    <mergeCell ref="H1952:H1954"/>
    <mergeCell ref="B1956:F1956"/>
    <mergeCell ref="B1957:E1957"/>
    <mergeCell ref="A1960:C1960"/>
    <mergeCell ref="A1961:C1961"/>
    <mergeCell ref="A1962:C1962"/>
    <mergeCell ref="A1963:C1963"/>
    <mergeCell ref="A1964:G1964"/>
    <mergeCell ref="A1965:H1965"/>
    <mergeCell ref="A1966:B1966"/>
    <mergeCell ref="F1966:G1966"/>
    <mergeCell ref="A1967:B1967"/>
    <mergeCell ref="F1967:G1967"/>
    <mergeCell ref="A1968:B1968"/>
    <mergeCell ref="F1968:G1968"/>
    <mergeCell ref="A1969:B1969"/>
    <mergeCell ref="F1969:G1969"/>
    <mergeCell ref="A1970:B1970"/>
    <mergeCell ref="F1970:G1970"/>
    <mergeCell ref="A1971:B1971"/>
    <mergeCell ref="F1971:G1971"/>
    <mergeCell ref="A1972:B1972"/>
    <mergeCell ref="F1972:G1972"/>
    <mergeCell ref="A1973:B1973"/>
    <mergeCell ref="F1973:G1973"/>
    <mergeCell ref="A1974:B1974"/>
    <mergeCell ref="F1974:G1974"/>
    <mergeCell ref="A1975:B1975"/>
    <mergeCell ref="F1975:G1975"/>
    <mergeCell ref="A1976:B1976"/>
    <mergeCell ref="F1976:G1976"/>
    <mergeCell ref="A1977:B1977"/>
    <mergeCell ref="F1977:G1977"/>
    <mergeCell ref="A1978:B1978"/>
    <mergeCell ref="F1978:G1978"/>
    <mergeCell ref="A1979:B1979"/>
    <mergeCell ref="F1979:G1979"/>
    <mergeCell ref="A1980:B1980"/>
    <mergeCell ref="F1980:G1980"/>
    <mergeCell ref="A1981:G1981"/>
    <mergeCell ref="A1982:H1982"/>
    <mergeCell ref="A1983:B1983"/>
    <mergeCell ref="F1983:G1983"/>
    <mergeCell ref="A1984:B1984"/>
    <mergeCell ref="F1984:G1984"/>
    <mergeCell ref="A1985:G1985"/>
    <mergeCell ref="A1986:H1986"/>
    <mergeCell ref="A1987:B1987"/>
    <mergeCell ref="F1987:G1987"/>
    <mergeCell ref="A1988:B1988"/>
    <mergeCell ref="F1988:G1988"/>
    <mergeCell ref="A1989:B1989"/>
    <mergeCell ref="F1989:G1989"/>
    <mergeCell ref="A1990:B1990"/>
    <mergeCell ref="F1990:G1990"/>
    <mergeCell ref="A1991:G1991"/>
    <mergeCell ref="A1993:D1993"/>
    <mergeCell ref="F1998:G1998"/>
    <mergeCell ref="A2001:H2001"/>
    <mergeCell ref="A2003:A2006"/>
    <mergeCell ref="B2003:G2006"/>
    <mergeCell ref="H2003:H2005"/>
    <mergeCell ref="B2007:F2007"/>
    <mergeCell ref="B2008:E2008"/>
    <mergeCell ref="A2011:C2011"/>
    <mergeCell ref="A2012:C2012"/>
    <mergeCell ref="A2013:C2013"/>
    <mergeCell ref="A2014:C2014"/>
    <mergeCell ref="A2015:G2015"/>
    <mergeCell ref="A2016:H2016"/>
    <mergeCell ref="A2017:B2017"/>
    <mergeCell ref="F2017:G2017"/>
    <mergeCell ref="A2018:B2018"/>
    <mergeCell ref="F2018:G2018"/>
    <mergeCell ref="A2019:B2019"/>
    <mergeCell ref="F2019:G2019"/>
    <mergeCell ref="A2020:B2020"/>
    <mergeCell ref="F2020:G2020"/>
    <mergeCell ref="A2021:B2021"/>
    <mergeCell ref="F2021:G2021"/>
    <mergeCell ref="A2022:B2022"/>
    <mergeCell ref="F2022:G2022"/>
    <mergeCell ref="A2023:B2023"/>
    <mergeCell ref="F2023:G2023"/>
    <mergeCell ref="A2024:B2024"/>
    <mergeCell ref="F2024:G2024"/>
    <mergeCell ref="A2025:B2025"/>
    <mergeCell ref="F2025:G2025"/>
    <mergeCell ref="A2026:B2026"/>
    <mergeCell ref="F2026:G2026"/>
    <mergeCell ref="A2027:B2027"/>
    <mergeCell ref="F2027:G2027"/>
    <mergeCell ref="A2028:B2028"/>
    <mergeCell ref="F2028:G2028"/>
    <mergeCell ref="A2029:B2029"/>
    <mergeCell ref="F2029:G2029"/>
    <mergeCell ref="A2030:B2030"/>
    <mergeCell ref="F2030:G2030"/>
    <mergeCell ref="A2031:B2031"/>
    <mergeCell ref="F2031:G2031"/>
    <mergeCell ref="A2032:G2032"/>
    <mergeCell ref="A2033:H2033"/>
    <mergeCell ref="A2034:B2034"/>
    <mergeCell ref="F2034:G2034"/>
    <mergeCell ref="A2035:B2035"/>
    <mergeCell ref="F2035:G2035"/>
    <mergeCell ref="A2036:G2036"/>
    <mergeCell ref="A2037:H2037"/>
    <mergeCell ref="A2038:B2038"/>
    <mergeCell ref="F2038:G2038"/>
    <mergeCell ref="A2039:B2039"/>
    <mergeCell ref="F2039:G2039"/>
    <mergeCell ref="A2040:B2040"/>
    <mergeCell ref="F2040:G2040"/>
    <mergeCell ref="A2041:B2041"/>
    <mergeCell ref="F2041:G2041"/>
    <mergeCell ref="A2042:G2042"/>
    <mergeCell ref="A2044:D2044"/>
    <mergeCell ref="F2049:G2049"/>
    <mergeCell ref="A2052:H2052"/>
    <mergeCell ref="A2054:A2057"/>
    <mergeCell ref="B2054:G2057"/>
    <mergeCell ref="H2054:H2056"/>
    <mergeCell ref="B2058:F2058"/>
    <mergeCell ref="B2059:E2059"/>
    <mergeCell ref="A2062:C2062"/>
    <mergeCell ref="A2063:C2063"/>
    <mergeCell ref="A2064:C2064"/>
    <mergeCell ref="A2065:C2065"/>
    <mergeCell ref="A2066:G2066"/>
    <mergeCell ref="A2067:H2067"/>
    <mergeCell ref="A2068:B2068"/>
    <mergeCell ref="F2068:G2068"/>
    <mergeCell ref="A2069:B2069"/>
    <mergeCell ref="F2069:G2069"/>
    <mergeCell ref="A2070:B2070"/>
    <mergeCell ref="F2070:G2070"/>
    <mergeCell ref="A2071:B2071"/>
    <mergeCell ref="F2071:G2071"/>
    <mergeCell ref="A2072:B2072"/>
    <mergeCell ref="F2072:G2072"/>
    <mergeCell ref="A2073:B2073"/>
    <mergeCell ref="F2073:G2073"/>
    <mergeCell ref="A2074:B2074"/>
    <mergeCell ref="F2074:G2074"/>
    <mergeCell ref="A2075:B2075"/>
    <mergeCell ref="F2075:G2075"/>
    <mergeCell ref="A2076:B2076"/>
    <mergeCell ref="F2076:G2076"/>
    <mergeCell ref="A2077:B2077"/>
    <mergeCell ref="F2077:G2077"/>
    <mergeCell ref="A2078:B2078"/>
    <mergeCell ref="F2078:G2078"/>
    <mergeCell ref="A2079:B2079"/>
    <mergeCell ref="F2079:G2079"/>
    <mergeCell ref="A2080:B2080"/>
    <mergeCell ref="F2080:G2080"/>
    <mergeCell ref="A2081:B2081"/>
    <mergeCell ref="F2081:G2081"/>
    <mergeCell ref="A2082:B2082"/>
    <mergeCell ref="F2082:G2082"/>
    <mergeCell ref="A2083:G2083"/>
    <mergeCell ref="A2084:H2084"/>
    <mergeCell ref="A2085:B2085"/>
    <mergeCell ref="F2085:G2085"/>
    <mergeCell ref="A2086:B2086"/>
    <mergeCell ref="F2086:G2086"/>
    <mergeCell ref="A2087:G2087"/>
    <mergeCell ref="A2088:H2088"/>
    <mergeCell ref="A2089:B2089"/>
    <mergeCell ref="F2089:G2089"/>
    <mergeCell ref="A2090:B2090"/>
    <mergeCell ref="F2090:G2090"/>
    <mergeCell ref="A2091:B2091"/>
    <mergeCell ref="F2091:G2091"/>
    <mergeCell ref="A2092:B2092"/>
    <mergeCell ref="F2092:G2092"/>
    <mergeCell ref="A2093:G2093"/>
    <mergeCell ref="A2095:D2095"/>
    <mergeCell ref="F2100:G2100"/>
    <mergeCell ref="A2103:H2103"/>
    <mergeCell ref="A2105:A2108"/>
    <mergeCell ref="B2105:G2108"/>
    <mergeCell ref="H2105:H2107"/>
    <mergeCell ref="B2109:F2109"/>
    <mergeCell ref="B2110:E2110"/>
    <mergeCell ref="A2113:C2113"/>
    <mergeCell ref="A2114:C2114"/>
    <mergeCell ref="A2115:C2115"/>
    <mergeCell ref="A2116:C2116"/>
    <mergeCell ref="A2117:G2117"/>
    <mergeCell ref="A2118:H2118"/>
    <mergeCell ref="A2119:B2119"/>
    <mergeCell ref="F2119:G2119"/>
    <mergeCell ref="A2120:B2120"/>
    <mergeCell ref="F2120:G2120"/>
    <mergeCell ref="A2121:B2121"/>
    <mergeCell ref="F2121:G2121"/>
    <mergeCell ref="A2122:B2122"/>
    <mergeCell ref="F2122:G2122"/>
    <mergeCell ref="A2123:B2123"/>
    <mergeCell ref="F2123:G2123"/>
    <mergeCell ref="A2124:B2124"/>
    <mergeCell ref="F2124:G2124"/>
    <mergeCell ref="A2125:B2125"/>
    <mergeCell ref="F2125:G2125"/>
    <mergeCell ref="A2126:B2126"/>
    <mergeCell ref="F2126:G2126"/>
    <mergeCell ref="A2127:B2127"/>
    <mergeCell ref="F2127:G2127"/>
    <mergeCell ref="A2128:B2128"/>
    <mergeCell ref="F2128:G2128"/>
    <mergeCell ref="A2129:B2129"/>
    <mergeCell ref="F2129:G2129"/>
    <mergeCell ref="A2130:B2130"/>
    <mergeCell ref="F2130:G2130"/>
    <mergeCell ref="A2131:B2131"/>
    <mergeCell ref="F2131:G2131"/>
    <mergeCell ref="A2132:B2132"/>
    <mergeCell ref="F2132:G2132"/>
    <mergeCell ref="A2133:B2133"/>
    <mergeCell ref="F2133:G2133"/>
    <mergeCell ref="A2134:G2134"/>
    <mergeCell ref="A2135:H2135"/>
    <mergeCell ref="A2136:B2136"/>
    <mergeCell ref="F2136:G2136"/>
    <mergeCell ref="A2137:B2137"/>
    <mergeCell ref="F2137:G2137"/>
    <mergeCell ref="A2138:G2138"/>
    <mergeCell ref="A2139:H2139"/>
    <mergeCell ref="A2140:B2140"/>
    <mergeCell ref="F2140:G2140"/>
    <mergeCell ref="A2141:B2141"/>
    <mergeCell ref="F2141:G2141"/>
    <mergeCell ref="A2142:B2142"/>
    <mergeCell ref="F2142:G2142"/>
    <mergeCell ref="A2143:B2143"/>
    <mergeCell ref="F2143:G2143"/>
    <mergeCell ref="A2144:G2144"/>
    <mergeCell ref="A2146:D2146"/>
    <mergeCell ref="F2151:G2151"/>
    <mergeCell ref="A2154:H2154"/>
    <mergeCell ref="A2156:A2159"/>
    <mergeCell ref="B2156:G2159"/>
    <mergeCell ref="H2156:H2158"/>
    <mergeCell ref="B2160:F2160"/>
    <mergeCell ref="B2161:E2161"/>
    <mergeCell ref="A2164:C2164"/>
    <mergeCell ref="A2165:C2165"/>
    <mergeCell ref="A2166:C2166"/>
    <mergeCell ref="A2167:C2167"/>
    <mergeCell ref="A2168:G2168"/>
    <mergeCell ref="A2169:H2169"/>
    <mergeCell ref="A2170:B2170"/>
    <mergeCell ref="F2170:G2170"/>
    <mergeCell ref="A2171:B2171"/>
    <mergeCell ref="F2171:G2171"/>
    <mergeCell ref="A2172:B2172"/>
    <mergeCell ref="F2172:G2172"/>
    <mergeCell ref="A2173:B2173"/>
    <mergeCell ref="F2173:G2173"/>
    <mergeCell ref="A2174:B2174"/>
    <mergeCell ref="F2174:G2174"/>
    <mergeCell ref="A2175:B2175"/>
    <mergeCell ref="F2175:G2175"/>
    <mergeCell ref="A2176:B2176"/>
    <mergeCell ref="F2176:G2176"/>
    <mergeCell ref="A2177:B2177"/>
    <mergeCell ref="F2177:G2177"/>
    <mergeCell ref="A2178:B2178"/>
    <mergeCell ref="F2178:G2178"/>
    <mergeCell ref="A2179:B2179"/>
    <mergeCell ref="F2179:G2179"/>
    <mergeCell ref="A2180:B2180"/>
    <mergeCell ref="F2180:G2180"/>
    <mergeCell ref="A2181:B2181"/>
    <mergeCell ref="F2181:G2181"/>
    <mergeCell ref="A2182:B2182"/>
    <mergeCell ref="F2182:G2182"/>
    <mergeCell ref="A2183:B2183"/>
    <mergeCell ref="F2183:G2183"/>
    <mergeCell ref="A2184:B2184"/>
    <mergeCell ref="F2184:G2184"/>
    <mergeCell ref="A2185:G2185"/>
    <mergeCell ref="A2186:H2186"/>
    <mergeCell ref="A2187:B2187"/>
    <mergeCell ref="F2187:G2187"/>
    <mergeCell ref="A2188:B2188"/>
    <mergeCell ref="F2188:G2188"/>
    <mergeCell ref="A2189:G2189"/>
    <mergeCell ref="A2206:H2206"/>
    <mergeCell ref="A2208:A2211"/>
    <mergeCell ref="B2208:G2211"/>
    <mergeCell ref="H2208:H2210"/>
    <mergeCell ref="B2212:F2212"/>
    <mergeCell ref="B2213:E2213"/>
    <mergeCell ref="A2216:C2216"/>
    <mergeCell ref="A2217:C2217"/>
    <mergeCell ref="A2218:C2218"/>
    <mergeCell ref="A2219:C2219"/>
    <mergeCell ref="A2220:G2220"/>
    <mergeCell ref="A2221:H2221"/>
    <mergeCell ref="A2222:B2222"/>
    <mergeCell ref="F2222:G2222"/>
    <mergeCell ref="A2190:H2190"/>
    <mergeCell ref="A2191:B2191"/>
    <mergeCell ref="F2191:G2191"/>
    <mergeCell ref="A2192:B2192"/>
    <mergeCell ref="F2192:G2192"/>
    <mergeCell ref="A2193:B2193"/>
    <mergeCell ref="F2193:G2193"/>
    <mergeCell ref="A2194:B2194"/>
    <mergeCell ref="F2194:G2194"/>
    <mergeCell ref="A2195:G2195"/>
    <mergeCell ref="A2197:D2197"/>
    <mergeCell ref="F2202:G2202"/>
    <mergeCell ref="A2223:B2223"/>
    <mergeCell ref="F2223:G2223"/>
    <mergeCell ref="A2224:B2224"/>
    <mergeCell ref="F2224:G2224"/>
    <mergeCell ref="A2225:B2225"/>
    <mergeCell ref="F2225:G2225"/>
    <mergeCell ref="A2226:B2226"/>
    <mergeCell ref="F2226:G2226"/>
    <mergeCell ref="A2227:B2227"/>
    <mergeCell ref="F2227:G2227"/>
    <mergeCell ref="A2228:B2228"/>
    <mergeCell ref="F2228:G2228"/>
    <mergeCell ref="A2229:B2229"/>
    <mergeCell ref="F2229:G2229"/>
    <mergeCell ref="A2230:B2230"/>
    <mergeCell ref="F2230:G2230"/>
    <mergeCell ref="A2231:B2231"/>
    <mergeCell ref="F2231:G2231"/>
    <mergeCell ref="A2232:B2232"/>
    <mergeCell ref="F2232:G2232"/>
    <mergeCell ref="A2233:B2233"/>
    <mergeCell ref="F2233:G2233"/>
    <mergeCell ref="A2234:B2234"/>
    <mergeCell ref="F2234:G2234"/>
    <mergeCell ref="A2235:B2235"/>
    <mergeCell ref="F2235:G2235"/>
    <mergeCell ref="A2236:B2236"/>
    <mergeCell ref="F2236:G2236"/>
    <mergeCell ref="A2237:G2237"/>
    <mergeCell ref="A2238:H2238"/>
    <mergeCell ref="A2239:B2239"/>
    <mergeCell ref="F2239:G2239"/>
    <mergeCell ref="A2240:B2240"/>
    <mergeCell ref="F2240:G2240"/>
    <mergeCell ref="A2241:G2241"/>
    <mergeCell ref="A2242:H2242"/>
    <mergeCell ref="A2243:B2243"/>
    <mergeCell ref="F2243:G2243"/>
    <mergeCell ref="A2244:B2244"/>
    <mergeCell ref="F2244:G2244"/>
    <mergeCell ref="A2245:B2245"/>
    <mergeCell ref="F2245:G2245"/>
    <mergeCell ref="A2246:B2246"/>
    <mergeCell ref="F2246:G2246"/>
    <mergeCell ref="A2247:G2247"/>
    <mergeCell ref="A2249:D2249"/>
    <mergeCell ref="F2254:G2254"/>
    <mergeCell ref="A9192:H9192"/>
    <mergeCell ref="A9194:A9197"/>
    <mergeCell ref="B9194:G9197"/>
    <mergeCell ref="H9194:H9196"/>
    <mergeCell ref="B9198:F9198"/>
    <mergeCell ref="A6546:H6546"/>
    <mergeCell ref="A6547:B6547"/>
    <mergeCell ref="F6547:G6547"/>
    <mergeCell ref="A6548:B6548"/>
    <mergeCell ref="F6548:G6548"/>
    <mergeCell ref="A6549:B6549"/>
    <mergeCell ref="F6549:G6549"/>
    <mergeCell ref="A6550:B6550"/>
    <mergeCell ref="F6550:G6550"/>
    <mergeCell ref="A6551:G6551"/>
    <mergeCell ref="A6553:D6553"/>
    <mergeCell ref="F6558:G6558"/>
    <mergeCell ref="A6536:B6536"/>
    <mergeCell ref="F6536:G6536"/>
    <mergeCell ref="A6537:B6537"/>
    <mergeCell ref="A2461:H2461"/>
    <mergeCell ref="A2463:A2466"/>
    <mergeCell ref="B2463:G2466"/>
    <mergeCell ref="H2463:H2465"/>
    <mergeCell ref="B2467:F2467"/>
    <mergeCell ref="B2468:E2468"/>
    <mergeCell ref="A2471:C2471"/>
    <mergeCell ref="A2472:C2472"/>
    <mergeCell ref="A2473:C2473"/>
    <mergeCell ref="A2474:C2474"/>
    <mergeCell ref="A2475:G2475"/>
    <mergeCell ref="A2476:H2476"/>
    <mergeCell ref="A2477:B2477"/>
    <mergeCell ref="F2477:G2477"/>
    <mergeCell ref="A2478:B2478"/>
    <mergeCell ref="F2478:G2478"/>
    <mergeCell ref="A2479:B2479"/>
    <mergeCell ref="F2479:G2479"/>
    <mergeCell ref="A2480:B2480"/>
    <mergeCell ref="F2480:G2480"/>
    <mergeCell ref="A2481:B2481"/>
    <mergeCell ref="F2481:G2481"/>
    <mergeCell ref="A2482:B2482"/>
    <mergeCell ref="F2482:G2482"/>
    <mergeCell ref="A2483:B2483"/>
    <mergeCell ref="F2483:G2483"/>
    <mergeCell ref="A2484:B2484"/>
    <mergeCell ref="F2484:G2484"/>
    <mergeCell ref="A2485:B2485"/>
    <mergeCell ref="F2485:G2485"/>
    <mergeCell ref="A2486:B2486"/>
    <mergeCell ref="F2486:G2486"/>
    <mergeCell ref="A2487:B2487"/>
    <mergeCell ref="F2487:G2487"/>
    <mergeCell ref="A2488:B2488"/>
    <mergeCell ref="F2488:G2488"/>
    <mergeCell ref="A2489:B2489"/>
    <mergeCell ref="F2489:G2489"/>
    <mergeCell ref="A2490:B2490"/>
    <mergeCell ref="F2490:G2490"/>
    <mergeCell ref="A2491:B2491"/>
    <mergeCell ref="F2491:G2491"/>
    <mergeCell ref="A2492:G2492"/>
    <mergeCell ref="A2493:H2493"/>
    <mergeCell ref="A2494:B2494"/>
    <mergeCell ref="F2494:G2494"/>
    <mergeCell ref="A2495:B2495"/>
    <mergeCell ref="F2495:G2495"/>
    <mergeCell ref="A2496:G2496"/>
    <mergeCell ref="A2497:H2497"/>
    <mergeCell ref="A2498:B2498"/>
    <mergeCell ref="F2498:G2498"/>
    <mergeCell ref="A2499:B2499"/>
    <mergeCell ref="F2499:G2499"/>
    <mergeCell ref="A2500:B2500"/>
    <mergeCell ref="F2500:G2500"/>
    <mergeCell ref="A2501:B2501"/>
    <mergeCell ref="F2501:G2501"/>
    <mergeCell ref="A2502:G2502"/>
    <mergeCell ref="A2504:D2504"/>
    <mergeCell ref="F2509:G2509"/>
    <mergeCell ref="A2512:H2512"/>
    <mergeCell ref="A2514:A2517"/>
    <mergeCell ref="B2514:G2517"/>
    <mergeCell ref="H2514:H2516"/>
    <mergeCell ref="B2518:F2518"/>
    <mergeCell ref="B2519:E2519"/>
    <mergeCell ref="A2522:C2522"/>
    <mergeCell ref="A2523:C2523"/>
    <mergeCell ref="A2524:C2524"/>
    <mergeCell ref="A2525:C2525"/>
    <mergeCell ref="A2526:G2526"/>
    <mergeCell ref="A2527:H2527"/>
    <mergeCell ref="A2528:B2528"/>
    <mergeCell ref="F2528:G2528"/>
    <mergeCell ref="A2529:B2529"/>
    <mergeCell ref="F2529:G2529"/>
    <mergeCell ref="A2530:B2530"/>
    <mergeCell ref="F2530:G2530"/>
    <mergeCell ref="A2531:B2531"/>
    <mergeCell ref="F2531:G2531"/>
    <mergeCell ref="A2532:B2532"/>
    <mergeCell ref="F2532:G2532"/>
    <mergeCell ref="A2533:B2533"/>
    <mergeCell ref="F2533:G2533"/>
    <mergeCell ref="A2534:B2534"/>
    <mergeCell ref="F2534:G2534"/>
    <mergeCell ref="A2535:B2535"/>
    <mergeCell ref="F2535:G2535"/>
    <mergeCell ref="A2536:B2536"/>
    <mergeCell ref="F2536:G2536"/>
    <mergeCell ref="A2537:B2537"/>
    <mergeCell ref="F2537:G2537"/>
    <mergeCell ref="A2538:B2538"/>
    <mergeCell ref="F2538:G2538"/>
    <mergeCell ref="A2539:B2539"/>
    <mergeCell ref="F2539:G2539"/>
    <mergeCell ref="A2540:B2540"/>
    <mergeCell ref="F2540:G2540"/>
    <mergeCell ref="A2541:B2541"/>
    <mergeCell ref="F2541:G2541"/>
    <mergeCell ref="A2542:B2542"/>
    <mergeCell ref="F2542:G2542"/>
    <mergeCell ref="A2543:G2543"/>
    <mergeCell ref="A2544:H2544"/>
    <mergeCell ref="A2545:B2545"/>
    <mergeCell ref="F2545:G2545"/>
    <mergeCell ref="A2546:B2546"/>
    <mergeCell ref="F2546:G2546"/>
    <mergeCell ref="A2547:G2547"/>
    <mergeCell ref="A2548:H2548"/>
    <mergeCell ref="A2549:B2549"/>
    <mergeCell ref="F2549:G2549"/>
    <mergeCell ref="A2550:B2550"/>
    <mergeCell ref="F2550:G2550"/>
    <mergeCell ref="A2551:B2551"/>
    <mergeCell ref="F2551:G2551"/>
    <mergeCell ref="A2552:B2552"/>
    <mergeCell ref="F2552:G2552"/>
    <mergeCell ref="A2553:G2553"/>
    <mergeCell ref="A2555:D2555"/>
    <mergeCell ref="F2560:G2560"/>
    <mergeCell ref="A4963:H4963"/>
    <mergeCell ref="A4965:A4968"/>
    <mergeCell ref="B4965:G4968"/>
    <mergeCell ref="H4965:H4967"/>
    <mergeCell ref="F2588:G2588"/>
    <mergeCell ref="A2589:B2589"/>
    <mergeCell ref="F2589:G2589"/>
    <mergeCell ref="A2590:B2590"/>
    <mergeCell ref="F2590:G2590"/>
    <mergeCell ref="A2591:B2591"/>
    <mergeCell ref="F2591:G2591"/>
    <mergeCell ref="A2592:B2592"/>
    <mergeCell ref="F2592:G2592"/>
    <mergeCell ref="A2593:B2593"/>
    <mergeCell ref="F2593:G2593"/>
    <mergeCell ref="A2594:G2594"/>
    <mergeCell ref="A2595:H2595"/>
    <mergeCell ref="A2625:C2625"/>
    <mergeCell ref="A2626:C2626"/>
    <mergeCell ref="A2627:C2627"/>
    <mergeCell ref="A2628:G2628"/>
    <mergeCell ref="A2629:H2629"/>
    <mergeCell ref="A2630:B2630"/>
    <mergeCell ref="F2630:G2630"/>
    <mergeCell ref="A2631:B2631"/>
    <mergeCell ref="F2631:G2631"/>
    <mergeCell ref="A2632:B2632"/>
    <mergeCell ref="F2632:G2632"/>
    <mergeCell ref="A2633:B2633"/>
    <mergeCell ref="F2633:G2633"/>
    <mergeCell ref="A2634:B2634"/>
    <mergeCell ref="F2634:G2634"/>
    <mergeCell ref="A2635:B2635"/>
    <mergeCell ref="F2635:G2635"/>
    <mergeCell ref="A2636:B2636"/>
    <mergeCell ref="F2636:G2636"/>
    <mergeCell ref="A2637:B2637"/>
    <mergeCell ref="F2637:G2637"/>
    <mergeCell ref="A2638:B2638"/>
    <mergeCell ref="F2638:G2638"/>
    <mergeCell ref="A2639:B2639"/>
    <mergeCell ref="A4979:B4979"/>
    <mergeCell ref="F4979:G4979"/>
    <mergeCell ref="A4980:B4980"/>
    <mergeCell ref="F4980:G4980"/>
    <mergeCell ref="A4981:B4981"/>
    <mergeCell ref="F4981:G4981"/>
    <mergeCell ref="A4982:B4982"/>
    <mergeCell ref="F4982:G4982"/>
    <mergeCell ref="A4983:B4983"/>
    <mergeCell ref="F4983:G4983"/>
    <mergeCell ref="A4984:B4984"/>
    <mergeCell ref="F4984:G4984"/>
    <mergeCell ref="A4985:B4985"/>
    <mergeCell ref="F4985:G4985"/>
    <mergeCell ref="A4986:B4986"/>
    <mergeCell ref="F4986:G4986"/>
    <mergeCell ref="A4987:B4987"/>
    <mergeCell ref="F4987:G4987"/>
    <mergeCell ref="A4988:B4988"/>
    <mergeCell ref="F4988:G4988"/>
    <mergeCell ref="A4989:B4989"/>
    <mergeCell ref="F4989:G4989"/>
    <mergeCell ref="A4990:B4990"/>
    <mergeCell ref="F4990:G4990"/>
    <mergeCell ref="A4991:B4991"/>
    <mergeCell ref="F4991:G4991"/>
    <mergeCell ref="A4992:B4992"/>
    <mergeCell ref="F4992:G4992"/>
    <mergeCell ref="A4993:B4993"/>
    <mergeCell ref="F4993:G4993"/>
    <mergeCell ref="A4994:G4994"/>
    <mergeCell ref="A4995:H4995"/>
    <mergeCell ref="A4996:B4996"/>
    <mergeCell ref="F4996:G4996"/>
    <mergeCell ref="A4997:B4997"/>
    <mergeCell ref="F4997:G4997"/>
    <mergeCell ref="A4998:G4998"/>
    <mergeCell ref="A4999:H4999"/>
    <mergeCell ref="A5000:B5000"/>
    <mergeCell ref="F5000:G5000"/>
    <mergeCell ref="A5001:B5001"/>
    <mergeCell ref="F5001:G5001"/>
    <mergeCell ref="A5002:B5002"/>
    <mergeCell ref="F5002:G5002"/>
    <mergeCell ref="A5003:B5003"/>
    <mergeCell ref="F5003:G5003"/>
    <mergeCell ref="A5004:G5004"/>
    <mergeCell ref="A5006:D5006"/>
    <mergeCell ref="F5011:G5011"/>
    <mergeCell ref="A5014:H5014"/>
    <mergeCell ref="A5016:A5019"/>
    <mergeCell ref="B5016:G5019"/>
    <mergeCell ref="H5016:H5018"/>
    <mergeCell ref="B5020:F5020"/>
    <mergeCell ref="B5021:E5021"/>
    <mergeCell ref="A5024:C5024"/>
    <mergeCell ref="A5025:C5025"/>
    <mergeCell ref="A5026:C5026"/>
    <mergeCell ref="A5027:C5027"/>
    <mergeCell ref="A5028:G5028"/>
    <mergeCell ref="A5029:H5029"/>
    <mergeCell ref="A5030:B5030"/>
    <mergeCell ref="F5030:G5030"/>
    <mergeCell ref="A5031:B5031"/>
    <mergeCell ref="F5031:G5031"/>
    <mergeCell ref="A5032:B5032"/>
    <mergeCell ref="F5032:G5032"/>
    <mergeCell ref="A5033:B5033"/>
    <mergeCell ref="F5033:G5033"/>
    <mergeCell ref="A5034:B5034"/>
    <mergeCell ref="F5034:G5034"/>
    <mergeCell ref="A5035:B5035"/>
    <mergeCell ref="F5035:G5035"/>
    <mergeCell ref="A5036:B5036"/>
    <mergeCell ref="F5036:G5036"/>
    <mergeCell ref="A5037:B5037"/>
    <mergeCell ref="F5037:G5037"/>
    <mergeCell ref="A5038:B5038"/>
    <mergeCell ref="F5038:G5038"/>
    <mergeCell ref="A5039:B5039"/>
    <mergeCell ref="F5039:G5039"/>
    <mergeCell ref="A5040:B5040"/>
    <mergeCell ref="F5040:G5040"/>
    <mergeCell ref="A5041:B5041"/>
    <mergeCell ref="F5041:G5041"/>
    <mergeCell ref="A5042:B5042"/>
    <mergeCell ref="F5042:G5042"/>
    <mergeCell ref="A5043:B5043"/>
    <mergeCell ref="F5043:G5043"/>
    <mergeCell ref="A5044:B5044"/>
    <mergeCell ref="F5044:G5044"/>
    <mergeCell ref="A5045:G5045"/>
    <mergeCell ref="A5046:H5046"/>
    <mergeCell ref="A5047:B5047"/>
    <mergeCell ref="F5047:G5047"/>
    <mergeCell ref="A5048:B5048"/>
    <mergeCell ref="F5048:G5048"/>
    <mergeCell ref="A5049:G5049"/>
    <mergeCell ref="A5050:H5050"/>
    <mergeCell ref="A5051:B5051"/>
    <mergeCell ref="F5051:G5051"/>
    <mergeCell ref="A5052:B5052"/>
    <mergeCell ref="F5052:G5052"/>
    <mergeCell ref="A5053:B5053"/>
    <mergeCell ref="F5053:G5053"/>
    <mergeCell ref="A5054:B5054"/>
    <mergeCell ref="F5054:G5054"/>
    <mergeCell ref="A5055:G5055"/>
    <mergeCell ref="A5057:D5057"/>
    <mergeCell ref="F5062:G5062"/>
    <mergeCell ref="A6717:H6717"/>
    <mergeCell ref="A6719:A6722"/>
    <mergeCell ref="B6719:G6722"/>
    <mergeCell ref="H6719:H6721"/>
    <mergeCell ref="B6723:F6723"/>
    <mergeCell ref="A5085:B5085"/>
    <mergeCell ref="F5085:G5085"/>
    <mergeCell ref="A5086:B5086"/>
    <mergeCell ref="F5086:G5086"/>
    <mergeCell ref="A5087:B5087"/>
    <mergeCell ref="F5087:G5087"/>
    <mergeCell ref="A5088:B5088"/>
    <mergeCell ref="F5088:G5088"/>
    <mergeCell ref="A5089:B5089"/>
    <mergeCell ref="F5089:G5089"/>
    <mergeCell ref="A5090:B5090"/>
    <mergeCell ref="F5090:G5090"/>
    <mergeCell ref="A5091:B5091"/>
    <mergeCell ref="F5091:G5091"/>
    <mergeCell ref="A5092:B5092"/>
    <mergeCell ref="A5084:B5084"/>
    <mergeCell ref="F5084:G5084"/>
    <mergeCell ref="F5102:G5102"/>
    <mergeCell ref="A5103:B5103"/>
    <mergeCell ref="F5103:G5103"/>
    <mergeCell ref="A5104:B5104"/>
    <mergeCell ref="F5104:G5104"/>
    <mergeCell ref="A5105:B5105"/>
    <mergeCell ref="F5105:G5105"/>
    <mergeCell ref="A5106:G5106"/>
    <mergeCell ref="A5108:D5108"/>
    <mergeCell ref="F5113:G5113"/>
    <mergeCell ref="A5116:H5116"/>
    <mergeCell ref="A5118:A5121"/>
    <mergeCell ref="B5118:G5121"/>
    <mergeCell ref="H5118:H5120"/>
    <mergeCell ref="B5122:F5122"/>
    <mergeCell ref="B5123:E5123"/>
    <mergeCell ref="A5126:C5126"/>
    <mergeCell ref="A5127:C5127"/>
    <mergeCell ref="A5128:C5128"/>
    <mergeCell ref="A5129:C5129"/>
    <mergeCell ref="A5130:G5130"/>
    <mergeCell ref="A5131:H5131"/>
    <mergeCell ref="A5132:B5132"/>
    <mergeCell ref="F5132:G5132"/>
    <mergeCell ref="A5133:B5133"/>
    <mergeCell ref="F5133:G5133"/>
    <mergeCell ref="A5134:B5134"/>
    <mergeCell ref="F5134:G5134"/>
    <mergeCell ref="A5135:B5135"/>
    <mergeCell ref="F5135:G5135"/>
    <mergeCell ref="A5136:B5136"/>
    <mergeCell ref="F5136:G5136"/>
    <mergeCell ref="A5137:B5137"/>
    <mergeCell ref="B6724:E6724"/>
    <mergeCell ref="A6727:C6727"/>
    <mergeCell ref="A6728:C6728"/>
    <mergeCell ref="A6729:C6729"/>
    <mergeCell ref="A6730:C6730"/>
    <mergeCell ref="A6731:C6731"/>
    <mergeCell ref="A6732:G6732"/>
    <mergeCell ref="A6733:H6733"/>
    <mergeCell ref="A6734:B6734"/>
    <mergeCell ref="F6734:G6734"/>
    <mergeCell ref="A6735:B6735"/>
    <mergeCell ref="F6735:G6735"/>
    <mergeCell ref="A6736:B6736"/>
    <mergeCell ref="F6736:G6736"/>
    <mergeCell ref="A6737:B6737"/>
    <mergeCell ref="F6737:G6737"/>
    <mergeCell ref="A6738:B6738"/>
    <mergeCell ref="F6738:G6738"/>
    <mergeCell ref="A6739:B6739"/>
    <mergeCell ref="F6739:G6739"/>
    <mergeCell ref="A6740:B6740"/>
    <mergeCell ref="F6740:G6740"/>
    <mergeCell ref="A6741:B6741"/>
    <mergeCell ref="F6741:G6741"/>
    <mergeCell ref="A6742:B6742"/>
    <mergeCell ref="F6742:G6742"/>
    <mergeCell ref="A6743:B6743"/>
    <mergeCell ref="F6743:G6743"/>
    <mergeCell ref="A6744:B6744"/>
    <mergeCell ref="F6744:G6744"/>
    <mergeCell ref="A6745:B6745"/>
    <mergeCell ref="F6745:G6745"/>
    <mergeCell ref="A6746:B6746"/>
    <mergeCell ref="F6746:G6746"/>
    <mergeCell ref="A6747:B6747"/>
    <mergeCell ref="F6747:G6747"/>
    <mergeCell ref="A6748:B6748"/>
    <mergeCell ref="F6748:G6748"/>
    <mergeCell ref="A6749:G6749"/>
    <mergeCell ref="A6750:H6750"/>
    <mergeCell ref="A6751:B6751"/>
    <mergeCell ref="F6751:G6751"/>
    <mergeCell ref="A6752:B6752"/>
    <mergeCell ref="F6752:G6752"/>
    <mergeCell ref="A6753:G6753"/>
    <mergeCell ref="A6754:H6754"/>
    <mergeCell ref="A6755:B6755"/>
    <mergeCell ref="F6755:G6755"/>
    <mergeCell ref="A6756:B6756"/>
    <mergeCell ref="F6756:G6756"/>
    <mergeCell ref="A6757:B6757"/>
    <mergeCell ref="F6757:G6757"/>
    <mergeCell ref="A6758:B6758"/>
    <mergeCell ref="F6758:G6758"/>
    <mergeCell ref="A6795:B6795"/>
    <mergeCell ref="F6795:G6795"/>
    <mergeCell ref="A6796:B6796"/>
    <mergeCell ref="F6796:G6796"/>
    <mergeCell ref="A6759:G6759"/>
    <mergeCell ref="A6761:D6761"/>
    <mergeCell ref="F6766:G6766"/>
    <mergeCell ref="A6770:H6770"/>
    <mergeCell ref="A6772:A6775"/>
    <mergeCell ref="B6772:G6775"/>
    <mergeCell ref="H6772:H6774"/>
    <mergeCell ref="B6776:F6776"/>
    <mergeCell ref="B6777:E6777"/>
    <mergeCell ref="A6780:C6780"/>
    <mergeCell ref="A6781:C6781"/>
    <mergeCell ref="A6782:C6782"/>
    <mergeCell ref="A6783:C6783"/>
    <mergeCell ref="A6784:C6784"/>
    <mergeCell ref="A6785:G6785"/>
    <mergeCell ref="A6786:H6786"/>
    <mergeCell ref="A6787:B6787"/>
    <mergeCell ref="F6787:G6787"/>
    <mergeCell ref="A6797:B6797"/>
    <mergeCell ref="F6797:G6797"/>
    <mergeCell ref="A6798:B6798"/>
    <mergeCell ref="F6798:G6798"/>
    <mergeCell ref="A6799:B6799"/>
    <mergeCell ref="F6799:G6799"/>
    <mergeCell ref="A6800:B6800"/>
    <mergeCell ref="F6800:G6800"/>
    <mergeCell ref="A6801:B6801"/>
    <mergeCell ref="F6801:G6801"/>
    <mergeCell ref="A6802:G6802"/>
    <mergeCell ref="A6803:H6803"/>
    <mergeCell ref="A6804:B6804"/>
    <mergeCell ref="F6804:G6804"/>
    <mergeCell ref="A6805:B6805"/>
    <mergeCell ref="F6805:G6805"/>
    <mergeCell ref="A6788:B6788"/>
    <mergeCell ref="F6788:G6788"/>
    <mergeCell ref="A6789:B6789"/>
    <mergeCell ref="F6789:G6789"/>
    <mergeCell ref="A6790:B6790"/>
    <mergeCell ref="F6790:G6790"/>
    <mergeCell ref="A6791:B6791"/>
    <mergeCell ref="F6791:G6791"/>
    <mergeCell ref="A6792:B6792"/>
    <mergeCell ref="F6792:G6792"/>
    <mergeCell ref="A6793:B6793"/>
    <mergeCell ref="F6793:G6793"/>
    <mergeCell ref="A6794:B6794"/>
    <mergeCell ref="F6794:G6794"/>
    <mergeCell ref="A5065:H5065"/>
    <mergeCell ref="A5067:A5070"/>
    <mergeCell ref="B5067:G5070"/>
    <mergeCell ref="H5067:H5069"/>
    <mergeCell ref="B5071:F5071"/>
    <mergeCell ref="B5072:E5072"/>
    <mergeCell ref="A5075:C5075"/>
    <mergeCell ref="A5076:C5076"/>
    <mergeCell ref="A5077:C5077"/>
    <mergeCell ref="A5078:C5078"/>
    <mergeCell ref="A5079:G5079"/>
    <mergeCell ref="A5080:H5080"/>
    <mergeCell ref="A5081:B5081"/>
    <mergeCell ref="F5081:G5081"/>
    <mergeCell ref="A5082:B5082"/>
    <mergeCell ref="F5082:G5082"/>
    <mergeCell ref="A5083:B5083"/>
    <mergeCell ref="F5083:G5083"/>
    <mergeCell ref="F5092:G5092"/>
    <mergeCell ref="A5093:B5093"/>
    <mergeCell ref="F5093:G5093"/>
    <mergeCell ref="A5094:B5094"/>
    <mergeCell ref="F5094:G5094"/>
    <mergeCell ref="A5095:B5095"/>
    <mergeCell ref="F5095:G5095"/>
    <mergeCell ref="A5096:G5096"/>
    <mergeCell ref="A5097:H5097"/>
    <mergeCell ref="A5098:B5098"/>
    <mergeCell ref="F5098:G5098"/>
    <mergeCell ref="A5099:B5099"/>
    <mergeCell ref="F5099:G5099"/>
    <mergeCell ref="A5100:G5100"/>
    <mergeCell ref="A5101:H5101"/>
    <mergeCell ref="A5102:B5102"/>
    <mergeCell ref="F5137:G5137"/>
    <mergeCell ref="A5138:B5138"/>
    <mergeCell ref="F5138:G5138"/>
    <mergeCell ref="A5139:B5139"/>
    <mergeCell ref="F5139:G5139"/>
    <mergeCell ref="A5140:B5140"/>
    <mergeCell ref="F5140:G5140"/>
    <mergeCell ref="A5141:B5141"/>
    <mergeCell ref="F5141:G5141"/>
    <mergeCell ref="A5142:B5142"/>
    <mergeCell ref="F5142:G5142"/>
    <mergeCell ref="A5143:B5143"/>
    <mergeCell ref="F5143:G5143"/>
    <mergeCell ref="A5144:B5144"/>
    <mergeCell ref="F5144:G5144"/>
    <mergeCell ref="A5145:B5145"/>
    <mergeCell ref="F5145:G5145"/>
    <mergeCell ref="A5146:B5146"/>
    <mergeCell ref="F5146:G5146"/>
    <mergeCell ref="A5147:G5147"/>
    <mergeCell ref="A5148:H5148"/>
    <mergeCell ref="A5149:B5149"/>
    <mergeCell ref="F5149:G5149"/>
    <mergeCell ref="A5150:B5150"/>
    <mergeCell ref="F5150:G5150"/>
    <mergeCell ref="A5151:G5151"/>
    <mergeCell ref="A5152:H5152"/>
    <mergeCell ref="A5153:B5153"/>
    <mergeCell ref="F5153:G5153"/>
    <mergeCell ref="A5154:B5154"/>
    <mergeCell ref="F5154:G5154"/>
    <mergeCell ref="A5155:B5155"/>
    <mergeCell ref="F5155:G5155"/>
    <mergeCell ref="A5156:B5156"/>
    <mergeCell ref="F5156:G5156"/>
    <mergeCell ref="A5157:G5157"/>
    <mergeCell ref="A5159:D5159"/>
    <mergeCell ref="F5164:G5164"/>
    <mergeCell ref="A2563:H2563"/>
    <mergeCell ref="A2565:A2568"/>
    <mergeCell ref="B2565:G2568"/>
    <mergeCell ref="H2565:H2567"/>
    <mergeCell ref="B2569:F2569"/>
    <mergeCell ref="B2570:E2570"/>
    <mergeCell ref="A2573:C2573"/>
    <mergeCell ref="A2574:C2574"/>
    <mergeCell ref="A2575:C2575"/>
    <mergeCell ref="A2576:C2576"/>
    <mergeCell ref="A2577:G2577"/>
    <mergeCell ref="A2578:H2578"/>
    <mergeCell ref="A2579:B2579"/>
    <mergeCell ref="F2579:G2579"/>
    <mergeCell ref="A2580:B2580"/>
    <mergeCell ref="F2580:G2580"/>
    <mergeCell ref="A2581:B2581"/>
    <mergeCell ref="F2581:G2581"/>
    <mergeCell ref="A2582:B2582"/>
    <mergeCell ref="F2582:G2582"/>
    <mergeCell ref="A2583:B2583"/>
    <mergeCell ref="F2583:G2583"/>
    <mergeCell ref="A2584:B2584"/>
    <mergeCell ref="F2584:G2584"/>
    <mergeCell ref="A2585:B2585"/>
    <mergeCell ref="F2585:G2585"/>
    <mergeCell ref="A2586:B2586"/>
    <mergeCell ref="F2586:G2586"/>
    <mergeCell ref="A2587:B2587"/>
    <mergeCell ref="F2587:G2587"/>
    <mergeCell ref="A2588:B2588"/>
    <mergeCell ref="A2596:B2596"/>
    <mergeCell ref="F2596:G2596"/>
    <mergeCell ref="A2597:B2597"/>
    <mergeCell ref="F2597:G2597"/>
    <mergeCell ref="A2598:G2598"/>
    <mergeCell ref="A2599:H2599"/>
    <mergeCell ref="A2600:B2600"/>
    <mergeCell ref="F2600:G2600"/>
    <mergeCell ref="A2601:B2601"/>
    <mergeCell ref="F2601:G2601"/>
    <mergeCell ref="A2602:B2602"/>
    <mergeCell ref="F2602:G2602"/>
    <mergeCell ref="A2603:B2603"/>
    <mergeCell ref="F2603:G2603"/>
    <mergeCell ref="A2604:G2604"/>
    <mergeCell ref="A2606:D2606"/>
    <mergeCell ref="F2611:G2611"/>
    <mergeCell ref="A2614:H2614"/>
    <mergeCell ref="A2616:A2619"/>
    <mergeCell ref="B2616:G2619"/>
    <mergeCell ref="H2616:H2618"/>
    <mergeCell ref="B2620:F2620"/>
    <mergeCell ref="B2621:E2621"/>
    <mergeCell ref="A2624:C2624"/>
    <mergeCell ref="F2639:G2639"/>
    <mergeCell ref="A2640:B2640"/>
    <mergeCell ref="F2640:G2640"/>
    <mergeCell ref="A2641:B2641"/>
    <mergeCell ref="F2641:G2641"/>
    <mergeCell ref="A2642:B2642"/>
    <mergeCell ref="F2642:G2642"/>
    <mergeCell ref="A2643:B2643"/>
    <mergeCell ref="F2643:G2643"/>
    <mergeCell ref="A2644:B2644"/>
    <mergeCell ref="F2644:G2644"/>
    <mergeCell ref="A2645:G2645"/>
    <mergeCell ref="A2646:H2646"/>
    <mergeCell ref="A2647:B2647"/>
    <mergeCell ref="F2647:G2647"/>
    <mergeCell ref="A2648:B2648"/>
    <mergeCell ref="F2648:G2648"/>
    <mergeCell ref="A2649:G2649"/>
    <mergeCell ref="A2650:H2650"/>
    <mergeCell ref="A2651:B2651"/>
    <mergeCell ref="F2651:G2651"/>
    <mergeCell ref="A2652:B2652"/>
    <mergeCell ref="F2652:G2652"/>
    <mergeCell ref="A2653:B2653"/>
    <mergeCell ref="F2653:G2653"/>
    <mergeCell ref="A2654:B2654"/>
    <mergeCell ref="F2654:G2654"/>
    <mergeCell ref="A2655:G2655"/>
    <mergeCell ref="A2657:D2657"/>
    <mergeCell ref="F2662:G2662"/>
    <mergeCell ref="A2665:H2665"/>
    <mergeCell ref="A2667:A2670"/>
    <mergeCell ref="B2667:G2670"/>
    <mergeCell ref="H2667:H2669"/>
    <mergeCell ref="B2671:F2671"/>
    <mergeCell ref="B2672:E2672"/>
    <mergeCell ref="A2675:C2675"/>
    <mergeCell ref="A2676:C2676"/>
    <mergeCell ref="A2677:C2677"/>
    <mergeCell ref="A2678:C2678"/>
    <mergeCell ref="A2679:G2679"/>
    <mergeCell ref="A2680:H2680"/>
    <mergeCell ref="A2681:B2681"/>
    <mergeCell ref="F2681:G2681"/>
    <mergeCell ref="A2682:B2682"/>
    <mergeCell ref="F2682:G2682"/>
    <mergeCell ref="A2683:B2683"/>
    <mergeCell ref="F2683:G2683"/>
    <mergeCell ref="A2684:B2684"/>
    <mergeCell ref="F2684:G2684"/>
    <mergeCell ref="A2685:B2685"/>
    <mergeCell ref="F2685:G2685"/>
    <mergeCell ref="A2686:B2686"/>
    <mergeCell ref="F2686:G2686"/>
    <mergeCell ref="A2687:B2687"/>
    <mergeCell ref="F2687:G2687"/>
    <mergeCell ref="A2688:B2688"/>
    <mergeCell ref="F2688:G2688"/>
    <mergeCell ref="A2689:B2689"/>
    <mergeCell ref="F2689:G2689"/>
    <mergeCell ref="A2690:B2690"/>
    <mergeCell ref="F2690:G2690"/>
    <mergeCell ref="A2691:B2691"/>
    <mergeCell ref="F2691:G2691"/>
    <mergeCell ref="A2692:B2692"/>
    <mergeCell ref="F2692:G2692"/>
    <mergeCell ref="A2693:B2693"/>
    <mergeCell ref="F2693:G2693"/>
    <mergeCell ref="A2694:B2694"/>
    <mergeCell ref="F2694:G2694"/>
    <mergeCell ref="A2695:B2695"/>
    <mergeCell ref="F2695:G2695"/>
    <mergeCell ref="A2696:G2696"/>
    <mergeCell ref="A2697:H2697"/>
    <mergeCell ref="A2698:B2698"/>
    <mergeCell ref="F2698:G2698"/>
    <mergeCell ref="A2699:B2699"/>
    <mergeCell ref="F2699:G2699"/>
    <mergeCell ref="A2700:G2700"/>
    <mergeCell ref="A2701:H2701"/>
    <mergeCell ref="A2702:B2702"/>
    <mergeCell ref="F2702:G2702"/>
    <mergeCell ref="A2703:B2703"/>
    <mergeCell ref="F2703:G2703"/>
    <mergeCell ref="A2704:B2704"/>
    <mergeCell ref="F2704:G2704"/>
    <mergeCell ref="A2705:B2705"/>
    <mergeCell ref="F2705:G2705"/>
    <mergeCell ref="A2706:G2706"/>
    <mergeCell ref="A2708:D2708"/>
    <mergeCell ref="F2713:G2713"/>
    <mergeCell ref="A2716:H2716"/>
    <mergeCell ref="A2718:A2721"/>
    <mergeCell ref="B2718:G2721"/>
    <mergeCell ref="H2718:H2720"/>
    <mergeCell ref="B2722:F2722"/>
    <mergeCell ref="B2723:E2723"/>
    <mergeCell ref="A2726:C2726"/>
    <mergeCell ref="A2727:C2727"/>
    <mergeCell ref="A2728:C2728"/>
    <mergeCell ref="A2729:C2729"/>
    <mergeCell ref="A2730:G2730"/>
    <mergeCell ref="A2731:H2731"/>
    <mergeCell ref="A2732:B2732"/>
    <mergeCell ref="F2732:G2732"/>
    <mergeCell ref="A2733:B2733"/>
    <mergeCell ref="F2733:G2733"/>
    <mergeCell ref="A2734:B2734"/>
    <mergeCell ref="F2734:G2734"/>
    <mergeCell ref="A2735:B2735"/>
    <mergeCell ref="F2735:G2735"/>
    <mergeCell ref="A2736:B2736"/>
    <mergeCell ref="F2736:G2736"/>
    <mergeCell ref="A2737:B2737"/>
    <mergeCell ref="F2737:G2737"/>
    <mergeCell ref="A2738:B2738"/>
    <mergeCell ref="F2738:G2738"/>
    <mergeCell ref="A2739:B2739"/>
    <mergeCell ref="F2739:G2739"/>
    <mergeCell ref="A2740:B2740"/>
    <mergeCell ref="F2740:G2740"/>
    <mergeCell ref="A2741:B2741"/>
    <mergeCell ref="F2741:G2741"/>
    <mergeCell ref="A2742:B2742"/>
    <mergeCell ref="F2742:G2742"/>
    <mergeCell ref="A2743:B2743"/>
    <mergeCell ref="F2743:G2743"/>
    <mergeCell ref="A2744:B2744"/>
    <mergeCell ref="F2744:G2744"/>
    <mergeCell ref="A2745:B2745"/>
    <mergeCell ref="F2745:G2745"/>
    <mergeCell ref="A2746:B2746"/>
    <mergeCell ref="F2746:G2746"/>
    <mergeCell ref="A2747:G2747"/>
    <mergeCell ref="A2748:H2748"/>
    <mergeCell ref="A2749:B2749"/>
    <mergeCell ref="F2749:G2749"/>
    <mergeCell ref="A2750:B2750"/>
    <mergeCell ref="F2750:G2750"/>
    <mergeCell ref="A2751:G2751"/>
    <mergeCell ref="A2752:H2752"/>
    <mergeCell ref="A2753:B2753"/>
    <mergeCell ref="F2753:G2753"/>
    <mergeCell ref="A2754:B2754"/>
    <mergeCell ref="F2754:G2754"/>
    <mergeCell ref="A2755:B2755"/>
    <mergeCell ref="F2755:G2755"/>
    <mergeCell ref="A2756:B2756"/>
    <mergeCell ref="F2756:G2756"/>
    <mergeCell ref="A2757:G2757"/>
    <mergeCell ref="A2759:D2759"/>
    <mergeCell ref="F2764:G2764"/>
    <mergeCell ref="A2767:H2767"/>
    <mergeCell ref="A2769:A2772"/>
    <mergeCell ref="B2769:G2772"/>
    <mergeCell ref="H2769:H2771"/>
    <mergeCell ref="B2773:F2773"/>
    <mergeCell ref="B2774:E2774"/>
    <mergeCell ref="A2777:C2777"/>
    <mergeCell ref="A2778:C2778"/>
    <mergeCell ref="A2779:C2779"/>
    <mergeCell ref="A2780:C2780"/>
    <mergeCell ref="A2781:G2781"/>
    <mergeCell ref="A2782:H2782"/>
    <mergeCell ref="A2783:B2783"/>
    <mergeCell ref="F2783:G2783"/>
    <mergeCell ref="A2784:B2784"/>
    <mergeCell ref="F2784:G2784"/>
    <mergeCell ref="A2785:B2785"/>
    <mergeCell ref="F2785:G2785"/>
    <mergeCell ref="A2786:B2786"/>
    <mergeCell ref="F2786:G2786"/>
    <mergeCell ref="A2787:B2787"/>
    <mergeCell ref="F2787:G2787"/>
    <mergeCell ref="A2788:B2788"/>
    <mergeCell ref="F2788:G2788"/>
    <mergeCell ref="A2789:B2789"/>
    <mergeCell ref="F2789:G2789"/>
    <mergeCell ref="A2790:B2790"/>
    <mergeCell ref="F2790:G2790"/>
    <mergeCell ref="A2791:B2791"/>
    <mergeCell ref="F2791:G2791"/>
    <mergeCell ref="A2792:B2792"/>
    <mergeCell ref="F2792:G2792"/>
    <mergeCell ref="A2793:B2793"/>
    <mergeCell ref="F2793:G2793"/>
    <mergeCell ref="A2794:B2794"/>
    <mergeCell ref="F2794:G2794"/>
    <mergeCell ref="A2795:B2795"/>
    <mergeCell ref="F2795:G2795"/>
    <mergeCell ref="A2796:B2796"/>
    <mergeCell ref="F2796:G2796"/>
    <mergeCell ref="A2797:B2797"/>
    <mergeCell ref="F2797:G2797"/>
    <mergeCell ref="A2798:G2798"/>
    <mergeCell ref="A2799:H2799"/>
    <mergeCell ref="A2800:B2800"/>
    <mergeCell ref="F2800:G2800"/>
    <mergeCell ref="A2801:B2801"/>
    <mergeCell ref="F2801:G2801"/>
    <mergeCell ref="A2802:G2802"/>
    <mergeCell ref="A2803:H2803"/>
    <mergeCell ref="A2804:B2804"/>
    <mergeCell ref="F2804:G2804"/>
    <mergeCell ref="A2805:B2805"/>
    <mergeCell ref="F2805:G2805"/>
    <mergeCell ref="A2806:B2806"/>
    <mergeCell ref="F2806:G2806"/>
    <mergeCell ref="A2807:B2807"/>
    <mergeCell ref="F2807:G2807"/>
    <mergeCell ref="A2808:G2808"/>
    <mergeCell ref="A2810:D2810"/>
    <mergeCell ref="F2815:G2815"/>
    <mergeCell ref="A2818:H2818"/>
    <mergeCell ref="A2820:A2823"/>
    <mergeCell ref="B2820:G2823"/>
    <mergeCell ref="H2820:H2822"/>
    <mergeCell ref="B2824:F2824"/>
    <mergeCell ref="B2825:E2825"/>
    <mergeCell ref="A2828:C2828"/>
    <mergeCell ref="A2829:C2829"/>
    <mergeCell ref="A2830:C2830"/>
    <mergeCell ref="A2831:C2831"/>
    <mergeCell ref="A2832:G2832"/>
    <mergeCell ref="A2833:H2833"/>
    <mergeCell ref="A2834:B2834"/>
    <mergeCell ref="F2834:G2834"/>
    <mergeCell ref="A2835:B2835"/>
    <mergeCell ref="F2835:G2835"/>
    <mergeCell ref="A2836:B2836"/>
    <mergeCell ref="F2836:G2836"/>
    <mergeCell ref="A2837:B2837"/>
    <mergeCell ref="F2837:G2837"/>
    <mergeCell ref="A2838:B2838"/>
    <mergeCell ref="F2838:G2838"/>
    <mergeCell ref="A2839:B2839"/>
    <mergeCell ref="F2839:G2839"/>
    <mergeCell ref="A2840:B2840"/>
    <mergeCell ref="F2840:G2840"/>
    <mergeCell ref="A2841:B2841"/>
    <mergeCell ref="F2841:G2841"/>
    <mergeCell ref="A2842:B2842"/>
    <mergeCell ref="F2842:G2842"/>
    <mergeCell ref="A2843:B2843"/>
    <mergeCell ref="F2843:G2843"/>
    <mergeCell ref="A2844:B2844"/>
    <mergeCell ref="F2844:G2844"/>
    <mergeCell ref="A2845:B2845"/>
    <mergeCell ref="F2845:G2845"/>
    <mergeCell ref="A2846:B2846"/>
    <mergeCell ref="F2846:G2846"/>
    <mergeCell ref="A2847:B2847"/>
    <mergeCell ref="F2847:G2847"/>
    <mergeCell ref="A2848:B2848"/>
    <mergeCell ref="F2848:G2848"/>
    <mergeCell ref="A2849:G2849"/>
    <mergeCell ref="A2850:H2850"/>
    <mergeCell ref="A2851:B2851"/>
    <mergeCell ref="F2851:G2851"/>
    <mergeCell ref="A2852:B2852"/>
    <mergeCell ref="F2852:G2852"/>
    <mergeCell ref="A2853:G2853"/>
    <mergeCell ref="A2854:H2854"/>
    <mergeCell ref="A2855:B2855"/>
    <mergeCell ref="F2855:G2855"/>
    <mergeCell ref="A2856:B2856"/>
    <mergeCell ref="F2856:G2856"/>
    <mergeCell ref="A2857:B2857"/>
    <mergeCell ref="F2857:G2857"/>
    <mergeCell ref="A2858:B2858"/>
    <mergeCell ref="F2858:G2858"/>
    <mergeCell ref="A2859:G2859"/>
    <mergeCell ref="A2861:D2861"/>
    <mergeCell ref="F2866:G2866"/>
    <mergeCell ref="A2869:H2869"/>
    <mergeCell ref="A2871:A2874"/>
    <mergeCell ref="B2871:G2874"/>
    <mergeCell ref="H2871:H2873"/>
    <mergeCell ref="B2875:F2875"/>
    <mergeCell ref="B2876:E2876"/>
    <mergeCell ref="A2879:C2879"/>
    <mergeCell ref="A2880:C2880"/>
    <mergeCell ref="A2881:C2881"/>
    <mergeCell ref="A2882:C2882"/>
    <mergeCell ref="A2883:G2883"/>
    <mergeCell ref="A2884:H2884"/>
    <mergeCell ref="A2885:B2885"/>
    <mergeCell ref="F2885:G2885"/>
    <mergeCell ref="A2886:B2886"/>
    <mergeCell ref="F2886:G2886"/>
    <mergeCell ref="A2887:B2887"/>
    <mergeCell ref="F2887:G2887"/>
    <mergeCell ref="A2888:B2888"/>
    <mergeCell ref="F2888:G2888"/>
    <mergeCell ref="A2889:B2889"/>
    <mergeCell ref="F2889:G2889"/>
    <mergeCell ref="A2890:B2890"/>
    <mergeCell ref="F2890:G2890"/>
    <mergeCell ref="A2891:B2891"/>
    <mergeCell ref="F2891:G2891"/>
    <mergeCell ref="A2892:B2892"/>
    <mergeCell ref="F2892:G2892"/>
    <mergeCell ref="A2893:B2893"/>
    <mergeCell ref="F2893:G2893"/>
    <mergeCell ref="A2894:B2894"/>
    <mergeCell ref="F2894:G2894"/>
    <mergeCell ref="A2895:B2895"/>
    <mergeCell ref="F2895:G2895"/>
    <mergeCell ref="A2896:B2896"/>
    <mergeCell ref="F2896:G2896"/>
    <mergeCell ref="A2897:B2897"/>
    <mergeCell ref="F2897:G2897"/>
    <mergeCell ref="A2898:B2898"/>
    <mergeCell ref="F2898:G2898"/>
    <mergeCell ref="A2899:B2899"/>
    <mergeCell ref="F2899:G2899"/>
    <mergeCell ref="A2900:G2900"/>
    <mergeCell ref="A2901:H2901"/>
    <mergeCell ref="A2902:B2902"/>
    <mergeCell ref="F2902:G2902"/>
    <mergeCell ref="A2903:B2903"/>
    <mergeCell ref="F2903:G2903"/>
    <mergeCell ref="A2904:G2904"/>
    <mergeCell ref="A2905:H2905"/>
    <mergeCell ref="A2906:B2906"/>
    <mergeCell ref="F2906:G2906"/>
    <mergeCell ref="A2907:B2907"/>
    <mergeCell ref="F2907:G2907"/>
    <mergeCell ref="A2908:B2908"/>
    <mergeCell ref="F2908:G2908"/>
    <mergeCell ref="A2909:B2909"/>
    <mergeCell ref="F2909:G2909"/>
    <mergeCell ref="A2910:G2910"/>
    <mergeCell ref="A2912:D2912"/>
    <mergeCell ref="F2917:G2917"/>
    <mergeCell ref="A2920:H2920"/>
    <mergeCell ref="A2922:A2925"/>
    <mergeCell ref="B2922:G2925"/>
    <mergeCell ref="H2922:H2924"/>
    <mergeCell ref="B2926:F2926"/>
    <mergeCell ref="B2927:E2927"/>
    <mergeCell ref="A2930:C2930"/>
    <mergeCell ref="A2931:C2931"/>
    <mergeCell ref="A2932:C2932"/>
    <mergeCell ref="A2933:C2933"/>
    <mergeCell ref="A2934:G2934"/>
    <mergeCell ref="A2935:H2935"/>
    <mergeCell ref="A2936:B2936"/>
    <mergeCell ref="F2936:G2936"/>
    <mergeCell ref="A2937:B2937"/>
    <mergeCell ref="F2937:G2937"/>
    <mergeCell ref="A2938:B2938"/>
    <mergeCell ref="F2938:G2938"/>
    <mergeCell ref="A2939:B2939"/>
    <mergeCell ref="F2939:G2939"/>
    <mergeCell ref="A2940:B2940"/>
    <mergeCell ref="F2940:G2940"/>
    <mergeCell ref="A2941:B2941"/>
    <mergeCell ref="F2941:G2941"/>
    <mergeCell ref="A2942:B2942"/>
    <mergeCell ref="F2942:G2942"/>
    <mergeCell ref="A2943:B2943"/>
    <mergeCell ref="F2943:G2943"/>
    <mergeCell ref="A2944:B2944"/>
    <mergeCell ref="F2944:G2944"/>
    <mergeCell ref="A2945:B2945"/>
    <mergeCell ref="F2945:G2945"/>
    <mergeCell ref="A2946:B2946"/>
    <mergeCell ref="F2946:G2946"/>
    <mergeCell ref="A2947:B2947"/>
    <mergeCell ref="F2947:G2947"/>
    <mergeCell ref="A2948:B2948"/>
    <mergeCell ref="F2948:G2948"/>
    <mergeCell ref="A2949:B2949"/>
    <mergeCell ref="F2949:G2949"/>
    <mergeCell ref="A2950:B2950"/>
    <mergeCell ref="F2950:G2950"/>
    <mergeCell ref="A2951:G2951"/>
    <mergeCell ref="A2952:H2952"/>
    <mergeCell ref="A2953:B2953"/>
    <mergeCell ref="F2953:G2953"/>
    <mergeCell ref="A2954:B2954"/>
    <mergeCell ref="F2954:G2954"/>
    <mergeCell ref="A2955:G2955"/>
    <mergeCell ref="A2956:H2956"/>
    <mergeCell ref="A2957:B2957"/>
    <mergeCell ref="F2957:G2957"/>
    <mergeCell ref="A2958:B2958"/>
    <mergeCell ref="F2958:G2958"/>
    <mergeCell ref="A2959:B2959"/>
    <mergeCell ref="F2959:G2959"/>
    <mergeCell ref="A2960:B2960"/>
    <mergeCell ref="F2960:G2960"/>
    <mergeCell ref="A2961:G2961"/>
    <mergeCell ref="A2963:D2963"/>
    <mergeCell ref="F2968:G2968"/>
    <mergeCell ref="A2971:H2971"/>
    <mergeCell ref="A2973:A2976"/>
    <mergeCell ref="B2973:G2976"/>
    <mergeCell ref="H2973:H2975"/>
    <mergeCell ref="B2977:F2977"/>
    <mergeCell ref="B2978:E2978"/>
    <mergeCell ref="A2981:C2981"/>
    <mergeCell ref="A2982:C2982"/>
    <mergeCell ref="A2983:C2983"/>
    <mergeCell ref="A2984:C2984"/>
    <mergeCell ref="A2985:G2985"/>
    <mergeCell ref="A2986:H2986"/>
    <mergeCell ref="A2987:B2987"/>
    <mergeCell ref="F2987:G2987"/>
    <mergeCell ref="A2988:B2988"/>
    <mergeCell ref="F2988:G2988"/>
    <mergeCell ref="A2989:B2989"/>
    <mergeCell ref="F2989:G2989"/>
    <mergeCell ref="A2990:B2990"/>
    <mergeCell ref="F2990:G2990"/>
    <mergeCell ref="A2991:B2991"/>
    <mergeCell ref="F2991:G2991"/>
    <mergeCell ref="A2992:B2992"/>
    <mergeCell ref="F2992:G2992"/>
    <mergeCell ref="A2993:B2993"/>
    <mergeCell ref="F2993:G2993"/>
    <mergeCell ref="A2994:B2994"/>
    <mergeCell ref="F2994:G2994"/>
    <mergeCell ref="A2995:B2995"/>
    <mergeCell ref="F2995:G2995"/>
    <mergeCell ref="A2996:B2996"/>
    <mergeCell ref="F2996:G2996"/>
    <mergeCell ref="A2997:B2997"/>
    <mergeCell ref="F2997:G2997"/>
    <mergeCell ref="A2998:B2998"/>
    <mergeCell ref="F2998:G2998"/>
    <mergeCell ref="A2999:B2999"/>
    <mergeCell ref="F2999:G2999"/>
    <mergeCell ref="A3000:B3000"/>
    <mergeCell ref="F3000:G3000"/>
    <mergeCell ref="A3001:B3001"/>
    <mergeCell ref="F3001:G3001"/>
    <mergeCell ref="A3002:G3002"/>
    <mergeCell ref="A3003:H3003"/>
    <mergeCell ref="A3004:B3004"/>
    <mergeCell ref="F3004:G3004"/>
    <mergeCell ref="A3005:B3005"/>
    <mergeCell ref="F3005:G3005"/>
    <mergeCell ref="A3006:G3006"/>
    <mergeCell ref="A3007:H3007"/>
    <mergeCell ref="A3008:B3008"/>
    <mergeCell ref="F3008:G3008"/>
    <mergeCell ref="A3009:B3009"/>
    <mergeCell ref="F3009:G3009"/>
    <mergeCell ref="A3010:B3010"/>
    <mergeCell ref="F3010:G3010"/>
    <mergeCell ref="A3011:B3011"/>
    <mergeCell ref="F3011:G3011"/>
    <mergeCell ref="A3012:G3012"/>
    <mergeCell ref="A3014:D3014"/>
    <mergeCell ref="F3019:G3019"/>
    <mergeCell ref="A3022:H3022"/>
    <mergeCell ref="A3024:A3027"/>
    <mergeCell ref="B3024:G3027"/>
    <mergeCell ref="H3024:H3026"/>
    <mergeCell ref="B3028:F3028"/>
    <mergeCell ref="B3029:E3029"/>
    <mergeCell ref="A3032:C3032"/>
    <mergeCell ref="A3033:C3033"/>
    <mergeCell ref="A3034:C3034"/>
    <mergeCell ref="A3035:C3035"/>
    <mergeCell ref="A3036:G3036"/>
    <mergeCell ref="A3037:H3037"/>
    <mergeCell ref="A3038:B3038"/>
    <mergeCell ref="F3038:G3038"/>
    <mergeCell ref="A3039:B3039"/>
    <mergeCell ref="F3039:G3039"/>
    <mergeCell ref="A3040:B3040"/>
    <mergeCell ref="F3040:G3040"/>
    <mergeCell ref="A3041:B3041"/>
    <mergeCell ref="F3041:G3041"/>
    <mergeCell ref="A3042:B3042"/>
    <mergeCell ref="F3042:G3042"/>
    <mergeCell ref="A3043:B3043"/>
    <mergeCell ref="F3043:G3043"/>
    <mergeCell ref="A3044:B3044"/>
    <mergeCell ref="F3044:G3044"/>
    <mergeCell ref="A3045:B3045"/>
    <mergeCell ref="F3045:G3045"/>
    <mergeCell ref="A3046:B3046"/>
    <mergeCell ref="F3046:G3046"/>
    <mergeCell ref="A3047:B3047"/>
    <mergeCell ref="F3047:G3047"/>
    <mergeCell ref="A3048:B3048"/>
    <mergeCell ref="F3048:G3048"/>
    <mergeCell ref="A3049:B3049"/>
    <mergeCell ref="F3049:G3049"/>
    <mergeCell ref="A3050:B3050"/>
    <mergeCell ref="F3050:G3050"/>
    <mergeCell ref="A3051:B3051"/>
    <mergeCell ref="F3051:G3051"/>
    <mergeCell ref="A3052:B3052"/>
    <mergeCell ref="F3052:G3052"/>
    <mergeCell ref="A3053:G3053"/>
    <mergeCell ref="A3054:H3054"/>
    <mergeCell ref="A3055:B3055"/>
    <mergeCell ref="F3055:G3055"/>
    <mergeCell ref="A3056:B3056"/>
    <mergeCell ref="F3056:G3056"/>
    <mergeCell ref="A3057:G3057"/>
    <mergeCell ref="A3058:H3058"/>
    <mergeCell ref="A3059:B3059"/>
    <mergeCell ref="F3059:G3059"/>
    <mergeCell ref="A3060:B3060"/>
    <mergeCell ref="F3060:G3060"/>
    <mergeCell ref="A3061:B3061"/>
    <mergeCell ref="F3061:G3061"/>
    <mergeCell ref="A3062:B3062"/>
    <mergeCell ref="F3062:G3062"/>
    <mergeCell ref="A3063:G3063"/>
    <mergeCell ref="A3065:D3065"/>
    <mergeCell ref="F3070:G3070"/>
    <mergeCell ref="A3073:H3073"/>
    <mergeCell ref="A3075:A3078"/>
    <mergeCell ref="B3075:G3078"/>
    <mergeCell ref="H3075:H3077"/>
    <mergeCell ref="B3079:F3079"/>
    <mergeCell ref="B3080:E3080"/>
    <mergeCell ref="A3083:C3083"/>
    <mergeCell ref="A3084:C3084"/>
    <mergeCell ref="A3085:C3085"/>
    <mergeCell ref="A3086:C3086"/>
    <mergeCell ref="A3087:G3087"/>
    <mergeCell ref="A3088:H3088"/>
    <mergeCell ref="A3089:B3089"/>
    <mergeCell ref="F3089:G3089"/>
    <mergeCell ref="A3090:B3090"/>
    <mergeCell ref="F3090:G3090"/>
    <mergeCell ref="A3091:B3091"/>
    <mergeCell ref="F3091:G3091"/>
    <mergeCell ref="A3092:B3092"/>
    <mergeCell ref="F3092:G3092"/>
    <mergeCell ref="A3093:B3093"/>
    <mergeCell ref="F3093:G3093"/>
    <mergeCell ref="A3094:B3094"/>
    <mergeCell ref="F3094:G3094"/>
    <mergeCell ref="A3095:B3095"/>
    <mergeCell ref="F3095:G3095"/>
    <mergeCell ref="A3096:B3096"/>
    <mergeCell ref="F3096:G3096"/>
    <mergeCell ref="A3097:B3097"/>
    <mergeCell ref="F3097:G3097"/>
    <mergeCell ref="A3098:B3098"/>
    <mergeCell ref="F3098:G3098"/>
    <mergeCell ref="A3099:B3099"/>
    <mergeCell ref="F3099:G3099"/>
    <mergeCell ref="A3100:B3100"/>
    <mergeCell ref="F3100:G3100"/>
    <mergeCell ref="A3101:B3101"/>
    <mergeCell ref="F3101:G3101"/>
    <mergeCell ref="A3102:B3102"/>
    <mergeCell ref="F3102:G3102"/>
    <mergeCell ref="A3103:B3103"/>
    <mergeCell ref="F3103:G3103"/>
    <mergeCell ref="A3104:G3104"/>
    <mergeCell ref="A3105:H3105"/>
    <mergeCell ref="A3106:B3106"/>
    <mergeCell ref="F3106:G3106"/>
    <mergeCell ref="A3107:B3107"/>
    <mergeCell ref="F3107:G3107"/>
    <mergeCell ref="A3108:G3108"/>
    <mergeCell ref="A3109:H3109"/>
    <mergeCell ref="A3110:B3110"/>
    <mergeCell ref="F3110:G3110"/>
    <mergeCell ref="A3111:B3111"/>
    <mergeCell ref="F3111:G3111"/>
    <mergeCell ref="A3112:B3112"/>
    <mergeCell ref="F3112:G3112"/>
    <mergeCell ref="A3113:B3113"/>
    <mergeCell ref="F3113:G3113"/>
    <mergeCell ref="A3114:G3114"/>
    <mergeCell ref="A3116:D3116"/>
    <mergeCell ref="F3121:G3121"/>
    <mergeCell ref="A3124:H3124"/>
    <mergeCell ref="A3126:A3129"/>
    <mergeCell ref="B3126:G3129"/>
    <mergeCell ref="H3126:H3128"/>
    <mergeCell ref="B3130:F3130"/>
    <mergeCell ref="B3131:E3131"/>
    <mergeCell ref="A3134:C3134"/>
    <mergeCell ref="A3135:C3135"/>
    <mergeCell ref="A3136:C3136"/>
    <mergeCell ref="A3137:C3137"/>
    <mergeCell ref="A3138:G3138"/>
    <mergeCell ref="A3139:H3139"/>
    <mergeCell ref="A3140:B3140"/>
    <mergeCell ref="F3140:G3140"/>
    <mergeCell ref="A3141:B3141"/>
    <mergeCell ref="F3141:G3141"/>
    <mergeCell ref="A3142:B3142"/>
    <mergeCell ref="F3142:G3142"/>
    <mergeCell ref="A3143:B3143"/>
    <mergeCell ref="F3143:G3143"/>
    <mergeCell ref="A3144:B3144"/>
    <mergeCell ref="F3144:G3144"/>
    <mergeCell ref="A3145:B3145"/>
    <mergeCell ref="F3145:G3145"/>
    <mergeCell ref="A3146:B3146"/>
    <mergeCell ref="F3146:G3146"/>
    <mergeCell ref="A3147:B3147"/>
    <mergeCell ref="F3147:G3147"/>
    <mergeCell ref="A3148:B3148"/>
    <mergeCell ref="F3148:G3148"/>
    <mergeCell ref="A3149:B3149"/>
    <mergeCell ref="F3149:G3149"/>
    <mergeCell ref="A3150:B3150"/>
    <mergeCell ref="F3150:G3150"/>
    <mergeCell ref="A3151:B3151"/>
    <mergeCell ref="F3151:G3151"/>
    <mergeCell ref="A3152:B3152"/>
    <mergeCell ref="F3152:G3152"/>
    <mergeCell ref="A3153:B3153"/>
    <mergeCell ref="F3153:G3153"/>
    <mergeCell ref="A3154:B3154"/>
    <mergeCell ref="F3154:G3154"/>
    <mergeCell ref="A3155:G3155"/>
    <mergeCell ref="A3156:H3156"/>
    <mergeCell ref="A3157:B3157"/>
    <mergeCell ref="F3157:G3157"/>
    <mergeCell ref="A3158:B3158"/>
    <mergeCell ref="F3158:G3158"/>
    <mergeCell ref="A3159:G3159"/>
    <mergeCell ref="A3160:H3160"/>
    <mergeCell ref="A3161:B3161"/>
    <mergeCell ref="F3161:G3161"/>
    <mergeCell ref="A3162:B3162"/>
    <mergeCell ref="F3162:G3162"/>
    <mergeCell ref="A3163:B3163"/>
    <mergeCell ref="F3163:G3163"/>
    <mergeCell ref="A3164:B3164"/>
    <mergeCell ref="F3164:G3164"/>
    <mergeCell ref="A3165:G3165"/>
    <mergeCell ref="A3167:D3167"/>
    <mergeCell ref="F3172:G3172"/>
    <mergeCell ref="A3175:H3175"/>
    <mergeCell ref="A3177:A3180"/>
    <mergeCell ref="B3177:G3180"/>
    <mergeCell ref="H3177:H3179"/>
    <mergeCell ref="B3181:F3181"/>
    <mergeCell ref="B3182:E3182"/>
    <mergeCell ref="A3185:C3185"/>
    <mergeCell ref="A3186:C3186"/>
    <mergeCell ref="A3187:C3187"/>
    <mergeCell ref="A3188:C3188"/>
    <mergeCell ref="A3189:G3189"/>
    <mergeCell ref="A3190:H3190"/>
    <mergeCell ref="A3191:B3191"/>
    <mergeCell ref="F3191:G3191"/>
    <mergeCell ref="A3192:B3192"/>
    <mergeCell ref="F3192:G3192"/>
    <mergeCell ref="A3193:B3193"/>
    <mergeCell ref="F3193:G3193"/>
    <mergeCell ref="A3194:B3194"/>
    <mergeCell ref="F3194:G3194"/>
    <mergeCell ref="A3195:B3195"/>
    <mergeCell ref="F3195:G3195"/>
    <mergeCell ref="A3196:B3196"/>
    <mergeCell ref="F3196:G3196"/>
    <mergeCell ref="A3197:B3197"/>
    <mergeCell ref="F3197:G3197"/>
    <mergeCell ref="A3198:B3198"/>
    <mergeCell ref="F3198:G3198"/>
    <mergeCell ref="A3199:B3199"/>
    <mergeCell ref="F3199:G3199"/>
    <mergeCell ref="A3200:B3200"/>
    <mergeCell ref="F3200:G3200"/>
    <mergeCell ref="A3201:B3201"/>
    <mergeCell ref="F3201:G3201"/>
    <mergeCell ref="A3202:B3202"/>
    <mergeCell ref="F3202:G3202"/>
    <mergeCell ref="A3203:B3203"/>
    <mergeCell ref="F3203:G3203"/>
    <mergeCell ref="A3204:B3204"/>
    <mergeCell ref="F3204:G3204"/>
    <mergeCell ref="A3205:B3205"/>
    <mergeCell ref="F3205:G3205"/>
    <mergeCell ref="A3206:G3206"/>
    <mergeCell ref="A3207:H3207"/>
    <mergeCell ref="A3208:B3208"/>
    <mergeCell ref="F3208:G3208"/>
    <mergeCell ref="A3209:B3209"/>
    <mergeCell ref="F3209:G3209"/>
    <mergeCell ref="A3210:G3210"/>
    <mergeCell ref="A3211:H3211"/>
    <mergeCell ref="A3212:B3212"/>
    <mergeCell ref="F3212:G3212"/>
    <mergeCell ref="A3213:B3213"/>
    <mergeCell ref="F3213:G3213"/>
    <mergeCell ref="A3214:B3214"/>
    <mergeCell ref="F3214:G3214"/>
    <mergeCell ref="A3215:B3215"/>
    <mergeCell ref="F3215:G3215"/>
    <mergeCell ref="A3216:G3216"/>
    <mergeCell ref="A3218:D3218"/>
    <mergeCell ref="F3223:G3223"/>
    <mergeCell ref="A3226:H3226"/>
    <mergeCell ref="A3228:A3231"/>
    <mergeCell ref="B3228:G3231"/>
    <mergeCell ref="H3228:H3230"/>
    <mergeCell ref="B3232:F3232"/>
    <mergeCell ref="B3233:E3233"/>
    <mergeCell ref="A3236:C3236"/>
    <mergeCell ref="A3237:C3237"/>
    <mergeCell ref="A3238:C3238"/>
    <mergeCell ref="A3239:C3239"/>
    <mergeCell ref="A3240:G3240"/>
    <mergeCell ref="A3241:H3241"/>
    <mergeCell ref="A3242:B3242"/>
    <mergeCell ref="F3242:G3242"/>
    <mergeCell ref="A3243:B3243"/>
    <mergeCell ref="F3243:G3243"/>
    <mergeCell ref="A3244:B3244"/>
    <mergeCell ref="F3244:G3244"/>
    <mergeCell ref="A3245:B3245"/>
    <mergeCell ref="F3245:G3245"/>
    <mergeCell ref="A3246:B3246"/>
    <mergeCell ref="F3246:G3246"/>
    <mergeCell ref="A3247:B3247"/>
    <mergeCell ref="F3247:G3247"/>
    <mergeCell ref="A3248:B3248"/>
    <mergeCell ref="F3248:G3248"/>
    <mergeCell ref="A3249:B3249"/>
    <mergeCell ref="F3249:G3249"/>
    <mergeCell ref="A3250:B3250"/>
    <mergeCell ref="F3250:G3250"/>
    <mergeCell ref="A3251:B3251"/>
    <mergeCell ref="F3251:G3251"/>
    <mergeCell ref="A3252:B3252"/>
    <mergeCell ref="F3252:G3252"/>
    <mergeCell ref="A3253:B3253"/>
    <mergeCell ref="F3253:G3253"/>
    <mergeCell ref="A3254:B3254"/>
    <mergeCell ref="F3254:G3254"/>
    <mergeCell ref="A3255:B3255"/>
    <mergeCell ref="F3255:G3255"/>
    <mergeCell ref="A3267:G3267"/>
    <mergeCell ref="A3269:D3269"/>
    <mergeCell ref="F3274:G3274"/>
    <mergeCell ref="A3256:B3256"/>
    <mergeCell ref="F3256:G3256"/>
    <mergeCell ref="A3257:G3257"/>
    <mergeCell ref="A3258:H3258"/>
    <mergeCell ref="A3259:B3259"/>
    <mergeCell ref="F3259:G3259"/>
    <mergeCell ref="A3260:B3260"/>
    <mergeCell ref="F3260:G3260"/>
    <mergeCell ref="A3261:G3261"/>
    <mergeCell ref="A3262:H3262"/>
    <mergeCell ref="A3263:B3263"/>
    <mergeCell ref="F3263:G3263"/>
    <mergeCell ref="A3264:B3264"/>
    <mergeCell ref="F3264:G3264"/>
    <mergeCell ref="A3265:B3265"/>
    <mergeCell ref="F3265:G3265"/>
    <mergeCell ref="A3266:B3266"/>
    <mergeCell ref="F3266:G3266"/>
    <mergeCell ref="A5372:H5372"/>
    <mergeCell ref="A5374:A5377"/>
    <mergeCell ref="B5374:G5377"/>
    <mergeCell ref="H5374:H5376"/>
    <mergeCell ref="B5378:F5378"/>
    <mergeCell ref="B5379:E5379"/>
    <mergeCell ref="A5382:C5382"/>
    <mergeCell ref="A5383:C5383"/>
    <mergeCell ref="A5384:C5384"/>
    <mergeCell ref="A5385:C5385"/>
    <mergeCell ref="A3397:B3397"/>
    <mergeCell ref="F3397:G3397"/>
    <mergeCell ref="A3398:B3398"/>
    <mergeCell ref="F3398:G3398"/>
    <mergeCell ref="A3399:B3399"/>
    <mergeCell ref="F3399:G3399"/>
    <mergeCell ref="A3400:B3400"/>
    <mergeCell ref="F3400:G3400"/>
    <mergeCell ref="A3401:B3401"/>
    <mergeCell ref="F3401:G3401"/>
    <mergeCell ref="A3402:B3402"/>
    <mergeCell ref="F3402:G3402"/>
    <mergeCell ref="A3403:B3403"/>
    <mergeCell ref="F3403:G3403"/>
    <mergeCell ref="A3404:B3404"/>
    <mergeCell ref="F3404:G3404"/>
    <mergeCell ref="A3405:B3405"/>
    <mergeCell ref="F3405:G3405"/>
    <mergeCell ref="A3406:B3406"/>
    <mergeCell ref="F3406:G3406"/>
    <mergeCell ref="A3407:B3407"/>
    <mergeCell ref="F3407:G3407"/>
    <mergeCell ref="A3408:B3408"/>
    <mergeCell ref="F3408:G3408"/>
    <mergeCell ref="A3409:B3409"/>
    <mergeCell ref="F3409:G3409"/>
    <mergeCell ref="A3410:G3410"/>
    <mergeCell ref="A3411:H3411"/>
    <mergeCell ref="A3412:B3412"/>
    <mergeCell ref="F3412:G3412"/>
    <mergeCell ref="A3413:B3413"/>
    <mergeCell ref="A3430:H3430"/>
    <mergeCell ref="A3432:A3435"/>
    <mergeCell ref="A5386:G5386"/>
    <mergeCell ref="A5387:H5387"/>
    <mergeCell ref="A5388:B5388"/>
    <mergeCell ref="F5388:G5388"/>
    <mergeCell ref="A5389:B5389"/>
    <mergeCell ref="F5389:G5389"/>
    <mergeCell ref="A5390:B5390"/>
    <mergeCell ref="F5390:G5390"/>
    <mergeCell ref="A5391:B5391"/>
    <mergeCell ref="F5391:G5391"/>
    <mergeCell ref="A5392:B5392"/>
    <mergeCell ref="F5392:G5392"/>
    <mergeCell ref="A5393:B5393"/>
    <mergeCell ref="F5393:G5393"/>
    <mergeCell ref="A5394:B5394"/>
    <mergeCell ref="F5394:G5394"/>
    <mergeCell ref="A5395:B5395"/>
    <mergeCell ref="F5395:G5395"/>
    <mergeCell ref="A5396:B5396"/>
    <mergeCell ref="F5396:G5396"/>
    <mergeCell ref="A5397:B5397"/>
    <mergeCell ref="F5397:G5397"/>
    <mergeCell ref="A5398:B5398"/>
    <mergeCell ref="F5398:G5398"/>
    <mergeCell ref="A5399:B5399"/>
    <mergeCell ref="F5399:G5399"/>
    <mergeCell ref="A5400:B5400"/>
    <mergeCell ref="F5400:G5400"/>
    <mergeCell ref="A5401:B5401"/>
    <mergeCell ref="F5401:G5401"/>
    <mergeCell ref="A5402:B5402"/>
    <mergeCell ref="F5402:G5402"/>
    <mergeCell ref="A5403:G5403"/>
    <mergeCell ref="A5404:H5404"/>
    <mergeCell ref="A5405:B5405"/>
    <mergeCell ref="F5405:G5405"/>
    <mergeCell ref="A5406:B5406"/>
    <mergeCell ref="F5406:G5406"/>
    <mergeCell ref="A5407:G5407"/>
    <mergeCell ref="A5408:H5408"/>
    <mergeCell ref="A5409:B5409"/>
    <mergeCell ref="F5409:G5409"/>
    <mergeCell ref="A5410:B5410"/>
    <mergeCell ref="F5410:G5410"/>
    <mergeCell ref="A5411:B5411"/>
    <mergeCell ref="F5411:G5411"/>
    <mergeCell ref="A5412:B5412"/>
    <mergeCell ref="F5412:G5412"/>
    <mergeCell ref="A5413:G5413"/>
    <mergeCell ref="A5415:D5415"/>
    <mergeCell ref="F5420:G5420"/>
    <mergeCell ref="A5423:H5423"/>
    <mergeCell ref="A5425:A5428"/>
    <mergeCell ref="B5425:G5428"/>
    <mergeCell ref="H5425:H5427"/>
    <mergeCell ref="B5429:F5429"/>
    <mergeCell ref="B5430:E5430"/>
    <mergeCell ref="A5433:C5433"/>
    <mergeCell ref="A5434:C5434"/>
    <mergeCell ref="A5435:C5435"/>
    <mergeCell ref="A5436:C5436"/>
    <mergeCell ref="A5437:G5437"/>
    <mergeCell ref="A5438:H5438"/>
    <mergeCell ref="A5439:B5439"/>
    <mergeCell ref="F5439:G5439"/>
    <mergeCell ref="A5440:B5440"/>
    <mergeCell ref="F5440:G5440"/>
    <mergeCell ref="A5441:B5441"/>
    <mergeCell ref="F5441:G5441"/>
    <mergeCell ref="A5442:B5442"/>
    <mergeCell ref="F5442:G5442"/>
    <mergeCell ref="A5443:B5443"/>
    <mergeCell ref="F5443:G5443"/>
    <mergeCell ref="A5444:B5444"/>
    <mergeCell ref="F5444:G5444"/>
    <mergeCell ref="A5445:B5445"/>
    <mergeCell ref="F5445:G5445"/>
    <mergeCell ref="A5446:B5446"/>
    <mergeCell ref="F5446:G5446"/>
    <mergeCell ref="A5447:B5447"/>
    <mergeCell ref="F5447:G5447"/>
    <mergeCell ref="A5448:B5448"/>
    <mergeCell ref="F5448:G5448"/>
    <mergeCell ref="A5449:B5449"/>
    <mergeCell ref="F5449:G5449"/>
    <mergeCell ref="A5450:B5450"/>
    <mergeCell ref="F5450:G5450"/>
    <mergeCell ref="A5451:B5451"/>
    <mergeCell ref="F5451:G5451"/>
    <mergeCell ref="A5452:B5452"/>
    <mergeCell ref="F5452:G5452"/>
    <mergeCell ref="A5453:B5453"/>
    <mergeCell ref="F5453:G5453"/>
    <mergeCell ref="A5454:G5454"/>
    <mergeCell ref="A5455:H5455"/>
    <mergeCell ref="A5456:B5456"/>
    <mergeCell ref="F5456:G5456"/>
    <mergeCell ref="A5457:B5457"/>
    <mergeCell ref="F5457:G5457"/>
    <mergeCell ref="A5458:G5458"/>
    <mergeCell ref="A5459:H5459"/>
    <mergeCell ref="A5460:B5460"/>
    <mergeCell ref="F5460:G5460"/>
    <mergeCell ref="A5461:B5461"/>
    <mergeCell ref="F5461:G5461"/>
    <mergeCell ref="A5462:B5462"/>
    <mergeCell ref="F5462:G5462"/>
    <mergeCell ref="A5463:B5463"/>
    <mergeCell ref="F5463:G5463"/>
    <mergeCell ref="A5464:G5464"/>
    <mergeCell ref="A5466:D5466"/>
    <mergeCell ref="F5471:G5471"/>
    <mergeCell ref="A6822:H6822"/>
    <mergeCell ref="A6824:A6827"/>
    <mergeCell ref="B6824:G6827"/>
    <mergeCell ref="H6824:H6826"/>
    <mergeCell ref="A6807:H6807"/>
    <mergeCell ref="A6808:B6808"/>
    <mergeCell ref="F6808:G6808"/>
    <mergeCell ref="A6809:B6809"/>
    <mergeCell ref="F6809:G6809"/>
    <mergeCell ref="A6810:B6810"/>
    <mergeCell ref="F6810:G6810"/>
    <mergeCell ref="A6811:B6811"/>
    <mergeCell ref="F6811:G6811"/>
    <mergeCell ref="A6812:G6812"/>
    <mergeCell ref="A6814:D6814"/>
    <mergeCell ref="F6819:G6819"/>
    <mergeCell ref="A6806:G6806"/>
    <mergeCell ref="B6828:F6828"/>
    <mergeCell ref="B6829:E6829"/>
    <mergeCell ref="A6832:C6832"/>
    <mergeCell ref="A6833:C6833"/>
    <mergeCell ref="A5539:G5539"/>
    <mergeCell ref="A5540:H5540"/>
    <mergeCell ref="A5541:B5541"/>
    <mergeCell ref="F5541:G5541"/>
    <mergeCell ref="A5542:B5542"/>
    <mergeCell ref="F5542:G5542"/>
    <mergeCell ref="A5543:B5543"/>
    <mergeCell ref="F5543:G5543"/>
    <mergeCell ref="A5544:B5544"/>
    <mergeCell ref="F5544:G5544"/>
    <mergeCell ref="A5545:B5545"/>
    <mergeCell ref="F5545:G5545"/>
    <mergeCell ref="A5546:B5546"/>
    <mergeCell ref="F5546:G5546"/>
    <mergeCell ref="A5547:B5547"/>
    <mergeCell ref="F5547:G5547"/>
    <mergeCell ref="A5548:B5548"/>
    <mergeCell ref="F5548:G5548"/>
    <mergeCell ref="A5549:B5549"/>
    <mergeCell ref="F5549:G5549"/>
    <mergeCell ref="A5550:B5550"/>
    <mergeCell ref="F5550:G5550"/>
    <mergeCell ref="A5551:B5551"/>
    <mergeCell ref="F5551:G5551"/>
    <mergeCell ref="A5563:B5563"/>
    <mergeCell ref="F5563:G5563"/>
    <mergeCell ref="A5564:B5564"/>
    <mergeCell ref="F5564:G5564"/>
    <mergeCell ref="A5565:B5565"/>
    <mergeCell ref="F5565:G5565"/>
    <mergeCell ref="A5566:G5566"/>
    <mergeCell ref="A6834:C6834"/>
    <mergeCell ref="A6835:C6835"/>
    <mergeCell ref="A6836:C6836"/>
    <mergeCell ref="A6837:G6837"/>
    <mergeCell ref="A6838:H6838"/>
    <mergeCell ref="A6839:B6839"/>
    <mergeCell ref="F6839:G6839"/>
    <mergeCell ref="A6840:B6840"/>
    <mergeCell ref="F6840:G6840"/>
    <mergeCell ref="A6841:B6841"/>
    <mergeCell ref="F6841:G6841"/>
    <mergeCell ref="A6842:B6842"/>
    <mergeCell ref="F6842:G6842"/>
    <mergeCell ref="A6843:B6843"/>
    <mergeCell ref="F6843:G6843"/>
    <mergeCell ref="A6844:B6844"/>
    <mergeCell ref="F6844:G6844"/>
    <mergeCell ref="A6845:B6845"/>
    <mergeCell ref="F6845:G6845"/>
    <mergeCell ref="A6846:B6846"/>
    <mergeCell ref="F6846:G6846"/>
    <mergeCell ref="A6847:B6847"/>
    <mergeCell ref="F6847:G6847"/>
    <mergeCell ref="A6848:B6848"/>
    <mergeCell ref="F6848:G6848"/>
    <mergeCell ref="A6849:B6849"/>
    <mergeCell ref="F6849:G6849"/>
    <mergeCell ref="A6850:B6850"/>
    <mergeCell ref="F6850:G6850"/>
    <mergeCell ref="A6851:B6851"/>
    <mergeCell ref="F6851:G6851"/>
    <mergeCell ref="A6852:B6852"/>
    <mergeCell ref="F6852:G6852"/>
    <mergeCell ref="A6853:B6853"/>
    <mergeCell ref="F6853:G6853"/>
    <mergeCell ref="A6854:G6854"/>
    <mergeCell ref="A6855:H6855"/>
    <mergeCell ref="A6856:B6856"/>
    <mergeCell ref="F6856:G6856"/>
    <mergeCell ref="A6857:B6857"/>
    <mergeCell ref="F6857:G6857"/>
    <mergeCell ref="A6858:G6858"/>
    <mergeCell ref="A6859:H6859"/>
    <mergeCell ref="A6860:B6860"/>
    <mergeCell ref="F6860:G6860"/>
    <mergeCell ref="A6861:B6861"/>
    <mergeCell ref="F6861:G6861"/>
    <mergeCell ref="A6862:B6862"/>
    <mergeCell ref="F6862:G6862"/>
    <mergeCell ref="A6863:B6863"/>
    <mergeCell ref="F6863:G6863"/>
    <mergeCell ref="A6864:G6864"/>
    <mergeCell ref="A6866:D6866"/>
    <mergeCell ref="F6871:G6871"/>
    <mergeCell ref="A6874:H6874"/>
    <mergeCell ref="A6876:A6879"/>
    <mergeCell ref="B6876:G6879"/>
    <mergeCell ref="H6876:H6878"/>
    <mergeCell ref="B6880:F6880"/>
    <mergeCell ref="B6881:E6881"/>
    <mergeCell ref="A6884:C6884"/>
    <mergeCell ref="A6885:C6885"/>
    <mergeCell ref="A6886:C6886"/>
    <mergeCell ref="A6887:C6887"/>
    <mergeCell ref="A6888:C6888"/>
    <mergeCell ref="A6889:G6889"/>
    <mergeCell ref="A6890:H6890"/>
    <mergeCell ref="A6891:B6891"/>
    <mergeCell ref="F6891:G6891"/>
    <mergeCell ref="A6892:B6892"/>
    <mergeCell ref="F6892:G6892"/>
    <mergeCell ref="A6893:B6893"/>
    <mergeCell ref="F6893:G6893"/>
    <mergeCell ref="A6894:B6894"/>
    <mergeCell ref="F6894:G6894"/>
    <mergeCell ref="A6895:B6895"/>
    <mergeCell ref="F6895:G6895"/>
    <mergeCell ref="A6896:B6896"/>
    <mergeCell ref="F6896:G6896"/>
    <mergeCell ref="A6897:B6897"/>
    <mergeCell ref="F6897:G6897"/>
    <mergeCell ref="A6898:B6898"/>
    <mergeCell ref="F6898:G6898"/>
    <mergeCell ref="A6899:B6899"/>
    <mergeCell ref="F6899:G6899"/>
    <mergeCell ref="A6900:B6900"/>
    <mergeCell ref="F6900:G6900"/>
    <mergeCell ref="A6901:B6901"/>
    <mergeCell ref="F6901:G6901"/>
    <mergeCell ref="A6902:B6902"/>
    <mergeCell ref="F6902:G6902"/>
    <mergeCell ref="A6903:B6903"/>
    <mergeCell ref="F6903:G6903"/>
    <mergeCell ref="A6904:B6904"/>
    <mergeCell ref="F6904:G6904"/>
    <mergeCell ref="A6905:B6905"/>
    <mergeCell ref="F6905:G6905"/>
    <mergeCell ref="A6906:G6906"/>
    <mergeCell ref="A6907:H6907"/>
    <mergeCell ref="A6908:B6908"/>
    <mergeCell ref="F6908:G6908"/>
    <mergeCell ref="F3345:G3345"/>
    <mergeCell ref="A3346:B3346"/>
    <mergeCell ref="F3346:G3346"/>
    <mergeCell ref="A3347:B3347"/>
    <mergeCell ref="F3347:G3347"/>
    <mergeCell ref="A3348:B3348"/>
    <mergeCell ref="F3348:G3348"/>
    <mergeCell ref="A3349:B3349"/>
    <mergeCell ref="F3349:G3349"/>
    <mergeCell ref="A3350:B3350"/>
    <mergeCell ref="F3350:G3350"/>
    <mergeCell ref="A3351:B3351"/>
    <mergeCell ref="F3351:G3351"/>
    <mergeCell ref="A3352:B3352"/>
    <mergeCell ref="F3352:G3352"/>
    <mergeCell ref="A3353:B3353"/>
    <mergeCell ref="F3353:G3353"/>
    <mergeCell ref="A3354:B3354"/>
    <mergeCell ref="F3354:G3354"/>
    <mergeCell ref="A3355:B3355"/>
    <mergeCell ref="F3355:G3355"/>
    <mergeCell ref="A3356:B3356"/>
    <mergeCell ref="F3356:G3356"/>
    <mergeCell ref="A3357:B3357"/>
    <mergeCell ref="F3357:G3357"/>
    <mergeCell ref="A3358:B3358"/>
    <mergeCell ref="F3358:G3358"/>
    <mergeCell ref="A3359:G3359"/>
    <mergeCell ref="A3360:H3360"/>
    <mergeCell ref="A3361:B3361"/>
    <mergeCell ref="F3361:G3361"/>
    <mergeCell ref="A3362:B3362"/>
    <mergeCell ref="F3362:G3362"/>
    <mergeCell ref="A3363:G3363"/>
    <mergeCell ref="A3364:H3364"/>
    <mergeCell ref="A3365:B3365"/>
    <mergeCell ref="F3365:G3365"/>
    <mergeCell ref="A3366:B3366"/>
    <mergeCell ref="F3366:G3366"/>
    <mergeCell ref="A3367:B3367"/>
    <mergeCell ref="F3367:G3367"/>
    <mergeCell ref="A3368:B3368"/>
    <mergeCell ref="F3368:G3368"/>
    <mergeCell ref="A3369:G3369"/>
    <mergeCell ref="A3371:D3371"/>
    <mergeCell ref="F3376:G3376"/>
    <mergeCell ref="A3379:H3379"/>
    <mergeCell ref="A3381:A3384"/>
    <mergeCell ref="B3381:G3384"/>
    <mergeCell ref="H3381:H3383"/>
    <mergeCell ref="B3385:F3385"/>
    <mergeCell ref="B3386:E3386"/>
    <mergeCell ref="A3389:C3389"/>
    <mergeCell ref="A3390:C3390"/>
    <mergeCell ref="A3391:C3391"/>
    <mergeCell ref="A3392:C3392"/>
    <mergeCell ref="A3393:G3393"/>
    <mergeCell ref="A3394:H3394"/>
    <mergeCell ref="A3395:B3395"/>
    <mergeCell ref="F3395:G3395"/>
    <mergeCell ref="A3396:B3396"/>
    <mergeCell ref="F3396:G3396"/>
    <mergeCell ref="F3448:G3448"/>
    <mergeCell ref="A3449:B3449"/>
    <mergeCell ref="F3449:G3449"/>
    <mergeCell ref="A3450:B3450"/>
    <mergeCell ref="F3450:G3450"/>
    <mergeCell ref="A3451:B3451"/>
    <mergeCell ref="F3451:G3451"/>
    <mergeCell ref="A3452:B3452"/>
    <mergeCell ref="F3452:G3452"/>
    <mergeCell ref="A3453:B3453"/>
    <mergeCell ref="F3453:G3453"/>
    <mergeCell ref="A3454:B3454"/>
    <mergeCell ref="F3454:G3454"/>
    <mergeCell ref="A3455:B3455"/>
    <mergeCell ref="F3455:G3455"/>
    <mergeCell ref="A3456:B3456"/>
    <mergeCell ref="F3456:G3456"/>
    <mergeCell ref="A3457:B3457"/>
    <mergeCell ref="F3457:G3457"/>
    <mergeCell ref="A3458:B3458"/>
    <mergeCell ref="F3458:G3458"/>
    <mergeCell ref="A3459:B3459"/>
    <mergeCell ref="F3459:G3459"/>
    <mergeCell ref="A3460:B3460"/>
    <mergeCell ref="F3460:G3460"/>
    <mergeCell ref="A3461:G3461"/>
    <mergeCell ref="A3462:H3462"/>
    <mergeCell ref="A3463:B3463"/>
    <mergeCell ref="F3463:G3463"/>
    <mergeCell ref="A3464:B3464"/>
    <mergeCell ref="F3464:G3464"/>
    <mergeCell ref="A3465:G3465"/>
    <mergeCell ref="A3466:H3466"/>
    <mergeCell ref="A3467:B3467"/>
    <mergeCell ref="F3467:G3467"/>
    <mergeCell ref="A3468:B3468"/>
    <mergeCell ref="F3468:G3468"/>
    <mergeCell ref="A3469:B3469"/>
    <mergeCell ref="F3469:G3469"/>
    <mergeCell ref="A3470:B3470"/>
    <mergeCell ref="F3470:G3470"/>
    <mergeCell ref="A3471:G3471"/>
    <mergeCell ref="A3473:D3473"/>
    <mergeCell ref="F3478:G3478"/>
    <mergeCell ref="A8652:H8652"/>
    <mergeCell ref="A8654:A8657"/>
    <mergeCell ref="B8654:G8657"/>
    <mergeCell ref="H8654:H8656"/>
    <mergeCell ref="B8658:F8658"/>
    <mergeCell ref="A5474:H5474"/>
    <mergeCell ref="A5476:A5479"/>
    <mergeCell ref="B5476:G5479"/>
    <mergeCell ref="H5476:H5478"/>
    <mergeCell ref="B5480:F5480"/>
    <mergeCell ref="B5481:E5481"/>
    <mergeCell ref="A5484:C5484"/>
    <mergeCell ref="A5485:C5485"/>
    <mergeCell ref="A5486:C5486"/>
    <mergeCell ref="A5487:C5487"/>
    <mergeCell ref="A5488:G5488"/>
    <mergeCell ref="A5489:H5489"/>
    <mergeCell ref="A5490:B5490"/>
    <mergeCell ref="F5490:G5490"/>
    <mergeCell ref="A5491:B5491"/>
    <mergeCell ref="A5513:B5513"/>
    <mergeCell ref="F5513:G5513"/>
    <mergeCell ref="A5514:B5514"/>
    <mergeCell ref="F5514:G5514"/>
    <mergeCell ref="A5515:G5515"/>
    <mergeCell ref="A5517:D5517"/>
    <mergeCell ref="F5522:G5522"/>
    <mergeCell ref="A5525:H5525"/>
    <mergeCell ref="A5527:A5530"/>
    <mergeCell ref="B5527:G5530"/>
    <mergeCell ref="H5527:H5529"/>
    <mergeCell ref="B5531:F5531"/>
    <mergeCell ref="B5532:E5532"/>
    <mergeCell ref="A5535:C5535"/>
    <mergeCell ref="A5536:C5536"/>
    <mergeCell ref="A5537:C5537"/>
    <mergeCell ref="A5538:C5538"/>
    <mergeCell ref="A5568:D5568"/>
    <mergeCell ref="F5573:G5573"/>
    <mergeCell ref="A5552:B5552"/>
    <mergeCell ref="F5552:G5552"/>
    <mergeCell ref="A5553:B5553"/>
    <mergeCell ref="F5553:G5553"/>
    <mergeCell ref="A5554:B5554"/>
    <mergeCell ref="F5554:G5554"/>
    <mergeCell ref="A5555:B5555"/>
    <mergeCell ref="F5555:G5555"/>
    <mergeCell ref="A5556:G5556"/>
    <mergeCell ref="A5557:H5557"/>
    <mergeCell ref="A5558:B5558"/>
    <mergeCell ref="F5558:G5558"/>
    <mergeCell ref="A5559:B5559"/>
    <mergeCell ref="F5559:G5559"/>
    <mergeCell ref="B8659:E8659"/>
    <mergeCell ref="A8662:C8662"/>
    <mergeCell ref="A8663:C8663"/>
    <mergeCell ref="A6909:B6909"/>
    <mergeCell ref="F6909:G6909"/>
    <mergeCell ref="A6910:G6910"/>
    <mergeCell ref="A6911:H6911"/>
    <mergeCell ref="A6912:B6912"/>
    <mergeCell ref="F6912:G6912"/>
    <mergeCell ref="A6913:B6913"/>
    <mergeCell ref="F6913:G6913"/>
    <mergeCell ref="A6914:B6914"/>
    <mergeCell ref="F6914:G6914"/>
    <mergeCell ref="A6915:B6915"/>
    <mergeCell ref="F6915:G6915"/>
    <mergeCell ref="A6916:G6916"/>
    <mergeCell ref="A6918:D6918"/>
    <mergeCell ref="F6923:G6923"/>
    <mergeCell ref="A7620:C7620"/>
    <mergeCell ref="A7621:G7621"/>
    <mergeCell ref="A7622:H7622"/>
    <mergeCell ref="A7623:B7623"/>
    <mergeCell ref="F7623:G7623"/>
    <mergeCell ref="A7624:B7624"/>
    <mergeCell ref="F7624:G7624"/>
    <mergeCell ref="A7625:B7625"/>
    <mergeCell ref="F7625:G7625"/>
    <mergeCell ref="A7626:B7626"/>
    <mergeCell ref="F7626:G7626"/>
    <mergeCell ref="A7627:B7627"/>
    <mergeCell ref="F7627:G7627"/>
    <mergeCell ref="A7628:B7628"/>
    <mergeCell ref="A8664:C8664"/>
    <mergeCell ref="F7628:G7628"/>
    <mergeCell ref="A7629:B7629"/>
    <mergeCell ref="F7629:G7629"/>
    <mergeCell ref="A7630:B7630"/>
    <mergeCell ref="F7630:G7630"/>
    <mergeCell ref="A7631:B7631"/>
    <mergeCell ref="F7631:G7631"/>
    <mergeCell ref="A7632:B7632"/>
    <mergeCell ref="F7632:G7632"/>
    <mergeCell ref="A7633:B7633"/>
    <mergeCell ref="F7633:G7633"/>
    <mergeCell ref="A7634:B7634"/>
    <mergeCell ref="F7634:G7634"/>
    <mergeCell ref="A7635:B7635"/>
    <mergeCell ref="F7635:G7635"/>
    <mergeCell ref="A7636:B7636"/>
    <mergeCell ref="F7636:G7636"/>
    <mergeCell ref="A7637:B7637"/>
    <mergeCell ref="F7637:G7637"/>
    <mergeCell ref="A7638:G7638"/>
    <mergeCell ref="A7639:H7639"/>
    <mergeCell ref="A7640:B7640"/>
    <mergeCell ref="F7640:G7640"/>
    <mergeCell ref="A7641:B7641"/>
    <mergeCell ref="F7641:G7641"/>
    <mergeCell ref="A7642:G7642"/>
    <mergeCell ref="A7643:H7643"/>
    <mergeCell ref="A7644:B7644"/>
    <mergeCell ref="F7644:G7644"/>
    <mergeCell ref="A7645:B7645"/>
    <mergeCell ref="F7645:G7645"/>
    <mergeCell ref="A8665:C8665"/>
    <mergeCell ref="A8666:C8666"/>
    <mergeCell ref="A8667:G8667"/>
    <mergeCell ref="A8668:H8668"/>
    <mergeCell ref="A8669:B8669"/>
    <mergeCell ref="F8669:G8669"/>
    <mergeCell ref="A8670:B8670"/>
    <mergeCell ref="F8670:G8670"/>
    <mergeCell ref="A8671:B8671"/>
    <mergeCell ref="F8671:G8671"/>
    <mergeCell ref="A8672:B8672"/>
    <mergeCell ref="F8672:G8672"/>
    <mergeCell ref="A8673:B8673"/>
    <mergeCell ref="F8673:G8673"/>
    <mergeCell ref="A8674:B8674"/>
    <mergeCell ref="F8674:G8674"/>
    <mergeCell ref="A8675:B8675"/>
    <mergeCell ref="F8675:G8675"/>
    <mergeCell ref="A8676:B8676"/>
    <mergeCell ref="F8676:G8676"/>
    <mergeCell ref="A8677:B8677"/>
    <mergeCell ref="F8677:G8677"/>
    <mergeCell ref="A8678:B8678"/>
    <mergeCell ref="F8678:G8678"/>
    <mergeCell ref="A8679:B8679"/>
    <mergeCell ref="F8679:G8679"/>
    <mergeCell ref="A8680:B8680"/>
    <mergeCell ref="F8680:G8680"/>
    <mergeCell ref="A8681:B8681"/>
    <mergeCell ref="F8681:G8681"/>
    <mergeCell ref="A8682:B8682"/>
    <mergeCell ref="F8682:G8682"/>
    <mergeCell ref="A8683:B8683"/>
    <mergeCell ref="F8683:G8683"/>
    <mergeCell ref="A8695:B8695"/>
    <mergeCell ref="F8695:G8695"/>
    <mergeCell ref="A8696:B8696"/>
    <mergeCell ref="F8696:G8696"/>
    <mergeCell ref="A8697:G8697"/>
    <mergeCell ref="A8699:D8699"/>
    <mergeCell ref="F8704:G8704"/>
    <mergeCell ref="A8684:B8684"/>
    <mergeCell ref="F8684:G8684"/>
    <mergeCell ref="A8685:B8685"/>
    <mergeCell ref="F8685:G8685"/>
    <mergeCell ref="A8686:B8686"/>
    <mergeCell ref="F8686:G8686"/>
    <mergeCell ref="A8687:G8687"/>
    <mergeCell ref="A8688:H8688"/>
    <mergeCell ref="A8689:B8689"/>
    <mergeCell ref="F8689:G8689"/>
    <mergeCell ref="A8690:B8690"/>
    <mergeCell ref="F8690:G8690"/>
    <mergeCell ref="A8691:G8691"/>
    <mergeCell ref="A8692:H8692"/>
    <mergeCell ref="A8693:B8693"/>
    <mergeCell ref="F8693:G8693"/>
    <mergeCell ref="A8694:B8694"/>
    <mergeCell ref="F8694:G8694"/>
    <mergeCell ref="F5491:G5491"/>
    <mergeCell ref="A5492:B5492"/>
    <mergeCell ref="F5492:G5492"/>
    <mergeCell ref="A5493:B5493"/>
    <mergeCell ref="F5493:G5493"/>
    <mergeCell ref="A5494:B5494"/>
    <mergeCell ref="F5494:G5494"/>
    <mergeCell ref="A5495:B5495"/>
    <mergeCell ref="F5495:G5495"/>
    <mergeCell ref="A5496:B5496"/>
    <mergeCell ref="F5496:G5496"/>
    <mergeCell ref="A5497:B5497"/>
    <mergeCell ref="F5497:G5497"/>
    <mergeCell ref="A5498:B5498"/>
    <mergeCell ref="F5498:G5498"/>
    <mergeCell ref="A5499:B5499"/>
    <mergeCell ref="F5499:G5499"/>
    <mergeCell ref="A5500:B5500"/>
    <mergeCell ref="F5500:G5500"/>
    <mergeCell ref="A5501:B5501"/>
    <mergeCell ref="F5501:G5501"/>
    <mergeCell ref="A5502:B5502"/>
    <mergeCell ref="F5502:G5502"/>
    <mergeCell ref="A5503:B5503"/>
    <mergeCell ref="F5503:G5503"/>
    <mergeCell ref="A5504:B5504"/>
    <mergeCell ref="F5504:G5504"/>
    <mergeCell ref="A5505:G5505"/>
    <mergeCell ref="A5506:H5506"/>
    <mergeCell ref="A5507:B5507"/>
    <mergeCell ref="F5507:G5507"/>
    <mergeCell ref="A5508:B5508"/>
    <mergeCell ref="F5508:G5508"/>
    <mergeCell ref="A5509:G5509"/>
    <mergeCell ref="A5510:H5510"/>
    <mergeCell ref="A5511:B5511"/>
    <mergeCell ref="F5511:G5511"/>
    <mergeCell ref="A5512:B5512"/>
    <mergeCell ref="F5512:G5512"/>
    <mergeCell ref="A5560:G5560"/>
    <mergeCell ref="A5561:H5561"/>
    <mergeCell ref="A5562:B5562"/>
    <mergeCell ref="F5562:G5562"/>
    <mergeCell ref="A5577:H5577"/>
    <mergeCell ref="A5579:A5582"/>
    <mergeCell ref="B5579:G5582"/>
    <mergeCell ref="H5579:H5581"/>
    <mergeCell ref="B5583:F5583"/>
    <mergeCell ref="B5584:E5584"/>
    <mergeCell ref="A5587:C5587"/>
    <mergeCell ref="A5588:C5588"/>
    <mergeCell ref="A5589:C5589"/>
    <mergeCell ref="A5590:C5590"/>
    <mergeCell ref="A5591:G5591"/>
    <mergeCell ref="A5592:H5592"/>
    <mergeCell ref="A5593:B5593"/>
    <mergeCell ref="F5593:G5593"/>
    <mergeCell ref="A5594:B5594"/>
    <mergeCell ref="F5594:G5594"/>
    <mergeCell ref="A5595:B5595"/>
    <mergeCell ref="F5595:G5595"/>
    <mergeCell ref="A5596:B5596"/>
    <mergeCell ref="F5596:G5596"/>
    <mergeCell ref="A5597:B5597"/>
    <mergeCell ref="F5597:G5597"/>
    <mergeCell ref="A5598:B5598"/>
    <mergeCell ref="F5598:G5598"/>
    <mergeCell ref="A5599:B5599"/>
    <mergeCell ref="F5599:G5599"/>
    <mergeCell ref="A5600:B5600"/>
    <mergeCell ref="F5600:G5600"/>
    <mergeCell ref="A5601:B5601"/>
    <mergeCell ref="F5601:G5601"/>
    <mergeCell ref="A7606:H7606"/>
    <mergeCell ref="A7608:A7611"/>
    <mergeCell ref="B7608:G7611"/>
    <mergeCell ref="H7608:H7610"/>
    <mergeCell ref="F7019:G7019"/>
    <mergeCell ref="A7020:G7020"/>
    <mergeCell ref="A7022:D7022"/>
    <mergeCell ref="F7027:G7027"/>
    <mergeCell ref="A7030:H7030"/>
    <mergeCell ref="A7032:A7035"/>
    <mergeCell ref="B7032:G7035"/>
    <mergeCell ref="H7032:H7034"/>
    <mergeCell ref="B7036:F7036"/>
    <mergeCell ref="B7037:E7037"/>
    <mergeCell ref="A7040:C7040"/>
    <mergeCell ref="A7041:C7041"/>
    <mergeCell ref="A7042:C7042"/>
    <mergeCell ref="A7043:C7043"/>
    <mergeCell ref="A7044:C7044"/>
    <mergeCell ref="A7045:G7045"/>
    <mergeCell ref="A7046:H7046"/>
    <mergeCell ref="A7047:B7047"/>
    <mergeCell ref="F7047:G7047"/>
    <mergeCell ref="A7048:B7048"/>
    <mergeCell ref="F7048:G7048"/>
    <mergeCell ref="A7049:B7049"/>
    <mergeCell ref="F7049:G7049"/>
    <mergeCell ref="A7050:B7050"/>
    <mergeCell ref="F7050:G7050"/>
    <mergeCell ref="A7051:B7051"/>
    <mergeCell ref="F7051:G7051"/>
    <mergeCell ref="A7052:B7052"/>
    <mergeCell ref="F7052:G7052"/>
    <mergeCell ref="A7053:B7053"/>
    <mergeCell ref="F7053:G7053"/>
    <mergeCell ref="A7054:B7054"/>
    <mergeCell ref="F7054:G7054"/>
    <mergeCell ref="A7055:B7055"/>
    <mergeCell ref="F7055:G7055"/>
    <mergeCell ref="A7056:B7056"/>
    <mergeCell ref="F7056:G7056"/>
    <mergeCell ref="A7057:B7057"/>
    <mergeCell ref="F7057:G7057"/>
    <mergeCell ref="A7058:B7058"/>
    <mergeCell ref="F7058:G7058"/>
    <mergeCell ref="A7059:B7059"/>
    <mergeCell ref="F7059:G7059"/>
    <mergeCell ref="A7060:B7060"/>
    <mergeCell ref="F7060:G7060"/>
    <mergeCell ref="A7061:B7061"/>
    <mergeCell ref="F7061:G7061"/>
    <mergeCell ref="A7062:G7062"/>
    <mergeCell ref="A7063:H7063"/>
    <mergeCell ref="A7064:B7064"/>
    <mergeCell ref="F7064:G7064"/>
    <mergeCell ref="A7065:B7065"/>
    <mergeCell ref="F7065:G7065"/>
    <mergeCell ref="A7066:G7066"/>
    <mergeCell ref="A7067:H7067"/>
    <mergeCell ref="A7068:B7068"/>
    <mergeCell ref="F7068:G7068"/>
    <mergeCell ref="A7069:B7069"/>
    <mergeCell ref="F7069:G7069"/>
    <mergeCell ref="A7070:B7070"/>
    <mergeCell ref="B7612:F7612"/>
    <mergeCell ref="B7613:E7613"/>
    <mergeCell ref="A7616:C7616"/>
    <mergeCell ref="A7617:C7617"/>
    <mergeCell ref="A7618:C7618"/>
    <mergeCell ref="A7619:C7619"/>
    <mergeCell ref="A6948:B6948"/>
    <mergeCell ref="F6948:G6948"/>
    <mergeCell ref="A6949:B6949"/>
    <mergeCell ref="F6949:G6949"/>
    <mergeCell ref="A6950:B6950"/>
    <mergeCell ref="F6950:G6950"/>
    <mergeCell ref="A6951:B6951"/>
    <mergeCell ref="F6951:G6951"/>
    <mergeCell ref="A6952:B6952"/>
    <mergeCell ref="F6952:G6952"/>
    <mergeCell ref="A6953:B6953"/>
    <mergeCell ref="F6953:G6953"/>
    <mergeCell ref="A6954:B6954"/>
    <mergeCell ref="F6954:G6954"/>
    <mergeCell ref="A6955:B6955"/>
    <mergeCell ref="A6996:B6996"/>
    <mergeCell ref="F6996:G6996"/>
    <mergeCell ref="A6997:B6997"/>
    <mergeCell ref="F6997:G6997"/>
    <mergeCell ref="A6998:B6998"/>
    <mergeCell ref="F6998:G6998"/>
    <mergeCell ref="A6999:B6999"/>
    <mergeCell ref="F6999:G6999"/>
    <mergeCell ref="A7000:B7000"/>
    <mergeCell ref="F7000:G7000"/>
    <mergeCell ref="A7001:B7001"/>
    <mergeCell ref="F7001:G7001"/>
    <mergeCell ref="A7002:B7002"/>
    <mergeCell ref="F7002:G7002"/>
    <mergeCell ref="A7003:B7003"/>
    <mergeCell ref="F7003:G7003"/>
    <mergeCell ref="A7004:B7004"/>
    <mergeCell ref="F7004:G7004"/>
    <mergeCell ref="A7005:B7005"/>
    <mergeCell ref="F7005:G7005"/>
    <mergeCell ref="A7006:B7006"/>
    <mergeCell ref="F7006:G7006"/>
    <mergeCell ref="A7007:B7007"/>
    <mergeCell ref="F7007:G7007"/>
    <mergeCell ref="A7008:B7008"/>
    <mergeCell ref="F7008:G7008"/>
    <mergeCell ref="A7009:B7009"/>
    <mergeCell ref="F7009:G7009"/>
    <mergeCell ref="A7010:G7010"/>
    <mergeCell ref="A7011:H7011"/>
    <mergeCell ref="A7012:B7012"/>
    <mergeCell ref="F7012:G7012"/>
    <mergeCell ref="A7013:B7013"/>
    <mergeCell ref="F7013:G7013"/>
    <mergeCell ref="A7014:G7014"/>
    <mergeCell ref="A7015:H7015"/>
    <mergeCell ref="A7016:B7016"/>
    <mergeCell ref="F7016:G7016"/>
    <mergeCell ref="A7017:B7017"/>
    <mergeCell ref="F7017:G7017"/>
    <mergeCell ref="A7018:B7018"/>
    <mergeCell ref="F7018:G7018"/>
    <mergeCell ref="A7019:B7019"/>
    <mergeCell ref="A7646:B7646"/>
    <mergeCell ref="F7646:G7646"/>
    <mergeCell ref="A7647:B7647"/>
    <mergeCell ref="F7647:G7647"/>
    <mergeCell ref="A7648:G7648"/>
    <mergeCell ref="A7650:D7650"/>
    <mergeCell ref="F7655:G7655"/>
    <mergeCell ref="A7658:H7658"/>
    <mergeCell ref="A7660:A7663"/>
    <mergeCell ref="B7660:G7663"/>
    <mergeCell ref="H7660:H7662"/>
    <mergeCell ref="B7664:F7664"/>
    <mergeCell ref="B7665:E7665"/>
    <mergeCell ref="A7668:C7668"/>
    <mergeCell ref="A7669:C7669"/>
    <mergeCell ref="A7670:C7670"/>
    <mergeCell ref="A7671:C7671"/>
    <mergeCell ref="A7672:C7672"/>
    <mergeCell ref="A7673:G7673"/>
    <mergeCell ref="A7674:H7674"/>
    <mergeCell ref="A7675:B7675"/>
    <mergeCell ref="F7675:G7675"/>
    <mergeCell ref="A7676:B7676"/>
    <mergeCell ref="F7676:G7676"/>
    <mergeCell ref="A7677:B7677"/>
    <mergeCell ref="F7677:G7677"/>
    <mergeCell ref="A7678:B7678"/>
    <mergeCell ref="F7678:G7678"/>
    <mergeCell ref="A7679:B7679"/>
    <mergeCell ref="F7679:G7679"/>
    <mergeCell ref="A7680:B7680"/>
    <mergeCell ref="F7680:G7680"/>
    <mergeCell ref="A7681:B7681"/>
    <mergeCell ref="F7681:G7681"/>
    <mergeCell ref="A7682:B7682"/>
    <mergeCell ref="F7682:G7682"/>
    <mergeCell ref="A7683:B7683"/>
    <mergeCell ref="F7683:G7683"/>
    <mergeCell ref="A7684:B7684"/>
    <mergeCell ref="F7684:G7684"/>
    <mergeCell ref="A7685:B7685"/>
    <mergeCell ref="F7685:G7685"/>
    <mergeCell ref="A7686:B7686"/>
    <mergeCell ref="F7686:G7686"/>
    <mergeCell ref="A7687:B7687"/>
    <mergeCell ref="F7687:G7687"/>
    <mergeCell ref="A7688:B7688"/>
    <mergeCell ref="F7688:G7688"/>
    <mergeCell ref="A7689:B7689"/>
    <mergeCell ref="F7689:G7689"/>
    <mergeCell ref="A7690:G7690"/>
    <mergeCell ref="A7691:H7691"/>
    <mergeCell ref="A7692:B7692"/>
    <mergeCell ref="F7692:G7692"/>
    <mergeCell ref="A7693:B7693"/>
    <mergeCell ref="F7693:G7693"/>
    <mergeCell ref="A7694:G7694"/>
    <mergeCell ref="A7695:H7695"/>
    <mergeCell ref="A7696:B7696"/>
    <mergeCell ref="F7696:G7696"/>
    <mergeCell ref="A7697:B7697"/>
    <mergeCell ref="F7697:G7697"/>
    <mergeCell ref="A7698:B7698"/>
    <mergeCell ref="F7698:G7698"/>
    <mergeCell ref="A7699:B7699"/>
    <mergeCell ref="F7699:G7699"/>
    <mergeCell ref="A7700:G7700"/>
    <mergeCell ref="A7702:D7702"/>
    <mergeCell ref="F7707:G7707"/>
    <mergeCell ref="A6926:H6926"/>
    <mergeCell ref="A6928:A6931"/>
    <mergeCell ref="B6928:G6931"/>
    <mergeCell ref="H6928:H6930"/>
    <mergeCell ref="B6932:F6932"/>
    <mergeCell ref="B6933:E6933"/>
    <mergeCell ref="A6936:C6936"/>
    <mergeCell ref="A6937:C6937"/>
    <mergeCell ref="A6938:C6938"/>
    <mergeCell ref="A6939:C6939"/>
    <mergeCell ref="A6940:C6940"/>
    <mergeCell ref="A6941:G6941"/>
    <mergeCell ref="A6942:H6942"/>
    <mergeCell ref="A6943:B6943"/>
    <mergeCell ref="F6943:G6943"/>
    <mergeCell ref="A6944:B6944"/>
    <mergeCell ref="F6944:G6944"/>
    <mergeCell ref="A6945:B6945"/>
    <mergeCell ref="F6945:G6945"/>
    <mergeCell ref="A6946:B6946"/>
    <mergeCell ref="F6946:G6946"/>
    <mergeCell ref="A6947:B6947"/>
    <mergeCell ref="F6947:G6947"/>
    <mergeCell ref="F6955:G6955"/>
    <mergeCell ref="A6956:B6956"/>
    <mergeCell ref="F6956:G6956"/>
    <mergeCell ref="A6957:B6957"/>
    <mergeCell ref="F6957:G6957"/>
    <mergeCell ref="A6958:G6958"/>
    <mergeCell ref="A6959:H6959"/>
    <mergeCell ref="A6960:B6960"/>
    <mergeCell ref="F6960:G6960"/>
    <mergeCell ref="A6961:B6961"/>
    <mergeCell ref="F6961:G6961"/>
    <mergeCell ref="A6962:G6962"/>
    <mergeCell ref="A6963:H6963"/>
    <mergeCell ref="A6964:B6964"/>
    <mergeCell ref="F6964:G6964"/>
    <mergeCell ref="A6965:B6965"/>
    <mergeCell ref="F6965:G6965"/>
    <mergeCell ref="A6966:B6966"/>
    <mergeCell ref="F6966:G6966"/>
    <mergeCell ref="A6967:B6967"/>
    <mergeCell ref="F6967:G6967"/>
    <mergeCell ref="A6968:G6968"/>
    <mergeCell ref="A6970:D6970"/>
    <mergeCell ref="F6975:G6975"/>
    <mergeCell ref="A6978:H6978"/>
    <mergeCell ref="A6980:A6983"/>
    <mergeCell ref="B6980:G6983"/>
    <mergeCell ref="H6980:H6982"/>
    <mergeCell ref="B6984:F6984"/>
    <mergeCell ref="B6985:E6985"/>
    <mergeCell ref="A6988:C6988"/>
    <mergeCell ref="A6989:C6989"/>
    <mergeCell ref="A6990:C6990"/>
    <mergeCell ref="A6991:C6991"/>
    <mergeCell ref="A6992:C6992"/>
    <mergeCell ref="A6993:G6993"/>
    <mergeCell ref="A6994:H6994"/>
    <mergeCell ref="A6995:B6995"/>
    <mergeCell ref="F6995:G6995"/>
    <mergeCell ref="F7070:G7070"/>
    <mergeCell ref="A7071:B7071"/>
    <mergeCell ref="F7071:G7071"/>
    <mergeCell ref="A7072:G7072"/>
    <mergeCell ref="A7074:D7074"/>
    <mergeCell ref="F7079:G7079"/>
    <mergeCell ref="A7082:H7082"/>
    <mergeCell ref="A7084:A7087"/>
    <mergeCell ref="B7084:G7087"/>
    <mergeCell ref="H7084:H7086"/>
    <mergeCell ref="B7088:F7088"/>
    <mergeCell ref="B7089:E7089"/>
    <mergeCell ref="A7092:C7092"/>
    <mergeCell ref="A7093:C7093"/>
    <mergeCell ref="A7094:C7094"/>
    <mergeCell ref="A7095:C7095"/>
    <mergeCell ref="A7096:C7096"/>
    <mergeCell ref="A7097:G7097"/>
    <mergeCell ref="A7098:H7098"/>
    <mergeCell ref="A7099:B7099"/>
    <mergeCell ref="F7099:G7099"/>
    <mergeCell ref="A7100:B7100"/>
    <mergeCell ref="F7100:G7100"/>
    <mergeCell ref="A7101:B7101"/>
    <mergeCell ref="F7101:G7101"/>
    <mergeCell ref="A7102:B7102"/>
    <mergeCell ref="F7102:G7102"/>
    <mergeCell ref="A7103:B7103"/>
    <mergeCell ref="F7103:G7103"/>
    <mergeCell ref="A7104:B7104"/>
    <mergeCell ref="F7104:G7104"/>
    <mergeCell ref="A7105:B7105"/>
    <mergeCell ref="F7105:G7105"/>
    <mergeCell ref="A7106:B7106"/>
    <mergeCell ref="F7106:G7106"/>
    <mergeCell ref="A7107:B7107"/>
    <mergeCell ref="F7107:G7107"/>
    <mergeCell ref="A7108:B7108"/>
    <mergeCell ref="F7108:G7108"/>
    <mergeCell ref="A7109:B7109"/>
    <mergeCell ref="F7109:G7109"/>
    <mergeCell ref="A7110:B7110"/>
    <mergeCell ref="F7110:G7110"/>
    <mergeCell ref="A7111:B7111"/>
    <mergeCell ref="F7111:G7111"/>
    <mergeCell ref="A7112:B7112"/>
    <mergeCell ref="F7112:G7112"/>
    <mergeCell ref="A7113:B7113"/>
    <mergeCell ref="F7113:G7113"/>
    <mergeCell ref="A7114:G7114"/>
    <mergeCell ref="A7115:H7115"/>
    <mergeCell ref="A7116:B7116"/>
    <mergeCell ref="F7116:G7116"/>
    <mergeCell ref="A7117:B7117"/>
    <mergeCell ref="F7117:G7117"/>
    <mergeCell ref="A7118:G7118"/>
    <mergeCell ref="A7119:H7119"/>
    <mergeCell ref="A7120:B7120"/>
    <mergeCell ref="F7120:G7120"/>
    <mergeCell ref="A7121:B7121"/>
    <mergeCell ref="F7121:G7121"/>
    <mergeCell ref="A7122:B7122"/>
    <mergeCell ref="F7122:G7122"/>
    <mergeCell ref="A7123:B7123"/>
    <mergeCell ref="F7123:G7123"/>
    <mergeCell ref="A7124:G7124"/>
    <mergeCell ref="A7126:D7126"/>
    <mergeCell ref="F7131:G7131"/>
    <mergeCell ref="A7134:H7134"/>
    <mergeCell ref="A7136:A7139"/>
    <mergeCell ref="B7136:G7139"/>
    <mergeCell ref="H7136:H7138"/>
    <mergeCell ref="B7140:F7140"/>
    <mergeCell ref="B7141:E7141"/>
    <mergeCell ref="A7144:C7144"/>
    <mergeCell ref="A7145:C7145"/>
    <mergeCell ref="A7146:C7146"/>
    <mergeCell ref="A7147:C7147"/>
    <mergeCell ref="A7148:C7148"/>
    <mergeCell ref="A7149:G7149"/>
    <mergeCell ref="A7150:H7150"/>
    <mergeCell ref="A7151:B7151"/>
    <mergeCell ref="F7151:G7151"/>
    <mergeCell ref="A7152:B7152"/>
    <mergeCell ref="F7152:G7152"/>
    <mergeCell ref="A7153:B7153"/>
    <mergeCell ref="F7153:G7153"/>
    <mergeCell ref="A7154:B7154"/>
    <mergeCell ref="F7154:G7154"/>
    <mergeCell ref="A7155:B7155"/>
    <mergeCell ref="F7155:G7155"/>
    <mergeCell ref="A7156:B7156"/>
    <mergeCell ref="F7156:G7156"/>
    <mergeCell ref="A7157:B7157"/>
    <mergeCell ref="F7157:G7157"/>
    <mergeCell ref="A7158:B7158"/>
    <mergeCell ref="F7158:G7158"/>
    <mergeCell ref="A7159:B7159"/>
    <mergeCell ref="F7159:G7159"/>
    <mergeCell ref="A7160:B7160"/>
    <mergeCell ref="F7160:G7160"/>
    <mergeCell ref="A7161:B7161"/>
    <mergeCell ref="F7161:G7161"/>
    <mergeCell ref="A7162:B7162"/>
    <mergeCell ref="F7162:G7162"/>
    <mergeCell ref="A7163:B7163"/>
    <mergeCell ref="F7163:G7163"/>
    <mergeCell ref="A7164:B7164"/>
    <mergeCell ref="F7164:G7164"/>
    <mergeCell ref="A7165:B7165"/>
    <mergeCell ref="F7165:G7165"/>
    <mergeCell ref="A7166:G7166"/>
    <mergeCell ref="A7167:H7167"/>
    <mergeCell ref="A7168:B7168"/>
    <mergeCell ref="F7168:G7168"/>
    <mergeCell ref="A7169:B7169"/>
    <mergeCell ref="F7169:G7169"/>
    <mergeCell ref="A7170:G7170"/>
    <mergeCell ref="A7171:H7171"/>
    <mergeCell ref="A7172:B7172"/>
    <mergeCell ref="F7172:G7172"/>
    <mergeCell ref="A7173:B7173"/>
    <mergeCell ref="F7173:G7173"/>
    <mergeCell ref="A7174:B7174"/>
    <mergeCell ref="F7174:G7174"/>
    <mergeCell ref="A7175:B7175"/>
    <mergeCell ref="F7175:G7175"/>
    <mergeCell ref="A7176:G7176"/>
    <mergeCell ref="A7178:D7178"/>
    <mergeCell ref="F7183:G7183"/>
    <mergeCell ref="A7186:H7186"/>
    <mergeCell ref="A7188:A7191"/>
    <mergeCell ref="B7188:G7191"/>
    <mergeCell ref="H7188:H7190"/>
    <mergeCell ref="B7192:F7192"/>
    <mergeCell ref="B7193:E7193"/>
    <mergeCell ref="A7196:C7196"/>
    <mergeCell ref="A7197:C7197"/>
    <mergeCell ref="A7198:C7198"/>
    <mergeCell ref="A7199:C7199"/>
    <mergeCell ref="A7200:C7200"/>
    <mergeCell ref="A7201:G7201"/>
    <mergeCell ref="A7202:H7202"/>
    <mergeCell ref="A7203:B7203"/>
    <mergeCell ref="F7203:G7203"/>
    <mergeCell ref="A7204:B7204"/>
    <mergeCell ref="F7204:G7204"/>
    <mergeCell ref="A7205:B7205"/>
    <mergeCell ref="F7205:G7205"/>
    <mergeCell ref="A7206:B7206"/>
    <mergeCell ref="F7206:G7206"/>
    <mergeCell ref="A7207:B7207"/>
    <mergeCell ref="F7207:G7207"/>
    <mergeCell ref="A7208:B7208"/>
    <mergeCell ref="F7208:G7208"/>
    <mergeCell ref="A7209:B7209"/>
    <mergeCell ref="F7209:G7209"/>
    <mergeCell ref="A7210:B7210"/>
    <mergeCell ref="F7210:G7210"/>
    <mergeCell ref="A7211:B7211"/>
    <mergeCell ref="F7211:G7211"/>
    <mergeCell ref="A7212:B7212"/>
    <mergeCell ref="F7212:G7212"/>
    <mergeCell ref="A7213:B7213"/>
    <mergeCell ref="F7213:G7213"/>
    <mergeCell ref="A7214:B7214"/>
    <mergeCell ref="F7214:G7214"/>
    <mergeCell ref="A7215:B7215"/>
    <mergeCell ref="F7215:G7215"/>
    <mergeCell ref="A7216:B7216"/>
    <mergeCell ref="F7216:G7216"/>
    <mergeCell ref="A7217:B7217"/>
    <mergeCell ref="F7217:G7217"/>
    <mergeCell ref="A7218:G7218"/>
    <mergeCell ref="A7219:H7219"/>
    <mergeCell ref="A7220:B7220"/>
    <mergeCell ref="F7220:G7220"/>
    <mergeCell ref="A7221:B7221"/>
    <mergeCell ref="F7221:G7221"/>
    <mergeCell ref="A7222:G7222"/>
    <mergeCell ref="A7223:H7223"/>
    <mergeCell ref="A7224:B7224"/>
    <mergeCell ref="F7224:G7224"/>
    <mergeCell ref="A7225:B7225"/>
    <mergeCell ref="F7225:G7225"/>
    <mergeCell ref="A7226:B7226"/>
    <mergeCell ref="F7226:G7226"/>
    <mergeCell ref="A7227:B7227"/>
    <mergeCell ref="F7227:G7227"/>
    <mergeCell ref="A7228:G7228"/>
    <mergeCell ref="A7230:D7230"/>
    <mergeCell ref="F7235:G7235"/>
    <mergeCell ref="A7238:H7238"/>
    <mergeCell ref="A7240:A7243"/>
    <mergeCell ref="B7240:G7243"/>
    <mergeCell ref="H7240:H7242"/>
    <mergeCell ref="B7244:F7244"/>
    <mergeCell ref="B7245:E7245"/>
    <mergeCell ref="A7248:C7248"/>
    <mergeCell ref="A7249:C7249"/>
    <mergeCell ref="A7250:C7250"/>
    <mergeCell ref="A7251:C7251"/>
    <mergeCell ref="A7252:C7252"/>
    <mergeCell ref="A7253:G7253"/>
    <mergeCell ref="A7254:H7254"/>
    <mergeCell ref="A7255:B7255"/>
    <mergeCell ref="F7255:G7255"/>
    <mergeCell ref="A7256:B7256"/>
    <mergeCell ref="F7256:G7256"/>
    <mergeCell ref="A7257:B7257"/>
    <mergeCell ref="F7257:G7257"/>
    <mergeCell ref="A7258:B7258"/>
    <mergeCell ref="F7258:G7258"/>
    <mergeCell ref="A7259:B7259"/>
    <mergeCell ref="F7259:G7259"/>
    <mergeCell ref="A7260:B7260"/>
    <mergeCell ref="F7260:G7260"/>
    <mergeCell ref="A7261:B7261"/>
    <mergeCell ref="F7261:G7261"/>
    <mergeCell ref="A7262:B7262"/>
    <mergeCell ref="F7262:G7262"/>
    <mergeCell ref="A7263:B7263"/>
    <mergeCell ref="F7263:G7263"/>
    <mergeCell ref="A7264:B7264"/>
    <mergeCell ref="F7264:G7264"/>
    <mergeCell ref="A7265:B7265"/>
    <mergeCell ref="F7265:G7265"/>
    <mergeCell ref="A7266:B7266"/>
    <mergeCell ref="F7266:G7266"/>
    <mergeCell ref="A7267:B7267"/>
    <mergeCell ref="F7267:G7267"/>
    <mergeCell ref="A7268:B7268"/>
    <mergeCell ref="F7268:G7268"/>
    <mergeCell ref="A7269:B7269"/>
    <mergeCell ref="F7269:G7269"/>
    <mergeCell ref="A7270:G7270"/>
    <mergeCell ref="A7271:H7271"/>
    <mergeCell ref="A7272:B7272"/>
    <mergeCell ref="F7272:G7272"/>
    <mergeCell ref="A7273:B7273"/>
    <mergeCell ref="F7273:G7273"/>
    <mergeCell ref="A7274:G7274"/>
    <mergeCell ref="A7275:H7275"/>
    <mergeCell ref="A7276:B7276"/>
    <mergeCell ref="F7276:G7276"/>
    <mergeCell ref="A7277:B7277"/>
    <mergeCell ref="F7277:G7277"/>
    <mergeCell ref="A7278:B7278"/>
    <mergeCell ref="F7278:G7278"/>
    <mergeCell ref="A7279:B7279"/>
    <mergeCell ref="F7279:G7279"/>
    <mergeCell ref="A7280:G7280"/>
    <mergeCell ref="A7282:D7282"/>
    <mergeCell ref="F7287:G7287"/>
    <mergeCell ref="A7290:H7290"/>
    <mergeCell ref="A7292:A7295"/>
    <mergeCell ref="B7292:G7295"/>
    <mergeCell ref="H7292:H7294"/>
    <mergeCell ref="B7296:F7296"/>
    <mergeCell ref="B7297:E7297"/>
    <mergeCell ref="A7300:C7300"/>
    <mergeCell ref="A7301:C7301"/>
    <mergeCell ref="A7302:C7302"/>
    <mergeCell ref="A7303:C7303"/>
    <mergeCell ref="A7304:C7304"/>
    <mergeCell ref="A7305:G7305"/>
    <mergeCell ref="A7306:H7306"/>
    <mergeCell ref="A7307:B7307"/>
    <mergeCell ref="F7307:G7307"/>
    <mergeCell ref="A7308:B7308"/>
    <mergeCell ref="F7308:G7308"/>
    <mergeCell ref="A7309:B7309"/>
    <mergeCell ref="F7309:G7309"/>
    <mergeCell ref="A7310:B7310"/>
    <mergeCell ref="F7310:G7310"/>
    <mergeCell ref="A7311:B7311"/>
    <mergeCell ref="F7311:G7311"/>
    <mergeCell ref="A7312:B7312"/>
    <mergeCell ref="F7312:G7312"/>
    <mergeCell ref="A7313:B7313"/>
    <mergeCell ref="F7313:G7313"/>
    <mergeCell ref="A7314:B7314"/>
    <mergeCell ref="F7314:G7314"/>
    <mergeCell ref="A7315:B7315"/>
    <mergeCell ref="F7315:G7315"/>
    <mergeCell ref="A7316:B7316"/>
    <mergeCell ref="F7316:G7316"/>
    <mergeCell ref="A7317:B7317"/>
    <mergeCell ref="F7317:G7317"/>
    <mergeCell ref="A7318:B7318"/>
    <mergeCell ref="F7318:G7318"/>
    <mergeCell ref="A7319:B7319"/>
    <mergeCell ref="F7319:G7319"/>
    <mergeCell ref="A7320:B7320"/>
    <mergeCell ref="F7320:G7320"/>
    <mergeCell ref="A7321:B7321"/>
    <mergeCell ref="F7321:G7321"/>
    <mergeCell ref="A7322:G7322"/>
    <mergeCell ref="A7323:H7323"/>
    <mergeCell ref="A7324:B7324"/>
    <mergeCell ref="F7324:G7324"/>
    <mergeCell ref="A7325:B7325"/>
    <mergeCell ref="F7325:G7325"/>
    <mergeCell ref="A7326:G7326"/>
    <mergeCell ref="A7327:H7327"/>
    <mergeCell ref="A7328:B7328"/>
    <mergeCell ref="F7328:G7328"/>
    <mergeCell ref="A7329:B7329"/>
    <mergeCell ref="F7329:G7329"/>
    <mergeCell ref="A7330:B7330"/>
    <mergeCell ref="F7330:G7330"/>
    <mergeCell ref="A7331:B7331"/>
    <mergeCell ref="F7331:G7331"/>
    <mergeCell ref="A7332:G7332"/>
    <mergeCell ref="A7334:D7334"/>
    <mergeCell ref="F7339:G7339"/>
    <mergeCell ref="A7342:H7342"/>
    <mergeCell ref="A7344:A7347"/>
    <mergeCell ref="B7344:G7347"/>
    <mergeCell ref="H7344:H7346"/>
    <mergeCell ref="B7348:F7348"/>
    <mergeCell ref="B7349:E7349"/>
    <mergeCell ref="A7352:C7352"/>
    <mergeCell ref="A7353:C7353"/>
    <mergeCell ref="A7354:C7354"/>
    <mergeCell ref="A7355:C7355"/>
    <mergeCell ref="A7356:C7356"/>
    <mergeCell ref="A7357:G7357"/>
    <mergeCell ref="A7358:H7358"/>
    <mergeCell ref="A7359:B7359"/>
    <mergeCell ref="F7359:G7359"/>
    <mergeCell ref="A7360:B7360"/>
    <mergeCell ref="F7360:G7360"/>
    <mergeCell ref="A7361:B7361"/>
    <mergeCell ref="F7361:G7361"/>
    <mergeCell ref="A7362:B7362"/>
    <mergeCell ref="F7362:G7362"/>
    <mergeCell ref="A7363:B7363"/>
    <mergeCell ref="F7363:G7363"/>
    <mergeCell ref="A7364:B7364"/>
    <mergeCell ref="F7364:G7364"/>
    <mergeCell ref="A7365:B7365"/>
    <mergeCell ref="F7365:G7365"/>
    <mergeCell ref="A7366:B7366"/>
    <mergeCell ref="F7366:G7366"/>
    <mergeCell ref="A7367:B7367"/>
    <mergeCell ref="F7367:G7367"/>
    <mergeCell ref="A7368:B7368"/>
    <mergeCell ref="F7368:G7368"/>
    <mergeCell ref="A7369:B7369"/>
    <mergeCell ref="F7369:G7369"/>
    <mergeCell ref="A7370:B7370"/>
    <mergeCell ref="F7370:G7370"/>
    <mergeCell ref="A7371:B7371"/>
    <mergeCell ref="F7371:G7371"/>
    <mergeCell ref="A7372:B7372"/>
    <mergeCell ref="F7372:G7372"/>
    <mergeCell ref="A7373:B7373"/>
    <mergeCell ref="F7373:G7373"/>
    <mergeCell ref="A7374:G7374"/>
    <mergeCell ref="A7375:H7375"/>
    <mergeCell ref="A7376:B7376"/>
    <mergeCell ref="F7376:G7376"/>
    <mergeCell ref="A7377:B7377"/>
    <mergeCell ref="F7377:G7377"/>
    <mergeCell ref="A7378:G7378"/>
    <mergeCell ref="A7379:H7379"/>
    <mergeCell ref="A7380:B7380"/>
    <mergeCell ref="F7380:G7380"/>
    <mergeCell ref="A7381:B7381"/>
    <mergeCell ref="F7381:G7381"/>
    <mergeCell ref="A7382:B7382"/>
    <mergeCell ref="F7382:G7382"/>
    <mergeCell ref="A7383:B7383"/>
    <mergeCell ref="F7383:G7383"/>
    <mergeCell ref="A7384:G7384"/>
    <mergeCell ref="A7386:D7386"/>
    <mergeCell ref="F7391:G7391"/>
    <mergeCell ref="A7394:H7394"/>
    <mergeCell ref="A7396:A7399"/>
    <mergeCell ref="B7396:G7399"/>
    <mergeCell ref="H7396:H7398"/>
    <mergeCell ref="B7400:F7400"/>
    <mergeCell ref="B7401:E7401"/>
    <mergeCell ref="A7404:C7404"/>
    <mergeCell ref="A7405:C7405"/>
    <mergeCell ref="A7406:C7406"/>
    <mergeCell ref="A7407:C7407"/>
    <mergeCell ref="A7408:C7408"/>
    <mergeCell ref="A7409:G7409"/>
    <mergeCell ref="A7410:H7410"/>
    <mergeCell ref="A7411:B7411"/>
    <mergeCell ref="F7411:G7411"/>
    <mergeCell ref="A7412:B7412"/>
    <mergeCell ref="F7412:G7412"/>
    <mergeCell ref="A7413:B7413"/>
    <mergeCell ref="F7413:G7413"/>
    <mergeCell ref="A7414:B7414"/>
    <mergeCell ref="F7414:G7414"/>
    <mergeCell ref="A7415:B7415"/>
    <mergeCell ref="F7415:G7415"/>
    <mergeCell ref="A7416:B7416"/>
    <mergeCell ref="F7416:G7416"/>
    <mergeCell ref="A7417:B7417"/>
    <mergeCell ref="F7417:G7417"/>
    <mergeCell ref="A7418:B7418"/>
    <mergeCell ref="F7418:G7418"/>
    <mergeCell ref="A7419:B7419"/>
    <mergeCell ref="F7419:G7419"/>
    <mergeCell ref="A7420:B7420"/>
    <mergeCell ref="F7420:G7420"/>
    <mergeCell ref="A7421:B7421"/>
    <mergeCell ref="F7421:G7421"/>
    <mergeCell ref="A7422:B7422"/>
    <mergeCell ref="F7422:G7422"/>
    <mergeCell ref="A7423:B7423"/>
    <mergeCell ref="F7423:G7423"/>
    <mergeCell ref="A7424:B7424"/>
    <mergeCell ref="F7424:G7424"/>
    <mergeCell ref="A7425:B7425"/>
    <mergeCell ref="F7425:G7425"/>
    <mergeCell ref="A7426:G7426"/>
    <mergeCell ref="A7427:H7427"/>
    <mergeCell ref="A7428:B7428"/>
    <mergeCell ref="F7428:G7428"/>
    <mergeCell ref="A7429:B7429"/>
    <mergeCell ref="F7429:G7429"/>
    <mergeCell ref="A7430:G7430"/>
    <mergeCell ref="A7431:H7431"/>
    <mergeCell ref="A7432:B7432"/>
    <mergeCell ref="F7432:G7432"/>
    <mergeCell ref="A7433:B7433"/>
    <mergeCell ref="F7433:G7433"/>
    <mergeCell ref="A7434:B7434"/>
    <mergeCell ref="F7434:G7434"/>
    <mergeCell ref="A7435:B7435"/>
    <mergeCell ref="F7435:G7435"/>
    <mergeCell ref="A7436:G7436"/>
    <mergeCell ref="A7438:D7438"/>
    <mergeCell ref="F7443:G7443"/>
    <mergeCell ref="A7446:H7446"/>
    <mergeCell ref="A7448:A7451"/>
    <mergeCell ref="B7448:G7451"/>
    <mergeCell ref="H7448:H7450"/>
    <mergeCell ref="B7452:F7452"/>
    <mergeCell ref="B7453:E7453"/>
    <mergeCell ref="A7456:C7456"/>
    <mergeCell ref="A7457:C7457"/>
    <mergeCell ref="A7458:C7458"/>
    <mergeCell ref="A7459:C7459"/>
    <mergeCell ref="A7460:C7460"/>
    <mergeCell ref="A7461:G7461"/>
    <mergeCell ref="A7462:H7462"/>
    <mergeCell ref="A7463:B7463"/>
    <mergeCell ref="F7463:G7463"/>
    <mergeCell ref="A7464:B7464"/>
    <mergeCell ref="F7464:G7464"/>
    <mergeCell ref="A7465:B7465"/>
    <mergeCell ref="F7465:G7465"/>
    <mergeCell ref="A7466:B7466"/>
    <mergeCell ref="F7466:G7466"/>
    <mergeCell ref="A7467:B7467"/>
    <mergeCell ref="F7467:G7467"/>
    <mergeCell ref="A7468:B7468"/>
    <mergeCell ref="F7468:G7468"/>
    <mergeCell ref="A7469:B7469"/>
    <mergeCell ref="F7469:G7469"/>
    <mergeCell ref="A7470:B7470"/>
    <mergeCell ref="F7470:G7470"/>
    <mergeCell ref="A7471:B7471"/>
    <mergeCell ref="F7471:G7471"/>
    <mergeCell ref="A7479:H7479"/>
    <mergeCell ref="A7480:B7480"/>
    <mergeCell ref="F7480:G7480"/>
    <mergeCell ref="A7481:B7481"/>
    <mergeCell ref="F7481:G7481"/>
    <mergeCell ref="A7482:G7482"/>
    <mergeCell ref="A7594:B7594"/>
    <mergeCell ref="F7594:G7594"/>
    <mergeCell ref="A7575:B7575"/>
    <mergeCell ref="F7575:G7575"/>
    <mergeCell ref="A7576:B7576"/>
    <mergeCell ref="F7576:G7576"/>
    <mergeCell ref="A7577:B7577"/>
    <mergeCell ref="F7577:G7577"/>
    <mergeCell ref="A7578:B7578"/>
    <mergeCell ref="F7578:G7578"/>
    <mergeCell ref="A7579:B7579"/>
    <mergeCell ref="F7579:G7579"/>
    <mergeCell ref="A7580:B7580"/>
    <mergeCell ref="F7580:G7580"/>
    <mergeCell ref="A7581:B7581"/>
    <mergeCell ref="F7581:G7581"/>
    <mergeCell ref="A7582:B7582"/>
    <mergeCell ref="F7582:G7582"/>
    <mergeCell ref="A7583:B7583"/>
    <mergeCell ref="F7583:G7583"/>
    <mergeCell ref="A7483:H7483"/>
    <mergeCell ref="A7484:B7484"/>
    <mergeCell ref="F7484:G7484"/>
    <mergeCell ref="A7485:B7485"/>
    <mergeCell ref="F7485:G7485"/>
    <mergeCell ref="A7486:B7486"/>
    <mergeCell ref="F7486:G7486"/>
    <mergeCell ref="A7487:B7487"/>
    <mergeCell ref="F7487:G7487"/>
    <mergeCell ref="A7488:G7488"/>
    <mergeCell ref="A7490:D7490"/>
    <mergeCell ref="F7495:G7495"/>
    <mergeCell ref="A7553:H7553"/>
    <mergeCell ref="A7555:A7558"/>
    <mergeCell ref="B7555:G7558"/>
    <mergeCell ref="H7555:H7557"/>
    <mergeCell ref="B7559:F7559"/>
    <mergeCell ref="A7517:B7517"/>
    <mergeCell ref="F7517:G7517"/>
    <mergeCell ref="A7518:B7518"/>
    <mergeCell ref="F7518:G7518"/>
    <mergeCell ref="A7519:B7519"/>
    <mergeCell ref="F7519:G7519"/>
    <mergeCell ref="A7520:B7520"/>
    <mergeCell ref="F7520:G7520"/>
    <mergeCell ref="A9560:H9560"/>
    <mergeCell ref="A9562:A9565"/>
    <mergeCell ref="B9562:G9565"/>
    <mergeCell ref="H9562:H9564"/>
    <mergeCell ref="B9566:F9566"/>
    <mergeCell ref="B9567:E9567"/>
    <mergeCell ref="A9570:C9570"/>
    <mergeCell ref="A9571:C9571"/>
    <mergeCell ref="A9572:C9572"/>
    <mergeCell ref="A9573:C9573"/>
    <mergeCell ref="A9574:C9574"/>
    <mergeCell ref="A9575:G9575"/>
    <mergeCell ref="A9576:H9576"/>
    <mergeCell ref="A9577:B9577"/>
    <mergeCell ref="F9577:G9577"/>
    <mergeCell ref="B8714:E8714"/>
    <mergeCell ref="A8717:C8717"/>
    <mergeCell ref="A8718:C8718"/>
    <mergeCell ref="A8719:C8719"/>
    <mergeCell ref="A8720:C8720"/>
    <mergeCell ref="A8721:C8721"/>
    <mergeCell ref="A8722:G8722"/>
    <mergeCell ref="A8723:H8723"/>
    <mergeCell ref="A8724:B8724"/>
    <mergeCell ref="F8724:G8724"/>
    <mergeCell ref="A8725:B8725"/>
    <mergeCell ref="F8725:G8725"/>
    <mergeCell ref="A8726:B8726"/>
    <mergeCell ref="F8726:G8726"/>
    <mergeCell ref="F9218:G9218"/>
    <mergeCell ref="A9219:B9219"/>
    <mergeCell ref="F9219:G9219"/>
    <mergeCell ref="A8777:G8777"/>
    <mergeCell ref="A8778:H8778"/>
    <mergeCell ref="A8779:B8779"/>
    <mergeCell ref="F8779:G8779"/>
    <mergeCell ref="A8780:B8780"/>
    <mergeCell ref="F8780:G8780"/>
    <mergeCell ref="A8781:B8781"/>
    <mergeCell ref="F8781:G8781"/>
    <mergeCell ref="A8782:B8782"/>
    <mergeCell ref="F8782:G8782"/>
    <mergeCell ref="A8783:B8783"/>
    <mergeCell ref="F8783:G8783"/>
    <mergeCell ref="A8784:B8784"/>
    <mergeCell ref="F8784:G8784"/>
    <mergeCell ref="A8785:B8785"/>
    <mergeCell ref="A9534:B9534"/>
    <mergeCell ref="F9534:G9534"/>
    <mergeCell ref="A9535:B9535"/>
    <mergeCell ref="F9535:G9535"/>
    <mergeCell ref="A9536:B9536"/>
    <mergeCell ref="F9536:G9536"/>
    <mergeCell ref="A9537:B9537"/>
    <mergeCell ref="F9537:G9537"/>
    <mergeCell ref="A9538:B9538"/>
    <mergeCell ref="F9538:G9538"/>
    <mergeCell ref="A9539:B9539"/>
    <mergeCell ref="F9539:G9539"/>
    <mergeCell ref="A9540:G9540"/>
    <mergeCell ref="A9541:H9541"/>
    <mergeCell ref="A9542:B9542"/>
    <mergeCell ref="F9542:G9542"/>
    <mergeCell ref="A9543:B9543"/>
    <mergeCell ref="A9578:B9578"/>
    <mergeCell ref="F9578:G9578"/>
    <mergeCell ref="A8727:B8727"/>
    <mergeCell ref="F8727:G8727"/>
    <mergeCell ref="A8728:B8728"/>
    <mergeCell ref="F8728:G8728"/>
    <mergeCell ref="A8729:B8729"/>
    <mergeCell ref="F8729:G8729"/>
    <mergeCell ref="A8730:B8730"/>
    <mergeCell ref="F8730:G8730"/>
    <mergeCell ref="A8731:B8731"/>
    <mergeCell ref="F8731:G8731"/>
    <mergeCell ref="A8732:B8732"/>
    <mergeCell ref="F8732:G8732"/>
    <mergeCell ref="A8733:B8733"/>
    <mergeCell ref="F8733:G8733"/>
    <mergeCell ref="A8734:B8734"/>
    <mergeCell ref="F8734:G8734"/>
    <mergeCell ref="A8735:B8735"/>
    <mergeCell ref="F8735:G8735"/>
    <mergeCell ref="A8736:B8736"/>
    <mergeCell ref="F8736:G8736"/>
    <mergeCell ref="A8737:B8737"/>
    <mergeCell ref="F8737:G8737"/>
    <mergeCell ref="A8738:B8738"/>
    <mergeCell ref="F8738:G8738"/>
    <mergeCell ref="A8739:B8739"/>
    <mergeCell ref="F8739:G8739"/>
    <mergeCell ref="A8740:B8740"/>
    <mergeCell ref="F8740:G8740"/>
    <mergeCell ref="A8741:B8741"/>
    <mergeCell ref="F8741:G8741"/>
    <mergeCell ref="A9579:B9579"/>
    <mergeCell ref="F9579:G9579"/>
    <mergeCell ref="A8742:G8742"/>
    <mergeCell ref="A8743:H8743"/>
    <mergeCell ref="A8744:B8744"/>
    <mergeCell ref="F8744:G8744"/>
    <mergeCell ref="A8745:B8745"/>
    <mergeCell ref="F8745:G8745"/>
    <mergeCell ref="A8746:G8746"/>
    <mergeCell ref="A8747:H8747"/>
    <mergeCell ref="A8748:B8748"/>
    <mergeCell ref="F8748:G8748"/>
    <mergeCell ref="A8749:B8749"/>
    <mergeCell ref="F8749:G8749"/>
    <mergeCell ref="A8750:B8750"/>
    <mergeCell ref="F8750:G8750"/>
    <mergeCell ref="A8751:B8751"/>
    <mergeCell ref="F8751:G8751"/>
    <mergeCell ref="A8752:G8752"/>
    <mergeCell ref="A8754:D8754"/>
    <mergeCell ref="F8759:G8759"/>
    <mergeCell ref="A8762:H8762"/>
    <mergeCell ref="A8764:A8767"/>
    <mergeCell ref="B8764:G8767"/>
    <mergeCell ref="H8764:H8766"/>
    <mergeCell ref="B8768:F8768"/>
    <mergeCell ref="B8769:E8769"/>
    <mergeCell ref="A8772:C8772"/>
    <mergeCell ref="A8773:C8773"/>
    <mergeCell ref="A8774:C8774"/>
    <mergeCell ref="A8775:C8775"/>
    <mergeCell ref="A8776:C8776"/>
    <mergeCell ref="A9580:B9580"/>
    <mergeCell ref="F9580:G9580"/>
    <mergeCell ref="A9581:B9581"/>
    <mergeCell ref="F9581:G9581"/>
    <mergeCell ref="A9582:B9582"/>
    <mergeCell ref="F9582:G9582"/>
    <mergeCell ref="A9583:B9583"/>
    <mergeCell ref="F9583:G9583"/>
    <mergeCell ref="A9584:B9584"/>
    <mergeCell ref="F9584:G9584"/>
    <mergeCell ref="A9585:B9585"/>
    <mergeCell ref="F9585:G9585"/>
    <mergeCell ref="A9586:B9586"/>
    <mergeCell ref="F9586:G9586"/>
    <mergeCell ref="A9587:B9587"/>
    <mergeCell ref="F9587:G9587"/>
    <mergeCell ref="A9588:B9588"/>
    <mergeCell ref="F9588:G9588"/>
    <mergeCell ref="A9589:B9589"/>
    <mergeCell ref="F9589:G9589"/>
    <mergeCell ref="A9590:B9590"/>
    <mergeCell ref="F9590:G9590"/>
    <mergeCell ref="A9591:B9591"/>
    <mergeCell ref="F9591:G9591"/>
    <mergeCell ref="A9592:G9592"/>
    <mergeCell ref="A9593:H9593"/>
    <mergeCell ref="A9594:B9594"/>
    <mergeCell ref="F9594:G9594"/>
    <mergeCell ref="A9595:B9595"/>
    <mergeCell ref="F9595:G9595"/>
    <mergeCell ref="A9596:G9596"/>
    <mergeCell ref="A9597:H9597"/>
    <mergeCell ref="A9598:B9598"/>
    <mergeCell ref="F9598:G9598"/>
    <mergeCell ref="A9599:B9599"/>
    <mergeCell ref="F9599:G9599"/>
    <mergeCell ref="A9600:B9600"/>
    <mergeCell ref="F9600:G9600"/>
    <mergeCell ref="A9601:B9601"/>
    <mergeCell ref="F9601:G9601"/>
    <mergeCell ref="A9602:G9602"/>
    <mergeCell ref="A9604:D9604"/>
    <mergeCell ref="F9609:G9609"/>
    <mergeCell ref="A3583:H3583"/>
    <mergeCell ref="A3585:A3588"/>
    <mergeCell ref="B3585:G3588"/>
    <mergeCell ref="H3585:H3587"/>
    <mergeCell ref="B3589:F3589"/>
    <mergeCell ref="B3590:E3590"/>
    <mergeCell ref="A3593:C3593"/>
    <mergeCell ref="A3594:C3594"/>
    <mergeCell ref="A3595:C3595"/>
    <mergeCell ref="A3596:C3596"/>
    <mergeCell ref="A3597:G3597"/>
    <mergeCell ref="A3598:H3598"/>
    <mergeCell ref="A3599:B3599"/>
    <mergeCell ref="F3599:G3599"/>
    <mergeCell ref="A3600:B3600"/>
    <mergeCell ref="F3600:G3600"/>
    <mergeCell ref="A3601:B3601"/>
    <mergeCell ref="F3601:G3601"/>
    <mergeCell ref="A3602:B3602"/>
    <mergeCell ref="F3602:G3602"/>
    <mergeCell ref="A3603:B3603"/>
    <mergeCell ref="F3603:G3603"/>
    <mergeCell ref="A3604:B3604"/>
    <mergeCell ref="F3604:G3604"/>
    <mergeCell ref="A3605:B3605"/>
    <mergeCell ref="F3605:G3605"/>
    <mergeCell ref="A3606:B3606"/>
    <mergeCell ref="F3606:G3606"/>
    <mergeCell ref="A3607:B3607"/>
    <mergeCell ref="F3607:G3607"/>
    <mergeCell ref="A3608:B3608"/>
    <mergeCell ref="F3608:G3608"/>
    <mergeCell ref="A3609:B3609"/>
    <mergeCell ref="F3609:G3609"/>
    <mergeCell ref="A3610:B3610"/>
    <mergeCell ref="F3610:G3610"/>
    <mergeCell ref="A3611:B3611"/>
    <mergeCell ref="F3611:G3611"/>
    <mergeCell ref="A3612:B3612"/>
    <mergeCell ref="F3612:G3612"/>
    <mergeCell ref="A3613:B3613"/>
    <mergeCell ref="F3613:G3613"/>
    <mergeCell ref="A3614:G3614"/>
    <mergeCell ref="A3615:H3615"/>
    <mergeCell ref="A3616:B3616"/>
    <mergeCell ref="F3616:G3616"/>
    <mergeCell ref="A3617:B3617"/>
    <mergeCell ref="F3617:G3617"/>
    <mergeCell ref="A3618:G3618"/>
    <mergeCell ref="A3619:H3619"/>
    <mergeCell ref="A3620:B3620"/>
    <mergeCell ref="F3620:G3620"/>
    <mergeCell ref="A3621:B3621"/>
    <mergeCell ref="F3621:G3621"/>
    <mergeCell ref="A3622:B3622"/>
    <mergeCell ref="F3622:G3622"/>
    <mergeCell ref="A3623:B3623"/>
    <mergeCell ref="F3623:G3623"/>
    <mergeCell ref="A3624:G3624"/>
    <mergeCell ref="A3626:D3626"/>
    <mergeCell ref="F3631:G3631"/>
    <mergeCell ref="A3634:H3634"/>
    <mergeCell ref="A3636:A3639"/>
    <mergeCell ref="B3636:G3639"/>
    <mergeCell ref="H3636:H3638"/>
    <mergeCell ref="B3640:F3640"/>
    <mergeCell ref="B3641:E3641"/>
    <mergeCell ref="A3644:C3644"/>
    <mergeCell ref="A3645:C3645"/>
    <mergeCell ref="A3646:C3646"/>
    <mergeCell ref="A3647:C3647"/>
    <mergeCell ref="A3648:G3648"/>
    <mergeCell ref="A3649:H3649"/>
    <mergeCell ref="A3650:B3650"/>
    <mergeCell ref="F3650:G3650"/>
    <mergeCell ref="A3651:B3651"/>
    <mergeCell ref="F3651:G3651"/>
    <mergeCell ref="A3652:B3652"/>
    <mergeCell ref="F3652:G3652"/>
    <mergeCell ref="A3653:B3653"/>
    <mergeCell ref="F3653:G3653"/>
    <mergeCell ref="A3654:B3654"/>
    <mergeCell ref="F3654:G3654"/>
    <mergeCell ref="A3655:B3655"/>
    <mergeCell ref="F3655:G3655"/>
    <mergeCell ref="A3656:B3656"/>
    <mergeCell ref="F3656:G3656"/>
    <mergeCell ref="A3657:B3657"/>
    <mergeCell ref="F3657:G3657"/>
    <mergeCell ref="A3658:B3658"/>
    <mergeCell ref="F3658:G3658"/>
    <mergeCell ref="A3659:B3659"/>
    <mergeCell ref="F3659:G3659"/>
    <mergeCell ref="A3660:B3660"/>
    <mergeCell ref="F3660:G3660"/>
    <mergeCell ref="A3661:B3661"/>
    <mergeCell ref="F3661:G3661"/>
    <mergeCell ref="A3662:B3662"/>
    <mergeCell ref="F3662:G3662"/>
    <mergeCell ref="A3663:B3663"/>
    <mergeCell ref="F3663:G3663"/>
    <mergeCell ref="A3664:B3664"/>
    <mergeCell ref="F3664:G3664"/>
    <mergeCell ref="A3665:G3665"/>
    <mergeCell ref="A3666:H3666"/>
    <mergeCell ref="A3667:B3667"/>
    <mergeCell ref="F3667:G3667"/>
    <mergeCell ref="A3668:B3668"/>
    <mergeCell ref="F3668:G3668"/>
    <mergeCell ref="A3669:G3669"/>
    <mergeCell ref="A3670:H3670"/>
    <mergeCell ref="A3671:B3671"/>
    <mergeCell ref="F3671:G3671"/>
    <mergeCell ref="A3672:B3672"/>
    <mergeCell ref="F3672:G3672"/>
    <mergeCell ref="A3673:B3673"/>
    <mergeCell ref="F3673:G3673"/>
    <mergeCell ref="A3674:B3674"/>
    <mergeCell ref="F3674:G3674"/>
    <mergeCell ref="A3675:G3675"/>
    <mergeCell ref="A3677:D3677"/>
    <mergeCell ref="F3682:G3682"/>
    <mergeCell ref="A3685:H3685"/>
    <mergeCell ref="A3687:A3690"/>
    <mergeCell ref="B3687:G3690"/>
    <mergeCell ref="H3687:H3689"/>
    <mergeCell ref="B3691:F3691"/>
    <mergeCell ref="B3692:E3692"/>
    <mergeCell ref="A3695:C3695"/>
    <mergeCell ref="A3696:C3696"/>
    <mergeCell ref="A3697:C3697"/>
    <mergeCell ref="A3698:C3698"/>
    <mergeCell ref="A3699:G3699"/>
    <mergeCell ref="A3700:H3700"/>
    <mergeCell ref="A3701:B3701"/>
    <mergeCell ref="F3701:G3701"/>
    <mergeCell ref="A3702:B3702"/>
    <mergeCell ref="F3702:G3702"/>
    <mergeCell ref="A3703:B3703"/>
    <mergeCell ref="F3703:G3703"/>
    <mergeCell ref="A3704:B3704"/>
    <mergeCell ref="F3704:G3704"/>
    <mergeCell ref="A3705:B3705"/>
    <mergeCell ref="F3705:G3705"/>
    <mergeCell ref="A3706:B3706"/>
    <mergeCell ref="F3706:G3706"/>
    <mergeCell ref="A3707:B3707"/>
    <mergeCell ref="F3707:G3707"/>
    <mergeCell ref="A3708:B3708"/>
    <mergeCell ref="F3708:G3708"/>
    <mergeCell ref="A3709:B3709"/>
    <mergeCell ref="F3709:G3709"/>
    <mergeCell ref="A3710:B3710"/>
    <mergeCell ref="F3710:G3710"/>
    <mergeCell ref="A3711:B3711"/>
    <mergeCell ref="F3711:G3711"/>
    <mergeCell ref="A3712:B3712"/>
    <mergeCell ref="F3712:G3712"/>
    <mergeCell ref="A3713:B3713"/>
    <mergeCell ref="F3713:G3713"/>
    <mergeCell ref="A3714:B3714"/>
    <mergeCell ref="F3714:G3714"/>
    <mergeCell ref="A3715:B3715"/>
    <mergeCell ref="F3715:G3715"/>
    <mergeCell ref="A3716:G3716"/>
    <mergeCell ref="A3717:H3717"/>
    <mergeCell ref="A3718:B3718"/>
    <mergeCell ref="F3718:G3718"/>
    <mergeCell ref="A3719:B3719"/>
    <mergeCell ref="F3719:G3719"/>
    <mergeCell ref="A3720:G3720"/>
    <mergeCell ref="A3721:H3721"/>
    <mergeCell ref="A3722:B3722"/>
    <mergeCell ref="F3722:G3722"/>
    <mergeCell ref="A3723:B3723"/>
    <mergeCell ref="F3723:G3723"/>
    <mergeCell ref="A3724:B3724"/>
    <mergeCell ref="F3724:G3724"/>
    <mergeCell ref="A3725:B3725"/>
    <mergeCell ref="F3725:G3725"/>
    <mergeCell ref="A3726:G3726"/>
    <mergeCell ref="A3728:D3728"/>
    <mergeCell ref="F3733:G3733"/>
    <mergeCell ref="A3736:H3736"/>
    <mergeCell ref="A3738:A3741"/>
    <mergeCell ref="B3738:G3741"/>
    <mergeCell ref="H3738:H3740"/>
    <mergeCell ref="B3742:F3742"/>
    <mergeCell ref="B3743:E3743"/>
    <mergeCell ref="A3746:C3746"/>
    <mergeCell ref="A3747:C3747"/>
    <mergeCell ref="A3748:C3748"/>
    <mergeCell ref="A3749:C3749"/>
    <mergeCell ref="A3750:G3750"/>
    <mergeCell ref="A3751:H3751"/>
    <mergeCell ref="A3752:B3752"/>
    <mergeCell ref="F3752:G3752"/>
    <mergeCell ref="A3753:B3753"/>
    <mergeCell ref="F3753:G3753"/>
    <mergeCell ref="A3754:B3754"/>
    <mergeCell ref="F3754:G3754"/>
    <mergeCell ref="A3755:B3755"/>
    <mergeCell ref="F3755:G3755"/>
    <mergeCell ref="A3756:B3756"/>
    <mergeCell ref="F3756:G3756"/>
    <mergeCell ref="A3757:B3757"/>
    <mergeCell ref="F3757:G3757"/>
    <mergeCell ref="A3758:B3758"/>
    <mergeCell ref="F3758:G3758"/>
    <mergeCell ref="A3759:B3759"/>
    <mergeCell ref="F3759:G3759"/>
    <mergeCell ref="A3760:B3760"/>
    <mergeCell ref="F3760:G3760"/>
    <mergeCell ref="A3761:B3761"/>
    <mergeCell ref="F3761:G3761"/>
    <mergeCell ref="A3762:B3762"/>
    <mergeCell ref="F3762:G3762"/>
    <mergeCell ref="A3763:B3763"/>
    <mergeCell ref="F3763:G3763"/>
    <mergeCell ref="A3764:B3764"/>
    <mergeCell ref="F3764:G3764"/>
    <mergeCell ref="A3765:B3765"/>
    <mergeCell ref="F3765:G3765"/>
    <mergeCell ref="A3766:B3766"/>
    <mergeCell ref="F3766:G3766"/>
    <mergeCell ref="A3767:G3767"/>
    <mergeCell ref="A3768:H3768"/>
    <mergeCell ref="A3769:B3769"/>
    <mergeCell ref="F3769:G3769"/>
    <mergeCell ref="A3770:B3770"/>
    <mergeCell ref="F3770:G3770"/>
    <mergeCell ref="A3771:G3771"/>
    <mergeCell ref="A3772:H3772"/>
    <mergeCell ref="A3773:B3773"/>
    <mergeCell ref="F3773:G3773"/>
    <mergeCell ref="A3774:B3774"/>
    <mergeCell ref="F3774:G3774"/>
    <mergeCell ref="A3775:B3775"/>
    <mergeCell ref="F3775:G3775"/>
    <mergeCell ref="A3776:B3776"/>
    <mergeCell ref="F3776:G3776"/>
    <mergeCell ref="A3777:G3777"/>
    <mergeCell ref="A3779:D3779"/>
    <mergeCell ref="F3784:G3784"/>
    <mergeCell ref="A8707:H8707"/>
    <mergeCell ref="A8709:A8712"/>
    <mergeCell ref="B8709:G8712"/>
    <mergeCell ref="H8709:H8711"/>
    <mergeCell ref="B8713:F8713"/>
    <mergeCell ref="A7595:G7595"/>
    <mergeCell ref="A7597:D7597"/>
    <mergeCell ref="F7602:G7602"/>
    <mergeCell ref="A7584:B7584"/>
    <mergeCell ref="F7584:G7584"/>
    <mergeCell ref="A7585:G7585"/>
    <mergeCell ref="A7586:H7586"/>
    <mergeCell ref="A7587:B7587"/>
    <mergeCell ref="F7587:G7587"/>
    <mergeCell ref="A7588:B7588"/>
    <mergeCell ref="F7588:G7588"/>
    <mergeCell ref="A7589:G7589"/>
    <mergeCell ref="A7590:H7590"/>
    <mergeCell ref="A7591:B7591"/>
    <mergeCell ref="F7591:G7591"/>
    <mergeCell ref="A7563:C7563"/>
    <mergeCell ref="A7564:C7564"/>
    <mergeCell ref="A7565:C7565"/>
    <mergeCell ref="A7566:C7566"/>
    <mergeCell ref="A7567:C7567"/>
    <mergeCell ref="A7568:G7568"/>
    <mergeCell ref="A7569:H7569"/>
    <mergeCell ref="A7570:B7570"/>
    <mergeCell ref="F7570:G7570"/>
    <mergeCell ref="A7571:B7571"/>
    <mergeCell ref="F7571:G7571"/>
    <mergeCell ref="A7572:B7572"/>
    <mergeCell ref="F7572:G7572"/>
    <mergeCell ref="A7573:B7573"/>
    <mergeCell ref="F7573:G7573"/>
    <mergeCell ref="A7574:B7574"/>
    <mergeCell ref="F7574:G7574"/>
    <mergeCell ref="A7592:B7592"/>
    <mergeCell ref="F7592:G7592"/>
    <mergeCell ref="A7593:B7593"/>
    <mergeCell ref="F7593:G7593"/>
    <mergeCell ref="A3971:G3971"/>
    <mergeCell ref="A3972:H3972"/>
    <mergeCell ref="F8785:G8785"/>
    <mergeCell ref="A8786:B8786"/>
    <mergeCell ref="F8786:G8786"/>
    <mergeCell ref="A8787:B8787"/>
    <mergeCell ref="F8787:G8787"/>
    <mergeCell ref="A8788:B8788"/>
    <mergeCell ref="F8788:G8788"/>
    <mergeCell ref="A8789:B8789"/>
    <mergeCell ref="F8789:G8789"/>
    <mergeCell ref="A8790:B8790"/>
    <mergeCell ref="F8790:G8790"/>
    <mergeCell ref="A8791:B8791"/>
    <mergeCell ref="F8791:G8791"/>
    <mergeCell ref="A8792:B8792"/>
    <mergeCell ref="F8792:G8792"/>
    <mergeCell ref="A8793:B8793"/>
    <mergeCell ref="F8793:G8793"/>
    <mergeCell ref="A8794:B8794"/>
    <mergeCell ref="F8794:G8794"/>
    <mergeCell ref="A8795:B8795"/>
    <mergeCell ref="F8795:G8795"/>
    <mergeCell ref="A8796:B8796"/>
    <mergeCell ref="F8796:G8796"/>
    <mergeCell ref="A8797:G8797"/>
    <mergeCell ref="A8798:H8798"/>
    <mergeCell ref="A8799:B8799"/>
    <mergeCell ref="F8799:G8799"/>
    <mergeCell ref="A8800:B8800"/>
    <mergeCell ref="F8800:G8800"/>
    <mergeCell ref="A8801:G8801"/>
    <mergeCell ref="A8802:H8802"/>
    <mergeCell ref="A8803:B8803"/>
    <mergeCell ref="F8803:G8803"/>
    <mergeCell ref="A8804:B8804"/>
    <mergeCell ref="F8804:G8804"/>
    <mergeCell ref="A8805:B8805"/>
    <mergeCell ref="F8805:G8805"/>
    <mergeCell ref="A8806:B8806"/>
    <mergeCell ref="F8806:G8806"/>
    <mergeCell ref="A8807:G8807"/>
    <mergeCell ref="A8809:D8809"/>
    <mergeCell ref="F8814:G8814"/>
    <mergeCell ref="A9030:H9030"/>
    <mergeCell ref="A9032:A9035"/>
    <mergeCell ref="B9032:G9035"/>
    <mergeCell ref="H9032:H9034"/>
    <mergeCell ref="B9036:F9036"/>
    <mergeCell ref="A8920:H8920"/>
    <mergeCell ref="A8922:A8925"/>
    <mergeCell ref="B8922:G8925"/>
    <mergeCell ref="H8922:H8924"/>
    <mergeCell ref="B8926:F8926"/>
    <mergeCell ref="B8927:E8927"/>
    <mergeCell ref="A8930:C8930"/>
    <mergeCell ref="A8931:C8931"/>
    <mergeCell ref="A8932:C8932"/>
    <mergeCell ref="A8959:G8959"/>
    <mergeCell ref="A8960:H8960"/>
    <mergeCell ref="A8961:B8961"/>
    <mergeCell ref="F8961:G8961"/>
    <mergeCell ref="A8950:B8950"/>
    <mergeCell ref="F8950:G8950"/>
    <mergeCell ref="F9027:G9027"/>
    <mergeCell ref="A9001:B9001"/>
    <mergeCell ref="F9001:G9001"/>
    <mergeCell ref="A9002:B9002"/>
    <mergeCell ref="F9002:G9002"/>
    <mergeCell ref="A9003:B9003"/>
    <mergeCell ref="F9003:G9003"/>
    <mergeCell ref="A9004:B9004"/>
    <mergeCell ref="F9004:G9004"/>
    <mergeCell ref="A9006:B9006"/>
    <mergeCell ref="F9006:G9006"/>
    <mergeCell ref="A9016:B9016"/>
    <mergeCell ref="F9016:G9016"/>
    <mergeCell ref="A8996:B8996"/>
    <mergeCell ref="F8996:G8996"/>
    <mergeCell ref="A8997:B8997"/>
    <mergeCell ref="F8997:G8997"/>
    <mergeCell ref="A8998:B8998"/>
    <mergeCell ref="F8998:G8998"/>
    <mergeCell ref="A8999:B8999"/>
    <mergeCell ref="F8999:G8999"/>
    <mergeCell ref="A9000:B9000"/>
    <mergeCell ref="F9000:G9000"/>
    <mergeCell ref="A8962:B8962"/>
    <mergeCell ref="F8962:G8962"/>
    <mergeCell ref="A8872:H8872"/>
    <mergeCell ref="A8874:A8877"/>
    <mergeCell ref="B8874:G8877"/>
    <mergeCell ref="H8874:H8876"/>
    <mergeCell ref="B8878:F8878"/>
    <mergeCell ref="B8879:E8879"/>
    <mergeCell ref="A8882:C8882"/>
    <mergeCell ref="A8883:C8883"/>
    <mergeCell ref="A8884:C8884"/>
    <mergeCell ref="A8885:C8885"/>
    <mergeCell ref="F9074:G9074"/>
    <mergeCell ref="A9075:G9075"/>
    <mergeCell ref="A9077:D9077"/>
    <mergeCell ref="F9082:G9082"/>
    <mergeCell ref="A9061:B9061"/>
    <mergeCell ref="F9061:G9061"/>
    <mergeCell ref="A9062:B9062"/>
    <mergeCell ref="F9062:G9062"/>
    <mergeCell ref="A9063:B9063"/>
    <mergeCell ref="F9063:G9063"/>
    <mergeCell ref="A9064:B9064"/>
    <mergeCell ref="F9064:G9064"/>
    <mergeCell ref="A9065:G9065"/>
    <mergeCell ref="A9066:H9066"/>
    <mergeCell ref="A9067:B9067"/>
    <mergeCell ref="F9067:G9067"/>
    <mergeCell ref="A9068:B9068"/>
    <mergeCell ref="F9068:G9068"/>
    <mergeCell ref="A9069:G9069"/>
    <mergeCell ref="A9070:H9070"/>
    <mergeCell ref="A9071:B9071"/>
    <mergeCell ref="F9071:G9071"/>
    <mergeCell ref="A3940:H3940"/>
    <mergeCell ref="A3942:A3945"/>
    <mergeCell ref="B3942:G3945"/>
    <mergeCell ref="H3942:H3944"/>
    <mergeCell ref="B3946:F3946"/>
    <mergeCell ref="B3947:E3947"/>
    <mergeCell ref="A3950:C3950"/>
    <mergeCell ref="A3951:C3951"/>
    <mergeCell ref="A3952:C3952"/>
    <mergeCell ref="A3953:C3953"/>
    <mergeCell ref="A3954:G3954"/>
    <mergeCell ref="A3955:H3955"/>
    <mergeCell ref="A3956:B3956"/>
    <mergeCell ref="F3956:G3956"/>
    <mergeCell ref="A3957:B3957"/>
    <mergeCell ref="F3957:G3957"/>
    <mergeCell ref="A3958:B3958"/>
    <mergeCell ref="F3958:G3958"/>
    <mergeCell ref="A3959:B3959"/>
    <mergeCell ref="F3959:G3959"/>
    <mergeCell ref="A3960:B3960"/>
    <mergeCell ref="F3960:G3960"/>
    <mergeCell ref="A3961:B3961"/>
    <mergeCell ref="F3961:G3961"/>
    <mergeCell ref="A3962:B3962"/>
    <mergeCell ref="F3962:G3962"/>
    <mergeCell ref="A3963:B3963"/>
    <mergeCell ref="F3963:G3963"/>
    <mergeCell ref="A3964:B3964"/>
    <mergeCell ref="F3964:G3964"/>
    <mergeCell ref="A3965:B3965"/>
    <mergeCell ref="F3965:G3965"/>
    <mergeCell ref="A3966:B3966"/>
    <mergeCell ref="F3966:G3966"/>
    <mergeCell ref="A3967:B3967"/>
    <mergeCell ref="F3967:G3967"/>
    <mergeCell ref="A3968:B3968"/>
    <mergeCell ref="F3968:G3968"/>
    <mergeCell ref="A3969:B3969"/>
    <mergeCell ref="F3969:G3969"/>
    <mergeCell ref="A3970:B3970"/>
    <mergeCell ref="F3970:G3970"/>
    <mergeCell ref="A3973:B3973"/>
    <mergeCell ref="F3973:G3973"/>
    <mergeCell ref="A3974:B3974"/>
    <mergeCell ref="F3974:G3974"/>
    <mergeCell ref="A3975:G3975"/>
    <mergeCell ref="A3976:H3976"/>
    <mergeCell ref="A3977:B3977"/>
    <mergeCell ref="F3977:G3977"/>
    <mergeCell ref="A3978:B3978"/>
    <mergeCell ref="F3978:G3978"/>
    <mergeCell ref="A3979:B3979"/>
    <mergeCell ref="F3979:G3979"/>
    <mergeCell ref="A3980:B3980"/>
    <mergeCell ref="F3980:G3980"/>
    <mergeCell ref="A3981:G3981"/>
    <mergeCell ref="A3983:D3983"/>
    <mergeCell ref="F3988:G3988"/>
    <mergeCell ref="A3991:H3991"/>
    <mergeCell ref="A3993:A3996"/>
    <mergeCell ref="B3993:G3996"/>
    <mergeCell ref="H3993:H3995"/>
    <mergeCell ref="B3997:F3997"/>
    <mergeCell ref="B3998:E3998"/>
    <mergeCell ref="A4001:C4001"/>
    <mergeCell ref="A4002:C4002"/>
    <mergeCell ref="A4003:C4003"/>
    <mergeCell ref="A4004:C4004"/>
    <mergeCell ref="A4005:G4005"/>
    <mergeCell ref="A4006:H4006"/>
    <mergeCell ref="A4007:B4007"/>
    <mergeCell ref="F4007:G4007"/>
    <mergeCell ref="A4008:B4008"/>
    <mergeCell ref="F4008:G4008"/>
    <mergeCell ref="A4009:B4009"/>
    <mergeCell ref="F4009:G4009"/>
    <mergeCell ref="A4010:B4010"/>
    <mergeCell ref="F4010:G4010"/>
    <mergeCell ref="A4011:B4011"/>
    <mergeCell ref="F4011:G4011"/>
    <mergeCell ref="A4012:B4012"/>
    <mergeCell ref="F4012:G4012"/>
    <mergeCell ref="A4013:B4013"/>
    <mergeCell ref="F4013:G4013"/>
    <mergeCell ref="A4014:B4014"/>
    <mergeCell ref="F4014:G4014"/>
    <mergeCell ref="A4015:B4015"/>
    <mergeCell ref="F4015:G4015"/>
    <mergeCell ref="A4016:B4016"/>
    <mergeCell ref="F4016:G4016"/>
    <mergeCell ref="A4017:B4017"/>
    <mergeCell ref="F4017:G4017"/>
    <mergeCell ref="A4018:B4018"/>
    <mergeCell ref="F4018:G4018"/>
    <mergeCell ref="A4019:B4019"/>
    <mergeCell ref="F4019:G4019"/>
    <mergeCell ref="A4020:B4020"/>
    <mergeCell ref="F4020:G4020"/>
    <mergeCell ref="A4021:B4021"/>
    <mergeCell ref="F4021:G4021"/>
    <mergeCell ref="A4022:G4022"/>
    <mergeCell ref="A4023:H4023"/>
    <mergeCell ref="A4024:B4024"/>
    <mergeCell ref="F4024:G4024"/>
    <mergeCell ref="A4025:B4025"/>
    <mergeCell ref="F4025:G4025"/>
    <mergeCell ref="A4026:G4026"/>
    <mergeCell ref="A4027:H4027"/>
    <mergeCell ref="A4028:B4028"/>
    <mergeCell ref="F4028:G4028"/>
    <mergeCell ref="A4029:B4029"/>
    <mergeCell ref="F4029:G4029"/>
    <mergeCell ref="A4030:B4030"/>
    <mergeCell ref="F4030:G4030"/>
    <mergeCell ref="A4031:B4031"/>
    <mergeCell ref="F4031:G4031"/>
    <mergeCell ref="A4032:G4032"/>
    <mergeCell ref="A4034:D4034"/>
    <mergeCell ref="F4039:G4039"/>
    <mergeCell ref="A4042:H4042"/>
    <mergeCell ref="A4044:A4047"/>
    <mergeCell ref="B4044:G4047"/>
    <mergeCell ref="H4044:H4046"/>
    <mergeCell ref="B4048:F4048"/>
    <mergeCell ref="B4049:E4049"/>
    <mergeCell ref="A4052:C4052"/>
    <mergeCell ref="A4053:C4053"/>
    <mergeCell ref="A4054:C4054"/>
    <mergeCell ref="A4055:C4055"/>
    <mergeCell ref="A4056:G4056"/>
    <mergeCell ref="A4057:H4057"/>
    <mergeCell ref="A4058:B4058"/>
    <mergeCell ref="F4058:G4058"/>
    <mergeCell ref="A4059:B4059"/>
    <mergeCell ref="F4059:G4059"/>
    <mergeCell ref="A4060:B4060"/>
    <mergeCell ref="F4060:G4060"/>
    <mergeCell ref="A4061:B4061"/>
    <mergeCell ref="F4061:G4061"/>
    <mergeCell ref="A4062:B4062"/>
    <mergeCell ref="F4062:G4062"/>
    <mergeCell ref="A4063:B4063"/>
    <mergeCell ref="F4063:G4063"/>
    <mergeCell ref="A4064:B4064"/>
    <mergeCell ref="F4064:G4064"/>
    <mergeCell ref="A4065:B4065"/>
    <mergeCell ref="F4065:G4065"/>
    <mergeCell ref="A4066:B4066"/>
    <mergeCell ref="F4066:G4066"/>
    <mergeCell ref="A4067:B4067"/>
    <mergeCell ref="F4067:G4067"/>
    <mergeCell ref="A4068:B4068"/>
    <mergeCell ref="F4068:G4068"/>
    <mergeCell ref="A4069:B4069"/>
    <mergeCell ref="F4069:G4069"/>
    <mergeCell ref="A4070:B4070"/>
    <mergeCell ref="F4070:G4070"/>
    <mergeCell ref="A4071:B4071"/>
    <mergeCell ref="F4071:G4071"/>
    <mergeCell ref="A4072:B4072"/>
    <mergeCell ref="F4072:G4072"/>
    <mergeCell ref="A4073:G4073"/>
    <mergeCell ref="A4074:H4074"/>
    <mergeCell ref="A4075:B4075"/>
    <mergeCell ref="F4075:G4075"/>
    <mergeCell ref="A4076:B4076"/>
    <mergeCell ref="F4076:G4076"/>
    <mergeCell ref="A4077:G4077"/>
    <mergeCell ref="A4078:H4078"/>
    <mergeCell ref="A4079:B4079"/>
    <mergeCell ref="F4079:G4079"/>
    <mergeCell ref="A4080:B4080"/>
    <mergeCell ref="F4080:G4080"/>
    <mergeCell ref="A4081:B4081"/>
    <mergeCell ref="F4081:G4081"/>
    <mergeCell ref="A4082:B4082"/>
    <mergeCell ref="F4082:G4082"/>
    <mergeCell ref="A4083:G4083"/>
    <mergeCell ref="A4085:D4085"/>
    <mergeCell ref="F4090:G4090"/>
    <mergeCell ref="A4093:H4093"/>
    <mergeCell ref="A4095:A4098"/>
    <mergeCell ref="B4095:G4098"/>
    <mergeCell ref="H4095:H4097"/>
    <mergeCell ref="B4099:F4099"/>
    <mergeCell ref="B4100:E4100"/>
    <mergeCell ref="A4103:C4103"/>
    <mergeCell ref="A4104:C4104"/>
    <mergeCell ref="A4105:C4105"/>
    <mergeCell ref="A4106:C4106"/>
    <mergeCell ref="A4107:G4107"/>
    <mergeCell ref="A4108:H4108"/>
    <mergeCell ref="A4109:B4109"/>
    <mergeCell ref="F4109:G4109"/>
    <mergeCell ref="A4110:B4110"/>
    <mergeCell ref="F4110:G4110"/>
    <mergeCell ref="A4111:B4111"/>
    <mergeCell ref="F4111:G4111"/>
    <mergeCell ref="A4112:B4112"/>
    <mergeCell ref="F4112:G4112"/>
    <mergeCell ref="A4113:B4113"/>
    <mergeCell ref="F4113:G4113"/>
    <mergeCell ref="A4114:B4114"/>
    <mergeCell ref="F4114:G4114"/>
    <mergeCell ref="A4115:B4115"/>
    <mergeCell ref="F4115:G4115"/>
    <mergeCell ref="A4116:B4116"/>
    <mergeCell ref="F4116:G4116"/>
    <mergeCell ref="A4117:B4117"/>
    <mergeCell ref="F4117:G4117"/>
    <mergeCell ref="A4118:B4118"/>
    <mergeCell ref="F4118:G4118"/>
    <mergeCell ref="A4119:B4119"/>
    <mergeCell ref="F4119:G4119"/>
    <mergeCell ref="A4120:B4120"/>
    <mergeCell ref="F4120:G4120"/>
    <mergeCell ref="A4121:B4121"/>
    <mergeCell ref="F4121:G4121"/>
    <mergeCell ref="A4122:B4122"/>
    <mergeCell ref="F4122:G4122"/>
    <mergeCell ref="A4123:B4123"/>
    <mergeCell ref="F4123:G4123"/>
    <mergeCell ref="A4124:G4124"/>
    <mergeCell ref="A4125:H4125"/>
    <mergeCell ref="A4126:B4126"/>
    <mergeCell ref="F4126:G4126"/>
    <mergeCell ref="A4127:B4127"/>
    <mergeCell ref="F4127:G4127"/>
    <mergeCell ref="A4128:G4128"/>
    <mergeCell ref="A4129:H4129"/>
    <mergeCell ref="A4130:B4130"/>
    <mergeCell ref="F4130:G4130"/>
    <mergeCell ref="A4131:B4131"/>
    <mergeCell ref="F4131:G4131"/>
    <mergeCell ref="A4132:B4132"/>
    <mergeCell ref="F4132:G4132"/>
    <mergeCell ref="A4133:B4133"/>
    <mergeCell ref="F4133:G4133"/>
    <mergeCell ref="A4134:G4134"/>
    <mergeCell ref="A4136:D4136"/>
    <mergeCell ref="F4141:G4141"/>
    <mergeCell ref="A4144:H4144"/>
    <mergeCell ref="A4146:A4149"/>
    <mergeCell ref="B4146:G4149"/>
    <mergeCell ref="H4146:H4148"/>
    <mergeCell ref="B4150:F4150"/>
    <mergeCell ref="B4151:E4151"/>
    <mergeCell ref="A4154:C4154"/>
    <mergeCell ref="A4155:C4155"/>
    <mergeCell ref="A4156:C4156"/>
    <mergeCell ref="A4157:C4157"/>
    <mergeCell ref="A4158:G4158"/>
    <mergeCell ref="A4159:H4159"/>
    <mergeCell ref="A4160:B4160"/>
    <mergeCell ref="F4160:G4160"/>
    <mergeCell ref="A4161:B4161"/>
    <mergeCell ref="F4161:G4161"/>
    <mergeCell ref="A4162:B4162"/>
    <mergeCell ref="F4162:G4162"/>
    <mergeCell ref="A4163:B4163"/>
    <mergeCell ref="F4163:G4163"/>
    <mergeCell ref="A4164:B4164"/>
    <mergeCell ref="F4164:G4164"/>
    <mergeCell ref="A4165:B4165"/>
    <mergeCell ref="F4165:G4165"/>
    <mergeCell ref="A4166:B4166"/>
    <mergeCell ref="F4166:G4166"/>
    <mergeCell ref="A4167:B4167"/>
    <mergeCell ref="F4167:G4167"/>
    <mergeCell ref="A4168:B4168"/>
    <mergeCell ref="F4168:G4168"/>
    <mergeCell ref="A4169:B4169"/>
    <mergeCell ref="F4169:G4169"/>
    <mergeCell ref="A4170:B4170"/>
    <mergeCell ref="F4170:G4170"/>
    <mergeCell ref="A4171:B4171"/>
    <mergeCell ref="F4171:G4171"/>
    <mergeCell ref="A4172:B4172"/>
    <mergeCell ref="F4172:G4172"/>
    <mergeCell ref="A4173:B4173"/>
    <mergeCell ref="F4173:G4173"/>
    <mergeCell ref="A4174:B4174"/>
    <mergeCell ref="F4174:G4174"/>
    <mergeCell ref="A4175:G4175"/>
    <mergeCell ref="A4176:H4176"/>
    <mergeCell ref="A4177:B4177"/>
    <mergeCell ref="F4177:G4177"/>
    <mergeCell ref="A4178:B4178"/>
    <mergeCell ref="F4178:G4178"/>
    <mergeCell ref="A4179:G4179"/>
    <mergeCell ref="A4180:H4180"/>
    <mergeCell ref="A4181:B4181"/>
    <mergeCell ref="F4181:G4181"/>
    <mergeCell ref="A4182:B4182"/>
    <mergeCell ref="F4182:G4182"/>
    <mergeCell ref="A4183:B4183"/>
    <mergeCell ref="F4183:G4183"/>
    <mergeCell ref="A4184:B4184"/>
    <mergeCell ref="F4184:G4184"/>
    <mergeCell ref="A4185:G4185"/>
    <mergeCell ref="A4187:D4187"/>
    <mergeCell ref="F4192:G4192"/>
    <mergeCell ref="A4195:H4195"/>
    <mergeCell ref="A4197:A4200"/>
    <mergeCell ref="B4197:G4200"/>
    <mergeCell ref="H4197:H4199"/>
    <mergeCell ref="B4201:F4201"/>
    <mergeCell ref="B4202:E4202"/>
    <mergeCell ref="A4205:C4205"/>
    <mergeCell ref="A4206:C4206"/>
    <mergeCell ref="A4207:C4207"/>
    <mergeCell ref="A4208:C4208"/>
    <mergeCell ref="A4209:G4209"/>
    <mergeCell ref="A4210:H4210"/>
    <mergeCell ref="A4211:B4211"/>
    <mergeCell ref="F4211:G4211"/>
    <mergeCell ref="A4212:B4212"/>
    <mergeCell ref="F4212:G4212"/>
    <mergeCell ref="A4213:B4213"/>
    <mergeCell ref="F4213:G4213"/>
    <mergeCell ref="A4214:B4214"/>
    <mergeCell ref="F4214:G4214"/>
    <mergeCell ref="A4215:B4215"/>
    <mergeCell ref="F4215:G4215"/>
    <mergeCell ref="A4216:B4216"/>
    <mergeCell ref="F4216:G4216"/>
    <mergeCell ref="A4217:B4217"/>
    <mergeCell ref="F4217:G4217"/>
    <mergeCell ref="A4218:B4218"/>
    <mergeCell ref="F4218:G4218"/>
    <mergeCell ref="A4219:B4219"/>
    <mergeCell ref="F4219:G4219"/>
    <mergeCell ref="A4220:B4220"/>
    <mergeCell ref="F4220:G4220"/>
    <mergeCell ref="A4221:B4221"/>
    <mergeCell ref="F4221:G4221"/>
    <mergeCell ref="A4222:B4222"/>
    <mergeCell ref="F4222:G4222"/>
    <mergeCell ref="A4223:B4223"/>
    <mergeCell ref="F4223:G4223"/>
    <mergeCell ref="A4224:B4224"/>
    <mergeCell ref="F4224:G4224"/>
    <mergeCell ref="A4225:B4225"/>
    <mergeCell ref="F4225:G4225"/>
    <mergeCell ref="A4226:G4226"/>
    <mergeCell ref="A4227:H4227"/>
    <mergeCell ref="A4228:B4228"/>
    <mergeCell ref="F4228:G4228"/>
    <mergeCell ref="A4229:B4229"/>
    <mergeCell ref="F4229:G4229"/>
    <mergeCell ref="A4230:G4230"/>
    <mergeCell ref="A4231:H4231"/>
    <mergeCell ref="A4232:B4232"/>
    <mergeCell ref="F4232:G4232"/>
    <mergeCell ref="A4233:B4233"/>
    <mergeCell ref="F4233:G4233"/>
    <mergeCell ref="A4234:B4234"/>
    <mergeCell ref="F4234:G4234"/>
    <mergeCell ref="A4235:B4235"/>
    <mergeCell ref="F4235:G4235"/>
    <mergeCell ref="A4236:G4236"/>
    <mergeCell ref="A4238:D4238"/>
    <mergeCell ref="F4243:G4243"/>
    <mergeCell ref="A5730:H5730"/>
    <mergeCell ref="A5732:A5735"/>
    <mergeCell ref="B5732:G5735"/>
    <mergeCell ref="H5732:H5734"/>
    <mergeCell ref="B5736:F5736"/>
    <mergeCell ref="B5737:E5737"/>
    <mergeCell ref="A5740:C5740"/>
    <mergeCell ref="A5741:C5741"/>
    <mergeCell ref="A5742:C5742"/>
    <mergeCell ref="A5743:C5743"/>
    <mergeCell ref="A5744:G5744"/>
    <mergeCell ref="A5745:H5745"/>
    <mergeCell ref="A5602:B5602"/>
    <mergeCell ref="F5602:G5602"/>
    <mergeCell ref="A5603:B5603"/>
    <mergeCell ref="F5603:G5603"/>
    <mergeCell ref="A5604:B5604"/>
    <mergeCell ref="F5604:G5604"/>
    <mergeCell ref="A5605:B5605"/>
    <mergeCell ref="F5605:G5605"/>
    <mergeCell ref="A5606:B5606"/>
    <mergeCell ref="F5606:G5606"/>
    <mergeCell ref="A5607:B5607"/>
    <mergeCell ref="F5607:G5607"/>
    <mergeCell ref="A5608:G5608"/>
    <mergeCell ref="A5609:H5609"/>
    <mergeCell ref="A5610:B5610"/>
    <mergeCell ref="F5610:G5610"/>
    <mergeCell ref="A5611:B5611"/>
    <mergeCell ref="F5611:G5611"/>
    <mergeCell ref="A5612:G5612"/>
    <mergeCell ref="A5613:H5613"/>
    <mergeCell ref="A5614:B5614"/>
    <mergeCell ref="F5614:G5614"/>
    <mergeCell ref="A5615:B5615"/>
    <mergeCell ref="F5615:G5615"/>
    <mergeCell ref="A5616:B5616"/>
    <mergeCell ref="F5616:G5616"/>
    <mergeCell ref="A5617:B5617"/>
    <mergeCell ref="F5617:G5617"/>
    <mergeCell ref="A5618:G5618"/>
    <mergeCell ref="A5620:D5620"/>
    <mergeCell ref="F5625:G5625"/>
    <mergeCell ref="A5746:B5746"/>
    <mergeCell ref="F5746:G5746"/>
    <mergeCell ref="A5747:B5747"/>
    <mergeCell ref="F5747:G5747"/>
    <mergeCell ref="A5748:B5748"/>
    <mergeCell ref="F5748:G5748"/>
    <mergeCell ref="A5749:B5749"/>
    <mergeCell ref="F5749:G5749"/>
    <mergeCell ref="A5750:B5750"/>
    <mergeCell ref="F5750:G5750"/>
    <mergeCell ref="A5751:B5751"/>
    <mergeCell ref="F5751:G5751"/>
    <mergeCell ref="A5752:B5752"/>
    <mergeCell ref="F5752:G5752"/>
    <mergeCell ref="A5753:B5753"/>
    <mergeCell ref="F5753:G5753"/>
    <mergeCell ref="A5754:B5754"/>
    <mergeCell ref="F5754:G5754"/>
    <mergeCell ref="A5755:B5755"/>
    <mergeCell ref="F5755:G5755"/>
    <mergeCell ref="A5756:B5756"/>
    <mergeCell ref="F5756:G5756"/>
    <mergeCell ref="A5757:B5757"/>
    <mergeCell ref="F5757:G5757"/>
    <mergeCell ref="A5758:B5758"/>
    <mergeCell ref="F5758:G5758"/>
    <mergeCell ref="A5759:B5759"/>
    <mergeCell ref="F5759:G5759"/>
    <mergeCell ref="A5760:B5760"/>
    <mergeCell ref="F5760:G5760"/>
    <mergeCell ref="A5761:G5761"/>
    <mergeCell ref="A5762:H5762"/>
    <mergeCell ref="A5763:B5763"/>
    <mergeCell ref="F5763:G5763"/>
    <mergeCell ref="A5764:B5764"/>
    <mergeCell ref="F5764:G5764"/>
    <mergeCell ref="A5765:G5765"/>
    <mergeCell ref="A5766:H5766"/>
    <mergeCell ref="A5767:B5767"/>
    <mergeCell ref="F5767:G5767"/>
    <mergeCell ref="A5768:B5768"/>
    <mergeCell ref="F5768:G5768"/>
    <mergeCell ref="A5769:B5769"/>
    <mergeCell ref="F5769:G5769"/>
    <mergeCell ref="A5770:B5770"/>
    <mergeCell ref="F5770:G5770"/>
    <mergeCell ref="A5771:G5771"/>
    <mergeCell ref="A5773:D5773"/>
    <mergeCell ref="F5778:G5778"/>
    <mergeCell ref="A7711:H7711"/>
    <mergeCell ref="A7713:A7716"/>
    <mergeCell ref="B7713:G7716"/>
    <mergeCell ref="H7713:H7715"/>
    <mergeCell ref="B7717:F7717"/>
    <mergeCell ref="B7718:E7718"/>
    <mergeCell ref="A7721:C7721"/>
    <mergeCell ref="A7722:C7722"/>
    <mergeCell ref="A7723:C7723"/>
    <mergeCell ref="A7724:C7724"/>
    <mergeCell ref="A7725:C7725"/>
    <mergeCell ref="A7726:G7726"/>
    <mergeCell ref="A7727:H7727"/>
    <mergeCell ref="A7728:B7728"/>
    <mergeCell ref="F7728:G7728"/>
    <mergeCell ref="A7729:B7729"/>
    <mergeCell ref="F7729:G7729"/>
    <mergeCell ref="A7730:B7730"/>
    <mergeCell ref="F7730:G7730"/>
    <mergeCell ref="A7521:B7521"/>
    <mergeCell ref="F7521:G7521"/>
    <mergeCell ref="A7522:B7522"/>
    <mergeCell ref="F7522:G7522"/>
    <mergeCell ref="A7523:B7523"/>
    <mergeCell ref="F7523:G7523"/>
    <mergeCell ref="A7524:B7524"/>
    <mergeCell ref="B7560:E7560"/>
    <mergeCell ref="A7538:B7538"/>
    <mergeCell ref="F7538:G7538"/>
    <mergeCell ref="A7539:B7539"/>
    <mergeCell ref="F7539:G7539"/>
    <mergeCell ref="A7540:G7540"/>
    <mergeCell ref="A7542:D7542"/>
    <mergeCell ref="F7547:G7547"/>
    <mergeCell ref="A7533:B7533"/>
    <mergeCell ref="F7533:G7533"/>
    <mergeCell ref="A7472:B7472"/>
    <mergeCell ref="F7472:G7472"/>
    <mergeCell ref="A7473:B7473"/>
    <mergeCell ref="F7473:G7473"/>
    <mergeCell ref="A7474:B7474"/>
    <mergeCell ref="F7474:G7474"/>
    <mergeCell ref="A7475:B7475"/>
    <mergeCell ref="F7475:G7475"/>
    <mergeCell ref="A7476:B7476"/>
    <mergeCell ref="F7476:G7476"/>
    <mergeCell ref="A7477:B7477"/>
    <mergeCell ref="F7477:G7477"/>
    <mergeCell ref="A7478:G7478"/>
    <mergeCell ref="A7731:B7731"/>
    <mergeCell ref="F7731:G7731"/>
    <mergeCell ref="A7732:B7732"/>
    <mergeCell ref="F7732:G7732"/>
    <mergeCell ref="A7733:B7733"/>
    <mergeCell ref="F7733:G7733"/>
    <mergeCell ref="A7734:B7734"/>
    <mergeCell ref="F7734:G7734"/>
    <mergeCell ref="A7735:B7735"/>
    <mergeCell ref="F7735:G7735"/>
    <mergeCell ref="A7736:B7736"/>
    <mergeCell ref="F7736:G7736"/>
    <mergeCell ref="A7737:B7737"/>
    <mergeCell ref="F7737:G7737"/>
    <mergeCell ref="A7738:B7738"/>
    <mergeCell ref="F7738:G7738"/>
    <mergeCell ref="A7739:B7739"/>
    <mergeCell ref="F7739:G7739"/>
    <mergeCell ref="A7740:B7740"/>
    <mergeCell ref="F7740:G7740"/>
    <mergeCell ref="A7741:B7741"/>
    <mergeCell ref="F7741:G7741"/>
    <mergeCell ref="A7742:B7742"/>
    <mergeCell ref="F7742:G7742"/>
    <mergeCell ref="A7743:G7743"/>
    <mergeCell ref="A7744:H7744"/>
    <mergeCell ref="A7745:B7745"/>
    <mergeCell ref="F7745:G7745"/>
    <mergeCell ref="A7746:B7746"/>
    <mergeCell ref="F7746:G7746"/>
    <mergeCell ref="A7747:G7747"/>
    <mergeCell ref="A7748:H7748"/>
    <mergeCell ref="A7749:B7749"/>
    <mergeCell ref="F7749:G7749"/>
    <mergeCell ref="A7750:B7750"/>
    <mergeCell ref="F7750:G7750"/>
    <mergeCell ref="A7751:B7751"/>
    <mergeCell ref="F7751:G7751"/>
    <mergeCell ref="A7752:B7752"/>
    <mergeCell ref="F7752:G7752"/>
    <mergeCell ref="A7753:G7753"/>
    <mergeCell ref="A7755:D7755"/>
    <mergeCell ref="F7760:G7760"/>
    <mergeCell ref="A7764:H7764"/>
    <mergeCell ref="A7766:A7769"/>
    <mergeCell ref="B7766:G7769"/>
    <mergeCell ref="H7766:H7768"/>
    <mergeCell ref="B7770:F7770"/>
    <mergeCell ref="B7771:E7771"/>
    <mergeCell ref="A7774:C7774"/>
    <mergeCell ref="A7775:C7775"/>
    <mergeCell ref="A7776:C7776"/>
    <mergeCell ref="A7777:C7777"/>
    <mergeCell ref="A7778:C7778"/>
    <mergeCell ref="A7779:G7779"/>
    <mergeCell ref="A7780:H7780"/>
    <mergeCell ref="A7781:B7781"/>
    <mergeCell ref="F7781:G7781"/>
    <mergeCell ref="A7782:B7782"/>
    <mergeCell ref="F7782:G7782"/>
    <mergeCell ref="A7783:B7783"/>
    <mergeCell ref="F7783:G7783"/>
    <mergeCell ref="A7784:B7784"/>
    <mergeCell ref="F7784:G7784"/>
    <mergeCell ref="A7785:B7785"/>
    <mergeCell ref="F7785:G7785"/>
    <mergeCell ref="A7786:B7786"/>
    <mergeCell ref="F7786:G7786"/>
    <mergeCell ref="A7787:B7787"/>
    <mergeCell ref="F7787:G7787"/>
    <mergeCell ref="A7788:B7788"/>
    <mergeCell ref="F7788:G7788"/>
    <mergeCell ref="A7789:B7789"/>
    <mergeCell ref="F7789:G7789"/>
    <mergeCell ref="A7790:B7790"/>
    <mergeCell ref="F7790:G7790"/>
    <mergeCell ref="A7791:B7791"/>
    <mergeCell ref="F7791:G7791"/>
    <mergeCell ref="A7792:B7792"/>
    <mergeCell ref="F7792:G7792"/>
    <mergeCell ref="A7793:B7793"/>
    <mergeCell ref="F7793:G7793"/>
    <mergeCell ref="A7794:B7794"/>
    <mergeCell ref="F7794:G7794"/>
    <mergeCell ref="A7795:B7795"/>
    <mergeCell ref="F7795:G7795"/>
    <mergeCell ref="A7796:G7796"/>
    <mergeCell ref="A7797:H7797"/>
    <mergeCell ref="A7798:B7798"/>
    <mergeCell ref="F7798:G7798"/>
    <mergeCell ref="A7799:B7799"/>
    <mergeCell ref="F7799:G7799"/>
    <mergeCell ref="A7800:G7800"/>
    <mergeCell ref="A7801:H7801"/>
    <mergeCell ref="A7802:B7802"/>
    <mergeCell ref="F7802:G7802"/>
    <mergeCell ref="A7803:B7803"/>
    <mergeCell ref="F7803:G7803"/>
    <mergeCell ref="A7804:B7804"/>
    <mergeCell ref="F7804:G7804"/>
    <mergeCell ref="A7805:B7805"/>
    <mergeCell ref="F7805:G7805"/>
    <mergeCell ref="A7806:G7806"/>
    <mergeCell ref="A7808:D7808"/>
    <mergeCell ref="F7813:G7813"/>
    <mergeCell ref="A7816:H7816"/>
    <mergeCell ref="A7818:A7821"/>
    <mergeCell ref="B7818:G7821"/>
    <mergeCell ref="H7818:H7820"/>
    <mergeCell ref="B7822:F7822"/>
    <mergeCell ref="B7823:E7823"/>
    <mergeCell ref="A7826:C7826"/>
    <mergeCell ref="A7827:C7827"/>
    <mergeCell ref="A7828:C7828"/>
    <mergeCell ref="A7829:C7829"/>
    <mergeCell ref="A7830:C7830"/>
    <mergeCell ref="A7831:G7831"/>
    <mergeCell ref="A7832:H7832"/>
    <mergeCell ref="A7833:B7833"/>
    <mergeCell ref="F7833:G7833"/>
    <mergeCell ref="A7834:B7834"/>
    <mergeCell ref="F7834:G7834"/>
    <mergeCell ref="A7835:B7835"/>
    <mergeCell ref="F7835:G7835"/>
    <mergeCell ref="A7836:B7836"/>
    <mergeCell ref="F7836:G7836"/>
    <mergeCell ref="A7837:B7837"/>
    <mergeCell ref="F7837:G7837"/>
    <mergeCell ref="A7838:B7838"/>
    <mergeCell ref="F7838:G7838"/>
    <mergeCell ref="A7839:B7839"/>
    <mergeCell ref="F7839:G7839"/>
    <mergeCell ref="A7840:B7840"/>
    <mergeCell ref="F7840:G7840"/>
    <mergeCell ref="A7841:B7841"/>
    <mergeCell ref="F7841:G7841"/>
    <mergeCell ref="A7842:B7842"/>
    <mergeCell ref="F7842:G7842"/>
    <mergeCell ref="A7843:B7843"/>
    <mergeCell ref="F7843:G7843"/>
    <mergeCell ref="A7844:B7844"/>
    <mergeCell ref="F7844:G7844"/>
    <mergeCell ref="A7845:B7845"/>
    <mergeCell ref="F7845:G7845"/>
    <mergeCell ref="A7846:B7846"/>
    <mergeCell ref="F7846:G7846"/>
    <mergeCell ref="A7847:B7847"/>
    <mergeCell ref="F7847:G7847"/>
    <mergeCell ref="A7848:G7848"/>
    <mergeCell ref="A7849:H7849"/>
    <mergeCell ref="A7850:B7850"/>
    <mergeCell ref="F7850:G7850"/>
    <mergeCell ref="A7851:B7851"/>
    <mergeCell ref="F7851:G7851"/>
    <mergeCell ref="A7852:G7852"/>
    <mergeCell ref="A7853:H7853"/>
    <mergeCell ref="A7854:B7854"/>
    <mergeCell ref="F7854:G7854"/>
    <mergeCell ref="A7855:B7855"/>
    <mergeCell ref="F7855:G7855"/>
    <mergeCell ref="A7856:B7856"/>
    <mergeCell ref="F7856:G7856"/>
    <mergeCell ref="A7857:B7857"/>
    <mergeCell ref="F7857:G7857"/>
    <mergeCell ref="A7858:G7858"/>
    <mergeCell ref="A7860:D7860"/>
    <mergeCell ref="F7865:G7865"/>
    <mergeCell ref="A7868:H7868"/>
    <mergeCell ref="A7870:A7873"/>
    <mergeCell ref="B7870:G7873"/>
    <mergeCell ref="H7870:H7872"/>
    <mergeCell ref="B7874:F7874"/>
    <mergeCell ref="B7875:E7875"/>
    <mergeCell ref="A7878:C7878"/>
    <mergeCell ref="A7879:C7879"/>
    <mergeCell ref="A7880:C7880"/>
    <mergeCell ref="A7881:C7881"/>
    <mergeCell ref="A7882:C7882"/>
    <mergeCell ref="A7883:G7883"/>
    <mergeCell ref="A7884:H7884"/>
    <mergeCell ref="A7885:B7885"/>
    <mergeCell ref="F7885:G7885"/>
    <mergeCell ref="A7886:B7886"/>
    <mergeCell ref="F7886:G7886"/>
    <mergeCell ref="A7887:B7887"/>
    <mergeCell ref="F7887:G7887"/>
    <mergeCell ref="A7888:B7888"/>
    <mergeCell ref="F7888:G7888"/>
    <mergeCell ref="A7889:B7889"/>
    <mergeCell ref="F7889:G7889"/>
    <mergeCell ref="A7890:B7890"/>
    <mergeCell ref="F7890:G7890"/>
    <mergeCell ref="A7891:B7891"/>
    <mergeCell ref="F7891:G7891"/>
    <mergeCell ref="A7892:B7892"/>
    <mergeCell ref="F7892:G7892"/>
    <mergeCell ref="A7893:B7893"/>
    <mergeCell ref="F7893:G7893"/>
    <mergeCell ref="A7894:B7894"/>
    <mergeCell ref="F7894:G7894"/>
    <mergeCell ref="A7895:B7895"/>
    <mergeCell ref="F7895:G7895"/>
    <mergeCell ref="A7896:B7896"/>
    <mergeCell ref="F7896:G7896"/>
    <mergeCell ref="A7897:B7897"/>
    <mergeCell ref="F7897:G7897"/>
    <mergeCell ref="A7898:B7898"/>
    <mergeCell ref="F7898:G7898"/>
    <mergeCell ref="A7899:B7899"/>
    <mergeCell ref="F7899:G7899"/>
    <mergeCell ref="A7900:G7900"/>
    <mergeCell ref="A7901:H7901"/>
    <mergeCell ref="A7902:B7902"/>
    <mergeCell ref="F7902:G7902"/>
    <mergeCell ref="A7903:B7903"/>
    <mergeCell ref="F7903:G7903"/>
    <mergeCell ref="A7904:G7904"/>
    <mergeCell ref="A7905:H7905"/>
    <mergeCell ref="A7906:B7906"/>
    <mergeCell ref="F7906:G7906"/>
    <mergeCell ref="A7907:B7907"/>
    <mergeCell ref="F7907:G7907"/>
    <mergeCell ref="A7908:B7908"/>
    <mergeCell ref="F7908:G7908"/>
    <mergeCell ref="A7909:B7909"/>
    <mergeCell ref="F7909:G7909"/>
    <mergeCell ref="A7910:G7910"/>
    <mergeCell ref="A7912:D7912"/>
    <mergeCell ref="F7917:G7917"/>
    <mergeCell ref="A7920:H7920"/>
    <mergeCell ref="A7922:A7925"/>
    <mergeCell ref="B7922:G7925"/>
    <mergeCell ref="H7922:H7924"/>
    <mergeCell ref="B7926:F7926"/>
    <mergeCell ref="B7927:E7927"/>
    <mergeCell ref="A7930:C7930"/>
    <mergeCell ref="A7931:C7931"/>
    <mergeCell ref="A7932:C7932"/>
    <mergeCell ref="A7933:C7933"/>
    <mergeCell ref="A7934:C7934"/>
    <mergeCell ref="A7935:G7935"/>
    <mergeCell ref="A7936:H7936"/>
    <mergeCell ref="A7937:B7937"/>
    <mergeCell ref="F7937:G7937"/>
    <mergeCell ref="A7938:B7938"/>
    <mergeCell ref="F7938:G7938"/>
    <mergeCell ref="A7939:B7939"/>
    <mergeCell ref="F7939:G7939"/>
    <mergeCell ref="A7940:B7940"/>
    <mergeCell ref="F7940:G7940"/>
    <mergeCell ref="A7941:B7941"/>
    <mergeCell ref="F7941:G7941"/>
    <mergeCell ref="A7942:B7942"/>
    <mergeCell ref="F7942:G7942"/>
    <mergeCell ref="A7943:B7943"/>
    <mergeCell ref="F7943:G7943"/>
    <mergeCell ref="A7944:B7944"/>
    <mergeCell ref="F7944:G7944"/>
    <mergeCell ref="A7945:B7945"/>
    <mergeCell ref="F7945:G7945"/>
    <mergeCell ref="A7946:B7946"/>
    <mergeCell ref="F7946:G7946"/>
    <mergeCell ref="A7947:B7947"/>
    <mergeCell ref="F7947:G7947"/>
    <mergeCell ref="A7948:B7948"/>
    <mergeCell ref="F7948:G7948"/>
    <mergeCell ref="A7949:B7949"/>
    <mergeCell ref="F7949:G7949"/>
    <mergeCell ref="A7950:B7950"/>
    <mergeCell ref="F7950:G7950"/>
    <mergeCell ref="A7951:B7951"/>
    <mergeCell ref="F7951:G7951"/>
    <mergeCell ref="A7952:G7952"/>
    <mergeCell ref="A7953:H7953"/>
    <mergeCell ref="A7954:B7954"/>
    <mergeCell ref="F7954:G7954"/>
    <mergeCell ref="A7955:B7955"/>
    <mergeCell ref="F7955:G7955"/>
    <mergeCell ref="A7956:G7956"/>
    <mergeCell ref="A7957:H7957"/>
    <mergeCell ref="A7958:B7958"/>
    <mergeCell ref="F7958:G7958"/>
    <mergeCell ref="A7959:B7959"/>
    <mergeCell ref="F7959:G7959"/>
    <mergeCell ref="A7960:B7960"/>
    <mergeCell ref="F7960:G7960"/>
    <mergeCell ref="A7961:B7961"/>
    <mergeCell ref="F7961:G7961"/>
    <mergeCell ref="A7962:G7962"/>
    <mergeCell ref="A7964:D7964"/>
    <mergeCell ref="F7969:G7969"/>
    <mergeCell ref="A7972:H7972"/>
    <mergeCell ref="A7974:A7977"/>
    <mergeCell ref="B7974:G7977"/>
    <mergeCell ref="H7974:H7976"/>
    <mergeCell ref="B7978:F7978"/>
    <mergeCell ref="B7979:E7979"/>
    <mergeCell ref="A7982:C7982"/>
    <mergeCell ref="A7983:C7983"/>
    <mergeCell ref="A7984:C7984"/>
    <mergeCell ref="A7985:C7985"/>
    <mergeCell ref="A7986:C7986"/>
    <mergeCell ref="A7987:G7987"/>
    <mergeCell ref="A7988:H7988"/>
    <mergeCell ref="A7989:B7989"/>
    <mergeCell ref="F7989:G7989"/>
    <mergeCell ref="A7990:B7990"/>
    <mergeCell ref="F7990:G7990"/>
    <mergeCell ref="A7991:B7991"/>
    <mergeCell ref="F7991:G7991"/>
    <mergeCell ref="A7992:B7992"/>
    <mergeCell ref="F7992:G7992"/>
    <mergeCell ref="A7993:B7993"/>
    <mergeCell ref="F7993:G7993"/>
    <mergeCell ref="A7994:B7994"/>
    <mergeCell ref="F7994:G7994"/>
    <mergeCell ref="A7995:B7995"/>
    <mergeCell ref="F7995:G7995"/>
    <mergeCell ref="A7996:B7996"/>
    <mergeCell ref="F7996:G7996"/>
    <mergeCell ref="A7997:B7997"/>
    <mergeCell ref="F7997:G7997"/>
    <mergeCell ref="A7998:B7998"/>
    <mergeCell ref="F7998:G7998"/>
    <mergeCell ref="A7999:B7999"/>
    <mergeCell ref="F7999:G7999"/>
    <mergeCell ref="A8000:B8000"/>
    <mergeCell ref="F8000:G8000"/>
    <mergeCell ref="A8001:B8001"/>
    <mergeCell ref="F8001:G8001"/>
    <mergeCell ref="A8002:B8002"/>
    <mergeCell ref="F8002:G8002"/>
    <mergeCell ref="A8003:B8003"/>
    <mergeCell ref="F8003:G8003"/>
    <mergeCell ref="A8004:G8004"/>
    <mergeCell ref="A8005:H8005"/>
    <mergeCell ref="A8006:B8006"/>
    <mergeCell ref="F8006:G8006"/>
    <mergeCell ref="A8007:B8007"/>
    <mergeCell ref="F8007:G8007"/>
    <mergeCell ref="A8008:G8008"/>
    <mergeCell ref="A8009:H8009"/>
    <mergeCell ref="A8010:B8010"/>
    <mergeCell ref="F8010:G8010"/>
    <mergeCell ref="A8011:B8011"/>
    <mergeCell ref="F8011:G8011"/>
    <mergeCell ref="A8012:B8012"/>
    <mergeCell ref="F8012:G8012"/>
    <mergeCell ref="A8013:B8013"/>
    <mergeCell ref="F8013:G8013"/>
    <mergeCell ref="A8014:G8014"/>
    <mergeCell ref="A8016:D8016"/>
    <mergeCell ref="F8021:G8021"/>
    <mergeCell ref="A8024:H8024"/>
    <mergeCell ref="A8026:A8029"/>
    <mergeCell ref="B8026:G8029"/>
    <mergeCell ref="H8026:H8028"/>
    <mergeCell ref="B8030:F8030"/>
    <mergeCell ref="B8031:E8031"/>
    <mergeCell ref="A8034:C8034"/>
    <mergeCell ref="A8035:C8035"/>
    <mergeCell ref="A8036:C8036"/>
    <mergeCell ref="A8037:C8037"/>
    <mergeCell ref="A8038:C8038"/>
    <mergeCell ref="A8039:G8039"/>
    <mergeCell ref="A8040:H8040"/>
    <mergeCell ref="A8041:B8041"/>
    <mergeCell ref="F8041:G8041"/>
    <mergeCell ref="A8042:B8042"/>
    <mergeCell ref="F8042:G8042"/>
    <mergeCell ref="A8043:B8043"/>
    <mergeCell ref="F8043:G8043"/>
    <mergeCell ref="A8044:B8044"/>
    <mergeCell ref="F8044:G8044"/>
    <mergeCell ref="A8045:B8045"/>
    <mergeCell ref="F8045:G8045"/>
    <mergeCell ref="A8046:B8046"/>
    <mergeCell ref="F8046:G8046"/>
    <mergeCell ref="A8047:B8047"/>
    <mergeCell ref="F8047:G8047"/>
    <mergeCell ref="A8048:B8048"/>
    <mergeCell ref="F8048:G8048"/>
    <mergeCell ref="A8049:B8049"/>
    <mergeCell ref="F8049:G8049"/>
    <mergeCell ref="A8050:B8050"/>
    <mergeCell ref="F8050:G8050"/>
    <mergeCell ref="A8051:B8051"/>
    <mergeCell ref="F8051:G8051"/>
    <mergeCell ref="A8052:B8052"/>
    <mergeCell ref="F8052:G8052"/>
    <mergeCell ref="A8053:B8053"/>
    <mergeCell ref="F8053:G8053"/>
    <mergeCell ref="A8054:B8054"/>
    <mergeCell ref="F8054:G8054"/>
    <mergeCell ref="A8055:B8055"/>
    <mergeCell ref="F8055:G8055"/>
    <mergeCell ref="A8056:G8056"/>
    <mergeCell ref="A8057:H8057"/>
    <mergeCell ref="A8058:B8058"/>
    <mergeCell ref="F8058:G8058"/>
    <mergeCell ref="A8059:B8059"/>
    <mergeCell ref="F8059:G8059"/>
    <mergeCell ref="A8060:G8060"/>
    <mergeCell ref="A8061:H8061"/>
    <mergeCell ref="A8062:B8062"/>
    <mergeCell ref="F8062:G8062"/>
    <mergeCell ref="A8063:B8063"/>
    <mergeCell ref="F8063:G8063"/>
    <mergeCell ref="A8064:B8064"/>
    <mergeCell ref="F8064:G8064"/>
    <mergeCell ref="A8065:B8065"/>
    <mergeCell ref="F8065:G8065"/>
    <mergeCell ref="A8066:G8066"/>
    <mergeCell ref="A8068:D8068"/>
    <mergeCell ref="F8073:G8073"/>
    <mergeCell ref="A8076:H8076"/>
    <mergeCell ref="A8078:A8081"/>
    <mergeCell ref="B8078:G8081"/>
    <mergeCell ref="H8078:H8080"/>
    <mergeCell ref="B8082:F8082"/>
    <mergeCell ref="B8083:E8083"/>
    <mergeCell ref="A8086:C8086"/>
    <mergeCell ref="A8087:C8087"/>
    <mergeCell ref="A8088:C8088"/>
    <mergeCell ref="A8089:C8089"/>
    <mergeCell ref="A8090:C8090"/>
    <mergeCell ref="A8091:G8091"/>
    <mergeCell ref="A8092:H8092"/>
    <mergeCell ref="A8093:B8093"/>
    <mergeCell ref="F8093:G8093"/>
    <mergeCell ref="A8094:B8094"/>
    <mergeCell ref="F8094:G8094"/>
    <mergeCell ref="A8095:B8095"/>
    <mergeCell ref="F8095:G8095"/>
    <mergeCell ref="A8096:B8096"/>
    <mergeCell ref="F8096:G8096"/>
    <mergeCell ref="A8097:B8097"/>
    <mergeCell ref="F8097:G8097"/>
    <mergeCell ref="A8098:B8098"/>
    <mergeCell ref="F8098:G8098"/>
    <mergeCell ref="A8099:B8099"/>
    <mergeCell ref="F8099:G8099"/>
    <mergeCell ref="A8100:B8100"/>
    <mergeCell ref="F8100:G8100"/>
    <mergeCell ref="A8101:B8101"/>
    <mergeCell ref="F8101:G8101"/>
    <mergeCell ref="A8102:B8102"/>
    <mergeCell ref="F8102:G8102"/>
    <mergeCell ref="A8103:B8103"/>
    <mergeCell ref="F8103:G8103"/>
    <mergeCell ref="A8104:B8104"/>
    <mergeCell ref="F8104:G8104"/>
    <mergeCell ref="A8105:B8105"/>
    <mergeCell ref="F8105:G8105"/>
    <mergeCell ref="A8106:B8106"/>
    <mergeCell ref="F8106:G8106"/>
    <mergeCell ref="A8107:B8107"/>
    <mergeCell ref="F8107:G8107"/>
    <mergeCell ref="A8108:G8108"/>
    <mergeCell ref="A8109:H8109"/>
    <mergeCell ref="A8110:B8110"/>
    <mergeCell ref="F8110:G8110"/>
    <mergeCell ref="A8111:B8111"/>
    <mergeCell ref="F8111:G8111"/>
    <mergeCell ref="A8112:G8112"/>
    <mergeCell ref="A8113:H8113"/>
    <mergeCell ref="A8114:B8114"/>
    <mergeCell ref="F8114:G8114"/>
    <mergeCell ref="A8115:B8115"/>
    <mergeCell ref="F8115:G8115"/>
    <mergeCell ref="A8116:B8116"/>
    <mergeCell ref="F8116:G8116"/>
    <mergeCell ref="A8117:B8117"/>
    <mergeCell ref="F8117:G8117"/>
    <mergeCell ref="A8118:G8118"/>
    <mergeCell ref="A8120:D8120"/>
    <mergeCell ref="F8125:G8125"/>
    <mergeCell ref="A8128:H8128"/>
    <mergeCell ref="A8130:A8133"/>
    <mergeCell ref="B8130:G8133"/>
    <mergeCell ref="H8130:H8132"/>
    <mergeCell ref="B8134:F8134"/>
    <mergeCell ref="B8135:E8135"/>
    <mergeCell ref="A8138:C8138"/>
    <mergeCell ref="A8139:C8139"/>
    <mergeCell ref="A8140:C8140"/>
    <mergeCell ref="A8141:C8141"/>
    <mergeCell ref="A8142:C8142"/>
    <mergeCell ref="A8143:G8143"/>
    <mergeCell ref="A8144:H8144"/>
    <mergeCell ref="A8145:B8145"/>
    <mergeCell ref="F8145:G8145"/>
    <mergeCell ref="A8146:B8146"/>
    <mergeCell ref="F8146:G8146"/>
    <mergeCell ref="A8147:B8147"/>
    <mergeCell ref="F8147:G8147"/>
    <mergeCell ref="A8148:B8148"/>
    <mergeCell ref="F8148:G8148"/>
    <mergeCell ref="A8149:B8149"/>
    <mergeCell ref="F8149:G8149"/>
    <mergeCell ref="A8150:B8150"/>
    <mergeCell ref="F8150:G8150"/>
    <mergeCell ref="A8151:B8151"/>
    <mergeCell ref="F8151:G8151"/>
    <mergeCell ref="A8152:B8152"/>
    <mergeCell ref="F8152:G8152"/>
    <mergeCell ref="A8153:B8153"/>
    <mergeCell ref="F8153:G8153"/>
    <mergeCell ref="A8154:B8154"/>
    <mergeCell ref="F8154:G8154"/>
    <mergeCell ref="A8155:B8155"/>
    <mergeCell ref="F8155:G8155"/>
    <mergeCell ref="A8156:B8156"/>
    <mergeCell ref="F8156:G8156"/>
    <mergeCell ref="A8157:B8157"/>
    <mergeCell ref="F8157:G8157"/>
    <mergeCell ref="A8158:B8158"/>
    <mergeCell ref="F8158:G8158"/>
    <mergeCell ref="A8159:B8159"/>
    <mergeCell ref="F8159:G8159"/>
    <mergeCell ref="A8160:G8160"/>
    <mergeCell ref="A8161:H8161"/>
    <mergeCell ref="A8162:B8162"/>
    <mergeCell ref="F8162:G8162"/>
    <mergeCell ref="A8163:B8163"/>
    <mergeCell ref="F8163:G8163"/>
    <mergeCell ref="A8164:G8164"/>
    <mergeCell ref="A8165:H8165"/>
    <mergeCell ref="A8166:B8166"/>
    <mergeCell ref="F8166:G8166"/>
    <mergeCell ref="A8167:B8167"/>
    <mergeCell ref="F8167:G8167"/>
    <mergeCell ref="A8168:B8168"/>
    <mergeCell ref="F8168:G8168"/>
    <mergeCell ref="A8169:B8169"/>
    <mergeCell ref="F8169:G8169"/>
    <mergeCell ref="A8170:G8170"/>
    <mergeCell ref="A8172:D8172"/>
    <mergeCell ref="F8177:G8177"/>
    <mergeCell ref="A8180:H8180"/>
    <mergeCell ref="A8182:A8185"/>
    <mergeCell ref="B8182:G8185"/>
    <mergeCell ref="H8182:H8184"/>
    <mergeCell ref="B8186:F8186"/>
    <mergeCell ref="B8187:E8187"/>
    <mergeCell ref="A8190:C8190"/>
    <mergeCell ref="A8191:C8191"/>
    <mergeCell ref="A8192:C8192"/>
    <mergeCell ref="A8193:C8193"/>
    <mergeCell ref="A8194:C8194"/>
    <mergeCell ref="A8195:G8195"/>
    <mergeCell ref="A8196:H8196"/>
    <mergeCell ref="A8197:B8197"/>
    <mergeCell ref="F8197:G8197"/>
    <mergeCell ref="A8198:B8198"/>
    <mergeCell ref="F8198:G8198"/>
    <mergeCell ref="A8199:B8199"/>
    <mergeCell ref="F8199:G8199"/>
    <mergeCell ref="A8200:B8200"/>
    <mergeCell ref="F8200:G8200"/>
    <mergeCell ref="A8201:B8201"/>
    <mergeCell ref="F8201:G8201"/>
    <mergeCell ref="A8202:B8202"/>
    <mergeCell ref="F8202:G8202"/>
    <mergeCell ref="A8203:B8203"/>
    <mergeCell ref="F8203:G8203"/>
    <mergeCell ref="A8204:B8204"/>
    <mergeCell ref="F8204:G8204"/>
    <mergeCell ref="A8205:B8205"/>
    <mergeCell ref="F8205:G8205"/>
    <mergeCell ref="A8206:B8206"/>
    <mergeCell ref="F8206:G8206"/>
    <mergeCell ref="A8207:B8207"/>
    <mergeCell ref="F8207:G8207"/>
    <mergeCell ref="A8208:B8208"/>
    <mergeCell ref="F8208:G8208"/>
    <mergeCell ref="A8209:B8209"/>
    <mergeCell ref="F8209:G8209"/>
    <mergeCell ref="A8210:B8210"/>
    <mergeCell ref="F8210:G8210"/>
    <mergeCell ref="A8211:B8211"/>
    <mergeCell ref="F8211:G8211"/>
    <mergeCell ref="A8212:G8212"/>
    <mergeCell ref="A8213:H8213"/>
    <mergeCell ref="A8214:B8214"/>
    <mergeCell ref="F8214:G8214"/>
    <mergeCell ref="A8215:B8215"/>
    <mergeCell ref="F8215:G8215"/>
    <mergeCell ref="A8216:G8216"/>
    <mergeCell ref="A8217:H8217"/>
    <mergeCell ref="A8218:B8218"/>
    <mergeCell ref="F8218:G8218"/>
    <mergeCell ref="A8219:B8219"/>
    <mergeCell ref="F8219:G8219"/>
    <mergeCell ref="A8220:B8220"/>
    <mergeCell ref="F8220:G8220"/>
    <mergeCell ref="A8221:B8221"/>
    <mergeCell ref="F8221:G8221"/>
    <mergeCell ref="A8222:G8222"/>
    <mergeCell ref="A8224:D8224"/>
    <mergeCell ref="F8229:G8229"/>
    <mergeCell ref="A9820:H9820"/>
    <mergeCell ref="A9822:A9825"/>
    <mergeCell ref="B9822:G9825"/>
    <mergeCell ref="H9822:H9824"/>
    <mergeCell ref="A8847:B8847"/>
    <mergeCell ref="F8847:G8847"/>
    <mergeCell ref="A8848:B8848"/>
    <mergeCell ref="F8848:G8848"/>
    <mergeCell ref="A8849:B8849"/>
    <mergeCell ref="F8849:G8849"/>
    <mergeCell ref="A8850:B8850"/>
    <mergeCell ref="F8850:G8850"/>
    <mergeCell ref="A8851:B8851"/>
    <mergeCell ref="F8851:G8851"/>
    <mergeCell ref="A8852:G8852"/>
    <mergeCell ref="A8853:H8853"/>
    <mergeCell ref="A8854:B8854"/>
    <mergeCell ref="F8854:G8854"/>
    <mergeCell ref="A8855:B8855"/>
    <mergeCell ref="F8855:G8855"/>
    <mergeCell ref="A8856:G8856"/>
    <mergeCell ref="A8857:H8857"/>
    <mergeCell ref="A8858:B8858"/>
    <mergeCell ref="F8858:G8858"/>
    <mergeCell ref="A8859:B8859"/>
    <mergeCell ref="F8859:G8859"/>
    <mergeCell ref="A8860:B8860"/>
    <mergeCell ref="F8860:G8860"/>
    <mergeCell ref="A8861:B8861"/>
    <mergeCell ref="F8861:G8861"/>
    <mergeCell ref="A8862:G8862"/>
    <mergeCell ref="A8864:D8864"/>
    <mergeCell ref="F8869:G8869"/>
    <mergeCell ref="B9826:F9826"/>
    <mergeCell ref="B9827:E9827"/>
    <mergeCell ref="A9830:C9830"/>
    <mergeCell ref="A9831:C9831"/>
    <mergeCell ref="A9832:C9832"/>
    <mergeCell ref="A9833:C9833"/>
    <mergeCell ref="A9834:C9834"/>
    <mergeCell ref="A9835:G9835"/>
    <mergeCell ref="A9836:H9836"/>
    <mergeCell ref="A9837:B9837"/>
    <mergeCell ref="F9837:G9837"/>
    <mergeCell ref="A9838:B9838"/>
    <mergeCell ref="F9838:G9838"/>
    <mergeCell ref="A9839:B9839"/>
    <mergeCell ref="F9839:G9839"/>
    <mergeCell ref="A9840:B9840"/>
    <mergeCell ref="F9840:G9840"/>
    <mergeCell ref="A9841:B9841"/>
    <mergeCell ref="F9841:G9841"/>
    <mergeCell ref="A9842:B9842"/>
    <mergeCell ref="F9842:G9842"/>
    <mergeCell ref="A9843:B9843"/>
    <mergeCell ref="F9843:G9843"/>
    <mergeCell ref="A9844:B9844"/>
    <mergeCell ref="F9844:G9844"/>
    <mergeCell ref="A9845:B9845"/>
    <mergeCell ref="F9845:G9845"/>
    <mergeCell ref="A9846:B9846"/>
    <mergeCell ref="F9846:G9846"/>
    <mergeCell ref="A9847:B9847"/>
    <mergeCell ref="F9847:G9847"/>
    <mergeCell ref="A9848:B9848"/>
    <mergeCell ref="F9848:G9848"/>
    <mergeCell ref="A9849:B9849"/>
    <mergeCell ref="F9849:G9849"/>
    <mergeCell ref="A9850:B9850"/>
    <mergeCell ref="F9850:G9850"/>
    <mergeCell ref="A9851:B9851"/>
    <mergeCell ref="F9851:G9851"/>
    <mergeCell ref="A9852:G9852"/>
    <mergeCell ref="A9853:H9853"/>
    <mergeCell ref="A9854:B9854"/>
    <mergeCell ref="F9854:G9854"/>
    <mergeCell ref="A9855:B9855"/>
    <mergeCell ref="F9855:G9855"/>
    <mergeCell ref="A9856:G9856"/>
    <mergeCell ref="A9857:H9857"/>
    <mergeCell ref="A9858:B9858"/>
    <mergeCell ref="F9858:G9858"/>
    <mergeCell ref="A9859:B9859"/>
    <mergeCell ref="F9859:G9859"/>
    <mergeCell ref="A9860:B9860"/>
    <mergeCell ref="F9860:G9860"/>
    <mergeCell ref="A9861:B9861"/>
    <mergeCell ref="F9861:G9861"/>
    <mergeCell ref="A9862:G9862"/>
    <mergeCell ref="A9864:D9864"/>
    <mergeCell ref="F9869:G9869"/>
    <mergeCell ref="A8817:H8817"/>
    <mergeCell ref="A8819:A8822"/>
    <mergeCell ref="B8819:G8822"/>
    <mergeCell ref="H8819:H8821"/>
    <mergeCell ref="B8823:F8823"/>
    <mergeCell ref="B8824:E8824"/>
    <mergeCell ref="A8827:C8827"/>
    <mergeCell ref="A8828:C8828"/>
    <mergeCell ref="A8829:C8829"/>
    <mergeCell ref="A8830:C8830"/>
    <mergeCell ref="A8831:C8831"/>
    <mergeCell ref="A8832:G8832"/>
    <mergeCell ref="A8833:H8833"/>
    <mergeCell ref="A8834:B8834"/>
    <mergeCell ref="F8834:G8834"/>
    <mergeCell ref="A8835:B8835"/>
    <mergeCell ref="F8835:G8835"/>
    <mergeCell ref="A8836:B8836"/>
    <mergeCell ref="F8836:G8836"/>
    <mergeCell ref="A8837:B8837"/>
    <mergeCell ref="F8837:G8837"/>
    <mergeCell ref="A8838:B8838"/>
    <mergeCell ref="F8838:G8838"/>
    <mergeCell ref="A8839:B8839"/>
    <mergeCell ref="F8839:G8839"/>
    <mergeCell ref="A8840:B8840"/>
    <mergeCell ref="F8840:G8840"/>
    <mergeCell ref="A8841:B8841"/>
    <mergeCell ref="F8841:G8841"/>
    <mergeCell ref="A8842:B8842"/>
    <mergeCell ref="F8842:G8842"/>
    <mergeCell ref="A8843:B8843"/>
    <mergeCell ref="F8843:G8843"/>
    <mergeCell ref="A8844:B8844"/>
    <mergeCell ref="F8844:G8844"/>
    <mergeCell ref="A8845:B8845"/>
    <mergeCell ref="F8845:G8845"/>
    <mergeCell ref="A8846:B8846"/>
    <mergeCell ref="F8846:G8846"/>
    <mergeCell ref="A8906:B8906"/>
    <mergeCell ref="F8906:G8906"/>
    <mergeCell ref="A8907:B8907"/>
    <mergeCell ref="F8907:G8907"/>
    <mergeCell ref="A8908:B8908"/>
    <mergeCell ref="F8908:G8908"/>
    <mergeCell ref="A8909:G8909"/>
    <mergeCell ref="A8911:D8911"/>
    <mergeCell ref="F8916:G8916"/>
    <mergeCell ref="A8886:C8886"/>
    <mergeCell ref="A8887:G8887"/>
    <mergeCell ref="A8888:H8888"/>
    <mergeCell ref="A8889:B8889"/>
    <mergeCell ref="F8889:G8889"/>
    <mergeCell ref="A8890:B8890"/>
    <mergeCell ref="F8890:G8890"/>
    <mergeCell ref="A8891:B8891"/>
    <mergeCell ref="F8891:G8891"/>
    <mergeCell ref="A8892:B8892"/>
    <mergeCell ref="F8892:G8892"/>
    <mergeCell ref="A8893:B8893"/>
    <mergeCell ref="F8893:G8893"/>
    <mergeCell ref="A8894:B8894"/>
    <mergeCell ref="F8894:G8894"/>
    <mergeCell ref="A8895:B8895"/>
    <mergeCell ref="F8895:G8895"/>
    <mergeCell ref="A8896:B8896"/>
    <mergeCell ref="F8896:G8896"/>
    <mergeCell ref="A8897:B8897"/>
    <mergeCell ref="F8897:G8897"/>
    <mergeCell ref="A8898:B8898"/>
    <mergeCell ref="F8898:G8898"/>
    <mergeCell ref="A8899:G8899"/>
    <mergeCell ref="A8900:H8900"/>
    <mergeCell ref="A8901:B8901"/>
    <mergeCell ref="F8901:G8901"/>
    <mergeCell ref="A8902:B8902"/>
    <mergeCell ref="F8902:G8902"/>
    <mergeCell ref="A8903:G8903"/>
    <mergeCell ref="A8904:H8904"/>
    <mergeCell ref="A8905:B8905"/>
    <mergeCell ref="F8905:G8905"/>
    <mergeCell ref="A8232:H8232"/>
    <mergeCell ref="A8234:A8237"/>
    <mergeCell ref="B8234:G8237"/>
    <mergeCell ref="H8234:H8236"/>
    <mergeCell ref="B8238:F8238"/>
    <mergeCell ref="B8239:E8239"/>
    <mergeCell ref="A8242:C8242"/>
    <mergeCell ref="A8243:C8243"/>
    <mergeCell ref="A8244:C8244"/>
    <mergeCell ref="A8245:C8245"/>
    <mergeCell ref="A8246:C8246"/>
    <mergeCell ref="A8247:G8247"/>
    <mergeCell ref="A8248:H8248"/>
    <mergeCell ref="A8249:B8249"/>
    <mergeCell ref="F8249:G8249"/>
    <mergeCell ref="A8250:B8250"/>
    <mergeCell ref="F8250:G8250"/>
    <mergeCell ref="A8251:B8251"/>
    <mergeCell ref="F8251:G8251"/>
    <mergeCell ref="A8252:B8252"/>
    <mergeCell ref="F8252:G8252"/>
    <mergeCell ref="A8253:B8253"/>
    <mergeCell ref="F8253:G8253"/>
    <mergeCell ref="A8254:B8254"/>
    <mergeCell ref="F8254:G8254"/>
    <mergeCell ref="A8255:B8255"/>
    <mergeCell ref="F8255:G8255"/>
    <mergeCell ref="A8256:B8256"/>
    <mergeCell ref="F8256:G8256"/>
    <mergeCell ref="A8257:B8257"/>
    <mergeCell ref="F8257:G8257"/>
    <mergeCell ref="A8258:B8258"/>
    <mergeCell ref="F8258:G8258"/>
    <mergeCell ref="A8259:B8259"/>
    <mergeCell ref="F8259:G8259"/>
    <mergeCell ref="A8260:B8260"/>
    <mergeCell ref="F8260:G8260"/>
    <mergeCell ref="A8261:B8261"/>
    <mergeCell ref="F8261:G8261"/>
    <mergeCell ref="A8262:B8262"/>
    <mergeCell ref="F8262:G8262"/>
    <mergeCell ref="A8263:B8263"/>
    <mergeCell ref="F8263:G8263"/>
    <mergeCell ref="A8264:G8264"/>
    <mergeCell ref="A8265:H8265"/>
    <mergeCell ref="A8266:B8266"/>
    <mergeCell ref="F8266:G8266"/>
    <mergeCell ref="A8267:B8267"/>
    <mergeCell ref="F8267:G8267"/>
    <mergeCell ref="A8268:G8268"/>
    <mergeCell ref="A8269:H8269"/>
    <mergeCell ref="A8270:B8270"/>
    <mergeCell ref="F8270:G8270"/>
    <mergeCell ref="A8271:B8271"/>
    <mergeCell ref="F8271:G8271"/>
    <mergeCell ref="A8272:B8272"/>
    <mergeCell ref="F8272:G8272"/>
    <mergeCell ref="A8273:B8273"/>
    <mergeCell ref="F8273:G8273"/>
    <mergeCell ref="A8274:G8274"/>
    <mergeCell ref="A8276:D8276"/>
    <mergeCell ref="F8281:G8281"/>
    <mergeCell ref="A8284:H8284"/>
    <mergeCell ref="A8286:A8289"/>
    <mergeCell ref="B8286:G8289"/>
    <mergeCell ref="H8286:H8288"/>
    <mergeCell ref="A8313:B8313"/>
    <mergeCell ref="F8313:G8313"/>
    <mergeCell ref="A8314:B8314"/>
    <mergeCell ref="F8314:G8314"/>
    <mergeCell ref="A8315:B8315"/>
    <mergeCell ref="F8315:G8315"/>
    <mergeCell ref="A8316:G8316"/>
    <mergeCell ref="A8317:H8317"/>
    <mergeCell ref="A8318:B8318"/>
    <mergeCell ref="F8318:G8318"/>
    <mergeCell ref="A8319:B8319"/>
    <mergeCell ref="F8319:G8319"/>
    <mergeCell ref="A8320:G8320"/>
    <mergeCell ref="A8321:H8321"/>
    <mergeCell ref="A8322:B8322"/>
    <mergeCell ref="F8322:G8322"/>
    <mergeCell ref="A8323:B8323"/>
    <mergeCell ref="F8323:G8323"/>
    <mergeCell ref="A8324:B8324"/>
    <mergeCell ref="F8324:G8324"/>
    <mergeCell ref="A8325:B8325"/>
    <mergeCell ref="F8325:G8325"/>
    <mergeCell ref="A8326:G8326"/>
    <mergeCell ref="A8328:D8328"/>
    <mergeCell ref="F8333:G8333"/>
    <mergeCell ref="B8290:F8290"/>
    <mergeCell ref="B8291:E8291"/>
    <mergeCell ref="A8294:C8294"/>
    <mergeCell ref="A8295:C8295"/>
    <mergeCell ref="A8296:C8296"/>
    <mergeCell ref="A8297:C8297"/>
    <mergeCell ref="A8298:C8298"/>
    <mergeCell ref="A8299:G8299"/>
    <mergeCell ref="A8300:H8300"/>
    <mergeCell ref="A8301:B8301"/>
    <mergeCell ref="F8301:G8301"/>
    <mergeCell ref="A8302:B8302"/>
    <mergeCell ref="F8302:G8302"/>
    <mergeCell ref="A8303:B8303"/>
    <mergeCell ref="F8303:G8303"/>
    <mergeCell ref="A8304:B8304"/>
    <mergeCell ref="F8304:G8304"/>
    <mergeCell ref="A8305:B8305"/>
    <mergeCell ref="F8305:G8305"/>
    <mergeCell ref="A8306:B8306"/>
    <mergeCell ref="F8306:G8306"/>
    <mergeCell ref="A8307:B8307"/>
    <mergeCell ref="F8307:G8307"/>
    <mergeCell ref="A8308:B8308"/>
    <mergeCell ref="F8308:G8308"/>
    <mergeCell ref="A8309:B8309"/>
    <mergeCell ref="F8309:G8309"/>
    <mergeCell ref="A8310:B8310"/>
    <mergeCell ref="F8310:G8310"/>
    <mergeCell ref="A8311:B8311"/>
    <mergeCell ref="F8311:G8311"/>
    <mergeCell ref="A8312:B8312"/>
    <mergeCell ref="F8312:G8312"/>
  </mergeCells>
  <pageMargins left="0.7" right="0.7" top="0.75" bottom="0.75" header="0.3" footer="0.3"/>
  <pageSetup scale="68" orientation="portrait" r:id="rId1"/>
  <rowBreaks count="2" manualBreakCount="2">
    <brk id="1283" max="7" man="1"/>
    <brk id="4348" max="7" man="1"/>
  </rowBreaks>
  <drawing r:id="rId2"/>
  <legacyDrawing r:id="rId3"/>
  <controls>
    <mc:AlternateContent xmlns:mc="http://schemas.openxmlformats.org/markup-compatibility/2006">
      <mc:Choice Requires="x14">
        <control shapeId="2051" r:id="rId4" name="Tempcombo">
          <controlPr defaultSize="0" autoLine="0" r:id="rId5">
            <anchor moveWithCells="1">
              <from>
                <xdr:col>0</xdr:col>
                <xdr:colOff>0</xdr:colOff>
                <xdr:row>4319</xdr:row>
                <xdr:rowOff>0</xdr:rowOff>
              </from>
              <to>
                <xdr:col>2</xdr:col>
                <xdr:colOff>66675</xdr:colOff>
                <xdr:row>4320</xdr:row>
                <xdr:rowOff>66675</xdr:rowOff>
              </to>
            </anchor>
          </controlPr>
        </control>
      </mc:Choice>
      <mc:Fallback>
        <control shapeId="2051" r:id="rId4" name="Tempcombo"/>
      </mc:Fallback>
    </mc:AlternateContent>
  </controls>
  <extLst>
    <ext xmlns:x14="http://schemas.microsoft.com/office/spreadsheetml/2009/9/main" uri="{CCE6A557-97BC-4b89-ADB6-D9C93CAAB3DF}">
      <x14:dataValidations xmlns:xm="http://schemas.microsoft.com/office/excel/2006/main" count="6">
        <x14:dataValidation type="list" allowBlank="1" showDropDown="1" showInputMessage="1" showErrorMessage="1" xr:uid="{00000000-0002-0000-0200-000000000000}">
          <x14:formula1>
            <xm:f>'Equip, Herr y Transp'!$B:$B</xm:f>
          </x14:formula1>
          <xm:sqref>A38:B38 A15:C17 A90:B90 A67:C69 A141:B141 A118:C120 A192:B192 A169:C171 A243:B243 A220:C222 A294:B294 A271:C273 A345:B345 A322:C324 A396:B396 A373:C375 A447:B447 A424:C426 A498:B498 A475:C477 A4384:B4384 A4361:C4363 A4435:B4435 A4412:C4414 A4486:B4486 A4463:C4465 A550:B550 A527:C529 A601:B601 A578:C580 A652:B652 A629:C631 A703:B703 A680:C682 A754:B754 A731:C733 A805:B805 A782:C784 A4537:B4537 A4514:C4516 A4588:B4588 A4565:C4567 A4640:B4640 A4617:C4619 A5921:B5921 A5897:C5900 A5973:B5973 A5949:C5952 A6025:B6025 A6001:C6004 A6077:B6077 A6053:C6056 A6129:B6129 A6105:C6108 A6181:B6181 A6157:C6160 A6233:B6233 A6209:C6212 A6285:B6285 A6261:C6264 A8376:B8376 A8349:C8352 A8958:B8958 A8931:C8934 A9123:B9123 A9099:C9102 A9175:B9175 A9151:C9154 A9013:B9013 A8986:C8989 A857:B857 A834:C836 A1116:B1116 A1093:C1095 A908:B908 A885:C887 A959:B959 A936:C938 A1010:B1010 A987:C989 A1061:B1061 A1038:C1040 A1167:B1167 A1144:C1146 A1218:B1218 A1195:C1197 A1269:B1269 A1246:C1248 A1320:B1320 A1297:C1299 A1371:B1371 A1348:C1350 A1422:B1422 A1399:C1401 A1473:B1473 A1450:C1452 A1524:B1524 A1501:C1503 A1575:B1575 A1552:C1554 A1626:B1626 A1603:C1605 A1677:B1677 A1654:C1656 A1729:B1729 A1706:C1708 A1780:B1780 A1757:C1759 A4691:B4691 A4668:C4670 A4742:B4742 A4719:C4721 A4793:B4793 A4770:C4772 A6337:B6337 A6313:C6316 A6388:B6388 A6364:C6367 A6440:B6440 A6416:C6419 A6492:B6492 A6468:C6471 A6544:B6544 A6520:C6523 A9282:B9282 A9258:C9261 A9334:B9334 A9310:C9313 A9386:B9386 A9362:C9365 A9439:B9439 A9415:C9418 A9491:B9491 A9467:C9470 A9543:B9543 A9519:C9522 A1831:B1831 A1808:C1810 A1882:B1882 A1859:C1861 A1933:B1933 A1910:C1912 A1984:B1984 A1961:C1963 A2035:B2035 A2012:C2014 A2086:B2086 A2063:C2065 A2137:B2137 A2114:C2116 A2188:B2188 A2165:C2167 A2240:B2240 A2217:C2219 A9227:B9227 A9203:C9206 A8423:B8423 A8404:C8407 A8470:B8470 A8451:C8454 A2291:B2291 A2268:C2270 A2342:B2342 A2319:C2321 A2393:B2393 A2370:C2372 A2444:B2444 A2421:C2423 A4844:B4844 A4821:C4823 A4895:B4895 A4872:C4874 A4946:B4946 A4923:C4925 A6596:B6596 A6572:C6575 A6648:B6648 A6624:C6627 A6700:B6700 A6676:C6679 A8525:B8525 A8498:C8501 A8580:B8580 A8553:C8556 A8635:B8635 A8608:C8611 A2495:B2495 A2472:C2474 A2546:B2546 A2523:C2525 A4997:B4997 A4974:C4976 A5048:B5048 A5025:C5027 A6752:B6752 A6728:C6731 A6805:B6805 A6781:C6784 A5099:B5099 A5076:C5078 A5150:B5150 A5127:C5129 A2597:B2597 A2574:C2576 A5252:B5252 A5229:C5231 A5303:B5303 A5280:C5282 A5354:B5354 A5331:C5333 A2648:B2648 A2625:C2627 A2699:B2699 A2676:C2678 A2750:B2750 A2727:C2729 A2801:B2801 A2778:C2780 A2852:B2852 A2829:C2831 A2903:B2903 A2880:C2882 A2954:B2954 A2931:C2933 A3005:B3005 A2982:C2984 A3056:B3056 A3033:C3035 A3107:B3107 A3084:C3086 A3158:B3158 A3135:C3137 A3209:B3209 A3186:C3188 A3260:B3260 A3237:C3239 A3311:B3311 A3288:C3290 A5406:B5406 A5383:C5385 A5457:B5457 A5434:C5436 A6857:B6857 A6833:C6836 A6909:B6909 A6885:C6888 A3362:B3362 A3339:C3341 A3413:B3413 A3390:C3392 A3464:B3464 A3441:C3443 A8690:B8690 A8663:C8666 A3515:B3515 A3492:C3494 A3566:B3566 A3543:C3545 A5508:B5508 A5485:C5487 A5559:B5559 A5536:C5538 A5611:B5611 A5588:C5590 A7641:B7641 A7617:C7620 A7693:B7693 A7669:C7672 A6961:B6961 A6937:C6940 A7013:B7013 A6989:C6992 A7065:B7065 A7041:C7044 A7117:B7117 A7093:C7096 A7169:B7169 A7145:C7148 A7221:B7221 A7197:C7200 A7273:B7273 A7249:C7252 A7325:B7325 A7301:C7304 A7377:B7377 A7353:C7356 A7429:B7429 A7405:C7408 A7481:B7481 A7457:C7460 A7588:B7588 A7564:C7567 A9595:B9595 A9571:C9574 A3617:B3617 A3594:C3596 A3668:B3668 A3645:C3647 A3719:B3719 A3696:C3698 A3770:B3770 A3747:C3749 A8745:B8745 A8718:C8721 A8800:B8800 A8773:C8776 A9068:B9068 A9041:C9044 A5662:B5662 A5639:C5641 A3821:B3821 A3798:C3800 A3872:B3872 A3849:C3851 A5713:B5713 A5690:C5692 A7533:B7533 A7509:C7512 A3923:B3923 A3900:C3902 A9647:B9647 A9623:C9626 A9699:B9699 A9675:C9678 A9751:B9751 A9727:C9730 A9803:B9803 A9779:C9782 A3974:B3974 A3951:C3953 A4025:B4025 A4002:C4004 A4076:B4076 A4053:C4055 A4127:B4127 A4104:C4106 A4178:B4178 A4155:C4157 A4229:B4229 A4206:C4208 A5764:B5764 A5741:C5743 A7746:B7746 A7722:C7725 A7799:B7799 A7775:C7778 A7851:B7851 A7827:C7830 A7903:B7903 A7879:C7882 A7955:B7955 A7931:C7934 A8007:B8007 A7983:C7986 A8059:B8059 A8035:C8038 A8111:B8111 A8087:C8090 A8163:B8163 A8139:C8142 A8215:B8215 A8191:C8194 A9855:B9855 A9831:C9834 A8855:B8855 A8828:C8831 A8902:B8902 A8883:C8886 A4280:B4280 A4257:C4259 A5815:B5815 A5792:C5794 A5866:B5866 A5843:C5845 A8267:B8267 A8243:C8246 A8319:B8319 A8295:C8298 A4331:B4331 A4308:C4310</xm:sqref>
        </x14:dataValidation>
        <x14:dataValidation type="list" allowBlank="1" showDropDown="1" showInputMessage="1" showErrorMessage="1" xr:uid="{00000000-0002-0000-0200-000001000000}">
          <x14:formula1>
            <xm:f>'Mano Obra'!$B:$B</xm:f>
          </x14:formula1>
          <xm:sqref>A42:B44 A94:B96 A145:B147 A196:B198 A247:B249 A298:B300 A349:B351 A400:B402 A451:B453 A502:B504 A4388:B4390 A4439:B4441 A4490:B4492 A554:B556 A605:B607 A656:B658 A707:B709 A758:B760 A809:B811 A4541:B4543 A4592:B4594 A4644:B4646 A5925:B5927 A5977:B5979 A6029:B6031 A6081:B6083 A6133:B6135 A6185:B6187 A6237:B6239 A6289:B6291 A8380:B8382 A8962:B8964 A9127:B9129 A9179:B9181 A9017:B9019 A861:B863 A1120:B1122 A912:B914 A963:B965 A1014:B1016 A1065:B1067 A1171:B1173 A1222:B1224 A1273:B1275 A1324:B1326 A1375:B1377 A1426:B1428 A1477:B1479 A1528:B1530 A1579:B1581 A1630:B1632 A1681:B1683 A1733:B1735 A1784:B1786 A4695:B4697 A4746:B4748 A4797:B4799 A6341:B6343 A6392:B6394 A6444:B6446 A6496:B6498 A6548:B6550 A9286:B9288 A9338:B9340 A9390:B9392 A9443:B9445 A9495:B9497 A9547:B9549 A1835:B1837 A1886:B1888 A1937:B1939 A1988:B1990 A2039:B2041 A2090:B2092 A2141:B2143 A2192:B2194 A2244:B2246 A9231:B9233 A8427:B8429 A8474:B8476 A2295:B2297 A2346:B2348 A2397:B2399 A2448:B2450 A4848:B4850 A4899:B4901 A4950:B4952 A6600:B6602 A6652:B6654 A6704:B6706 A8529:B8531 A8584:B8586 A8639:B8641 A2499:B2501 A2550:B2552 A5001:B5003 A5052:B5054 A6756:B6758 A6809:B6811 A5103:B5105 A5154:B5156 A2601:B2603 A5256:B5258 A5307:B5309 A5358:B5360 A2652:B2654 A2703:B2705 A2754:B2756 A2805:B2807 A2856:B2858 A2907:B2909 A2958:B2960 A3009:B3011 A3060:B3062 A3111:B3113 A3162:B3164 A3213:B3215 A3264:B3266 A3315:B3317 A5410:B5412 A5461:B5463 A6861:B6863 A6913:B6915 A3366:B3368 A3417:B3419 A3468:B3470 A8694:B8696 A3519:B3521 A3570:B3572 A5512:B5514 A5563:B5565 A5615:B5617 A7645:B7647 A7697:B7699 A6965:B6967 A7017:B7019 A7069:B7071 A7121:B7123 A7173:B7175 A7225:B7227 A7277:B7279 A7329:B7331 A7381:B7383 A7433:B7435 A7485:B7487 A7592:B7594 A9599:B9601 A3621:B3623 A3672:B3674 A3723:B3725 A3774:B3776 A8749:B8751 A8804:B8806 A9072:B9074 A5666:B5668 A3825:B3827 A3876:B3878 A5717:B5719 A7537:B7539 A3927:B3929 A9651:B9653 A9703:B9705 A9755:B9757 A9807:B9809 A3978:B3980 A4029:B4031 A4080:B4082 A4131:B4133 A4182:B4184 A4233:B4235 A5768:B5770 A7750:B7752 A7803:B7805 A7855:B7857 A7907:B7909 A7959:B7961 A8011:B8013 A8063:B8065 A8115:B8117 A8167:B8169 A8219:B8221 A9859:B9861 A8859:B8861 A8906:B8908 A4284:B4286 A5819:B5821 A5870:B5872 A8271:B8273 A8323:B8325 A4335:B4337</xm:sqref>
        </x14:dataValidation>
        <x14:dataValidation type="list" allowBlank="1" showDropDown="1" showInputMessage="1" showErrorMessage="1" xr:uid="{00000000-0002-0000-0200-000002000000}">
          <x14:formula1>
            <xm:f>'C:\Users\anavarro\Desktop\AGM Desarrollos\Construccion\Ucaps\Mompox\[PROPUESTA UCAPS MOMPOX-2.xlsm]Materiales '!#REF!</xm:f>
          </x14:formula1>
          <xm:sqref>A5184:B5197</xm:sqref>
        </x14:dataValidation>
        <x14:dataValidation type="list" allowBlank="1" showDropDown="1" showInputMessage="1" showErrorMessage="1" xr:uid="{00000000-0002-0000-0200-000003000000}">
          <x14:formula1>
            <xm:f>'C:\Users\anavarro\Desktop\AGM Desarrollos\Construccion\Ucaps\Mompox\[PROPUESTA UCAPS MOMPOX-2.xlsm]Mano Obra'!#REF!</xm:f>
          </x14:formula1>
          <xm:sqref>A5205:B5207</xm:sqref>
        </x14:dataValidation>
        <x14:dataValidation type="list" allowBlank="1" showDropDown="1" showInputMessage="1" showErrorMessage="1" xr:uid="{00000000-0002-0000-0200-000004000000}">
          <x14:formula1>
            <xm:f>'C:\Users\anavarro\Desktop\AGM Desarrollos\Construccion\Ucaps\Mompox\[PROPUESTA UCAPS MOMPOX-2.xlsm]Equip, Herr y Transp'!#REF!</xm:f>
          </x14:formula1>
          <xm:sqref>A5201:B5201 A5178:C5180</xm:sqref>
        </x14:dataValidation>
        <x14:dataValidation type="list" allowBlank="1" showDropDown="1" showInputMessage="1" showErrorMessage="1" xr:uid="{00000000-0002-0000-0200-000005000000}">
          <x14:formula1>
            <xm:f>'Materiales '!$C:$C</xm:f>
          </x14:formula1>
          <xm:sqref>A21:B34 A8890:B8898 A9838:B9851 A8198:B8211 A8146:B8159 A8094:B8107 A8042:B8055 A7990:B8003 A7938:B7951 A7886:B7899 A7834:B7847 A7782:B7795 A5747:B5760 A4212:B4225 A4161:B4174 A3906:B3919 A7516:B7529 A5645:B5658 A9048:B9064 A3753:B3766 A3702:B3715 A3651:B3664 A9578:B9591 A7571:B7584 A7204:B7217 A7152:B7165 A7100:B7113 A7048:B7061 A6944:B6957 A7676:B7689 A7624:B7637 A3396:B3409 A3345:B3358 A6892:B6905 A6840:B6853 A5440:B5453 A5389:B5402 A3294:B3307 A5337:B5350 A5031:B5044 A8615:B8631 A8560:B8576 A8505:B8521 A6683:B6696 A6631:B6644 A6579:B6592 A2427:B2440 A2376:B2389 A2325:B2338 A2274:B2287 A2069:B2082 A1814:B1827 A9526:B9539 A9422:B9435 A9369:B9382 A9317:B9330 A6475:B6488 A6423:B6436 A4776:B4789 A4674:B4687 A1763:B1776 A1712:B1725 A1660:B1673 A1609:B1622 A1558:B1571 A1507:B1520 A1456:B1469 A1405:B1418 A1354:B1367 A1303:B1316 A1252:B1265 A1201:B1214 A1150:B1163 A1044:B1057 A993:B1006 A942:B955 A891:B904 A1099:B1112 A840:B853 A6008:B6021 A4571:B4584 A4520:B4533 A788:B801 A737:B750 A686:B699 A533:B546 A4367:B4380 A481:B494 A430:B443 A379:B392 A328:B341 A277:B290 A226:B239 A175:B188 A124:B137 A73:B86 A4418:B4431 A4469:B4482 A584:B597 A635:B648 A4623:B4636 A5904:B5917 A5956:B5969 A6060:B6073 A6112:B6125 A6164:B6177 A6216:B6229 A6268:B6281 A8356:B8372 A8938:B8954 A9106:B9119 A9158:B9171 A8993:B9009 A4725:B4738 A6320:B6333 A6371:B6384 A6527:B6540 A9265:B9278 A9474:B9487 A1865:B1878 A1916:B1929 A1967:B1980 A2018:B2031 A2120:B2133 A2171:B2184 A2223:B2236 A9210:B9223 A8411:B8419 A8458:B8466 A4827:B4840 A4878:B4891 A4929:B4942 A2478:B2491 A2529:B2542 A4980:B4993 A6735:B6748 A6788:B6801 A5082:B5095 A5133:B5146 A2580:B2593 A5235:B5248 A5286:B5299 A2631:B2644 A2682:B2695 A2733:B2746 A2784:B2797 A2835:B2848 A2886:B2899 A2937:B2950 A2988:B3001 A3039:B3052 A3090:B3103 A3141:B3154 A3192:B3205 A3243:B3256 A3447:B3460 A8670:B8686 A3498:B3511 A3549:B3562 A5491:B5504 A5542:B5555 A5594:B5607 A6996:B7009 A7256:B7269 A7308:B7321 A7360:B7373 A7412:B7425 A7464:B7477 A3600:B3613 A8725:B8741 A8780:B8796 A3804:B3817 A3855:B3868 A5696:B5709 A9630:B9643 A9682:B9695 A9734:B9747 A9786:B9799 A3957:B3970 A4008:B4021 A4059:B4072 A4110:B4123 A7729:B7742 A8835:B8851 A4263:B4276 A5798:B5811 A5849:B5862 A8250:B8263 A8302:B8315 A4314:B4327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tabColor rgb="FFFF0000"/>
  </sheetPr>
  <dimension ref="B1:L1202"/>
  <sheetViews>
    <sheetView showGridLines="0" zoomScale="80" zoomScaleNormal="80" workbookViewId="0">
      <pane ySplit="1" topLeftCell="A230" activePane="bottomLeft" state="frozen"/>
      <selection activeCell="A1696" sqref="A1696:G1696"/>
      <selection pane="bottomLeft" activeCell="G270" sqref="G270"/>
    </sheetView>
  </sheetViews>
  <sheetFormatPr baseColWidth="10" defaultColWidth="11.42578125" defaultRowHeight="15"/>
  <cols>
    <col min="1" max="2" width="11.42578125" style="123"/>
    <col min="3" max="3" width="72.85546875" style="305" customWidth="1"/>
    <col min="4" max="4" width="12" style="123" customWidth="1"/>
    <col min="5" max="5" width="9.5703125" style="123" customWidth="1"/>
    <col min="6" max="6" width="17.7109375" style="123" customWidth="1"/>
    <col min="7" max="7" width="17.28515625" style="234" customWidth="1"/>
    <col min="8" max="8" width="11.42578125" style="123"/>
    <col min="9" max="9" width="16.42578125" style="234" customWidth="1"/>
    <col min="10" max="10" width="11.42578125" style="123"/>
    <col min="11" max="11" width="15.7109375" style="234" customWidth="1"/>
    <col min="12" max="12" width="18.5703125" style="123" customWidth="1"/>
    <col min="13" max="16384" width="11.42578125" style="123"/>
  </cols>
  <sheetData>
    <row r="1" spans="2:12">
      <c r="B1" s="127" t="s">
        <v>6</v>
      </c>
      <c r="C1" s="127" t="s">
        <v>7</v>
      </c>
      <c r="D1" s="13" t="s">
        <v>4606</v>
      </c>
      <c r="E1" s="127" t="s">
        <v>0</v>
      </c>
      <c r="F1" s="127" t="s">
        <v>2</v>
      </c>
      <c r="G1" s="242" t="s">
        <v>4209</v>
      </c>
      <c r="H1" s="127" t="s">
        <v>4210</v>
      </c>
      <c r="I1" s="242" t="s">
        <v>4213</v>
      </c>
      <c r="J1" s="127" t="s">
        <v>4211</v>
      </c>
      <c r="K1" s="242" t="s">
        <v>4212</v>
      </c>
      <c r="L1" s="127" t="s">
        <v>4242</v>
      </c>
    </row>
    <row r="2" spans="2:12">
      <c r="B2" s="237" t="s">
        <v>8</v>
      </c>
      <c r="C2" s="241" t="s">
        <v>8</v>
      </c>
      <c r="D2" s="124" t="s">
        <v>8</v>
      </c>
      <c r="E2" s="124" t="s">
        <v>8</v>
      </c>
      <c r="F2" s="240">
        <v>0</v>
      </c>
    </row>
    <row r="3" spans="2:12">
      <c r="B3" s="238">
        <v>1</v>
      </c>
      <c r="C3" s="382" t="s">
        <v>4417</v>
      </c>
      <c r="D3" s="383">
        <v>148</v>
      </c>
      <c r="E3" s="1" t="s">
        <v>4128</v>
      </c>
      <c r="F3" s="243">
        <f t="shared" ref="F3:F85" si="0">K3</f>
        <v>3213</v>
      </c>
      <c r="G3" s="235">
        <v>2250</v>
      </c>
      <c r="H3" s="125">
        <v>1.19</v>
      </c>
      <c r="I3" s="56">
        <f>H3*G3</f>
        <v>2677.5</v>
      </c>
      <c r="J3" s="125">
        <v>1.2</v>
      </c>
      <c r="K3" s="235">
        <f t="shared" ref="K3:K82" si="1">J3*I3</f>
        <v>3213</v>
      </c>
      <c r="L3" s="123">
        <f ca="1">SUMIF(APU!A:B,'Materiales '!C5,APU!I:I)</f>
        <v>0</v>
      </c>
    </row>
    <row r="4" spans="2:12">
      <c r="B4" s="238">
        <f>B3+1</f>
        <v>2</v>
      </c>
      <c r="C4" s="382" t="s">
        <v>4418</v>
      </c>
      <c r="D4" s="383">
        <v>151</v>
      </c>
      <c r="E4" s="1" t="s">
        <v>4128</v>
      </c>
      <c r="F4" s="243">
        <f t="shared" si="0"/>
        <v>0</v>
      </c>
      <c r="G4" s="235">
        <v>0</v>
      </c>
      <c r="H4" s="125">
        <v>1.19</v>
      </c>
      <c r="I4" s="56">
        <f t="shared" ref="I4:I83" si="2">H4*G4</f>
        <v>0</v>
      </c>
      <c r="J4" s="125">
        <v>1.2</v>
      </c>
      <c r="K4" s="235">
        <f t="shared" si="1"/>
        <v>0</v>
      </c>
    </row>
    <row r="5" spans="2:12">
      <c r="B5" s="238">
        <f t="shared" ref="B5:B87" si="3">B4+1</f>
        <v>3</v>
      </c>
      <c r="C5" s="382" t="s">
        <v>4419</v>
      </c>
      <c r="D5" s="383">
        <v>153</v>
      </c>
      <c r="E5" s="1" t="s">
        <v>4128</v>
      </c>
      <c r="F5" s="243">
        <f t="shared" si="0"/>
        <v>64260</v>
      </c>
      <c r="G5" s="235">
        <v>45000</v>
      </c>
      <c r="H5" s="125">
        <v>1.19</v>
      </c>
      <c r="I5" s="56">
        <f t="shared" si="2"/>
        <v>53550</v>
      </c>
      <c r="J5" s="125">
        <v>1.2</v>
      </c>
      <c r="K5" s="235">
        <f t="shared" si="1"/>
        <v>64260</v>
      </c>
    </row>
    <row r="6" spans="2:12">
      <c r="B6" s="238">
        <f t="shared" si="3"/>
        <v>4</v>
      </c>
      <c r="C6" s="382" t="s">
        <v>4420</v>
      </c>
      <c r="D6" s="383">
        <v>156</v>
      </c>
      <c r="E6" s="1" t="s">
        <v>4128</v>
      </c>
      <c r="F6" s="243">
        <f t="shared" si="0"/>
        <v>9147.7679999999982</v>
      </c>
      <c r="G6" s="235">
        <v>6406</v>
      </c>
      <c r="H6" s="125">
        <v>1.19</v>
      </c>
      <c r="I6" s="56">
        <f t="shared" si="2"/>
        <v>7623.1399999999994</v>
      </c>
      <c r="J6" s="125">
        <v>1.2</v>
      </c>
      <c r="K6" s="235">
        <f t="shared" si="1"/>
        <v>9147.7679999999982</v>
      </c>
      <c r="L6" s="123">
        <f ca="1">SUMIF(APU!A:B,'Materiales '!C10,APU!I:I)</f>
        <v>0</v>
      </c>
    </row>
    <row r="7" spans="2:12">
      <c r="B7" s="238">
        <f t="shared" si="3"/>
        <v>5</v>
      </c>
      <c r="C7" s="384" t="s">
        <v>4421</v>
      </c>
      <c r="D7" s="383">
        <v>10165</v>
      </c>
      <c r="E7" s="1" t="s">
        <v>4128</v>
      </c>
      <c r="F7" s="243">
        <f t="shared" si="0"/>
        <v>0</v>
      </c>
      <c r="G7" s="235">
        <v>0</v>
      </c>
      <c r="H7" s="125">
        <v>1.19</v>
      </c>
      <c r="I7" s="56">
        <f t="shared" si="2"/>
        <v>0</v>
      </c>
      <c r="J7" s="125">
        <v>1.2</v>
      </c>
      <c r="K7" s="235">
        <f t="shared" si="1"/>
        <v>0</v>
      </c>
      <c r="L7" s="123">
        <f ca="1">SUMIF(APU!A:B,'Materiales '!C6,APU!I:I)</f>
        <v>0</v>
      </c>
    </row>
    <row r="8" spans="2:12">
      <c r="B8" s="238">
        <f t="shared" si="3"/>
        <v>6</v>
      </c>
      <c r="C8" s="384" t="s">
        <v>4422</v>
      </c>
      <c r="D8" s="383">
        <v>176</v>
      </c>
      <c r="E8" s="1" t="s">
        <v>4128</v>
      </c>
      <c r="F8" s="243">
        <f t="shared" si="0"/>
        <v>0</v>
      </c>
      <c r="G8" s="235">
        <v>0</v>
      </c>
      <c r="H8" s="125">
        <v>1.19</v>
      </c>
      <c r="I8" s="56">
        <f t="shared" si="2"/>
        <v>0</v>
      </c>
      <c r="J8" s="125">
        <v>1.2</v>
      </c>
      <c r="K8" s="235">
        <f t="shared" si="1"/>
        <v>0</v>
      </c>
      <c r="L8" s="123">
        <f ca="1">SUMIF(APU!A:B,'Materiales '!C8,APU!I:I)</f>
        <v>0</v>
      </c>
    </row>
    <row r="9" spans="2:12">
      <c r="B9" s="238">
        <f t="shared" si="3"/>
        <v>7</v>
      </c>
      <c r="C9" s="384" t="s">
        <v>4423</v>
      </c>
      <c r="D9" s="383">
        <v>9614</v>
      </c>
      <c r="E9" s="1" t="s">
        <v>4128</v>
      </c>
      <c r="F9" s="243">
        <f t="shared" si="0"/>
        <v>2284.7999999999997</v>
      </c>
      <c r="G9" s="235">
        <v>1600</v>
      </c>
      <c r="H9" s="125">
        <v>1.19</v>
      </c>
      <c r="I9" s="56">
        <f t="shared" si="2"/>
        <v>1904</v>
      </c>
      <c r="J9" s="125">
        <v>1.2</v>
      </c>
      <c r="K9" s="235">
        <f t="shared" si="1"/>
        <v>2284.7999999999997</v>
      </c>
      <c r="L9" s="123">
        <f ca="1">SUMIF(APU!A:B,'Materiales '!C9,APU!I:I)</f>
        <v>0</v>
      </c>
    </row>
    <row r="10" spans="2:12">
      <c r="B10" s="238">
        <f t="shared" si="3"/>
        <v>8</v>
      </c>
      <c r="C10" s="384" t="s">
        <v>4424</v>
      </c>
      <c r="D10" s="383">
        <v>8809</v>
      </c>
      <c r="E10" s="1" t="s">
        <v>4128</v>
      </c>
      <c r="F10" s="243">
        <f t="shared" si="0"/>
        <v>66.002159999999989</v>
      </c>
      <c r="G10" s="235">
        <v>46.22</v>
      </c>
      <c r="H10" s="125">
        <v>1.19</v>
      </c>
      <c r="I10" s="56">
        <f t="shared" si="2"/>
        <v>55.001799999999996</v>
      </c>
      <c r="J10" s="125">
        <v>1.2</v>
      </c>
      <c r="K10" s="235">
        <f t="shared" si="1"/>
        <v>66.002159999999989</v>
      </c>
      <c r="L10" s="123">
        <f ca="1">SUMIF(APU!A:B,'Materiales '!C7,APU!I:I)</f>
        <v>0</v>
      </c>
    </row>
    <row r="11" spans="2:12">
      <c r="B11" s="238">
        <f t="shared" si="3"/>
        <v>9</v>
      </c>
      <c r="C11" s="384" t="s">
        <v>4425</v>
      </c>
      <c r="D11" s="383">
        <v>9647</v>
      </c>
      <c r="E11" s="1" t="s">
        <v>4128</v>
      </c>
      <c r="F11" s="243">
        <f t="shared" si="0"/>
        <v>97.103999999999999</v>
      </c>
      <c r="G11" s="235">
        <v>68</v>
      </c>
      <c r="H11" s="125">
        <v>1.19</v>
      </c>
      <c r="I11" s="56">
        <f t="shared" si="2"/>
        <v>80.92</v>
      </c>
      <c r="J11" s="125">
        <v>1.2</v>
      </c>
      <c r="K11" s="235">
        <f t="shared" si="1"/>
        <v>97.103999999999999</v>
      </c>
      <c r="L11" s="123">
        <f ca="1">SUMIF(APU!A:B,'Materiales '!C11,APU!I:I)</f>
        <v>0</v>
      </c>
    </row>
    <row r="12" spans="2:12">
      <c r="B12" s="238">
        <f t="shared" si="3"/>
        <v>10</v>
      </c>
      <c r="C12" s="384" t="s">
        <v>4426</v>
      </c>
      <c r="D12" s="383">
        <v>8808</v>
      </c>
      <c r="E12" s="1" t="s">
        <v>4128</v>
      </c>
      <c r="F12" s="243">
        <f t="shared" si="0"/>
        <v>116.99603999999999</v>
      </c>
      <c r="G12" s="235">
        <v>81.93</v>
      </c>
      <c r="H12" s="125">
        <v>1.19</v>
      </c>
      <c r="I12" s="56">
        <f t="shared" si="2"/>
        <v>97.496700000000004</v>
      </c>
      <c r="J12" s="125">
        <v>1.2</v>
      </c>
      <c r="K12" s="235">
        <f t="shared" si="1"/>
        <v>116.99603999999999</v>
      </c>
      <c r="L12" s="123">
        <f ca="1">SUMIF(APU!A:B,'Materiales '!C12,APU!I:I)</f>
        <v>0</v>
      </c>
    </row>
    <row r="13" spans="2:12">
      <c r="B13" s="238">
        <f t="shared" si="3"/>
        <v>11</v>
      </c>
      <c r="C13" s="384" t="s">
        <v>4427</v>
      </c>
      <c r="D13" s="383">
        <v>4279</v>
      </c>
      <c r="E13" s="1" t="s">
        <v>4128</v>
      </c>
      <c r="F13" s="243">
        <f t="shared" si="0"/>
        <v>320.97155999999995</v>
      </c>
      <c r="G13" s="235">
        <v>224.77</v>
      </c>
      <c r="H13" s="125">
        <v>1.19</v>
      </c>
      <c r="I13" s="56">
        <f t="shared" si="2"/>
        <v>267.47629999999998</v>
      </c>
      <c r="J13" s="125">
        <v>1.2</v>
      </c>
      <c r="K13" s="235">
        <f t="shared" si="1"/>
        <v>320.97155999999995</v>
      </c>
      <c r="L13" s="123">
        <f ca="1">SUMIF(APU!A:B,'Materiales '!C13,APU!I:I)</f>
        <v>0</v>
      </c>
    </row>
    <row r="14" spans="2:12">
      <c r="B14" s="238">
        <f t="shared" si="3"/>
        <v>12</v>
      </c>
      <c r="C14" s="384" t="s">
        <v>4428</v>
      </c>
      <c r="D14" s="383">
        <v>4280</v>
      </c>
      <c r="E14" s="1" t="s">
        <v>4128</v>
      </c>
      <c r="F14" s="243">
        <f t="shared" si="0"/>
        <v>214.2</v>
      </c>
      <c r="G14" s="235">
        <v>150</v>
      </c>
      <c r="H14" s="125">
        <v>1.19</v>
      </c>
      <c r="I14" s="56">
        <f t="shared" si="2"/>
        <v>178.5</v>
      </c>
      <c r="J14" s="125">
        <v>1.2</v>
      </c>
      <c r="K14" s="235">
        <f t="shared" si="1"/>
        <v>214.2</v>
      </c>
      <c r="L14" s="123">
        <f ca="1">SUMIF(APU!A:B,'Materiales '!C14,APU!I:I)</f>
        <v>0</v>
      </c>
    </row>
    <row r="15" spans="2:12">
      <c r="B15" s="238">
        <f t="shared" si="3"/>
        <v>13</v>
      </c>
      <c r="C15" s="384" t="s">
        <v>289</v>
      </c>
      <c r="D15" s="383">
        <v>4286</v>
      </c>
      <c r="E15" s="1" t="s">
        <v>4128</v>
      </c>
      <c r="F15" s="243">
        <f t="shared" si="0"/>
        <v>339.30707999999998</v>
      </c>
      <c r="G15" s="235">
        <v>237.61</v>
      </c>
      <c r="H15" s="125">
        <v>1.19</v>
      </c>
      <c r="I15" s="56">
        <f t="shared" si="2"/>
        <v>282.7559</v>
      </c>
      <c r="J15" s="125">
        <v>1.2</v>
      </c>
      <c r="K15" s="235">
        <f t="shared" si="1"/>
        <v>339.30707999999998</v>
      </c>
      <c r="L15" s="123">
        <f ca="1">SUMIF(APU!A:B,'Materiales '!C15,APU!I:I)</f>
        <v>0</v>
      </c>
    </row>
    <row r="16" spans="2:12">
      <c r="B16" s="238">
        <f t="shared" si="3"/>
        <v>14</v>
      </c>
      <c r="C16" s="384" t="s">
        <v>4429</v>
      </c>
      <c r="D16" s="383">
        <v>288</v>
      </c>
      <c r="E16" s="1" t="s">
        <v>4128</v>
      </c>
      <c r="F16" s="243">
        <f t="shared" si="0"/>
        <v>1142.3999999999999</v>
      </c>
      <c r="G16" s="235">
        <v>800</v>
      </c>
      <c r="H16" s="125">
        <v>1.19</v>
      </c>
      <c r="I16" s="56">
        <f t="shared" si="2"/>
        <v>952</v>
      </c>
      <c r="J16" s="125">
        <v>1.2</v>
      </c>
      <c r="K16" s="235">
        <f t="shared" si="1"/>
        <v>1142.3999999999999</v>
      </c>
      <c r="L16" s="123">
        <f ca="1">SUMIF(APU!A:B,'Materiales '!C16,APU!I:I)</f>
        <v>0</v>
      </c>
    </row>
    <row r="17" spans="2:12">
      <c r="B17" s="238">
        <f t="shared" si="3"/>
        <v>15</v>
      </c>
      <c r="C17" s="384" t="s">
        <v>4430</v>
      </c>
      <c r="D17" s="383">
        <v>4297</v>
      </c>
      <c r="E17" s="1" t="s">
        <v>4128</v>
      </c>
      <c r="F17" s="243">
        <f t="shared" si="0"/>
        <v>394.77059999999994</v>
      </c>
      <c r="G17" s="235">
        <v>276.45</v>
      </c>
      <c r="H17" s="125">
        <v>1.19</v>
      </c>
      <c r="I17" s="56">
        <f t="shared" si="2"/>
        <v>328.97549999999995</v>
      </c>
      <c r="J17" s="125">
        <v>1.2</v>
      </c>
      <c r="K17" s="235">
        <f t="shared" si="1"/>
        <v>394.77059999999994</v>
      </c>
      <c r="L17" s="123">
        <f ca="1">SUMIF(APU!A:B,'Materiales '!C17,APU!I:I)</f>
        <v>0</v>
      </c>
    </row>
    <row r="18" spans="2:12">
      <c r="B18" s="238">
        <f t="shared" si="3"/>
        <v>16</v>
      </c>
      <c r="C18" s="384" t="s">
        <v>4431</v>
      </c>
      <c r="D18" s="383">
        <v>272</v>
      </c>
      <c r="E18" s="1" t="s">
        <v>4128</v>
      </c>
      <c r="F18" s="243">
        <f t="shared" si="0"/>
        <v>886.78800000000001</v>
      </c>
      <c r="G18" s="235">
        <v>621</v>
      </c>
      <c r="H18" s="125">
        <v>1.19</v>
      </c>
      <c r="I18" s="56">
        <f t="shared" si="2"/>
        <v>738.99</v>
      </c>
      <c r="J18" s="125">
        <v>1.2</v>
      </c>
      <c r="K18" s="235">
        <f t="shared" si="1"/>
        <v>886.78800000000001</v>
      </c>
      <c r="L18" s="123">
        <f ca="1">SUMIF(APU!A:B,'Materiales '!C18,APU!I:I)</f>
        <v>0</v>
      </c>
    </row>
    <row r="19" spans="2:12">
      <c r="B19" s="238">
        <f t="shared" si="3"/>
        <v>17</v>
      </c>
      <c r="C19" s="384" t="s">
        <v>4432</v>
      </c>
      <c r="D19" s="383">
        <v>276</v>
      </c>
      <c r="E19" s="1" t="s">
        <v>4128</v>
      </c>
      <c r="F19" s="243">
        <f t="shared" si="0"/>
        <v>5185.0679999999993</v>
      </c>
      <c r="G19" s="244">
        <v>3631</v>
      </c>
      <c r="H19" s="125">
        <v>1.19</v>
      </c>
      <c r="I19" s="56">
        <f t="shared" si="2"/>
        <v>4320.8899999999994</v>
      </c>
      <c r="J19" s="125">
        <v>1.2</v>
      </c>
      <c r="K19" s="235">
        <f t="shared" si="1"/>
        <v>5185.0679999999993</v>
      </c>
      <c r="L19" s="123">
        <f ca="1">SUMIF(APU!A:B,'Materiales '!C19,APU!I:I)</f>
        <v>0</v>
      </c>
    </row>
    <row r="20" spans="2:12">
      <c r="B20" s="238">
        <f>B16+1</f>
        <v>15</v>
      </c>
      <c r="C20" s="384" t="s">
        <v>4812</v>
      </c>
      <c r="D20" s="383"/>
      <c r="E20" s="1" t="s">
        <v>4128</v>
      </c>
      <c r="F20" s="243">
        <f t="shared" ref="F20" si="4">K20</f>
        <v>260324.4</v>
      </c>
      <c r="G20" s="235">
        <v>182300</v>
      </c>
      <c r="H20" s="125">
        <v>1.19</v>
      </c>
      <c r="I20" s="56">
        <f t="shared" si="2"/>
        <v>216937</v>
      </c>
      <c r="J20" s="125">
        <v>1.2</v>
      </c>
      <c r="K20" s="235">
        <f t="shared" si="1"/>
        <v>260324.4</v>
      </c>
      <c r="L20" s="123">
        <f ca="1">SUMIF(APU!A:B,'Materiales '!C20,APU!I:I)</f>
        <v>0</v>
      </c>
    </row>
    <row r="21" spans="2:12">
      <c r="B21" s="238">
        <f>B17+1</f>
        <v>16</v>
      </c>
      <c r="C21" s="384" t="s">
        <v>4725</v>
      </c>
      <c r="D21" s="383"/>
      <c r="E21" s="1" t="s">
        <v>4128</v>
      </c>
      <c r="F21" s="243">
        <f t="shared" si="0"/>
        <v>235905.59999999998</v>
      </c>
      <c r="G21" s="235">
        <v>165200</v>
      </c>
      <c r="H21" s="125">
        <v>1.19</v>
      </c>
      <c r="I21" s="56">
        <f t="shared" ref="I21" si="5">H21*G21</f>
        <v>196588</v>
      </c>
      <c r="J21" s="125">
        <v>1.2</v>
      </c>
      <c r="K21" s="235">
        <f t="shared" ref="K21" si="6">J21*I21</f>
        <v>235905.59999999998</v>
      </c>
      <c r="L21" s="123">
        <f ca="1">SUMIF(APU!A:B,'Materiales '!C21,APU!I:I)</f>
        <v>0</v>
      </c>
    </row>
    <row r="22" spans="2:12">
      <c r="B22" s="238">
        <f>B18+1</f>
        <v>17</v>
      </c>
      <c r="C22" s="384" t="s">
        <v>4630</v>
      </c>
      <c r="D22" s="383">
        <v>6757</v>
      </c>
      <c r="E22" s="1" t="s">
        <v>4128</v>
      </c>
      <c r="F22" s="243">
        <f t="shared" ref="F22" si="7">K22</f>
        <v>178500</v>
      </c>
      <c r="G22" s="235">
        <v>125000</v>
      </c>
      <c r="H22" s="125">
        <v>1.19</v>
      </c>
      <c r="I22" s="56">
        <f t="shared" si="2"/>
        <v>148750</v>
      </c>
      <c r="J22" s="125">
        <v>1.2</v>
      </c>
      <c r="K22" s="235">
        <f t="shared" si="1"/>
        <v>178500</v>
      </c>
      <c r="L22" s="123">
        <f ca="1">SUMIF(APU!A:B,'Materiales '!C22,APU!I:I)</f>
        <v>0</v>
      </c>
    </row>
    <row r="23" spans="2:12">
      <c r="B23" s="238">
        <f>B19+1</f>
        <v>18</v>
      </c>
      <c r="C23" s="384" t="s">
        <v>4433</v>
      </c>
      <c r="D23" s="383">
        <v>372</v>
      </c>
      <c r="E23" s="1" t="s">
        <v>4128</v>
      </c>
      <c r="F23" s="243">
        <f t="shared" si="0"/>
        <v>5854.8</v>
      </c>
      <c r="G23" s="235">
        <v>4100</v>
      </c>
      <c r="H23" s="125">
        <v>1.19</v>
      </c>
      <c r="I23" s="56">
        <f t="shared" si="2"/>
        <v>4879</v>
      </c>
      <c r="J23" s="125">
        <v>1.2</v>
      </c>
      <c r="K23" s="235">
        <f t="shared" si="1"/>
        <v>5854.8</v>
      </c>
      <c r="L23" s="123">
        <f ca="1">SUMIF(APU!A:B,'Materiales '!C23,APU!I:I)</f>
        <v>0</v>
      </c>
    </row>
    <row r="24" spans="2:12">
      <c r="B24" s="238">
        <f t="shared" si="3"/>
        <v>19</v>
      </c>
      <c r="C24" s="384" t="s">
        <v>4434</v>
      </c>
      <c r="D24" s="383">
        <v>10267</v>
      </c>
      <c r="E24" s="1" t="s">
        <v>4128</v>
      </c>
      <c r="F24" s="243">
        <f t="shared" si="0"/>
        <v>21420</v>
      </c>
      <c r="G24" s="235">
        <v>15000</v>
      </c>
      <c r="H24" s="125">
        <v>1.19</v>
      </c>
      <c r="I24" s="56">
        <f t="shared" si="2"/>
        <v>17850</v>
      </c>
      <c r="J24" s="125">
        <v>1.2</v>
      </c>
      <c r="K24" s="235">
        <f t="shared" si="1"/>
        <v>21420</v>
      </c>
      <c r="L24" s="123">
        <f ca="1">SUMIF(APU!A:B,'Materiales '!C24,APU!I:I)</f>
        <v>0</v>
      </c>
    </row>
    <row r="25" spans="2:12">
      <c r="B25" s="238">
        <f t="shared" si="3"/>
        <v>20</v>
      </c>
      <c r="C25" s="384" t="s">
        <v>4435</v>
      </c>
      <c r="D25" s="383">
        <v>7173</v>
      </c>
      <c r="E25" s="1" t="s">
        <v>4128</v>
      </c>
      <c r="F25" s="243">
        <f t="shared" si="0"/>
        <v>122808</v>
      </c>
      <c r="G25" s="235">
        <v>86000</v>
      </c>
      <c r="H25" s="125">
        <v>1.19</v>
      </c>
      <c r="I25" s="56">
        <f t="shared" si="2"/>
        <v>102340</v>
      </c>
      <c r="J25" s="125">
        <v>1.2</v>
      </c>
      <c r="K25" s="235">
        <f t="shared" si="1"/>
        <v>122808</v>
      </c>
      <c r="L25" s="123">
        <f ca="1">SUMIF(APU!A:B,'Materiales '!C25,APU!I:I)</f>
        <v>0</v>
      </c>
    </row>
    <row r="26" spans="2:12">
      <c r="B26" s="238">
        <f t="shared" si="3"/>
        <v>21</v>
      </c>
      <c r="C26" s="384" t="s">
        <v>4436</v>
      </c>
      <c r="D26" s="383">
        <v>7172</v>
      </c>
      <c r="E26" s="1" t="s">
        <v>4128</v>
      </c>
      <c r="F26" s="243">
        <f t="shared" si="0"/>
        <v>92820</v>
      </c>
      <c r="G26" s="235">
        <v>65000</v>
      </c>
      <c r="H26" s="125">
        <v>1.19</v>
      </c>
      <c r="I26" s="56">
        <f t="shared" si="2"/>
        <v>77350</v>
      </c>
      <c r="J26" s="125">
        <v>1.2</v>
      </c>
      <c r="K26" s="235">
        <f t="shared" si="1"/>
        <v>92820</v>
      </c>
      <c r="L26" s="123">
        <f ca="1">SUMIF(APU!A:B,'Materiales '!C26,APU!I:I)</f>
        <v>2</v>
      </c>
    </row>
    <row r="27" spans="2:12">
      <c r="B27" s="238">
        <f t="shared" si="3"/>
        <v>22</v>
      </c>
      <c r="C27" s="384" t="s">
        <v>4437</v>
      </c>
      <c r="D27" s="383">
        <v>10168</v>
      </c>
      <c r="E27" s="1" t="s">
        <v>4128</v>
      </c>
      <c r="F27" s="243">
        <f t="shared" si="0"/>
        <v>92820</v>
      </c>
      <c r="G27" s="235">
        <v>65000</v>
      </c>
      <c r="H27" s="125">
        <v>1.19</v>
      </c>
      <c r="I27" s="56">
        <f t="shared" si="2"/>
        <v>77350</v>
      </c>
      <c r="J27" s="125">
        <v>1.2</v>
      </c>
      <c r="K27" s="235">
        <f t="shared" si="1"/>
        <v>92820</v>
      </c>
      <c r="L27" s="123">
        <f ca="1">SUMIF(APU!A:B,'Materiales '!C27,APU!I:I)</f>
        <v>0</v>
      </c>
    </row>
    <row r="28" spans="2:12">
      <c r="B28" s="238">
        <f t="shared" si="3"/>
        <v>23</v>
      </c>
      <c r="C28" s="382" t="s">
        <v>4438</v>
      </c>
      <c r="D28" s="383">
        <v>710</v>
      </c>
      <c r="E28" s="1" t="s">
        <v>170</v>
      </c>
      <c r="F28" s="243">
        <f t="shared" si="0"/>
        <v>6447.4199999999992</v>
      </c>
      <c r="G28" s="235">
        <v>4515</v>
      </c>
      <c r="H28" s="125">
        <v>1.19</v>
      </c>
      <c r="I28" s="56">
        <f t="shared" si="2"/>
        <v>5372.8499999999995</v>
      </c>
      <c r="J28" s="125">
        <v>1.2</v>
      </c>
      <c r="K28" s="235">
        <f t="shared" si="1"/>
        <v>6447.4199999999992</v>
      </c>
      <c r="L28" s="123">
        <f ca="1">SUMIF(APU!A:B,'Materiales '!C28,APU!I:I)</f>
        <v>0</v>
      </c>
    </row>
    <row r="29" spans="2:12">
      <c r="B29" s="238">
        <f t="shared" si="3"/>
        <v>24</v>
      </c>
      <c r="C29" s="382" t="s">
        <v>4439</v>
      </c>
      <c r="D29" s="383">
        <v>10169</v>
      </c>
      <c r="E29" s="1" t="s">
        <v>170</v>
      </c>
      <c r="F29" s="243">
        <f t="shared" si="0"/>
        <v>2381.9039999999995</v>
      </c>
      <c r="G29" s="235">
        <v>1668</v>
      </c>
      <c r="H29" s="125">
        <v>1.19</v>
      </c>
      <c r="I29" s="56">
        <f t="shared" si="2"/>
        <v>1984.9199999999998</v>
      </c>
      <c r="J29" s="125">
        <v>1.2</v>
      </c>
      <c r="K29" s="235">
        <f t="shared" si="1"/>
        <v>2381.9039999999995</v>
      </c>
      <c r="L29" s="123">
        <f ca="1">SUMIF(APU!A:B,'Materiales '!C29,APU!I:I)</f>
        <v>0</v>
      </c>
    </row>
    <row r="30" spans="2:12">
      <c r="B30" s="238">
        <f t="shared" si="3"/>
        <v>25</v>
      </c>
      <c r="C30" s="382" t="s">
        <v>4440</v>
      </c>
      <c r="D30" s="383">
        <v>6438</v>
      </c>
      <c r="E30" s="1" t="s">
        <v>170</v>
      </c>
      <c r="F30" s="243">
        <f t="shared" si="0"/>
        <v>1785</v>
      </c>
      <c r="G30" s="235">
        <v>1250</v>
      </c>
      <c r="H30" s="125">
        <v>1.19</v>
      </c>
      <c r="I30" s="56">
        <f t="shared" si="2"/>
        <v>1487.5</v>
      </c>
      <c r="J30" s="125">
        <v>1.2</v>
      </c>
      <c r="K30" s="235">
        <f t="shared" si="1"/>
        <v>1785</v>
      </c>
      <c r="L30" s="123">
        <f ca="1">SUMIF(APU!A:B,'Materiales '!C30,APU!I:I)</f>
        <v>0</v>
      </c>
    </row>
    <row r="31" spans="2:12">
      <c r="B31" s="238">
        <f t="shared" si="3"/>
        <v>26</v>
      </c>
      <c r="C31" s="382" t="s">
        <v>4441</v>
      </c>
      <c r="D31" s="383">
        <v>662</v>
      </c>
      <c r="E31" s="1" t="s">
        <v>170</v>
      </c>
      <c r="F31" s="243">
        <f t="shared" si="0"/>
        <v>2743.1879999999996</v>
      </c>
      <c r="G31" s="235">
        <v>1921</v>
      </c>
      <c r="H31" s="125">
        <v>1.19</v>
      </c>
      <c r="I31" s="56">
        <f t="shared" si="2"/>
        <v>2285.9899999999998</v>
      </c>
      <c r="J31" s="125">
        <v>1.2</v>
      </c>
      <c r="K31" s="235">
        <f t="shared" si="1"/>
        <v>2743.1879999999996</v>
      </c>
      <c r="L31" s="123">
        <f ca="1">SUMIF(APU!A:B,'Materiales '!C31,APU!I:I)</f>
        <v>3</v>
      </c>
    </row>
    <row r="32" spans="2:12">
      <c r="B32" s="238">
        <f t="shared" si="3"/>
        <v>27</v>
      </c>
      <c r="C32" s="382" t="s">
        <v>4442</v>
      </c>
      <c r="D32" s="383">
        <v>10543</v>
      </c>
      <c r="E32" s="1" t="s">
        <v>170</v>
      </c>
      <c r="F32" s="243">
        <f t="shared" si="0"/>
        <v>3960.0867599999997</v>
      </c>
      <c r="G32" s="235">
        <v>2773.17</v>
      </c>
      <c r="H32" s="125">
        <v>1.19</v>
      </c>
      <c r="I32" s="56">
        <f t="shared" si="2"/>
        <v>3300.0722999999998</v>
      </c>
      <c r="J32" s="125">
        <v>1.2</v>
      </c>
      <c r="K32" s="235">
        <f t="shared" si="1"/>
        <v>3960.0867599999997</v>
      </c>
      <c r="L32" s="123">
        <f ca="1">SUMIF(APU!A:B,'Materiales '!C32,APU!I:I)</f>
        <v>0</v>
      </c>
    </row>
    <row r="33" spans="2:12">
      <c r="B33" s="238">
        <f t="shared" si="3"/>
        <v>28</v>
      </c>
      <c r="C33" s="382" t="s">
        <v>4443</v>
      </c>
      <c r="D33" s="383">
        <v>709</v>
      </c>
      <c r="E33" s="1" t="s">
        <v>170</v>
      </c>
      <c r="F33" s="243">
        <f t="shared" si="0"/>
        <v>14851.199999999999</v>
      </c>
      <c r="G33" s="235">
        <v>10400</v>
      </c>
      <c r="H33" s="125">
        <v>1.19</v>
      </c>
      <c r="I33" s="56">
        <f t="shared" si="2"/>
        <v>12376</v>
      </c>
      <c r="J33" s="125">
        <v>1.2</v>
      </c>
      <c r="K33" s="235">
        <f t="shared" si="1"/>
        <v>14851.199999999999</v>
      </c>
      <c r="L33" s="123">
        <f ca="1">SUMIF(APU!A:B,'Materiales '!C33,APU!I:I)</f>
        <v>0</v>
      </c>
    </row>
    <row r="34" spans="2:12">
      <c r="B34" s="238">
        <f>B30+1</f>
        <v>26</v>
      </c>
      <c r="C34" s="382" t="s">
        <v>4806</v>
      </c>
      <c r="D34" s="383"/>
      <c r="E34" s="1" t="s">
        <v>170</v>
      </c>
      <c r="F34" s="243">
        <f t="shared" ref="F34" si="8">K34</f>
        <v>4141.2</v>
      </c>
      <c r="G34" s="235">
        <v>2900</v>
      </c>
      <c r="H34" s="125">
        <v>1.19</v>
      </c>
      <c r="I34" s="56">
        <f t="shared" ref="I34" si="9">H34*G34</f>
        <v>3451</v>
      </c>
      <c r="J34" s="125">
        <v>1.2</v>
      </c>
      <c r="K34" s="235">
        <f t="shared" ref="K34" si="10">J34*I34</f>
        <v>4141.2</v>
      </c>
      <c r="L34" s="123">
        <f ca="1">SUMIF(APU!A:B,'Materiales '!C34,APU!I:I)</f>
        <v>0</v>
      </c>
    </row>
    <row r="35" spans="2:12">
      <c r="B35" s="238">
        <f>B31+1</f>
        <v>27</v>
      </c>
      <c r="C35" s="382" t="s">
        <v>4649</v>
      </c>
      <c r="D35" s="383"/>
      <c r="E35" s="1" t="s">
        <v>170</v>
      </c>
      <c r="F35" s="243">
        <f t="shared" si="0"/>
        <v>3073.056</v>
      </c>
      <c r="G35" s="235">
        <v>2152</v>
      </c>
      <c r="H35" s="125">
        <v>1.19</v>
      </c>
      <c r="I35" s="56">
        <f t="shared" si="2"/>
        <v>2560.88</v>
      </c>
      <c r="J35" s="125">
        <v>1.2</v>
      </c>
      <c r="K35" s="235">
        <f t="shared" si="1"/>
        <v>3073.056</v>
      </c>
      <c r="L35" s="123">
        <f ca="1">SUMIF(APU!A:B,'Materiales '!C35,APU!I:I)</f>
        <v>0</v>
      </c>
    </row>
    <row r="36" spans="2:12">
      <c r="B36" s="238">
        <f>B32+1</f>
        <v>28</v>
      </c>
      <c r="C36" s="382" t="s">
        <v>4697</v>
      </c>
      <c r="D36" s="383"/>
      <c r="E36" s="1" t="s">
        <v>170</v>
      </c>
      <c r="F36" s="243">
        <f t="shared" ref="F36:F39" si="11">K36</f>
        <v>1856.3999999999999</v>
      </c>
      <c r="G36" s="235">
        <v>1300</v>
      </c>
      <c r="H36" s="125">
        <v>1.19</v>
      </c>
      <c r="I36" s="56">
        <f t="shared" ref="I36:I39" si="12">H36*G36</f>
        <v>1547</v>
      </c>
      <c r="J36" s="125">
        <v>1.2</v>
      </c>
      <c r="K36" s="235">
        <f t="shared" ref="K36:K39" si="13">J36*I36</f>
        <v>1856.3999999999999</v>
      </c>
      <c r="L36" s="123">
        <f ca="1">SUMIF(APU!A:B,'Materiales '!C36,APU!I:I)</f>
        <v>0</v>
      </c>
    </row>
    <row r="37" spans="2:12">
      <c r="B37" s="238">
        <f>B31+1</f>
        <v>27</v>
      </c>
      <c r="C37" s="382" t="s">
        <v>5002</v>
      </c>
      <c r="D37" s="383">
        <v>10264</v>
      </c>
      <c r="E37" s="1" t="s">
        <v>170</v>
      </c>
      <c r="F37" s="243">
        <f t="shared" ref="F37:F38" si="14">K37</f>
        <v>18564</v>
      </c>
      <c r="G37" s="235">
        <v>13000</v>
      </c>
      <c r="H37" s="125">
        <v>1.19</v>
      </c>
      <c r="I37" s="56">
        <f t="shared" ref="I37:I38" si="15">H37*G37</f>
        <v>15470</v>
      </c>
      <c r="J37" s="125">
        <v>1.2</v>
      </c>
      <c r="K37" s="235">
        <f t="shared" ref="K37:K38" si="16">J37*I37</f>
        <v>18564</v>
      </c>
      <c r="L37" s="123">
        <f ca="1">SUMIF(APU!A:B,'Materiales '!C37,APU!I:I)</f>
        <v>0</v>
      </c>
    </row>
    <row r="38" spans="2:12">
      <c r="B38" s="238">
        <f>B31+1</f>
        <v>27</v>
      </c>
      <c r="C38" s="382" t="s">
        <v>5003</v>
      </c>
      <c r="D38" s="383">
        <v>10264</v>
      </c>
      <c r="E38" s="1" t="s">
        <v>170</v>
      </c>
      <c r="F38" s="243">
        <f t="shared" si="14"/>
        <v>12423.6</v>
      </c>
      <c r="G38" s="235">
        <v>8700</v>
      </c>
      <c r="H38" s="125">
        <v>1.19</v>
      </c>
      <c r="I38" s="56">
        <f t="shared" si="15"/>
        <v>10353</v>
      </c>
      <c r="J38" s="125">
        <v>1.2</v>
      </c>
      <c r="K38" s="235">
        <f t="shared" si="16"/>
        <v>12423.6</v>
      </c>
      <c r="L38" s="123">
        <f ca="1">SUMIF(APU!A:B,'Materiales '!C38,APU!I:I)</f>
        <v>0</v>
      </c>
    </row>
    <row r="39" spans="2:12">
      <c r="B39" s="238">
        <f>B32+1</f>
        <v>28</v>
      </c>
      <c r="C39" s="382" t="s">
        <v>4805</v>
      </c>
      <c r="D39" s="383">
        <v>10264</v>
      </c>
      <c r="E39" s="1" t="s">
        <v>170</v>
      </c>
      <c r="F39" s="243">
        <f t="shared" si="11"/>
        <v>9996</v>
      </c>
      <c r="G39" s="235">
        <v>7000</v>
      </c>
      <c r="H39" s="125">
        <v>1.19</v>
      </c>
      <c r="I39" s="56">
        <f t="shared" si="12"/>
        <v>8330</v>
      </c>
      <c r="J39" s="125">
        <v>1.2</v>
      </c>
      <c r="K39" s="235">
        <f t="shared" si="13"/>
        <v>9996</v>
      </c>
      <c r="L39" s="123">
        <f ca="1">SUMIF(APU!A:B,'Materiales '!C39,APU!I:I)</f>
        <v>0</v>
      </c>
    </row>
    <row r="40" spans="2:12">
      <c r="B40" s="238">
        <f>B33+1</f>
        <v>29</v>
      </c>
      <c r="C40" s="382" t="s">
        <v>4444</v>
      </c>
      <c r="D40" s="383">
        <v>10264</v>
      </c>
      <c r="E40" s="1" t="s">
        <v>170</v>
      </c>
      <c r="F40" s="243">
        <f t="shared" si="0"/>
        <v>3284.4</v>
      </c>
      <c r="G40" s="235">
        <v>2300</v>
      </c>
      <c r="H40" s="125">
        <v>1.19</v>
      </c>
      <c r="I40" s="56">
        <f t="shared" si="2"/>
        <v>2737</v>
      </c>
      <c r="J40" s="125">
        <v>1.2</v>
      </c>
      <c r="K40" s="235">
        <f t="shared" si="1"/>
        <v>3284.4</v>
      </c>
      <c r="L40" s="123">
        <f ca="1">SUMIF(APU!A:B,'Materiales '!C40,APU!I:I)</f>
        <v>4</v>
      </c>
    </row>
    <row r="41" spans="2:12">
      <c r="B41" s="238">
        <f t="shared" si="3"/>
        <v>30</v>
      </c>
      <c r="C41" s="382" t="s">
        <v>4445</v>
      </c>
      <c r="D41" s="383">
        <v>9032</v>
      </c>
      <c r="E41" s="1" t="s">
        <v>170</v>
      </c>
      <c r="F41" s="243">
        <f t="shared" si="0"/>
        <v>4426.8</v>
      </c>
      <c r="G41" s="235">
        <v>3100</v>
      </c>
      <c r="H41" s="125">
        <v>1.19</v>
      </c>
      <c r="I41" s="56">
        <f t="shared" si="2"/>
        <v>3689</v>
      </c>
      <c r="J41" s="125">
        <v>1.2</v>
      </c>
      <c r="K41" s="235">
        <f t="shared" si="1"/>
        <v>4426.8</v>
      </c>
      <c r="L41" s="123">
        <f ca="1">SUMIF(APU!A:B,'Materiales '!#REF!,APU!I:I)</f>
        <v>0</v>
      </c>
    </row>
    <row r="42" spans="2:12">
      <c r="B42" s="238">
        <f t="shared" si="3"/>
        <v>31</v>
      </c>
      <c r="C42" s="382" t="s">
        <v>4446</v>
      </c>
      <c r="D42" s="383">
        <v>4341</v>
      </c>
      <c r="E42" s="1" t="s">
        <v>170</v>
      </c>
      <c r="F42" s="243">
        <f t="shared" si="0"/>
        <v>2856</v>
      </c>
      <c r="G42" s="235">
        <v>2000</v>
      </c>
      <c r="H42" s="125">
        <v>1.19</v>
      </c>
      <c r="I42" s="56">
        <f t="shared" si="2"/>
        <v>2380</v>
      </c>
      <c r="J42" s="125">
        <v>1.2</v>
      </c>
      <c r="K42" s="235">
        <f t="shared" si="1"/>
        <v>2856</v>
      </c>
      <c r="L42" s="123">
        <f ca="1">SUMIF(APU!A:B,'Materiales '!C41,APU!I:I)</f>
        <v>15</v>
      </c>
    </row>
    <row r="43" spans="2:12">
      <c r="B43" s="238">
        <f>B41+1</f>
        <v>31</v>
      </c>
      <c r="C43" s="382" t="s">
        <v>4738</v>
      </c>
      <c r="D43" s="383"/>
      <c r="E43" s="1" t="s">
        <v>170</v>
      </c>
      <c r="F43" s="243">
        <f t="shared" ref="F43" si="17">K43</f>
        <v>41412</v>
      </c>
      <c r="G43" s="235">
        <v>29000</v>
      </c>
      <c r="H43" s="125">
        <v>1.19</v>
      </c>
      <c r="I43" s="56">
        <f t="shared" ref="I43" si="18">H43*G43</f>
        <v>34510</v>
      </c>
      <c r="J43" s="125">
        <v>1.2</v>
      </c>
      <c r="K43" s="235">
        <f t="shared" ref="K43" si="19">J43*I43</f>
        <v>41412</v>
      </c>
      <c r="L43" s="123">
        <f ca="1">SUMIF(APU!A:B,'Materiales '!C41,APU!I:I)</f>
        <v>15</v>
      </c>
    </row>
    <row r="44" spans="2:12">
      <c r="B44" s="238">
        <f>B42+1</f>
        <v>32</v>
      </c>
      <c r="C44" s="382" t="s">
        <v>4447</v>
      </c>
      <c r="D44" s="383">
        <v>704</v>
      </c>
      <c r="E44" s="1" t="s">
        <v>170</v>
      </c>
      <c r="F44" s="243">
        <f t="shared" si="0"/>
        <v>25704</v>
      </c>
      <c r="G44" s="235">
        <v>18000</v>
      </c>
      <c r="H44" s="125">
        <v>1.19</v>
      </c>
      <c r="I44" s="56">
        <f t="shared" si="2"/>
        <v>21420</v>
      </c>
      <c r="J44" s="125">
        <v>1.2</v>
      </c>
      <c r="K44" s="235">
        <f t="shared" si="1"/>
        <v>25704</v>
      </c>
      <c r="L44" s="123">
        <f ca="1">SUMIF(APU!A:B,'Materiales '!C42,APU!I:I)</f>
        <v>0</v>
      </c>
    </row>
    <row r="45" spans="2:12">
      <c r="B45" s="238">
        <f t="shared" si="3"/>
        <v>33</v>
      </c>
      <c r="C45" s="382" t="s">
        <v>4448</v>
      </c>
      <c r="D45" s="383">
        <v>700</v>
      </c>
      <c r="E45" s="1" t="s">
        <v>170</v>
      </c>
      <c r="F45" s="243">
        <f t="shared" si="0"/>
        <v>13680.239999999998</v>
      </c>
      <c r="G45" s="235">
        <v>9580</v>
      </c>
      <c r="H45" s="125">
        <v>1.19</v>
      </c>
      <c r="I45" s="56">
        <f t="shared" si="2"/>
        <v>11400.199999999999</v>
      </c>
      <c r="J45" s="125">
        <v>1.2</v>
      </c>
      <c r="K45" s="235">
        <f t="shared" si="1"/>
        <v>13680.239999999998</v>
      </c>
      <c r="L45" s="123">
        <f ca="1">SUMIF(APU!A:B,'Materiales '!C44,APU!I:I)</f>
        <v>0</v>
      </c>
    </row>
    <row r="46" spans="2:12">
      <c r="B46" s="238">
        <f t="shared" si="3"/>
        <v>34</v>
      </c>
      <c r="C46" s="382" t="s">
        <v>4449</v>
      </c>
      <c r="D46" s="383">
        <v>701</v>
      </c>
      <c r="E46" s="1" t="s">
        <v>170</v>
      </c>
      <c r="F46" s="243">
        <f t="shared" si="0"/>
        <v>9584.735999999999</v>
      </c>
      <c r="G46" s="235">
        <v>6712</v>
      </c>
      <c r="H46" s="125">
        <v>1.19</v>
      </c>
      <c r="I46" s="56">
        <f t="shared" si="2"/>
        <v>7987.28</v>
      </c>
      <c r="J46" s="125">
        <v>1.2</v>
      </c>
      <c r="K46" s="235">
        <f t="shared" si="1"/>
        <v>9584.735999999999</v>
      </c>
      <c r="L46" s="123">
        <f ca="1">SUMIF(APU!A:B,'Materiales '!C45,APU!I:I)</f>
        <v>0</v>
      </c>
    </row>
    <row r="47" spans="2:12">
      <c r="B47" s="238">
        <f>B45+1</f>
        <v>34</v>
      </c>
      <c r="C47" s="382" t="s">
        <v>4450</v>
      </c>
      <c r="D47" s="383">
        <v>6734</v>
      </c>
      <c r="E47" s="1" t="s">
        <v>170</v>
      </c>
      <c r="F47" s="243">
        <f t="shared" ref="F47:F48" si="20">K47</f>
        <v>6791.5679999999993</v>
      </c>
      <c r="G47" s="235">
        <v>4756</v>
      </c>
      <c r="H47" s="125">
        <v>1.19</v>
      </c>
      <c r="I47" s="56">
        <f t="shared" ref="I47:I48" si="21">H47*G47</f>
        <v>5659.6399999999994</v>
      </c>
      <c r="J47" s="125">
        <v>1.2</v>
      </c>
      <c r="K47" s="235">
        <f t="shared" ref="K47:K48" si="22">J47*I47</f>
        <v>6791.5679999999993</v>
      </c>
      <c r="L47" s="123">
        <f ca="1">SUMIF(APU!A:B,'Materiales '!C45,APU!I:I)</f>
        <v>0</v>
      </c>
    </row>
    <row r="48" spans="2:12">
      <c r="B48" s="238">
        <f>B45+1</f>
        <v>34</v>
      </c>
      <c r="C48" s="382" t="s">
        <v>4809</v>
      </c>
      <c r="D48" s="383">
        <v>6734</v>
      </c>
      <c r="E48" s="1" t="s">
        <v>170</v>
      </c>
      <c r="F48" s="243">
        <f t="shared" si="20"/>
        <v>4569.5999999999995</v>
      </c>
      <c r="G48" s="235">
        <v>3200</v>
      </c>
      <c r="H48" s="125">
        <v>1.19</v>
      </c>
      <c r="I48" s="56">
        <f t="shared" si="21"/>
        <v>3808</v>
      </c>
      <c r="J48" s="125">
        <v>1.2</v>
      </c>
      <c r="K48" s="235">
        <f t="shared" si="22"/>
        <v>4569.5999999999995</v>
      </c>
      <c r="L48" s="123">
        <f ca="1">SUMIF(APU!A:B,'Materiales '!C45,APU!I:I)</f>
        <v>0</v>
      </c>
    </row>
    <row r="49" spans="2:12">
      <c r="B49" s="238">
        <f>B46+1</f>
        <v>35</v>
      </c>
      <c r="C49" s="382" t="s">
        <v>4837</v>
      </c>
      <c r="D49" s="383"/>
      <c r="E49" s="1" t="s">
        <v>170</v>
      </c>
      <c r="F49" s="243">
        <f t="shared" si="0"/>
        <v>3475.752</v>
      </c>
      <c r="G49" s="235">
        <v>2434</v>
      </c>
      <c r="H49" s="125">
        <v>1.19</v>
      </c>
      <c r="I49" s="56">
        <f t="shared" si="2"/>
        <v>2896.46</v>
      </c>
      <c r="J49" s="125">
        <v>1.2</v>
      </c>
      <c r="K49" s="235">
        <f t="shared" si="1"/>
        <v>3475.752</v>
      </c>
      <c r="L49" s="123">
        <f ca="1">SUMIF(APU!A:B,'Materiales '!C46,APU!I:I)</f>
        <v>0</v>
      </c>
    </row>
    <row r="50" spans="2:12">
      <c r="B50" s="238">
        <f>B46+1</f>
        <v>35</v>
      </c>
      <c r="C50" s="382" t="s">
        <v>4995</v>
      </c>
      <c r="D50" s="383">
        <v>9490</v>
      </c>
      <c r="E50" s="1" t="s">
        <v>170</v>
      </c>
      <c r="F50" s="243">
        <f t="shared" ref="F50" si="23">K50</f>
        <v>51408</v>
      </c>
      <c r="G50" s="235">
        <v>36000</v>
      </c>
      <c r="H50" s="125">
        <v>1.19</v>
      </c>
      <c r="I50" s="56">
        <f t="shared" ref="I50" si="24">H50*G50</f>
        <v>42840</v>
      </c>
      <c r="J50" s="125">
        <v>1.2</v>
      </c>
      <c r="K50" s="235">
        <f t="shared" ref="K50" si="25">J50*I50</f>
        <v>51408</v>
      </c>
      <c r="L50" s="123">
        <f ca="1">SUMIF(APU!A:B,'Materiales '!C46,APU!I:I)</f>
        <v>0</v>
      </c>
    </row>
    <row r="51" spans="2:12">
      <c r="B51" s="238">
        <f>B47+1</f>
        <v>35</v>
      </c>
      <c r="C51" s="382" t="s">
        <v>4996</v>
      </c>
      <c r="D51" s="383">
        <v>9490</v>
      </c>
      <c r="E51" s="1" t="s">
        <v>170</v>
      </c>
      <c r="F51" s="243">
        <f t="shared" si="0"/>
        <v>39984</v>
      </c>
      <c r="G51" s="235">
        <v>28000</v>
      </c>
      <c r="H51" s="125">
        <v>1.19</v>
      </c>
      <c r="I51" s="56">
        <f t="shared" si="2"/>
        <v>33320</v>
      </c>
      <c r="J51" s="125">
        <v>1.2</v>
      </c>
      <c r="K51" s="235">
        <f t="shared" si="1"/>
        <v>39984</v>
      </c>
      <c r="L51" s="123">
        <f ca="1">SUMIF(APU!A:B,'Materiales '!C47,APU!I:I)</f>
        <v>16</v>
      </c>
    </row>
    <row r="52" spans="2:12">
      <c r="B52" s="238">
        <f>B48+1</f>
        <v>35</v>
      </c>
      <c r="C52" s="382" t="s">
        <v>4994</v>
      </c>
      <c r="D52" s="383">
        <v>9490</v>
      </c>
      <c r="E52" s="1" t="s">
        <v>170</v>
      </c>
      <c r="F52" s="243">
        <f t="shared" ref="F52" si="26">K52</f>
        <v>31416</v>
      </c>
      <c r="G52" s="235">
        <v>22000</v>
      </c>
      <c r="H52" s="125">
        <v>1.19</v>
      </c>
      <c r="I52" s="56">
        <f t="shared" ref="I52" si="27">H52*G52</f>
        <v>26180</v>
      </c>
      <c r="J52" s="125">
        <v>1.2</v>
      </c>
      <c r="K52" s="235">
        <f t="shared" ref="K52" si="28">J52*I52</f>
        <v>31416</v>
      </c>
      <c r="L52" s="123">
        <f ca="1">SUMIF(APU!A:B,'Materiales '!C48,APU!I:I)</f>
        <v>0</v>
      </c>
    </row>
    <row r="53" spans="2:12">
      <c r="B53" s="238">
        <f>B49+1</f>
        <v>36</v>
      </c>
      <c r="C53" s="382" t="s">
        <v>4451</v>
      </c>
      <c r="D53" s="383">
        <v>9490</v>
      </c>
      <c r="E53" s="1" t="s">
        <v>170</v>
      </c>
      <c r="F53" s="243">
        <f t="shared" si="0"/>
        <v>19992</v>
      </c>
      <c r="G53" s="235">
        <v>14000</v>
      </c>
      <c r="H53" s="125">
        <v>1.19</v>
      </c>
      <c r="I53" s="56">
        <f t="shared" si="2"/>
        <v>16660</v>
      </c>
      <c r="J53" s="125">
        <v>1.2</v>
      </c>
      <c r="K53" s="235">
        <f t="shared" si="1"/>
        <v>19992</v>
      </c>
      <c r="L53" s="123">
        <f ca="1">SUMIF(APU!A:B,'Materiales '!C49,APU!I:I)</f>
        <v>0</v>
      </c>
    </row>
    <row r="54" spans="2:12">
      <c r="B54" s="238">
        <f t="shared" si="3"/>
        <v>37</v>
      </c>
      <c r="C54" s="382" t="s">
        <v>4452</v>
      </c>
      <c r="D54" s="383">
        <v>9613</v>
      </c>
      <c r="E54" s="1" t="s">
        <v>170</v>
      </c>
      <c r="F54" s="243">
        <f t="shared" si="0"/>
        <v>13566</v>
      </c>
      <c r="G54" s="235">
        <v>9500</v>
      </c>
      <c r="H54" s="125">
        <v>1.19</v>
      </c>
      <c r="I54" s="56">
        <f t="shared" si="2"/>
        <v>11305</v>
      </c>
      <c r="J54" s="125">
        <v>1.2</v>
      </c>
      <c r="K54" s="235">
        <f t="shared" si="1"/>
        <v>13566</v>
      </c>
      <c r="L54" s="123">
        <f ca="1">SUMIF(APU!A:B,'Materiales '!C53,APU!I:I)</f>
        <v>0</v>
      </c>
    </row>
    <row r="55" spans="2:12">
      <c r="B55" s="238">
        <f t="shared" si="3"/>
        <v>38</v>
      </c>
      <c r="C55" s="382" t="s">
        <v>4453</v>
      </c>
      <c r="D55" s="383">
        <v>667</v>
      </c>
      <c r="E55" s="1" t="s">
        <v>170</v>
      </c>
      <c r="F55" s="243">
        <f t="shared" si="0"/>
        <v>18762.491999999998</v>
      </c>
      <c r="G55" s="235">
        <v>13139</v>
      </c>
      <c r="H55" s="125">
        <v>1.19</v>
      </c>
      <c r="I55" s="56">
        <f t="shared" si="2"/>
        <v>15635.41</v>
      </c>
      <c r="J55" s="125">
        <v>1.2</v>
      </c>
      <c r="K55" s="235">
        <f t="shared" si="1"/>
        <v>18762.491999999998</v>
      </c>
      <c r="L55" s="123">
        <f ca="1">SUMIF(APU!A:B,'Materiales '!C54,APU!I:I)</f>
        <v>0</v>
      </c>
    </row>
    <row r="56" spans="2:12">
      <c r="B56" s="238">
        <f t="shared" si="3"/>
        <v>39</v>
      </c>
      <c r="C56" s="382" t="s">
        <v>4454</v>
      </c>
      <c r="D56" s="383">
        <v>719</v>
      </c>
      <c r="E56" s="1" t="s">
        <v>170</v>
      </c>
      <c r="F56" s="243">
        <f t="shared" si="0"/>
        <v>12216.539999999999</v>
      </c>
      <c r="G56" s="235">
        <v>8555</v>
      </c>
      <c r="H56" s="125">
        <v>1.19</v>
      </c>
      <c r="I56" s="56">
        <f t="shared" si="2"/>
        <v>10180.449999999999</v>
      </c>
      <c r="J56" s="125">
        <v>1.2</v>
      </c>
      <c r="K56" s="235">
        <f t="shared" si="1"/>
        <v>12216.539999999999</v>
      </c>
      <c r="L56" s="123">
        <f ca="1">SUMIF(APU!A:B,'Materiales '!C61,APU!I:I)</f>
        <v>0</v>
      </c>
    </row>
    <row r="57" spans="2:12">
      <c r="B57" s="238">
        <f t="shared" si="3"/>
        <v>40</v>
      </c>
      <c r="C57" s="382" t="s">
        <v>4455</v>
      </c>
      <c r="D57" s="383">
        <v>670</v>
      </c>
      <c r="E57" s="1" t="s">
        <v>170</v>
      </c>
      <c r="F57" s="243">
        <f t="shared" si="0"/>
        <v>9424.7999999999993</v>
      </c>
      <c r="G57" s="235">
        <v>6600</v>
      </c>
      <c r="H57" s="125">
        <v>1.19</v>
      </c>
      <c r="I57" s="56">
        <f t="shared" si="2"/>
        <v>7854</v>
      </c>
      <c r="J57" s="125">
        <v>1.2</v>
      </c>
      <c r="K57" s="235">
        <f t="shared" si="1"/>
        <v>9424.7999999999993</v>
      </c>
      <c r="L57" s="123">
        <f ca="1">SUMIF(APU!A:B,'Materiales '!C55,APU!I:I)</f>
        <v>0</v>
      </c>
    </row>
    <row r="58" spans="2:12">
      <c r="B58" s="238">
        <f>B56+1</f>
        <v>40</v>
      </c>
      <c r="C58" s="382" t="s">
        <v>4698</v>
      </c>
      <c r="D58" s="383"/>
      <c r="E58" s="1" t="s">
        <v>170</v>
      </c>
      <c r="F58" s="243">
        <f t="shared" ref="F58" si="29">K58</f>
        <v>12138</v>
      </c>
      <c r="G58" s="235">
        <v>8500</v>
      </c>
      <c r="H58" s="125">
        <v>1.19</v>
      </c>
      <c r="I58" s="56">
        <f t="shared" ref="I58" si="30">H58*G58</f>
        <v>10115</v>
      </c>
      <c r="J58" s="125">
        <v>1.2</v>
      </c>
      <c r="K58" s="235">
        <f t="shared" ref="K58" si="31">J58*I58</f>
        <v>12138</v>
      </c>
      <c r="L58" s="123">
        <f ca="1">SUMIF(APU!A:B,'Materiales '!C55,APU!I:I)</f>
        <v>0</v>
      </c>
    </row>
    <row r="59" spans="2:12">
      <c r="B59" s="238">
        <f>B57+1</f>
        <v>41</v>
      </c>
      <c r="C59" s="382" t="s">
        <v>4456</v>
      </c>
      <c r="D59" s="383">
        <v>7220</v>
      </c>
      <c r="E59" s="1" t="s">
        <v>170</v>
      </c>
      <c r="F59" s="243">
        <f t="shared" si="0"/>
        <v>8925</v>
      </c>
      <c r="G59" s="235">
        <v>6250</v>
      </c>
      <c r="H59" s="125">
        <v>1.19</v>
      </c>
      <c r="I59" s="56">
        <f t="shared" si="2"/>
        <v>7437.5</v>
      </c>
      <c r="J59" s="125">
        <v>1.2</v>
      </c>
      <c r="K59" s="235">
        <f t="shared" si="1"/>
        <v>8925</v>
      </c>
      <c r="L59" s="123">
        <f ca="1">SUMIF(APU!A:B,'Materiales '!C56,APU!I:I)</f>
        <v>1</v>
      </c>
    </row>
    <row r="60" spans="2:12">
      <c r="B60" s="238">
        <f>B58+1</f>
        <v>41</v>
      </c>
      <c r="C60" s="382" t="s">
        <v>4457</v>
      </c>
      <c r="D60" s="383">
        <v>687</v>
      </c>
      <c r="E60" s="1" t="s">
        <v>170</v>
      </c>
      <c r="F60" s="243">
        <f t="shared" ref="F60" si="32">K60</f>
        <v>6248.927999999999</v>
      </c>
      <c r="G60" s="235">
        <v>4376</v>
      </c>
      <c r="H60" s="125">
        <v>1.19</v>
      </c>
      <c r="I60" s="56">
        <f t="shared" ref="I60" si="33">H60*G60</f>
        <v>5207.4399999999996</v>
      </c>
      <c r="J60" s="125">
        <v>1.2</v>
      </c>
      <c r="K60" s="235">
        <f t="shared" ref="K60" si="34">J60*I60</f>
        <v>6248.927999999999</v>
      </c>
      <c r="L60" s="123">
        <f ca="1">SUMIF(APU!A:B,'Materiales '!C56,APU!I:I)</f>
        <v>1</v>
      </c>
    </row>
    <row r="61" spans="2:12">
      <c r="B61" s="238">
        <f>B59+1</f>
        <v>42</v>
      </c>
      <c r="C61" s="382" t="s">
        <v>4807</v>
      </c>
      <c r="D61" s="383"/>
      <c r="E61" s="1" t="s">
        <v>170</v>
      </c>
      <c r="F61" s="243">
        <f t="shared" si="0"/>
        <v>24276</v>
      </c>
      <c r="G61" s="235">
        <v>17000</v>
      </c>
      <c r="H61" s="125">
        <v>1.19</v>
      </c>
      <c r="I61" s="56">
        <f t="shared" si="2"/>
        <v>20230</v>
      </c>
      <c r="J61" s="125">
        <v>1.2</v>
      </c>
      <c r="K61" s="235">
        <f t="shared" si="1"/>
        <v>24276</v>
      </c>
      <c r="L61" s="123">
        <f ca="1">SUMIF(APU!A:B,'Materiales '!C57,APU!I:I)</f>
        <v>1</v>
      </c>
    </row>
    <row r="62" spans="2:12">
      <c r="B62" s="238">
        <f t="shared" si="3"/>
        <v>43</v>
      </c>
      <c r="C62" s="382" t="s">
        <v>4458</v>
      </c>
      <c r="D62" s="383">
        <v>5385</v>
      </c>
      <c r="E62" s="1" t="s">
        <v>170</v>
      </c>
      <c r="F62" s="243">
        <f t="shared" si="0"/>
        <v>23386.355999999996</v>
      </c>
      <c r="G62" s="235">
        <v>16377</v>
      </c>
      <c r="H62" s="125">
        <v>1.19</v>
      </c>
      <c r="I62" s="56">
        <f t="shared" si="2"/>
        <v>19488.629999999997</v>
      </c>
      <c r="J62" s="125">
        <v>1.2</v>
      </c>
      <c r="K62" s="235">
        <f t="shared" si="1"/>
        <v>23386.355999999996</v>
      </c>
      <c r="L62" s="123">
        <f ca="1">SUMIF(APU!A:B,'Materiales '!C59,APU!I:I)</f>
        <v>0</v>
      </c>
    </row>
    <row r="63" spans="2:12">
      <c r="B63" s="238">
        <f t="shared" si="3"/>
        <v>44</v>
      </c>
      <c r="C63" s="382" t="s">
        <v>4459</v>
      </c>
      <c r="D63" s="383">
        <v>7325</v>
      </c>
      <c r="E63" s="1" t="s">
        <v>170</v>
      </c>
      <c r="F63" s="243">
        <f t="shared" si="0"/>
        <v>5569.2</v>
      </c>
      <c r="G63" s="235">
        <v>3900</v>
      </c>
      <c r="H63" s="125">
        <v>1.19</v>
      </c>
      <c r="I63" s="56">
        <f t="shared" si="2"/>
        <v>4641</v>
      </c>
      <c r="J63" s="125">
        <v>1.2</v>
      </c>
      <c r="K63" s="235">
        <f t="shared" si="1"/>
        <v>5569.2</v>
      </c>
      <c r="L63" s="123">
        <f ca="1">SUMIF(APU!A:B,'Materiales '!C62,APU!I:I)</f>
        <v>35</v>
      </c>
    </row>
    <row r="64" spans="2:12">
      <c r="B64" s="238">
        <f>B62+1</f>
        <v>44</v>
      </c>
      <c r="C64" s="382" t="s">
        <v>4636</v>
      </c>
      <c r="D64" s="383"/>
      <c r="E64" s="1" t="s">
        <v>4128</v>
      </c>
      <c r="F64" s="243">
        <f t="shared" ref="F64" si="35">K64</f>
        <v>13994.4</v>
      </c>
      <c r="G64" s="235">
        <v>9800</v>
      </c>
      <c r="H64" s="125">
        <v>1.19</v>
      </c>
      <c r="I64" s="56">
        <f t="shared" si="2"/>
        <v>11662</v>
      </c>
      <c r="J64" s="125">
        <v>1.2</v>
      </c>
      <c r="K64" s="235">
        <f t="shared" si="1"/>
        <v>13994.4</v>
      </c>
      <c r="L64" s="123">
        <f ca="1">SUMIF(APU!A:B,'Materiales '!C62,APU!I:I)</f>
        <v>35</v>
      </c>
    </row>
    <row r="65" spans="2:12">
      <c r="B65" s="238">
        <f>B63+1</f>
        <v>45</v>
      </c>
      <c r="C65" s="382" t="s">
        <v>4460</v>
      </c>
      <c r="D65" s="383">
        <v>731</v>
      </c>
      <c r="E65" s="1" t="s">
        <v>4128</v>
      </c>
      <c r="F65" s="243">
        <f t="shared" si="0"/>
        <v>12566.4</v>
      </c>
      <c r="G65" s="235">
        <v>8800</v>
      </c>
      <c r="H65" s="125">
        <v>1.19</v>
      </c>
      <c r="I65" s="56">
        <f t="shared" si="2"/>
        <v>10472</v>
      </c>
      <c r="J65" s="125">
        <v>1.2</v>
      </c>
      <c r="K65" s="235">
        <f t="shared" si="1"/>
        <v>12566.4</v>
      </c>
      <c r="L65" s="123">
        <f ca="1">SUMIF(APU!A:B,'Materiales '!C63,APU!I:I)</f>
        <v>0</v>
      </c>
    </row>
    <row r="66" spans="2:12" ht="20.25" customHeight="1">
      <c r="B66" s="238">
        <f t="shared" si="3"/>
        <v>46</v>
      </c>
      <c r="C66" s="382" t="s">
        <v>4461</v>
      </c>
      <c r="D66" s="383">
        <v>734</v>
      </c>
      <c r="E66" s="1" t="s">
        <v>4128</v>
      </c>
      <c r="F66" s="243">
        <f t="shared" si="0"/>
        <v>18278.399999999998</v>
      </c>
      <c r="G66" s="235">
        <v>12800</v>
      </c>
      <c r="H66" s="125">
        <v>1.19</v>
      </c>
      <c r="I66" s="56">
        <f t="shared" si="2"/>
        <v>15232</v>
      </c>
      <c r="J66" s="125">
        <v>1.2</v>
      </c>
      <c r="K66" s="235">
        <f t="shared" si="1"/>
        <v>18278.399999999998</v>
      </c>
      <c r="L66" s="123">
        <f ca="1">SUMIF(APU!A:B,'Materiales '!C65,APU!I:I)</f>
        <v>0</v>
      </c>
    </row>
    <row r="67" spans="2:12" ht="23.25" customHeight="1">
      <c r="B67" s="238">
        <f t="shared" si="3"/>
        <v>47</v>
      </c>
      <c r="C67" s="382" t="s">
        <v>4462</v>
      </c>
      <c r="D67" s="383">
        <v>6233</v>
      </c>
      <c r="E67" s="1" t="s">
        <v>4128</v>
      </c>
      <c r="F67" s="243">
        <f t="shared" si="0"/>
        <v>115668</v>
      </c>
      <c r="G67" s="235">
        <v>81000</v>
      </c>
      <c r="H67" s="125">
        <v>1.19</v>
      </c>
      <c r="I67" s="56">
        <f t="shared" si="2"/>
        <v>96390</v>
      </c>
      <c r="J67" s="125">
        <v>1.2</v>
      </c>
      <c r="K67" s="235">
        <f t="shared" si="1"/>
        <v>115668</v>
      </c>
      <c r="L67" s="123">
        <f ca="1">SUMIF(APU!A:B,'Materiales '!C66,APU!I:I)</f>
        <v>0</v>
      </c>
    </row>
    <row r="68" spans="2:12">
      <c r="B68" s="238">
        <f t="shared" si="3"/>
        <v>48</v>
      </c>
      <c r="C68" s="382" t="s">
        <v>4463</v>
      </c>
      <c r="D68" s="383">
        <v>10971</v>
      </c>
      <c r="E68" s="1" t="s">
        <v>4128</v>
      </c>
      <c r="F68" s="243">
        <f t="shared" si="0"/>
        <v>189924</v>
      </c>
      <c r="G68" s="235">
        <v>133000</v>
      </c>
      <c r="H68" s="125">
        <v>1.19</v>
      </c>
      <c r="I68" s="56">
        <f t="shared" si="2"/>
        <v>158270</v>
      </c>
      <c r="J68" s="125">
        <v>1.2</v>
      </c>
      <c r="K68" s="235">
        <f t="shared" si="1"/>
        <v>189924</v>
      </c>
      <c r="L68" s="123">
        <f ca="1">SUMIF(APU!A:B,'Materiales '!C67,APU!I:I)</f>
        <v>0</v>
      </c>
    </row>
    <row r="69" spans="2:12">
      <c r="B69" s="238">
        <f t="shared" si="3"/>
        <v>49</v>
      </c>
      <c r="C69" s="382" t="s">
        <v>4464</v>
      </c>
      <c r="D69" s="383">
        <v>808</v>
      </c>
      <c r="E69" s="1" t="s">
        <v>4128</v>
      </c>
      <c r="F69" s="243">
        <f t="shared" si="0"/>
        <v>13386.071999999998</v>
      </c>
      <c r="G69" s="235">
        <v>9374</v>
      </c>
      <c r="H69" s="125">
        <v>1.19</v>
      </c>
      <c r="I69" s="56">
        <f t="shared" si="2"/>
        <v>11155.06</v>
      </c>
      <c r="J69" s="125">
        <v>1.2</v>
      </c>
      <c r="K69" s="235">
        <f t="shared" si="1"/>
        <v>13386.071999999998</v>
      </c>
      <c r="L69" s="123">
        <f ca="1">SUMIF(APU!A:B,'Materiales '!C68,APU!I:I)</f>
        <v>0</v>
      </c>
    </row>
    <row r="70" spans="2:12">
      <c r="B70" s="238">
        <f t="shared" si="3"/>
        <v>50</v>
      </c>
      <c r="C70" s="382" t="s">
        <v>4465</v>
      </c>
      <c r="D70" s="383">
        <v>9994</v>
      </c>
      <c r="E70" s="1" t="s">
        <v>4128</v>
      </c>
      <c r="F70" s="243">
        <f t="shared" si="0"/>
        <v>7488.4319999999989</v>
      </c>
      <c r="G70" s="235">
        <v>5244</v>
      </c>
      <c r="H70" s="125">
        <v>1.19</v>
      </c>
      <c r="I70" s="56">
        <f t="shared" si="2"/>
        <v>6240.36</v>
      </c>
      <c r="J70" s="125">
        <v>1.2</v>
      </c>
      <c r="K70" s="235">
        <f t="shared" si="1"/>
        <v>7488.4319999999989</v>
      </c>
      <c r="L70" s="123">
        <f ca="1">SUMIF(APU!A:B,'Materiales '!C69,APU!I:I)</f>
        <v>0</v>
      </c>
    </row>
    <row r="71" spans="2:12">
      <c r="B71" s="238">
        <f t="shared" si="3"/>
        <v>51</v>
      </c>
      <c r="C71" s="382" t="s">
        <v>4466</v>
      </c>
      <c r="D71" s="383">
        <v>809</v>
      </c>
      <c r="E71" s="1" t="s">
        <v>4128</v>
      </c>
      <c r="F71" s="243">
        <f t="shared" si="0"/>
        <v>2998.7999999999997</v>
      </c>
      <c r="G71" s="235">
        <v>2100</v>
      </c>
      <c r="H71" s="125">
        <v>1.19</v>
      </c>
      <c r="I71" s="56">
        <f t="shared" si="2"/>
        <v>2499</v>
      </c>
      <c r="J71" s="125">
        <v>1.2</v>
      </c>
      <c r="K71" s="235">
        <f t="shared" si="1"/>
        <v>2998.7999999999997</v>
      </c>
      <c r="L71" s="123">
        <f ca="1">SUMIF(APU!A:B,'Materiales '!C70,APU!I:I)</f>
        <v>0</v>
      </c>
    </row>
    <row r="72" spans="2:12">
      <c r="B72" s="238">
        <f t="shared" si="3"/>
        <v>52</v>
      </c>
      <c r="C72" s="382" t="s">
        <v>4467</v>
      </c>
      <c r="D72" s="383">
        <v>807</v>
      </c>
      <c r="E72" s="1" t="s">
        <v>4128</v>
      </c>
      <c r="F72" s="243">
        <f t="shared" si="0"/>
        <v>2954.5319999999997</v>
      </c>
      <c r="G72" s="235">
        <v>2069</v>
      </c>
      <c r="H72" s="125">
        <v>1.19</v>
      </c>
      <c r="I72" s="56">
        <f t="shared" si="2"/>
        <v>2462.1099999999997</v>
      </c>
      <c r="J72" s="125">
        <v>1.2</v>
      </c>
      <c r="K72" s="235">
        <f t="shared" si="1"/>
        <v>2954.5319999999997</v>
      </c>
      <c r="L72" s="123">
        <f ca="1">SUMIF(APU!A:B,'Materiales '!C71,APU!I:I)</f>
        <v>0</v>
      </c>
    </row>
    <row r="73" spans="2:12">
      <c r="B73" s="238">
        <f>B71+1</f>
        <v>52</v>
      </c>
      <c r="C73" s="384" t="s">
        <v>4628</v>
      </c>
      <c r="D73" s="383"/>
      <c r="E73" s="1" t="s">
        <v>1249</v>
      </c>
      <c r="F73" s="243">
        <f t="shared" ref="F73" si="36">K73</f>
        <v>138230.39999999999</v>
      </c>
      <c r="G73" s="235">
        <f>(23000)+(9300*2)+(18400*3)</f>
        <v>96800</v>
      </c>
      <c r="H73" s="125">
        <v>1.19</v>
      </c>
      <c r="I73" s="56">
        <f t="shared" si="2"/>
        <v>115192</v>
      </c>
      <c r="J73" s="125">
        <v>1.2</v>
      </c>
      <c r="K73" s="235">
        <f t="shared" si="1"/>
        <v>138230.39999999999</v>
      </c>
      <c r="L73" s="123">
        <f ca="1">SUMIF(APU!A:B,'Materiales '!C71,APU!I:I)</f>
        <v>0</v>
      </c>
    </row>
    <row r="74" spans="2:12">
      <c r="B74" s="238">
        <f>B72+1</f>
        <v>53</v>
      </c>
      <c r="C74" s="384" t="s">
        <v>4468</v>
      </c>
      <c r="D74" s="383">
        <v>971</v>
      </c>
      <c r="E74" s="1" t="s">
        <v>1249</v>
      </c>
      <c r="F74" s="243">
        <f t="shared" si="0"/>
        <v>45838.799999999996</v>
      </c>
      <c r="G74" s="235">
        <v>32100</v>
      </c>
      <c r="H74" s="125">
        <v>1.19</v>
      </c>
      <c r="I74" s="56">
        <f t="shared" si="2"/>
        <v>38199</v>
      </c>
      <c r="J74" s="125">
        <v>1.2</v>
      </c>
      <c r="K74" s="235">
        <f t="shared" si="1"/>
        <v>45838.799999999996</v>
      </c>
      <c r="L74" s="123">
        <f ca="1">SUMIF(APU!A:B,'Materiales '!C72,APU!I:I)</f>
        <v>0</v>
      </c>
    </row>
    <row r="75" spans="2:12">
      <c r="B75" s="238">
        <f t="shared" si="3"/>
        <v>54</v>
      </c>
      <c r="C75" s="384" t="s">
        <v>4469</v>
      </c>
      <c r="D75" s="383">
        <v>968</v>
      </c>
      <c r="E75" s="1" t="s">
        <v>1249</v>
      </c>
      <c r="F75" s="243">
        <f t="shared" si="0"/>
        <v>19992</v>
      </c>
      <c r="G75" s="235">
        <v>14000</v>
      </c>
      <c r="H75" s="125">
        <v>1.19</v>
      </c>
      <c r="I75" s="56">
        <f t="shared" si="2"/>
        <v>16660</v>
      </c>
      <c r="J75" s="125">
        <v>1.2</v>
      </c>
      <c r="K75" s="235">
        <f t="shared" si="1"/>
        <v>19992</v>
      </c>
      <c r="L75" s="123">
        <f ca="1">SUMIF(APU!A:B,'Materiales '!C74,APU!I:I)</f>
        <v>0</v>
      </c>
    </row>
    <row r="76" spans="2:12">
      <c r="B76" s="238">
        <f t="shared" si="3"/>
        <v>55</v>
      </c>
      <c r="C76" s="384" t="s">
        <v>4470</v>
      </c>
      <c r="D76" s="383">
        <v>1007</v>
      </c>
      <c r="E76" s="1" t="s">
        <v>1249</v>
      </c>
      <c r="F76" s="243">
        <f t="shared" si="0"/>
        <v>3920.5739999999996</v>
      </c>
      <c r="G76" s="235">
        <v>2745.5</v>
      </c>
      <c r="H76" s="125">
        <v>1.19</v>
      </c>
      <c r="I76" s="56">
        <f t="shared" si="2"/>
        <v>3267.145</v>
      </c>
      <c r="J76" s="125">
        <v>1.2</v>
      </c>
      <c r="K76" s="235">
        <f t="shared" si="1"/>
        <v>3920.5739999999996</v>
      </c>
      <c r="L76" s="123">
        <f ca="1">SUMIF(APU!A:B,'Materiales '!C75,APU!I:I)</f>
        <v>0</v>
      </c>
    </row>
    <row r="77" spans="2:12">
      <c r="B77" s="238">
        <f t="shared" si="3"/>
        <v>56</v>
      </c>
      <c r="C77" s="384" t="s">
        <v>4471</v>
      </c>
      <c r="D77" s="383">
        <v>1004</v>
      </c>
      <c r="E77" s="1" t="s">
        <v>1249</v>
      </c>
      <c r="F77" s="243">
        <f t="shared" si="0"/>
        <v>3920.5739999999996</v>
      </c>
      <c r="G77" s="235">
        <v>2745.5</v>
      </c>
      <c r="H77" s="125">
        <v>1.19</v>
      </c>
      <c r="I77" s="56">
        <f t="shared" si="2"/>
        <v>3267.145</v>
      </c>
      <c r="J77" s="125">
        <v>1.2</v>
      </c>
      <c r="K77" s="235">
        <f t="shared" si="1"/>
        <v>3920.5739999999996</v>
      </c>
      <c r="L77" s="123">
        <f ca="1">SUMIF(APU!A:B,'Materiales '!#REF!,APU!I:I)</f>
        <v>0</v>
      </c>
    </row>
    <row r="78" spans="2:12">
      <c r="B78" s="238">
        <f t="shared" si="3"/>
        <v>57</v>
      </c>
      <c r="C78" s="384" t="s">
        <v>4472</v>
      </c>
      <c r="D78" s="383">
        <v>1008</v>
      </c>
      <c r="E78" s="1" t="s">
        <v>1249</v>
      </c>
      <c r="F78" s="243">
        <f t="shared" si="0"/>
        <v>3919.8599999999997</v>
      </c>
      <c r="G78" s="235">
        <v>2745</v>
      </c>
      <c r="H78" s="125">
        <v>1.19</v>
      </c>
      <c r="I78" s="56">
        <f t="shared" si="2"/>
        <v>3266.5499999999997</v>
      </c>
      <c r="J78" s="125">
        <v>1.2</v>
      </c>
      <c r="K78" s="235">
        <f t="shared" si="1"/>
        <v>3919.8599999999997</v>
      </c>
    </row>
    <row r="79" spans="2:12">
      <c r="B79" s="238">
        <f t="shared" si="3"/>
        <v>58</v>
      </c>
      <c r="C79" s="384" t="s">
        <v>4473</v>
      </c>
      <c r="D79" s="383">
        <v>998</v>
      </c>
      <c r="E79" s="1" t="s">
        <v>1249</v>
      </c>
      <c r="F79" s="243">
        <f t="shared" si="0"/>
        <v>24276</v>
      </c>
      <c r="G79" s="235">
        <v>17000</v>
      </c>
      <c r="H79" s="125">
        <v>1.19</v>
      </c>
      <c r="I79" s="56">
        <f t="shared" si="2"/>
        <v>20230</v>
      </c>
      <c r="J79" s="125">
        <v>1.2</v>
      </c>
      <c r="K79" s="235">
        <f t="shared" si="1"/>
        <v>24276</v>
      </c>
      <c r="L79" s="123">
        <f ca="1">SUMIF(APU!A:B,'Materiales '!C81,APU!I:I)</f>
        <v>0</v>
      </c>
    </row>
    <row r="80" spans="2:12">
      <c r="B80" s="238">
        <f t="shared" si="3"/>
        <v>59</v>
      </c>
      <c r="C80" s="382" t="s">
        <v>4474</v>
      </c>
      <c r="D80" s="383">
        <v>7324</v>
      </c>
      <c r="E80" s="1" t="s">
        <v>170</v>
      </c>
      <c r="F80" s="243">
        <f t="shared" si="0"/>
        <v>2064.93084</v>
      </c>
      <c r="G80" s="235">
        <v>1446.03</v>
      </c>
      <c r="H80" s="125">
        <v>1.19</v>
      </c>
      <c r="I80" s="56">
        <f t="shared" si="2"/>
        <v>1720.7756999999999</v>
      </c>
      <c r="J80" s="125">
        <v>1.2</v>
      </c>
      <c r="K80" s="235">
        <f t="shared" si="1"/>
        <v>2064.93084</v>
      </c>
      <c r="L80" s="123">
        <f ca="1">SUMIF(APU!A:B,'Materiales '!C80,APU!I:I)</f>
        <v>1</v>
      </c>
    </row>
    <row r="81" spans="2:12">
      <c r="B81" s="238">
        <f t="shared" si="3"/>
        <v>60</v>
      </c>
      <c r="C81" s="382" t="s">
        <v>4475</v>
      </c>
      <c r="D81" s="383">
        <v>973</v>
      </c>
      <c r="E81" s="1" t="s">
        <v>170</v>
      </c>
      <c r="F81" s="243">
        <f t="shared" si="0"/>
        <v>2499</v>
      </c>
      <c r="G81" s="235">
        <v>1750</v>
      </c>
      <c r="H81" s="125">
        <v>1.19</v>
      </c>
      <c r="I81" s="56">
        <f t="shared" si="2"/>
        <v>2082.5</v>
      </c>
      <c r="J81" s="125">
        <v>1.2</v>
      </c>
      <c r="K81" s="235">
        <f t="shared" si="1"/>
        <v>2499</v>
      </c>
      <c r="L81" s="123">
        <f ca="1">SUMIF(APU!A:B,'Materiales '!C79,APU!I:I)</f>
        <v>0</v>
      </c>
    </row>
    <row r="82" spans="2:12">
      <c r="B82" s="238">
        <f t="shared" si="3"/>
        <v>61</v>
      </c>
      <c r="C82" s="382" t="s">
        <v>4476</v>
      </c>
      <c r="D82" s="383">
        <v>972</v>
      </c>
      <c r="E82" s="1" t="s">
        <v>170</v>
      </c>
      <c r="F82" s="243">
        <f t="shared" si="0"/>
        <v>3732.7919999999995</v>
      </c>
      <c r="G82" s="235">
        <v>2614</v>
      </c>
      <c r="H82" s="125">
        <v>1.19</v>
      </c>
      <c r="I82" s="56">
        <f t="shared" si="2"/>
        <v>3110.66</v>
      </c>
      <c r="J82" s="125">
        <v>1.2</v>
      </c>
      <c r="K82" s="235">
        <f t="shared" si="1"/>
        <v>3732.7919999999995</v>
      </c>
      <c r="L82" s="123">
        <f ca="1">SUMIF(APU!A:B,'Materiales '!C78,APU!I:I)</f>
        <v>0</v>
      </c>
    </row>
    <row r="83" spans="2:12">
      <c r="B83" s="238">
        <f t="shared" si="3"/>
        <v>62</v>
      </c>
      <c r="C83" s="384" t="s">
        <v>4477</v>
      </c>
      <c r="D83" s="383">
        <v>5360</v>
      </c>
      <c r="E83" s="1" t="s">
        <v>4128</v>
      </c>
      <c r="F83" s="243">
        <f t="shared" si="0"/>
        <v>16850.399999999998</v>
      </c>
      <c r="G83" s="235">
        <v>11800</v>
      </c>
      <c r="H83" s="125">
        <v>1.19</v>
      </c>
      <c r="I83" s="56">
        <f t="shared" si="2"/>
        <v>14042</v>
      </c>
      <c r="J83" s="125">
        <v>1.2</v>
      </c>
      <c r="K83" s="235">
        <f t="shared" ref="K83:K149" si="37">J83*I83</f>
        <v>16850.399999999998</v>
      </c>
      <c r="L83" s="123">
        <f ca="1">SUMIF(APU!A:B,'Materiales '!C76,APU!I:I)</f>
        <v>0</v>
      </c>
    </row>
    <row r="84" spans="2:12">
      <c r="B84" s="238">
        <f t="shared" si="3"/>
        <v>63</v>
      </c>
      <c r="C84" s="384" t="s">
        <v>4478</v>
      </c>
      <c r="D84" s="383">
        <v>6740</v>
      </c>
      <c r="E84" s="1" t="s">
        <v>4128</v>
      </c>
      <c r="F84" s="243">
        <f t="shared" si="0"/>
        <v>17207.399999999998</v>
      </c>
      <c r="G84" s="235">
        <v>12050</v>
      </c>
      <c r="H84" s="125">
        <v>1.19</v>
      </c>
      <c r="I84" s="56">
        <f t="shared" ref="I84:I150" si="38">H84*G84</f>
        <v>14339.5</v>
      </c>
      <c r="J84" s="125">
        <v>1.2</v>
      </c>
      <c r="K84" s="235">
        <f t="shared" si="37"/>
        <v>17207.399999999998</v>
      </c>
      <c r="L84" s="123">
        <f ca="1">SUMIF(APU!A:B,'Materiales '!C82,APU!I:I)</f>
        <v>0</v>
      </c>
    </row>
    <row r="85" spans="2:12">
      <c r="B85" s="238">
        <f t="shared" si="3"/>
        <v>64</v>
      </c>
      <c r="C85" s="382" t="s">
        <v>4479</v>
      </c>
      <c r="D85" s="383">
        <v>9607</v>
      </c>
      <c r="E85" s="1" t="s">
        <v>4128</v>
      </c>
      <c r="F85" s="243">
        <f t="shared" si="0"/>
        <v>18421.2</v>
      </c>
      <c r="G85" s="235">
        <v>12900</v>
      </c>
      <c r="H85" s="125">
        <v>1.19</v>
      </c>
      <c r="I85" s="56">
        <f t="shared" si="38"/>
        <v>15351</v>
      </c>
      <c r="J85" s="125">
        <v>1.2</v>
      </c>
      <c r="K85" s="235">
        <f t="shared" si="37"/>
        <v>18421.2</v>
      </c>
      <c r="L85" s="123">
        <f ca="1">SUMIF(APU!A:B,'Materiales '!C83,APU!I:I)</f>
        <v>0</v>
      </c>
    </row>
    <row r="86" spans="2:12">
      <c r="B86" s="238">
        <f t="shared" si="3"/>
        <v>65</v>
      </c>
      <c r="C86" s="382" t="s">
        <v>4480</v>
      </c>
      <c r="D86" s="383">
        <v>9604</v>
      </c>
      <c r="E86" s="1" t="s">
        <v>4128</v>
      </c>
      <c r="F86" s="243">
        <f t="shared" ref="F86:F196" si="39">K86</f>
        <v>19106.64</v>
      </c>
      <c r="G86" s="235">
        <v>13380</v>
      </c>
      <c r="H86" s="125">
        <v>1.19</v>
      </c>
      <c r="I86" s="56">
        <f t="shared" si="38"/>
        <v>15922.199999999999</v>
      </c>
      <c r="J86" s="125">
        <v>1.2</v>
      </c>
      <c r="K86" s="235">
        <f t="shared" si="37"/>
        <v>19106.64</v>
      </c>
      <c r="L86" s="123">
        <f ca="1">SUMIF(APU!A:B,'Materiales '!C84,APU!I:I)</f>
        <v>0</v>
      </c>
    </row>
    <row r="87" spans="2:12">
      <c r="B87" s="238">
        <f t="shared" si="3"/>
        <v>66</v>
      </c>
      <c r="C87" s="382" t="s">
        <v>4481</v>
      </c>
      <c r="D87" s="383">
        <v>1124</v>
      </c>
      <c r="E87" s="1" t="s">
        <v>4128</v>
      </c>
      <c r="F87" s="243">
        <f t="shared" si="39"/>
        <v>19128.059999999998</v>
      </c>
      <c r="G87" s="235">
        <v>13395</v>
      </c>
      <c r="H87" s="125">
        <v>1.19</v>
      </c>
      <c r="I87" s="56">
        <f t="shared" si="38"/>
        <v>15940.05</v>
      </c>
      <c r="J87" s="125">
        <v>1.2</v>
      </c>
      <c r="K87" s="235">
        <f t="shared" si="37"/>
        <v>19128.059999999998</v>
      </c>
      <c r="L87" s="123">
        <f ca="1">SUMIF(APU!A:B,'Materiales '!C85,APU!I:I)</f>
        <v>3.5</v>
      </c>
    </row>
    <row r="88" spans="2:12">
      <c r="B88" s="238">
        <f t="shared" ref="B88:B197" si="40">B87+1</f>
        <v>67</v>
      </c>
      <c r="C88" s="382" t="s">
        <v>4482</v>
      </c>
      <c r="D88" s="383">
        <v>7446</v>
      </c>
      <c r="E88" s="1" t="s">
        <v>4128</v>
      </c>
      <c r="F88" s="243">
        <f t="shared" si="39"/>
        <v>19278</v>
      </c>
      <c r="G88" s="235">
        <v>13500</v>
      </c>
      <c r="H88" s="125">
        <v>1.19</v>
      </c>
      <c r="I88" s="56">
        <f t="shared" si="38"/>
        <v>16065</v>
      </c>
      <c r="J88" s="125">
        <v>1.2</v>
      </c>
      <c r="K88" s="235">
        <f t="shared" si="37"/>
        <v>19278</v>
      </c>
      <c r="L88" s="123">
        <f ca="1">SUMIF(APU!A:B,'Materiales '!#REF!,APU!I:I)</f>
        <v>0</v>
      </c>
    </row>
    <row r="89" spans="2:12">
      <c r="B89" s="238">
        <f t="shared" si="40"/>
        <v>68</v>
      </c>
      <c r="C89" s="382" t="s">
        <v>4483</v>
      </c>
      <c r="D89" s="383">
        <v>1125</v>
      </c>
      <c r="E89" s="1" t="s">
        <v>4128</v>
      </c>
      <c r="F89" s="243">
        <f t="shared" si="39"/>
        <v>21277.200000000001</v>
      </c>
      <c r="G89" s="235">
        <v>14900</v>
      </c>
      <c r="H89" s="125">
        <v>1.19</v>
      </c>
      <c r="I89" s="56">
        <f t="shared" si="38"/>
        <v>17731</v>
      </c>
      <c r="J89" s="125">
        <v>1.2</v>
      </c>
      <c r="K89" s="235">
        <f t="shared" si="37"/>
        <v>21277.200000000001</v>
      </c>
      <c r="L89" s="123">
        <f ca="1">SUMIF(APU!A:B,'Materiales '!C86,APU!I:I)</f>
        <v>0</v>
      </c>
    </row>
    <row r="90" spans="2:12">
      <c r="B90" s="238">
        <f t="shared" si="40"/>
        <v>69</v>
      </c>
      <c r="C90" s="382" t="s">
        <v>4484</v>
      </c>
      <c r="D90" s="383">
        <v>7447</v>
      </c>
      <c r="E90" s="1" t="s">
        <v>4128</v>
      </c>
      <c r="F90" s="243">
        <f t="shared" si="39"/>
        <v>21705.599999999999</v>
      </c>
      <c r="G90" s="235">
        <v>15200</v>
      </c>
      <c r="H90" s="125">
        <v>1.19</v>
      </c>
      <c r="I90" s="56">
        <f t="shared" si="38"/>
        <v>18088</v>
      </c>
      <c r="J90" s="125">
        <v>1.2</v>
      </c>
      <c r="K90" s="235">
        <f t="shared" si="37"/>
        <v>21705.599999999999</v>
      </c>
      <c r="L90" s="123">
        <f ca="1">SUMIF(APU!A:B,'Materiales '!C87,APU!I:I)</f>
        <v>0</v>
      </c>
    </row>
    <row r="91" spans="2:12">
      <c r="B91" s="238">
        <f t="shared" si="40"/>
        <v>70</v>
      </c>
      <c r="C91" s="382" t="s">
        <v>4485</v>
      </c>
      <c r="D91" s="383">
        <v>1134</v>
      </c>
      <c r="E91" s="1" t="s">
        <v>4128</v>
      </c>
      <c r="F91" s="243">
        <f t="shared" si="39"/>
        <v>33129.599999999999</v>
      </c>
      <c r="G91" s="235">
        <v>23200</v>
      </c>
      <c r="H91" s="125">
        <v>1.19</v>
      </c>
      <c r="I91" s="56">
        <f t="shared" si="38"/>
        <v>27608</v>
      </c>
      <c r="J91" s="125">
        <v>1.2</v>
      </c>
      <c r="K91" s="235">
        <f t="shared" si="37"/>
        <v>33129.599999999999</v>
      </c>
      <c r="L91" s="123">
        <f ca="1">SUMIF(APU!A:B,'Materiales '!C89,APU!I:I)</f>
        <v>0</v>
      </c>
    </row>
    <row r="92" spans="2:12">
      <c r="B92" s="238">
        <f t="shared" si="40"/>
        <v>71</v>
      </c>
      <c r="C92" s="382" t="s">
        <v>4486</v>
      </c>
      <c r="D92" s="383">
        <v>2902</v>
      </c>
      <c r="E92" s="1" t="s">
        <v>4128</v>
      </c>
      <c r="F92" s="243">
        <f t="shared" si="39"/>
        <v>15993.599999999999</v>
      </c>
      <c r="G92" s="235">
        <v>11200</v>
      </c>
      <c r="H92" s="125">
        <v>1.19</v>
      </c>
      <c r="I92" s="56">
        <f t="shared" si="38"/>
        <v>13328</v>
      </c>
      <c r="J92" s="125">
        <v>1.2</v>
      </c>
      <c r="K92" s="235">
        <f t="shared" si="37"/>
        <v>15993.599999999999</v>
      </c>
      <c r="L92" s="123">
        <f ca="1">SUMIF(APU!A:B,'Materiales '!C88,APU!I:I)</f>
        <v>0</v>
      </c>
    </row>
    <row r="93" spans="2:12">
      <c r="B93" s="238">
        <f t="shared" si="40"/>
        <v>72</v>
      </c>
      <c r="C93" s="382" t="s">
        <v>4487</v>
      </c>
      <c r="D93" s="383">
        <v>5633</v>
      </c>
      <c r="E93" s="1" t="s">
        <v>4128</v>
      </c>
      <c r="F93" s="243">
        <f t="shared" si="39"/>
        <v>18421.2</v>
      </c>
      <c r="G93" s="235">
        <v>12900</v>
      </c>
      <c r="H93" s="125">
        <v>1.19</v>
      </c>
      <c r="I93" s="56">
        <f t="shared" si="38"/>
        <v>15351</v>
      </c>
      <c r="J93" s="125">
        <v>1.2</v>
      </c>
      <c r="K93" s="235">
        <f t="shared" si="37"/>
        <v>18421.2</v>
      </c>
      <c r="L93" s="123">
        <f ca="1">SUMIF(APU!A:B,'Materiales '!C90,APU!I:I)</f>
        <v>12</v>
      </c>
    </row>
    <row r="94" spans="2:12">
      <c r="B94" s="238">
        <f t="shared" si="40"/>
        <v>73</v>
      </c>
      <c r="C94" s="382" t="s">
        <v>4488</v>
      </c>
      <c r="D94" s="383">
        <v>6742</v>
      </c>
      <c r="E94" s="1" t="s">
        <v>4128</v>
      </c>
      <c r="F94" s="243">
        <f t="shared" si="39"/>
        <v>12423.6</v>
      </c>
      <c r="G94" s="235">
        <v>8700</v>
      </c>
      <c r="H94" s="125">
        <v>1.19</v>
      </c>
      <c r="I94" s="56">
        <f t="shared" si="38"/>
        <v>10353</v>
      </c>
      <c r="J94" s="125">
        <v>1.2</v>
      </c>
      <c r="K94" s="235">
        <f t="shared" si="37"/>
        <v>12423.6</v>
      </c>
      <c r="L94" s="123">
        <f ca="1">SUMIF(APU!A:B,'Materiales '!C91,APU!I:I)</f>
        <v>2</v>
      </c>
    </row>
    <row r="95" spans="2:12">
      <c r="B95" s="238">
        <f t="shared" si="40"/>
        <v>74</v>
      </c>
      <c r="C95" s="382" t="s">
        <v>4489</v>
      </c>
      <c r="D95" s="383">
        <v>1193</v>
      </c>
      <c r="E95" s="1" t="s">
        <v>4128</v>
      </c>
      <c r="F95" s="243">
        <f t="shared" si="39"/>
        <v>8039.6399999999994</v>
      </c>
      <c r="G95" s="235">
        <v>5630</v>
      </c>
      <c r="H95" s="125">
        <v>1.19</v>
      </c>
      <c r="I95" s="56">
        <f t="shared" si="38"/>
        <v>6699.7</v>
      </c>
      <c r="J95" s="125">
        <v>1.2</v>
      </c>
      <c r="K95" s="235">
        <f t="shared" si="37"/>
        <v>8039.6399999999994</v>
      </c>
      <c r="L95" s="123">
        <f ca="1">SUMIF(APU!A:B,'Materiales '!C94,APU!I:I)</f>
        <v>0</v>
      </c>
    </row>
    <row r="96" spans="2:12">
      <c r="B96" s="238">
        <f t="shared" si="40"/>
        <v>75</v>
      </c>
      <c r="C96" s="382" t="s">
        <v>4490</v>
      </c>
      <c r="D96" s="383">
        <v>6555</v>
      </c>
      <c r="E96" s="1" t="s">
        <v>4128</v>
      </c>
      <c r="F96" s="243">
        <f t="shared" si="39"/>
        <v>1856.3999999999999</v>
      </c>
      <c r="G96" s="235">
        <v>1300</v>
      </c>
      <c r="H96" s="125">
        <v>1.19</v>
      </c>
      <c r="I96" s="56">
        <f t="shared" si="38"/>
        <v>1547</v>
      </c>
      <c r="J96" s="125">
        <v>1.2</v>
      </c>
      <c r="K96" s="235">
        <f t="shared" si="37"/>
        <v>1856.3999999999999</v>
      </c>
      <c r="L96" s="123">
        <f ca="1">SUMIF(APU!A:B,'Materiales '!C92,APU!I:I)</f>
        <v>0</v>
      </c>
    </row>
    <row r="97" spans="2:12">
      <c r="B97" s="238">
        <f t="shared" si="40"/>
        <v>76</v>
      </c>
      <c r="C97" s="382" t="s">
        <v>4491</v>
      </c>
      <c r="D97" s="383">
        <v>1209</v>
      </c>
      <c r="E97" s="1" t="s">
        <v>4128</v>
      </c>
      <c r="F97" s="243">
        <f t="shared" si="39"/>
        <v>2284.7999999999997</v>
      </c>
      <c r="G97" s="235">
        <v>1600</v>
      </c>
      <c r="H97" s="125">
        <v>1.19</v>
      </c>
      <c r="I97" s="56">
        <f t="shared" si="38"/>
        <v>1904</v>
      </c>
      <c r="J97" s="125">
        <v>1.2</v>
      </c>
      <c r="K97" s="235">
        <f t="shared" si="37"/>
        <v>2284.7999999999997</v>
      </c>
      <c r="L97" s="123">
        <f ca="1">SUMIF(APU!A:B,'Materiales '!C93,APU!I:I)</f>
        <v>0</v>
      </c>
    </row>
    <row r="98" spans="2:12">
      <c r="B98" s="238">
        <f t="shared" si="40"/>
        <v>77</v>
      </c>
      <c r="C98" s="384" t="s">
        <v>4492</v>
      </c>
      <c r="D98" s="383">
        <v>6735</v>
      </c>
      <c r="E98" s="1" t="s">
        <v>4128</v>
      </c>
      <c r="F98" s="243">
        <f t="shared" si="39"/>
        <v>32411.315999999999</v>
      </c>
      <c r="G98" s="235">
        <v>22697</v>
      </c>
      <c r="H98" s="125">
        <v>1.19</v>
      </c>
      <c r="I98" s="56">
        <f t="shared" si="38"/>
        <v>27009.43</v>
      </c>
      <c r="J98" s="125">
        <v>1.2</v>
      </c>
      <c r="K98" s="235">
        <f t="shared" si="37"/>
        <v>32411.315999999999</v>
      </c>
      <c r="L98" s="123">
        <f ca="1">SUMIF(APU!A:B,'Materiales '!C95,APU!I:I)</f>
        <v>24</v>
      </c>
    </row>
    <row r="99" spans="2:12">
      <c r="B99" s="238">
        <f t="shared" si="40"/>
        <v>78</v>
      </c>
      <c r="C99" s="384" t="s">
        <v>4493</v>
      </c>
      <c r="D99" s="383">
        <v>1221</v>
      </c>
      <c r="E99" s="1" t="s">
        <v>4128</v>
      </c>
      <c r="F99" s="243">
        <f t="shared" si="39"/>
        <v>232.76399999999998</v>
      </c>
      <c r="G99" s="235">
        <v>163</v>
      </c>
      <c r="H99" s="125">
        <v>1.19</v>
      </c>
      <c r="I99" s="56">
        <f t="shared" si="38"/>
        <v>193.97</v>
      </c>
      <c r="J99" s="125">
        <v>1.2</v>
      </c>
      <c r="K99" s="235">
        <f t="shared" si="37"/>
        <v>232.76399999999998</v>
      </c>
      <c r="L99" s="123">
        <f ca="1">SUMIF(APU!A:B,'Materiales '!C96,APU!I:I)</f>
        <v>0</v>
      </c>
    </row>
    <row r="100" spans="2:12">
      <c r="B100" s="238">
        <f t="shared" si="40"/>
        <v>79</v>
      </c>
      <c r="C100" s="384" t="s">
        <v>4494</v>
      </c>
      <c r="D100" s="383">
        <v>1203</v>
      </c>
      <c r="E100" s="1" t="s">
        <v>4128</v>
      </c>
      <c r="F100" s="243">
        <f t="shared" si="39"/>
        <v>9581.8799999999992</v>
      </c>
      <c r="G100" s="235">
        <v>6710</v>
      </c>
      <c r="H100" s="125">
        <v>1.19</v>
      </c>
      <c r="I100" s="56">
        <f t="shared" si="38"/>
        <v>7984.9</v>
      </c>
      <c r="J100" s="125">
        <v>1.2</v>
      </c>
      <c r="K100" s="235">
        <f t="shared" si="37"/>
        <v>9581.8799999999992</v>
      </c>
      <c r="L100" s="123">
        <f ca="1">SUMIF(APU!A:B,'Materiales '!C97,APU!I:I)</f>
        <v>0</v>
      </c>
    </row>
    <row r="101" spans="2:12">
      <c r="B101" s="238">
        <f t="shared" si="40"/>
        <v>80</v>
      </c>
      <c r="C101" s="384" t="s">
        <v>4495</v>
      </c>
      <c r="D101" s="383">
        <v>1202</v>
      </c>
      <c r="E101" s="1" t="s">
        <v>4128</v>
      </c>
      <c r="F101" s="243">
        <f t="shared" si="39"/>
        <v>6497.4</v>
      </c>
      <c r="G101" s="235">
        <v>4550</v>
      </c>
      <c r="H101" s="125">
        <v>1.19</v>
      </c>
      <c r="I101" s="56">
        <f t="shared" si="38"/>
        <v>5414.5</v>
      </c>
      <c r="J101" s="125">
        <v>1.2</v>
      </c>
      <c r="K101" s="235">
        <f t="shared" si="37"/>
        <v>6497.4</v>
      </c>
      <c r="L101" s="123">
        <f ca="1">SUMIF(APU!A:B,'Materiales '!C98,APU!I:I)</f>
        <v>3</v>
      </c>
    </row>
    <row r="102" spans="2:12">
      <c r="B102" s="238">
        <f t="shared" si="40"/>
        <v>81</v>
      </c>
      <c r="C102" s="384" t="s">
        <v>4496</v>
      </c>
      <c r="D102" s="383">
        <v>1249</v>
      </c>
      <c r="E102" s="1" t="s">
        <v>170</v>
      </c>
      <c r="F102" s="243">
        <f t="shared" si="39"/>
        <v>13566</v>
      </c>
      <c r="G102" s="235">
        <v>9500</v>
      </c>
      <c r="H102" s="125">
        <v>1.19</v>
      </c>
      <c r="I102" s="56">
        <f t="shared" si="38"/>
        <v>11305</v>
      </c>
      <c r="J102" s="125">
        <v>1.2</v>
      </c>
      <c r="K102" s="235">
        <f t="shared" si="37"/>
        <v>13566</v>
      </c>
      <c r="L102" s="123">
        <f ca="1">SUMIF(APU!A:B,'Materiales '!C99,APU!I:I)</f>
        <v>21</v>
      </c>
    </row>
    <row r="103" spans="2:12">
      <c r="B103" s="238">
        <f t="shared" si="40"/>
        <v>82</v>
      </c>
      <c r="C103" s="384" t="s">
        <v>4497</v>
      </c>
      <c r="D103" s="383">
        <v>1251</v>
      </c>
      <c r="E103" s="1" t="s">
        <v>170</v>
      </c>
      <c r="F103" s="243">
        <f t="shared" si="39"/>
        <v>8425.1999999999989</v>
      </c>
      <c r="G103" s="235">
        <v>5900</v>
      </c>
      <c r="H103" s="125">
        <v>1.19</v>
      </c>
      <c r="I103" s="56">
        <f t="shared" si="38"/>
        <v>7021</v>
      </c>
      <c r="J103" s="125">
        <v>1.2</v>
      </c>
      <c r="K103" s="235">
        <f t="shared" si="37"/>
        <v>8425.1999999999989</v>
      </c>
      <c r="L103" s="123">
        <f ca="1">SUMIF(APU!A:B,'Materiales '!C100,APU!I:I)</f>
        <v>2</v>
      </c>
    </row>
    <row r="104" spans="2:12">
      <c r="B104" s="238">
        <f t="shared" si="40"/>
        <v>83</v>
      </c>
      <c r="C104" s="384" t="s">
        <v>4498</v>
      </c>
      <c r="D104" s="383">
        <v>9282</v>
      </c>
      <c r="E104" s="1" t="s">
        <v>4128</v>
      </c>
      <c r="F104" s="243">
        <f t="shared" si="39"/>
        <v>120309</v>
      </c>
      <c r="G104" s="235">
        <v>84250</v>
      </c>
      <c r="H104" s="125">
        <v>1.19</v>
      </c>
      <c r="I104" s="56">
        <f t="shared" si="38"/>
        <v>100257.5</v>
      </c>
      <c r="J104" s="125">
        <v>1.2</v>
      </c>
      <c r="K104" s="235">
        <f t="shared" si="37"/>
        <v>120309</v>
      </c>
      <c r="L104" s="123">
        <f ca="1">SUMIF(APU!A:B,'Materiales '!C101,APU!I:I)</f>
        <v>0</v>
      </c>
    </row>
    <row r="105" spans="2:12">
      <c r="B105" s="238">
        <f t="shared" si="40"/>
        <v>84</v>
      </c>
      <c r="C105" s="384" t="s">
        <v>4499</v>
      </c>
      <c r="D105" s="383">
        <v>1288</v>
      </c>
      <c r="E105" s="1" t="s">
        <v>4128</v>
      </c>
      <c r="F105" s="243">
        <f t="shared" si="39"/>
        <v>198000.05399999997</v>
      </c>
      <c r="G105" s="235">
        <v>138655.5</v>
      </c>
      <c r="H105" s="125">
        <v>1.19</v>
      </c>
      <c r="I105" s="56">
        <f t="shared" si="38"/>
        <v>165000.04499999998</v>
      </c>
      <c r="J105" s="125">
        <v>1.2</v>
      </c>
      <c r="K105" s="235">
        <f t="shared" si="37"/>
        <v>198000.05399999997</v>
      </c>
      <c r="L105" s="123">
        <f ca="1">SUMIF(APU!A:B,'Materiales '!C102,APU!I:I)</f>
        <v>2</v>
      </c>
    </row>
    <row r="106" spans="2:12">
      <c r="B106" s="238">
        <f t="shared" si="40"/>
        <v>85</v>
      </c>
      <c r="C106" s="384" t="s">
        <v>4500</v>
      </c>
      <c r="D106" s="383">
        <v>1163</v>
      </c>
      <c r="E106" s="1" t="s">
        <v>4128</v>
      </c>
      <c r="F106" s="243">
        <f t="shared" si="39"/>
        <v>27417.599999999999</v>
      </c>
      <c r="G106" s="235">
        <v>19200</v>
      </c>
      <c r="H106" s="125">
        <v>1.19</v>
      </c>
      <c r="I106" s="56">
        <f t="shared" si="38"/>
        <v>22848</v>
      </c>
      <c r="J106" s="125">
        <v>1.2</v>
      </c>
      <c r="K106" s="235">
        <f t="shared" si="37"/>
        <v>27417.599999999999</v>
      </c>
      <c r="L106" s="123">
        <f ca="1">SUMIF(APU!A:B,'Materiales '!C103,APU!I:I)</f>
        <v>0</v>
      </c>
    </row>
    <row r="107" spans="2:12">
      <c r="B107" s="238">
        <f t="shared" si="40"/>
        <v>86</v>
      </c>
      <c r="C107" s="384" t="s">
        <v>4501</v>
      </c>
      <c r="D107" s="383">
        <v>1164</v>
      </c>
      <c r="E107" s="1" t="s">
        <v>4128</v>
      </c>
      <c r="F107" s="243">
        <f t="shared" si="39"/>
        <v>27417.599999999999</v>
      </c>
      <c r="G107" s="235">
        <v>19200</v>
      </c>
      <c r="H107" s="125">
        <v>1.19</v>
      </c>
      <c r="I107" s="56">
        <f t="shared" si="38"/>
        <v>22848</v>
      </c>
      <c r="J107" s="125">
        <v>1.2</v>
      </c>
      <c r="K107" s="235">
        <f t="shared" si="37"/>
        <v>27417.599999999999</v>
      </c>
      <c r="L107" s="123">
        <f ca="1">SUMIF(APU!A:B,'Materiales '!C104,APU!I:I)</f>
        <v>1.5</v>
      </c>
    </row>
    <row r="108" spans="2:12">
      <c r="B108" s="238">
        <f t="shared" si="40"/>
        <v>87</v>
      </c>
      <c r="C108" s="384" t="s">
        <v>4502</v>
      </c>
      <c r="D108" s="383">
        <v>5596</v>
      </c>
      <c r="E108" s="1" t="s">
        <v>4128</v>
      </c>
      <c r="F108" s="243">
        <f t="shared" si="39"/>
        <v>27417.599999999999</v>
      </c>
      <c r="G108" s="235">
        <v>19200</v>
      </c>
      <c r="H108" s="125">
        <v>1.19</v>
      </c>
      <c r="I108" s="56">
        <f t="shared" si="38"/>
        <v>22848</v>
      </c>
      <c r="J108" s="125">
        <v>1.2</v>
      </c>
      <c r="K108" s="235">
        <f t="shared" si="37"/>
        <v>27417.599999999999</v>
      </c>
      <c r="L108" s="123">
        <f ca="1">SUMIF(APU!A:B,'Materiales '!C105,APU!I:I)</f>
        <v>1</v>
      </c>
    </row>
    <row r="109" spans="2:12">
      <c r="B109" s="238">
        <f t="shared" si="40"/>
        <v>88</v>
      </c>
      <c r="C109" s="384" t="s">
        <v>4503</v>
      </c>
      <c r="D109" s="383">
        <v>5600</v>
      </c>
      <c r="E109" s="1" t="s">
        <v>4128</v>
      </c>
      <c r="F109" s="243">
        <f t="shared" si="39"/>
        <v>27417.599999999999</v>
      </c>
      <c r="G109" s="235">
        <v>19200</v>
      </c>
      <c r="H109" s="125">
        <v>1.19</v>
      </c>
      <c r="I109" s="56">
        <f t="shared" si="38"/>
        <v>22848</v>
      </c>
      <c r="J109" s="125">
        <v>1.2</v>
      </c>
      <c r="K109" s="235">
        <f t="shared" si="37"/>
        <v>27417.599999999999</v>
      </c>
      <c r="L109" s="123">
        <f ca="1">SUMIF(APU!A:B,'Materiales '!C106,APU!I:I)</f>
        <v>0</v>
      </c>
    </row>
    <row r="110" spans="2:12">
      <c r="B110" s="238">
        <f t="shared" si="40"/>
        <v>89</v>
      </c>
      <c r="C110" s="384" t="s">
        <v>4504</v>
      </c>
      <c r="D110" s="383">
        <v>1167</v>
      </c>
      <c r="E110" s="1" t="s">
        <v>4128</v>
      </c>
      <c r="F110" s="243">
        <f t="shared" si="39"/>
        <v>26179.524000000001</v>
      </c>
      <c r="G110" s="235">
        <v>18333</v>
      </c>
      <c r="H110" s="125">
        <v>1.19</v>
      </c>
      <c r="I110" s="56">
        <f t="shared" si="38"/>
        <v>21816.27</v>
      </c>
      <c r="J110" s="125">
        <v>1.2</v>
      </c>
      <c r="K110" s="235">
        <f t="shared" si="37"/>
        <v>26179.524000000001</v>
      </c>
      <c r="L110" s="123">
        <f ca="1">SUMIF(APU!A:B,'Materiales '!C107,APU!I:I)</f>
        <v>0</v>
      </c>
    </row>
    <row r="111" spans="2:12">
      <c r="B111" s="238">
        <f t="shared" si="40"/>
        <v>90</v>
      </c>
      <c r="C111" s="384" t="s">
        <v>4505</v>
      </c>
      <c r="D111" s="383">
        <v>10299</v>
      </c>
      <c r="E111" s="1" t="s">
        <v>4128</v>
      </c>
      <c r="F111" s="243">
        <f t="shared" si="39"/>
        <v>26179.524000000001</v>
      </c>
      <c r="G111" s="235">
        <v>18333</v>
      </c>
      <c r="H111" s="125">
        <v>1.19</v>
      </c>
      <c r="I111" s="56">
        <f t="shared" si="38"/>
        <v>21816.27</v>
      </c>
      <c r="J111" s="125">
        <v>1.2</v>
      </c>
      <c r="K111" s="235">
        <f t="shared" si="37"/>
        <v>26179.524000000001</v>
      </c>
      <c r="L111" s="123">
        <f ca="1">SUMIF(APU!A:B,'Materiales '!C108,APU!I:I)</f>
        <v>0</v>
      </c>
    </row>
    <row r="112" spans="2:12">
      <c r="B112" s="238">
        <f t="shared" si="40"/>
        <v>91</v>
      </c>
      <c r="C112" s="384" t="s">
        <v>4506</v>
      </c>
      <c r="D112" s="383">
        <v>4397</v>
      </c>
      <c r="E112" s="1" t="s">
        <v>4128</v>
      </c>
      <c r="F112" s="243">
        <f t="shared" si="39"/>
        <v>26179.524000000001</v>
      </c>
      <c r="G112" s="235">
        <v>18333</v>
      </c>
      <c r="H112" s="125">
        <v>1.19</v>
      </c>
      <c r="I112" s="56">
        <f t="shared" si="38"/>
        <v>21816.27</v>
      </c>
      <c r="J112" s="125">
        <v>1.2</v>
      </c>
      <c r="K112" s="235">
        <f t="shared" si="37"/>
        <v>26179.524000000001</v>
      </c>
      <c r="L112" s="123">
        <f ca="1">SUMIF(APU!A:B,'Materiales '!C109,APU!I:I)</f>
        <v>0</v>
      </c>
    </row>
    <row r="113" spans="2:12">
      <c r="B113" s="238">
        <f t="shared" si="40"/>
        <v>92</v>
      </c>
      <c r="C113" s="384" t="s">
        <v>4507</v>
      </c>
      <c r="D113" s="383">
        <v>1180</v>
      </c>
      <c r="E113" s="1" t="s">
        <v>4128</v>
      </c>
      <c r="F113" s="243">
        <f t="shared" si="39"/>
        <v>21420</v>
      </c>
      <c r="G113" s="235">
        <v>15000</v>
      </c>
      <c r="H113" s="125">
        <v>1.19</v>
      </c>
      <c r="I113" s="56">
        <f t="shared" si="38"/>
        <v>17850</v>
      </c>
      <c r="J113" s="125">
        <v>1.2</v>
      </c>
      <c r="K113" s="235">
        <f t="shared" si="37"/>
        <v>21420</v>
      </c>
      <c r="L113" s="123">
        <f ca="1">SUMIF(APU!A:B,'Materiales '!C110,APU!I:I)</f>
        <v>0</v>
      </c>
    </row>
    <row r="114" spans="2:12">
      <c r="B114" s="238">
        <f t="shared" si="40"/>
        <v>93</v>
      </c>
      <c r="C114" s="384" t="s">
        <v>4508</v>
      </c>
      <c r="D114" s="383">
        <v>1182</v>
      </c>
      <c r="E114" s="1" t="s">
        <v>4128</v>
      </c>
      <c r="F114" s="243">
        <f t="shared" si="39"/>
        <v>21420</v>
      </c>
      <c r="G114" s="235">
        <v>15000</v>
      </c>
      <c r="H114" s="125">
        <v>1.19</v>
      </c>
      <c r="I114" s="56">
        <f t="shared" si="38"/>
        <v>17850</v>
      </c>
      <c r="J114" s="125">
        <v>1.2</v>
      </c>
      <c r="K114" s="235">
        <f t="shared" si="37"/>
        <v>21420</v>
      </c>
      <c r="L114" s="123">
        <f ca="1">SUMIF(APU!A:B,'Materiales '!C111,APU!I:I)</f>
        <v>0</v>
      </c>
    </row>
    <row r="115" spans="2:12">
      <c r="B115" s="238">
        <f t="shared" si="40"/>
        <v>94</v>
      </c>
      <c r="C115" s="384" t="s">
        <v>4509</v>
      </c>
      <c r="D115" s="383">
        <v>1181</v>
      </c>
      <c r="E115" s="1" t="s">
        <v>4128</v>
      </c>
      <c r="F115" s="243">
        <f t="shared" si="39"/>
        <v>21420</v>
      </c>
      <c r="G115" s="235">
        <v>15000</v>
      </c>
      <c r="H115" s="125">
        <v>1.19</v>
      </c>
      <c r="I115" s="56">
        <f t="shared" si="38"/>
        <v>17850</v>
      </c>
      <c r="J115" s="125">
        <v>1.2</v>
      </c>
      <c r="K115" s="235">
        <f t="shared" si="37"/>
        <v>21420</v>
      </c>
      <c r="L115" s="123">
        <f ca="1">SUMIF(APU!A:B,'Materiales '!C112,APU!I:I)</f>
        <v>0</v>
      </c>
    </row>
    <row r="116" spans="2:12">
      <c r="B116" s="238">
        <f t="shared" si="40"/>
        <v>95</v>
      </c>
      <c r="C116" s="384" t="s">
        <v>4510</v>
      </c>
      <c r="D116" s="383">
        <v>1170</v>
      </c>
      <c r="E116" s="1" t="s">
        <v>4128</v>
      </c>
      <c r="F116" s="243">
        <f t="shared" si="39"/>
        <v>7568.4</v>
      </c>
      <c r="G116" s="235">
        <v>5300</v>
      </c>
      <c r="H116" s="125">
        <v>1.19</v>
      </c>
      <c r="I116" s="56">
        <f t="shared" si="38"/>
        <v>6307</v>
      </c>
      <c r="J116" s="125">
        <v>1.2</v>
      </c>
      <c r="K116" s="235">
        <f t="shared" si="37"/>
        <v>7568.4</v>
      </c>
      <c r="L116" s="123">
        <f ca="1">SUMIF(APU!A:B,'Materiales '!C113,APU!I:I)</f>
        <v>0</v>
      </c>
    </row>
    <row r="117" spans="2:12">
      <c r="B117" s="238">
        <f t="shared" si="40"/>
        <v>96</v>
      </c>
      <c r="C117" s="384" t="s">
        <v>4511</v>
      </c>
      <c r="D117" s="383">
        <v>1175</v>
      </c>
      <c r="E117" s="1" t="s">
        <v>4128</v>
      </c>
      <c r="F117" s="243">
        <f t="shared" si="39"/>
        <v>7568.4</v>
      </c>
      <c r="G117" s="235">
        <v>5300</v>
      </c>
      <c r="H117" s="125">
        <v>1.19</v>
      </c>
      <c r="I117" s="56">
        <f t="shared" si="38"/>
        <v>6307</v>
      </c>
      <c r="J117" s="125">
        <v>1.2</v>
      </c>
      <c r="K117" s="235">
        <f t="shared" si="37"/>
        <v>7568.4</v>
      </c>
      <c r="L117" s="123">
        <f ca="1">SUMIF(APU!A:B,'Materiales '!C114,APU!I:I)</f>
        <v>0</v>
      </c>
    </row>
    <row r="118" spans="2:12">
      <c r="B118" s="238">
        <f t="shared" si="40"/>
        <v>97</v>
      </c>
      <c r="C118" s="384" t="s">
        <v>4512</v>
      </c>
      <c r="D118" s="383">
        <v>1172</v>
      </c>
      <c r="E118" s="1" t="s">
        <v>4128</v>
      </c>
      <c r="F118" s="243">
        <f t="shared" si="39"/>
        <v>7568.4</v>
      </c>
      <c r="G118" s="245">
        <v>5300</v>
      </c>
      <c r="H118" s="125">
        <v>1.19</v>
      </c>
      <c r="I118" s="56">
        <f t="shared" si="38"/>
        <v>6307</v>
      </c>
      <c r="J118" s="125">
        <v>1.2</v>
      </c>
      <c r="K118" s="235">
        <f t="shared" si="37"/>
        <v>7568.4</v>
      </c>
      <c r="L118" s="123">
        <f ca="1">SUMIF(APU!A:B,'Materiales '!C116,APU!I:I)</f>
        <v>0</v>
      </c>
    </row>
    <row r="119" spans="2:12">
      <c r="B119" s="238">
        <f t="shared" si="40"/>
        <v>98</v>
      </c>
      <c r="C119" s="384" t="s">
        <v>4513</v>
      </c>
      <c r="D119" s="385">
        <v>1185</v>
      </c>
      <c r="E119" s="1" t="s">
        <v>4128</v>
      </c>
      <c r="F119" s="243">
        <f t="shared" si="39"/>
        <v>21420</v>
      </c>
      <c r="G119" s="245">
        <v>15000</v>
      </c>
      <c r="H119" s="125">
        <v>1.19</v>
      </c>
      <c r="I119" s="56">
        <f t="shared" si="38"/>
        <v>17850</v>
      </c>
      <c r="J119" s="125">
        <v>1.2</v>
      </c>
      <c r="K119" s="235">
        <f t="shared" si="37"/>
        <v>21420</v>
      </c>
      <c r="L119" s="123">
        <f ca="1">SUMIF(APU!A:B,'Materiales '!C117,APU!I:I)</f>
        <v>0</v>
      </c>
    </row>
    <row r="120" spans="2:12">
      <c r="B120" s="238">
        <f t="shared" si="40"/>
        <v>99</v>
      </c>
      <c r="C120" s="384" t="s">
        <v>4514</v>
      </c>
      <c r="D120" s="385">
        <v>1587</v>
      </c>
      <c r="E120" s="1" t="s">
        <v>4128</v>
      </c>
      <c r="F120" s="243">
        <f t="shared" si="39"/>
        <v>18706.8</v>
      </c>
      <c r="G120" s="245">
        <v>13100</v>
      </c>
      <c r="H120" s="125">
        <v>1.19</v>
      </c>
      <c r="I120" s="56">
        <f t="shared" si="38"/>
        <v>15589</v>
      </c>
      <c r="J120" s="125">
        <v>1.2</v>
      </c>
      <c r="K120" s="235">
        <f t="shared" si="37"/>
        <v>18706.8</v>
      </c>
      <c r="L120" s="123">
        <f ca="1">SUMIF(APU!A:B,'Materiales '!C115,APU!I:I)</f>
        <v>0</v>
      </c>
    </row>
    <row r="121" spans="2:12">
      <c r="B121" s="238">
        <f t="shared" si="40"/>
        <v>100</v>
      </c>
      <c r="C121" s="384" t="s">
        <v>4515</v>
      </c>
      <c r="D121" s="385">
        <v>8653</v>
      </c>
      <c r="E121" s="1" t="s">
        <v>4128</v>
      </c>
      <c r="F121" s="243">
        <f t="shared" si="39"/>
        <v>4998</v>
      </c>
      <c r="G121" s="245">
        <v>3500</v>
      </c>
      <c r="H121" s="125">
        <v>1.19</v>
      </c>
      <c r="I121" s="56">
        <f t="shared" si="38"/>
        <v>4165</v>
      </c>
      <c r="J121" s="125">
        <v>1.2</v>
      </c>
      <c r="K121" s="235">
        <f t="shared" si="37"/>
        <v>4998</v>
      </c>
      <c r="L121" s="123">
        <f ca="1">SUMIF(APU!A:B,'Materiales '!C118,APU!I:I)</f>
        <v>0</v>
      </c>
    </row>
    <row r="122" spans="2:12">
      <c r="B122" s="238">
        <f>B119+1</f>
        <v>99</v>
      </c>
      <c r="C122" s="384" t="s">
        <v>4711</v>
      </c>
      <c r="D122" s="385"/>
      <c r="E122" s="1" t="s">
        <v>4128</v>
      </c>
      <c r="F122" s="243">
        <f t="shared" si="39"/>
        <v>928.19999999999993</v>
      </c>
      <c r="G122" s="235">
        <v>650</v>
      </c>
      <c r="H122" s="125">
        <v>1.19</v>
      </c>
      <c r="I122" s="56">
        <f t="shared" si="38"/>
        <v>773.5</v>
      </c>
      <c r="J122" s="125">
        <v>1.2</v>
      </c>
      <c r="K122" s="235">
        <f t="shared" si="37"/>
        <v>928.19999999999993</v>
      </c>
      <c r="L122" s="123">
        <f ca="1">SUMIF(APU!A:B,'Materiales '!C117,APU!I:I)</f>
        <v>0</v>
      </c>
    </row>
    <row r="123" spans="2:12">
      <c r="B123" s="238">
        <f>B120+1</f>
        <v>100</v>
      </c>
      <c r="C123" s="384" t="s">
        <v>4708</v>
      </c>
      <c r="D123" s="385"/>
      <c r="E123" s="1" t="s">
        <v>4128</v>
      </c>
      <c r="F123" s="243">
        <f t="shared" ref="F123" si="41">K123</f>
        <v>2356.1999999999998</v>
      </c>
      <c r="G123" s="235">
        <v>1650</v>
      </c>
      <c r="H123" s="125">
        <v>1.19</v>
      </c>
      <c r="I123" s="56">
        <f t="shared" ref="I123" si="42">H123*G123</f>
        <v>1963.5</v>
      </c>
      <c r="J123" s="125">
        <v>1.2</v>
      </c>
      <c r="K123" s="235">
        <f t="shared" ref="K123" si="43">J123*I123</f>
        <v>2356.1999999999998</v>
      </c>
      <c r="L123" s="123">
        <f ca="1">SUMIF(APU!A:B,'Materiales '!C118,APU!I:I)</f>
        <v>0</v>
      </c>
    </row>
    <row r="124" spans="2:12">
      <c r="B124" s="238">
        <f>B121+1</f>
        <v>101</v>
      </c>
      <c r="C124" s="384" t="s">
        <v>4516</v>
      </c>
      <c r="D124" s="385">
        <v>8213</v>
      </c>
      <c r="E124" s="1" t="s">
        <v>4128</v>
      </c>
      <c r="F124" s="243">
        <f t="shared" si="39"/>
        <v>0</v>
      </c>
      <c r="G124" s="235">
        <v>0</v>
      </c>
      <c r="H124" s="125">
        <v>1.19</v>
      </c>
      <c r="I124" s="56">
        <f t="shared" si="38"/>
        <v>0</v>
      </c>
      <c r="J124" s="125">
        <v>1.2</v>
      </c>
      <c r="K124" s="235">
        <f t="shared" si="37"/>
        <v>0</v>
      </c>
      <c r="L124" s="123">
        <f ca="1">SUMIF(APU!A:B,'Materiales '!C119,APU!I:I)</f>
        <v>2</v>
      </c>
    </row>
    <row r="125" spans="2:12">
      <c r="B125" s="238">
        <f t="shared" si="40"/>
        <v>102</v>
      </c>
      <c r="C125" s="384" t="s">
        <v>4517</v>
      </c>
      <c r="D125" s="385">
        <v>7205</v>
      </c>
      <c r="E125" s="1" t="s">
        <v>4128</v>
      </c>
      <c r="F125" s="243">
        <f t="shared" si="39"/>
        <v>0</v>
      </c>
      <c r="G125" s="235">
        <v>0</v>
      </c>
      <c r="H125" s="125">
        <v>1.19</v>
      </c>
      <c r="I125" s="56">
        <f t="shared" si="38"/>
        <v>0</v>
      </c>
      <c r="J125" s="125">
        <v>1.2</v>
      </c>
      <c r="K125" s="235">
        <f t="shared" si="37"/>
        <v>0</v>
      </c>
      <c r="L125" s="123">
        <f ca="1">SUMIF(APU!A:B,'Materiales '!C120,APU!I:I)</f>
        <v>2</v>
      </c>
    </row>
    <row r="126" spans="2:12">
      <c r="B126" s="238">
        <f t="shared" si="40"/>
        <v>103</v>
      </c>
      <c r="C126" s="384" t="s">
        <v>4518</v>
      </c>
      <c r="D126" s="385">
        <v>7207</v>
      </c>
      <c r="E126" s="1" t="s">
        <v>4128</v>
      </c>
      <c r="F126" s="243">
        <f t="shared" si="39"/>
        <v>1173.8159999999998</v>
      </c>
      <c r="G126" s="235">
        <v>822</v>
      </c>
      <c r="H126" s="125">
        <v>1.19</v>
      </c>
      <c r="I126" s="56">
        <f t="shared" si="38"/>
        <v>978.18</v>
      </c>
      <c r="J126" s="125">
        <v>1.2</v>
      </c>
      <c r="K126" s="235">
        <f t="shared" si="37"/>
        <v>1173.8159999999998</v>
      </c>
      <c r="L126" s="123">
        <f ca="1">SUMIF(APU!A:B,'Materiales '!C121,APU!I:I)</f>
        <v>1</v>
      </c>
    </row>
    <row r="127" spans="2:12">
      <c r="B127" s="238">
        <f t="shared" si="40"/>
        <v>104</v>
      </c>
      <c r="C127" s="384" t="s">
        <v>4519</v>
      </c>
      <c r="D127" s="385">
        <v>7203</v>
      </c>
      <c r="E127" s="1" t="s">
        <v>4128</v>
      </c>
      <c r="F127" s="243">
        <f t="shared" si="39"/>
        <v>0</v>
      </c>
      <c r="G127" s="235">
        <v>0</v>
      </c>
      <c r="H127" s="125">
        <v>1.19</v>
      </c>
      <c r="I127" s="56">
        <f t="shared" si="38"/>
        <v>0</v>
      </c>
      <c r="J127" s="125">
        <v>1.2</v>
      </c>
      <c r="K127" s="235">
        <f t="shared" si="37"/>
        <v>0</v>
      </c>
      <c r="L127" s="123">
        <f ca="1">SUMIF(APU!A:B,'Materiales '!C129,APU!I:I)</f>
        <v>1</v>
      </c>
    </row>
    <row r="128" spans="2:12">
      <c r="B128" s="238">
        <f t="shared" si="40"/>
        <v>105</v>
      </c>
      <c r="C128" s="384" t="s">
        <v>4520</v>
      </c>
      <c r="D128" s="385">
        <v>9617</v>
      </c>
      <c r="E128" s="1" t="s">
        <v>4128</v>
      </c>
      <c r="F128" s="243">
        <f t="shared" si="39"/>
        <v>1285.2</v>
      </c>
      <c r="G128" s="235">
        <v>900</v>
      </c>
      <c r="H128" s="125">
        <v>1.19</v>
      </c>
      <c r="I128" s="56">
        <f t="shared" si="38"/>
        <v>1071</v>
      </c>
      <c r="J128" s="125">
        <v>1.2</v>
      </c>
      <c r="K128" s="235">
        <f t="shared" si="37"/>
        <v>1285.2</v>
      </c>
      <c r="L128" s="123">
        <f ca="1">SUMIF(APU!A:B,'Materiales '!C128,APU!I:I)</f>
        <v>0</v>
      </c>
    </row>
    <row r="129" spans="2:12">
      <c r="B129" s="238">
        <f t="shared" si="40"/>
        <v>106</v>
      </c>
      <c r="C129" s="384" t="s">
        <v>4521</v>
      </c>
      <c r="D129" s="385">
        <v>1194</v>
      </c>
      <c r="E129" s="1" t="s">
        <v>4128</v>
      </c>
      <c r="F129" s="243">
        <f t="shared" si="39"/>
        <v>9282</v>
      </c>
      <c r="G129" s="235">
        <v>6500</v>
      </c>
      <c r="H129" s="125">
        <v>1.19</v>
      </c>
      <c r="I129" s="56">
        <f t="shared" si="38"/>
        <v>7735</v>
      </c>
      <c r="J129" s="125">
        <v>1.2</v>
      </c>
      <c r="K129" s="235">
        <f t="shared" si="37"/>
        <v>9282</v>
      </c>
      <c r="L129" s="123">
        <f ca="1">SUMIF(APU!A:B,'Materiales '!C127,APU!I:I)</f>
        <v>0</v>
      </c>
    </row>
    <row r="130" spans="2:12">
      <c r="B130" s="238">
        <f t="shared" si="40"/>
        <v>107</v>
      </c>
      <c r="C130" s="384" t="s">
        <v>4522</v>
      </c>
      <c r="D130" s="385">
        <v>1268</v>
      </c>
      <c r="E130" s="1" t="s">
        <v>4128</v>
      </c>
      <c r="F130" s="243">
        <f t="shared" si="39"/>
        <v>428400</v>
      </c>
      <c r="G130" s="235">
        <v>300000</v>
      </c>
      <c r="H130" s="125">
        <v>1.19</v>
      </c>
      <c r="I130" s="56">
        <f t="shared" si="38"/>
        <v>357000</v>
      </c>
      <c r="J130" s="125">
        <v>1.2</v>
      </c>
      <c r="K130" s="235">
        <f t="shared" si="37"/>
        <v>428400</v>
      </c>
      <c r="L130" s="123">
        <f ca="1">SUMIF(APU!A:B,'Materiales '!C126,APU!I:I)</f>
        <v>0</v>
      </c>
    </row>
    <row r="131" spans="2:12">
      <c r="B131" s="238">
        <f t="shared" si="40"/>
        <v>108</v>
      </c>
      <c r="C131" s="384" t="s">
        <v>4523</v>
      </c>
      <c r="D131" s="385">
        <v>6733</v>
      </c>
      <c r="E131" s="1" t="s">
        <v>4128</v>
      </c>
      <c r="F131" s="243">
        <f t="shared" si="39"/>
        <v>9996</v>
      </c>
      <c r="G131" s="235">
        <v>7000</v>
      </c>
      <c r="H131" s="125">
        <v>1.19</v>
      </c>
      <c r="I131" s="56">
        <f t="shared" si="38"/>
        <v>8330</v>
      </c>
      <c r="J131" s="125">
        <v>1.2</v>
      </c>
      <c r="K131" s="235">
        <f t="shared" si="37"/>
        <v>9996</v>
      </c>
      <c r="L131" s="123">
        <f ca="1">SUMIF(APU!A:B,'Materiales '!C133,APU!I:I)</f>
        <v>0</v>
      </c>
    </row>
    <row r="132" spans="2:12">
      <c r="B132" s="238">
        <f t="shared" si="40"/>
        <v>109</v>
      </c>
      <c r="C132" s="382" t="s">
        <v>4524</v>
      </c>
      <c r="D132" s="385">
        <v>1316</v>
      </c>
      <c r="E132" s="1" t="s">
        <v>4128</v>
      </c>
      <c r="F132" s="243">
        <f t="shared" si="39"/>
        <v>17393.039999999997</v>
      </c>
      <c r="G132" s="235">
        <v>12180</v>
      </c>
      <c r="H132" s="125">
        <v>1.19</v>
      </c>
      <c r="I132" s="56">
        <f t="shared" si="38"/>
        <v>14494.199999999999</v>
      </c>
      <c r="J132" s="125">
        <v>1.2</v>
      </c>
      <c r="K132" s="235">
        <f t="shared" si="37"/>
        <v>17393.039999999997</v>
      </c>
      <c r="L132" s="123">
        <f ca="1">SUMIF(APU!A:B,'Materiales '!C125,APU!I:I)</f>
        <v>0</v>
      </c>
    </row>
    <row r="133" spans="2:12">
      <c r="B133" s="238">
        <f t="shared" si="40"/>
        <v>110</v>
      </c>
      <c r="C133" s="382" t="s">
        <v>4525</v>
      </c>
      <c r="D133" s="385">
        <v>1312</v>
      </c>
      <c r="E133" s="1" t="s">
        <v>4128</v>
      </c>
      <c r="F133" s="243">
        <f t="shared" si="39"/>
        <v>9417.659999999998</v>
      </c>
      <c r="G133" s="235">
        <v>6595</v>
      </c>
      <c r="H133" s="125">
        <v>1.19</v>
      </c>
      <c r="I133" s="56">
        <f t="shared" si="38"/>
        <v>7848.0499999999993</v>
      </c>
      <c r="J133" s="125">
        <v>1.2</v>
      </c>
      <c r="K133" s="235">
        <f t="shared" si="37"/>
        <v>9417.659999999998</v>
      </c>
      <c r="L133" s="123">
        <f ca="1">SUMIF(APU!A:B,'Materiales '!C132,APU!I:I)</f>
        <v>0</v>
      </c>
    </row>
    <row r="134" spans="2:12">
      <c r="B134" s="238">
        <f t="shared" si="40"/>
        <v>111</v>
      </c>
      <c r="C134" s="382" t="s">
        <v>4526</v>
      </c>
      <c r="D134" s="385">
        <v>1314</v>
      </c>
      <c r="E134" s="1" t="s">
        <v>4128</v>
      </c>
      <c r="F134" s="243">
        <f t="shared" si="39"/>
        <v>3697.0919999999996</v>
      </c>
      <c r="G134" s="235">
        <v>2589</v>
      </c>
      <c r="H134" s="125">
        <v>1.19</v>
      </c>
      <c r="I134" s="56">
        <f t="shared" si="38"/>
        <v>3080.91</v>
      </c>
      <c r="J134" s="125">
        <v>1.2</v>
      </c>
      <c r="K134" s="235">
        <f t="shared" si="37"/>
        <v>3697.0919999999996</v>
      </c>
      <c r="L134" s="123">
        <f ca="1">SUMIF(APU!A:B,'Materiales '!C131,APU!I:I)</f>
        <v>0</v>
      </c>
    </row>
    <row r="135" spans="2:12">
      <c r="B135" s="238">
        <f t="shared" si="40"/>
        <v>112</v>
      </c>
      <c r="C135" s="382" t="s">
        <v>4527</v>
      </c>
      <c r="D135" s="385">
        <v>1318</v>
      </c>
      <c r="E135" s="1" t="s">
        <v>4128</v>
      </c>
      <c r="F135" s="243">
        <f t="shared" si="39"/>
        <v>1370.8799999999999</v>
      </c>
      <c r="G135" s="235">
        <v>960</v>
      </c>
      <c r="H135" s="125">
        <v>1.19</v>
      </c>
      <c r="I135" s="56">
        <f t="shared" si="38"/>
        <v>1142.3999999999999</v>
      </c>
      <c r="J135" s="125">
        <v>1.2</v>
      </c>
      <c r="K135" s="235">
        <f t="shared" si="37"/>
        <v>1370.8799999999999</v>
      </c>
      <c r="L135" s="123">
        <f ca="1">SUMIF(APU!A:B,'Materiales '!C130,APU!I:I)</f>
        <v>2</v>
      </c>
    </row>
    <row r="136" spans="2:12">
      <c r="B136" s="238">
        <f t="shared" si="40"/>
        <v>113</v>
      </c>
      <c r="C136" s="382" t="s">
        <v>4528</v>
      </c>
      <c r="D136" s="385">
        <v>9487</v>
      </c>
      <c r="E136" s="1" t="s">
        <v>4128</v>
      </c>
      <c r="F136" s="243">
        <f t="shared" si="39"/>
        <v>148155</v>
      </c>
      <c r="G136" s="235">
        <v>103750</v>
      </c>
      <c r="H136" s="125">
        <v>1.19</v>
      </c>
      <c r="I136" s="56">
        <f t="shared" si="38"/>
        <v>123462.5</v>
      </c>
      <c r="J136" s="125">
        <v>1.2</v>
      </c>
      <c r="K136" s="235">
        <f t="shared" si="37"/>
        <v>148155</v>
      </c>
      <c r="L136" s="123">
        <f ca="1">SUMIF(APU!A:B,'Materiales '!C124,APU!I:I)</f>
        <v>0</v>
      </c>
    </row>
    <row r="137" spans="2:12">
      <c r="B137" s="238">
        <f t="shared" si="40"/>
        <v>114</v>
      </c>
      <c r="C137" s="382" t="s">
        <v>4529</v>
      </c>
      <c r="D137" s="385">
        <v>1549</v>
      </c>
      <c r="E137" s="1" t="s">
        <v>4128</v>
      </c>
      <c r="F137" s="243">
        <f t="shared" si="39"/>
        <v>11424</v>
      </c>
      <c r="G137" s="235">
        <v>8000</v>
      </c>
      <c r="H137" s="125">
        <v>1.19</v>
      </c>
      <c r="I137" s="56">
        <f t="shared" si="38"/>
        <v>9520</v>
      </c>
      <c r="J137" s="125">
        <v>1.2</v>
      </c>
      <c r="K137" s="235">
        <f t="shared" si="37"/>
        <v>11424</v>
      </c>
    </row>
    <row r="138" spans="2:12">
      <c r="B138" s="238">
        <f t="shared" si="40"/>
        <v>115</v>
      </c>
      <c r="C138" s="382" t="s">
        <v>4530</v>
      </c>
      <c r="D138" s="385">
        <v>1550</v>
      </c>
      <c r="E138" s="1" t="s">
        <v>4128</v>
      </c>
      <c r="F138" s="243">
        <f t="shared" si="39"/>
        <v>0</v>
      </c>
      <c r="G138" s="235">
        <v>0</v>
      </c>
      <c r="H138" s="125">
        <v>1.19</v>
      </c>
      <c r="I138" s="56">
        <f t="shared" si="38"/>
        <v>0</v>
      </c>
      <c r="J138" s="125">
        <v>1.2</v>
      </c>
      <c r="K138" s="235">
        <f t="shared" si="37"/>
        <v>0</v>
      </c>
    </row>
    <row r="139" spans="2:12">
      <c r="B139" s="238">
        <f t="shared" si="40"/>
        <v>116</v>
      </c>
      <c r="C139" s="382" t="s">
        <v>4531</v>
      </c>
      <c r="D139" s="267">
        <v>10970</v>
      </c>
      <c r="E139" s="1" t="s">
        <v>4128</v>
      </c>
      <c r="F139" s="243">
        <f t="shared" si="39"/>
        <v>0</v>
      </c>
      <c r="G139" s="235">
        <v>0</v>
      </c>
      <c r="H139" s="125">
        <v>1.19</v>
      </c>
      <c r="I139" s="56">
        <f t="shared" si="38"/>
        <v>0</v>
      </c>
      <c r="J139" s="125">
        <v>1.2</v>
      </c>
      <c r="K139" s="235">
        <f t="shared" si="37"/>
        <v>0</v>
      </c>
    </row>
    <row r="140" spans="2:12">
      <c r="B140" s="238">
        <f t="shared" si="40"/>
        <v>117</v>
      </c>
      <c r="C140" s="384" t="s">
        <v>4214</v>
      </c>
      <c r="D140" s="385">
        <v>1700</v>
      </c>
      <c r="E140" s="1" t="s">
        <v>4128</v>
      </c>
      <c r="F140" s="243">
        <f t="shared" si="39"/>
        <v>22848</v>
      </c>
      <c r="G140" s="235">
        <v>16000</v>
      </c>
      <c r="H140" s="125">
        <v>1.19</v>
      </c>
      <c r="I140" s="56">
        <f t="shared" si="38"/>
        <v>19040</v>
      </c>
      <c r="J140" s="125">
        <v>1.2</v>
      </c>
      <c r="K140" s="235">
        <f t="shared" si="37"/>
        <v>22848</v>
      </c>
    </row>
    <row r="141" spans="2:12">
      <c r="B141" s="238">
        <f t="shared" si="40"/>
        <v>118</v>
      </c>
      <c r="C141" s="386" t="s">
        <v>4532</v>
      </c>
      <c r="D141" s="385">
        <v>1716</v>
      </c>
      <c r="E141" s="1" t="s">
        <v>4128</v>
      </c>
      <c r="F141" s="243">
        <f t="shared" si="39"/>
        <v>14565.6</v>
      </c>
      <c r="G141" s="235">
        <v>10200</v>
      </c>
      <c r="H141" s="125">
        <v>1.19</v>
      </c>
      <c r="I141" s="56">
        <f t="shared" si="38"/>
        <v>12138</v>
      </c>
      <c r="J141" s="125">
        <v>1.2</v>
      </c>
      <c r="K141" s="235">
        <f t="shared" si="37"/>
        <v>14565.6</v>
      </c>
    </row>
    <row r="142" spans="2:12">
      <c r="B142" s="238">
        <f>B140+1</f>
        <v>118</v>
      </c>
      <c r="C142" s="384" t="s">
        <v>4533</v>
      </c>
      <c r="D142" s="385">
        <v>1714</v>
      </c>
      <c r="E142" s="1" t="s">
        <v>4128</v>
      </c>
      <c r="F142" s="243">
        <f t="shared" ref="F142" si="44">K142</f>
        <v>15708</v>
      </c>
      <c r="G142" s="235">
        <v>11000</v>
      </c>
      <c r="H142" s="125">
        <v>1.19</v>
      </c>
      <c r="I142" s="56">
        <f t="shared" ref="I142" si="45">H142*G142</f>
        <v>13090</v>
      </c>
      <c r="J142" s="125">
        <v>1.2</v>
      </c>
      <c r="K142" s="235">
        <f t="shared" ref="K142" si="46">J142*I142</f>
        <v>15708</v>
      </c>
    </row>
    <row r="143" spans="2:12">
      <c r="B143" s="238">
        <f>B141+1</f>
        <v>119</v>
      </c>
      <c r="C143" s="384" t="s">
        <v>4821</v>
      </c>
      <c r="D143" s="385">
        <v>1714</v>
      </c>
      <c r="E143" s="1" t="s">
        <v>4128</v>
      </c>
      <c r="F143" s="243">
        <f t="shared" si="39"/>
        <v>21420</v>
      </c>
      <c r="G143" s="235">
        <v>15000</v>
      </c>
      <c r="H143" s="125">
        <v>1.19</v>
      </c>
      <c r="I143" s="56">
        <f t="shared" si="38"/>
        <v>17850</v>
      </c>
      <c r="J143" s="125">
        <v>1.2</v>
      </c>
      <c r="K143" s="235">
        <f t="shared" si="37"/>
        <v>21420</v>
      </c>
    </row>
    <row r="144" spans="2:12">
      <c r="B144" s="238">
        <f t="shared" si="40"/>
        <v>120</v>
      </c>
      <c r="C144" s="384" t="s">
        <v>4534</v>
      </c>
      <c r="D144" s="385">
        <v>1798</v>
      </c>
      <c r="E144" s="1" t="s">
        <v>4128</v>
      </c>
      <c r="F144" s="243">
        <f t="shared" si="39"/>
        <v>44268</v>
      </c>
      <c r="G144" s="235">
        <v>31000</v>
      </c>
      <c r="H144" s="125">
        <v>1.19</v>
      </c>
      <c r="I144" s="56">
        <f t="shared" si="38"/>
        <v>36890</v>
      </c>
      <c r="J144" s="125">
        <v>1.2</v>
      </c>
      <c r="K144" s="235">
        <f t="shared" si="37"/>
        <v>44268</v>
      </c>
      <c r="L144" s="123">
        <f ca="1">SUMIF(APU!A:B,'Materiales '!C134,APU!I:I)</f>
        <v>0</v>
      </c>
    </row>
    <row r="145" spans="2:12">
      <c r="B145" s="238">
        <f t="shared" si="40"/>
        <v>121</v>
      </c>
      <c r="C145" s="384" t="s">
        <v>4535</v>
      </c>
      <c r="D145" s="385">
        <v>11148</v>
      </c>
      <c r="E145" s="1" t="s">
        <v>4128</v>
      </c>
      <c r="F145" s="243">
        <f t="shared" si="39"/>
        <v>12566.4</v>
      </c>
      <c r="G145" s="235">
        <v>8800</v>
      </c>
      <c r="H145" s="125">
        <v>1.19</v>
      </c>
      <c r="I145" s="56">
        <f t="shared" si="38"/>
        <v>10472</v>
      </c>
      <c r="J145" s="125">
        <v>1.2</v>
      </c>
      <c r="K145" s="235">
        <f t="shared" si="37"/>
        <v>12566.4</v>
      </c>
      <c r="L145" s="123">
        <f ca="1">SUMIF(APU!A:B,'Materiales '!C135,APU!I:I)</f>
        <v>0</v>
      </c>
    </row>
    <row r="146" spans="2:12">
      <c r="B146" s="238">
        <f t="shared" si="40"/>
        <v>122</v>
      </c>
      <c r="C146" s="384" t="s">
        <v>4536</v>
      </c>
      <c r="D146" s="385">
        <v>1811</v>
      </c>
      <c r="E146" s="1" t="s">
        <v>4128</v>
      </c>
      <c r="F146" s="243">
        <f t="shared" si="39"/>
        <v>15599.943239999999</v>
      </c>
      <c r="G146" s="235">
        <v>10924.33</v>
      </c>
      <c r="H146" s="125">
        <v>1.19</v>
      </c>
      <c r="I146" s="56">
        <f t="shared" si="38"/>
        <v>12999.9527</v>
      </c>
      <c r="J146" s="125">
        <v>1.2</v>
      </c>
      <c r="K146" s="235">
        <f t="shared" si="37"/>
        <v>15599.943239999999</v>
      </c>
      <c r="L146" s="123">
        <f ca="1">SUMIF(APU!A:B,'Materiales '!C136,APU!I:I)</f>
        <v>2</v>
      </c>
    </row>
    <row r="147" spans="2:12">
      <c r="B147" s="238">
        <f t="shared" si="40"/>
        <v>123</v>
      </c>
      <c r="C147" s="384" t="s">
        <v>4537</v>
      </c>
      <c r="D147" s="385">
        <v>1837</v>
      </c>
      <c r="E147" s="1" t="s">
        <v>4128</v>
      </c>
      <c r="F147" s="243">
        <f t="shared" si="39"/>
        <v>1587.9359999999999</v>
      </c>
      <c r="G147" s="235">
        <v>1112</v>
      </c>
      <c r="H147" s="125">
        <v>1.19</v>
      </c>
      <c r="I147" s="56">
        <f t="shared" si="38"/>
        <v>1323.28</v>
      </c>
      <c r="J147" s="125">
        <v>1.2</v>
      </c>
      <c r="K147" s="235">
        <f t="shared" si="37"/>
        <v>1587.9359999999999</v>
      </c>
      <c r="L147" s="123">
        <f ca="1">SUMIF(APU!A:B,'Materiales '!C203,APU!I:I)</f>
        <v>0</v>
      </c>
    </row>
    <row r="148" spans="2:12">
      <c r="B148" s="238">
        <f t="shared" si="40"/>
        <v>124</v>
      </c>
      <c r="C148" s="382" t="s">
        <v>4538</v>
      </c>
      <c r="D148" s="385">
        <v>1852</v>
      </c>
      <c r="E148" s="1" t="s">
        <v>4128</v>
      </c>
      <c r="F148" s="243">
        <f t="shared" si="39"/>
        <v>771.12</v>
      </c>
      <c r="G148" s="235">
        <v>540</v>
      </c>
      <c r="H148" s="125">
        <v>1.19</v>
      </c>
      <c r="I148" s="56">
        <f t="shared" si="38"/>
        <v>642.6</v>
      </c>
      <c r="J148" s="125">
        <v>1.2</v>
      </c>
      <c r="K148" s="235">
        <f t="shared" si="37"/>
        <v>771.12</v>
      </c>
      <c r="L148" s="123">
        <f ca="1">SUMIF(APU!A:B,'Materiales '!C200,APU!I:I)</f>
        <v>0</v>
      </c>
    </row>
    <row r="149" spans="2:12">
      <c r="B149" s="238">
        <f t="shared" si="40"/>
        <v>125</v>
      </c>
      <c r="C149" s="382" t="s">
        <v>4539</v>
      </c>
      <c r="D149" s="385">
        <v>6124</v>
      </c>
      <c r="E149" s="1" t="s">
        <v>4128</v>
      </c>
      <c r="F149" s="243">
        <f t="shared" si="39"/>
        <v>505.51199999999994</v>
      </c>
      <c r="G149" s="235">
        <v>354</v>
      </c>
      <c r="H149" s="125">
        <v>1.19</v>
      </c>
      <c r="I149" s="56">
        <f t="shared" si="38"/>
        <v>421.26</v>
      </c>
      <c r="J149" s="125">
        <v>1.2</v>
      </c>
      <c r="K149" s="235">
        <f t="shared" si="37"/>
        <v>505.51199999999994</v>
      </c>
      <c r="L149" s="123">
        <f ca="1">SUMIF(APU!A:B,'Materiales '!C199,APU!I:I)</f>
        <v>0</v>
      </c>
    </row>
    <row r="150" spans="2:12">
      <c r="B150" s="238">
        <f t="shared" si="40"/>
        <v>126</v>
      </c>
      <c r="C150" s="382" t="s">
        <v>4540</v>
      </c>
      <c r="D150" s="385">
        <v>1851</v>
      </c>
      <c r="E150" s="1" t="s">
        <v>4128</v>
      </c>
      <c r="F150" s="243">
        <f t="shared" si="39"/>
        <v>685.43999999999994</v>
      </c>
      <c r="G150" s="235">
        <v>480</v>
      </c>
      <c r="H150" s="125">
        <v>1.19</v>
      </c>
      <c r="I150" s="56">
        <f t="shared" si="38"/>
        <v>571.19999999999993</v>
      </c>
      <c r="J150" s="125">
        <v>1.2</v>
      </c>
      <c r="K150" s="235">
        <f t="shared" ref="K150:K304" si="47">J150*I150</f>
        <v>685.43999999999994</v>
      </c>
      <c r="L150" s="123">
        <f ca="1">SUMIF(APU!A:B,'Materiales '!C204,APU!I:I)</f>
        <v>0</v>
      </c>
    </row>
    <row r="151" spans="2:12">
      <c r="B151" s="238">
        <f t="shared" si="40"/>
        <v>127</v>
      </c>
      <c r="C151" s="382" t="s">
        <v>4541</v>
      </c>
      <c r="D151" s="385">
        <v>1965</v>
      </c>
      <c r="E151" s="1" t="s">
        <v>4128</v>
      </c>
      <c r="F151" s="243">
        <f t="shared" si="39"/>
        <v>217770</v>
      </c>
      <c r="G151" s="235">
        <v>152500</v>
      </c>
      <c r="H151" s="125">
        <v>1.19</v>
      </c>
      <c r="I151" s="56">
        <f t="shared" ref="I151:I306" si="48">H151*G151</f>
        <v>181475</v>
      </c>
      <c r="J151" s="125">
        <v>1.2</v>
      </c>
      <c r="K151" s="235">
        <f t="shared" si="47"/>
        <v>217770</v>
      </c>
      <c r="L151" s="123">
        <f ca="1">SUMIF(APU!A:B,'Materiales '!C205,APU!I:I)</f>
        <v>0</v>
      </c>
    </row>
    <row r="152" spans="2:12">
      <c r="B152" s="238">
        <f>B132+1</f>
        <v>110</v>
      </c>
      <c r="C152" s="394" t="s">
        <v>4669</v>
      </c>
      <c r="D152" s="267"/>
      <c r="E152" s="1" t="s">
        <v>4128</v>
      </c>
      <c r="F152" s="243">
        <f t="shared" si="39"/>
        <v>340714.68717564375</v>
      </c>
      <c r="G152" s="235">
        <v>260286.23924800893</v>
      </c>
      <c r="H152" s="125">
        <v>1.19</v>
      </c>
      <c r="I152" s="56">
        <f t="shared" si="48"/>
        <v>309740.62470513064</v>
      </c>
      <c r="J152" s="125">
        <v>1.1000000000000001</v>
      </c>
      <c r="K152" s="235">
        <f t="shared" si="47"/>
        <v>340714.68717564375</v>
      </c>
      <c r="L152" s="123">
        <f ca="1">SUMIF(APU!A:B,'Materiales '!C160,APU!I:I)</f>
        <v>0</v>
      </c>
    </row>
    <row r="153" spans="2:12">
      <c r="B153" s="238">
        <f>B133+1</f>
        <v>111</v>
      </c>
      <c r="C153" s="394" t="s">
        <v>4670</v>
      </c>
      <c r="D153" s="267"/>
      <c r="E153" s="1" t="s">
        <v>4128</v>
      </c>
      <c r="F153" s="243">
        <f t="shared" si="39"/>
        <v>429517.98330121045</v>
      </c>
      <c r="G153" s="235">
        <v>328126.80160520278</v>
      </c>
      <c r="H153" s="125">
        <v>1.19</v>
      </c>
      <c r="I153" s="56">
        <f t="shared" si="48"/>
        <v>390470.89391019131</v>
      </c>
      <c r="J153" s="125">
        <v>1.1000000000000001</v>
      </c>
      <c r="K153" s="235">
        <f t="shared" si="47"/>
        <v>429517.98330121045</v>
      </c>
      <c r="L153" s="123">
        <f ca="1">SUMIF(APU!A:B,'Materiales '!C161,APU!I:I)</f>
        <v>0</v>
      </c>
    </row>
    <row r="154" spans="2:12">
      <c r="B154" s="238">
        <f>B134+1</f>
        <v>112</v>
      </c>
      <c r="C154" s="394" t="s">
        <v>4671</v>
      </c>
      <c r="D154" s="267"/>
      <c r="E154" s="1" t="s">
        <v>4128</v>
      </c>
      <c r="F154" s="243">
        <f t="shared" ref="F154:F155" si="49">K154</f>
        <v>936965.38973302022</v>
      </c>
      <c r="G154" s="235">
        <v>715787.15793202457</v>
      </c>
      <c r="H154" s="125">
        <v>1.19</v>
      </c>
      <c r="I154" s="56">
        <f t="shared" ref="I154:I155" si="50">H154*G154</f>
        <v>851786.71793910919</v>
      </c>
      <c r="J154" s="125">
        <v>1.1000000000000001</v>
      </c>
      <c r="K154" s="235">
        <f t="shared" ref="K154:K155" si="51">J154*I154</f>
        <v>936965.38973302022</v>
      </c>
      <c r="L154" s="123">
        <f ca="1">SUMIF(APU!A:B,'Materiales '!C162,APU!I:I)</f>
        <v>0</v>
      </c>
    </row>
    <row r="155" spans="2:12">
      <c r="B155" s="238">
        <f>B135+1</f>
        <v>113</v>
      </c>
      <c r="C155" s="394" t="s">
        <v>4672</v>
      </c>
      <c r="D155" s="267"/>
      <c r="E155" s="1" t="s">
        <v>4128</v>
      </c>
      <c r="F155" s="243">
        <f t="shared" si="49"/>
        <v>905974.85169736343</v>
      </c>
      <c r="G155" s="235">
        <v>692112.18617063668</v>
      </c>
      <c r="H155" s="125">
        <v>1.19</v>
      </c>
      <c r="I155" s="56">
        <f t="shared" si="50"/>
        <v>823613.50154305762</v>
      </c>
      <c r="J155" s="125">
        <v>1.1000000000000001</v>
      </c>
      <c r="K155" s="235">
        <f t="shared" si="51"/>
        <v>905974.85169736343</v>
      </c>
      <c r="L155" s="123">
        <f ca="1">SUMIF(APU!A:B,'Materiales '!C163,APU!I:I)</f>
        <v>0</v>
      </c>
    </row>
    <row r="156" spans="2:12">
      <c r="B156" s="238">
        <f>B136+1</f>
        <v>114</v>
      </c>
      <c r="C156" s="394" t="s">
        <v>4673</v>
      </c>
      <c r="D156" s="267"/>
      <c r="E156" s="1" t="s">
        <v>4128</v>
      </c>
      <c r="F156" s="243">
        <f t="shared" si="39"/>
        <v>1884804.6524610082</v>
      </c>
      <c r="G156" s="235">
        <v>1439881.3234996244</v>
      </c>
      <c r="H156" s="125">
        <v>1.19</v>
      </c>
      <c r="I156" s="56">
        <f t="shared" si="48"/>
        <v>1713458.7749645528</v>
      </c>
      <c r="J156" s="125">
        <v>1.1000000000000001</v>
      </c>
      <c r="K156" s="235">
        <f t="shared" si="47"/>
        <v>1884804.6524610082</v>
      </c>
      <c r="L156" s="123">
        <f ca="1">SUMIF(APU!A:B,'Materiales '!C164,APU!I:I)</f>
        <v>0</v>
      </c>
    </row>
    <row r="157" spans="2:12">
      <c r="B157" s="238">
        <f t="shared" ref="B157:B162" si="52">B136+1</f>
        <v>114</v>
      </c>
      <c r="C157" s="394" t="s">
        <v>4794</v>
      </c>
      <c r="D157" s="267"/>
      <c r="E157" s="1" t="s">
        <v>4128</v>
      </c>
      <c r="F157" s="243">
        <f t="shared" ref="F157" si="53">K157</f>
        <v>380585.55482385732</v>
      </c>
      <c r="G157" s="235">
        <f>'Luminarias '!P26</f>
        <v>290745.26724511635</v>
      </c>
      <c r="H157" s="125">
        <v>1.19</v>
      </c>
      <c r="I157" s="56">
        <f t="shared" ref="I157" si="54">H157*G157</f>
        <v>345986.86802168842</v>
      </c>
      <c r="J157" s="125">
        <v>1.1000000000000001</v>
      </c>
      <c r="K157" s="235">
        <f t="shared" ref="K157" si="55">J157*I157</f>
        <v>380585.55482385732</v>
      </c>
      <c r="L157" s="123">
        <f ca="1">SUMIF(APU!A:B,'Materiales '!C164,APU!I:I)</f>
        <v>0</v>
      </c>
    </row>
    <row r="158" spans="2:12">
      <c r="B158" s="238">
        <f t="shared" si="52"/>
        <v>115</v>
      </c>
      <c r="C158" s="394" t="s">
        <v>4674</v>
      </c>
      <c r="D158" s="267"/>
      <c r="E158" s="1" t="s">
        <v>4128</v>
      </c>
      <c r="F158" s="243">
        <f t="shared" si="39"/>
        <v>537531.78838455293</v>
      </c>
      <c r="G158" s="235">
        <v>410643.07745191205</v>
      </c>
      <c r="H158" s="125">
        <v>1.19</v>
      </c>
      <c r="I158" s="56">
        <f t="shared" si="48"/>
        <v>488665.2621677753</v>
      </c>
      <c r="J158" s="125">
        <v>1.1000000000000001</v>
      </c>
      <c r="K158" s="235">
        <f t="shared" si="47"/>
        <v>537531.78838455293</v>
      </c>
      <c r="L158" s="123">
        <f ca="1">SUMIF(APU!A:B,'Materiales '!C165,APU!I:I)</f>
        <v>0</v>
      </c>
    </row>
    <row r="159" spans="2:12">
      <c r="B159" s="238">
        <f t="shared" si="52"/>
        <v>116</v>
      </c>
      <c r="C159" s="394" t="s">
        <v>4675</v>
      </c>
      <c r="D159" s="267"/>
      <c r="E159" s="1" t="s">
        <v>4128</v>
      </c>
      <c r="F159" s="243">
        <f t="shared" ref="F159:F160" si="56">K159</f>
        <v>572690.64440161386</v>
      </c>
      <c r="G159" s="235">
        <v>437502.40214027034</v>
      </c>
      <c r="H159" s="125">
        <v>1.19</v>
      </c>
      <c r="I159" s="56">
        <f t="shared" ref="I159:I160" si="57">H159*G159</f>
        <v>520627.85854692169</v>
      </c>
      <c r="J159" s="125">
        <v>1.1000000000000001</v>
      </c>
      <c r="K159" s="235">
        <f t="shared" ref="K159:K160" si="58">J159*I159</f>
        <v>572690.64440161386</v>
      </c>
      <c r="L159" s="123">
        <f ca="1">SUMIF(APU!A:B,'Materiales '!C166,APU!I:I)</f>
        <v>0</v>
      </c>
    </row>
    <row r="160" spans="2:12">
      <c r="B160" s="238">
        <f t="shared" si="52"/>
        <v>117</v>
      </c>
      <c r="C160" s="394" t="s">
        <v>4676</v>
      </c>
      <c r="D160" s="267"/>
      <c r="E160" s="1" t="s">
        <v>4128</v>
      </c>
      <c r="F160" s="243">
        <f t="shared" si="56"/>
        <v>652432.37969804124</v>
      </c>
      <c r="G160" s="235">
        <v>498420.45813448523</v>
      </c>
      <c r="H160" s="125">
        <v>1.19</v>
      </c>
      <c r="I160" s="56">
        <f t="shared" si="57"/>
        <v>593120.34518003743</v>
      </c>
      <c r="J160" s="125">
        <v>1.1000000000000001</v>
      </c>
      <c r="K160" s="235">
        <f t="shared" si="58"/>
        <v>652432.37969804124</v>
      </c>
      <c r="L160" s="123">
        <f ca="1">SUMIF(APU!A:B,'Materiales '!C167,APU!I:I)</f>
        <v>0</v>
      </c>
    </row>
    <row r="161" spans="2:12">
      <c r="B161" s="238">
        <f t="shared" si="52"/>
        <v>118</v>
      </c>
      <c r="C161" s="394" t="s">
        <v>4677</v>
      </c>
      <c r="D161" s="267"/>
      <c r="E161" s="1" t="s">
        <v>4128</v>
      </c>
      <c r="F161" s="243">
        <f t="shared" si="39"/>
        <v>728549.49066281272</v>
      </c>
      <c r="G161" s="235">
        <v>556569.51158350857</v>
      </c>
      <c r="H161" s="125">
        <v>1.19</v>
      </c>
      <c r="I161" s="56">
        <f t="shared" si="48"/>
        <v>662317.71878437512</v>
      </c>
      <c r="J161" s="125">
        <v>1.1000000000000001</v>
      </c>
      <c r="K161" s="235">
        <f t="shared" si="47"/>
        <v>728549.49066281272</v>
      </c>
      <c r="L161" s="123">
        <f ca="1">SUMIF(APU!A:B,'Materiales '!C168,APU!I:I)</f>
        <v>0</v>
      </c>
    </row>
    <row r="162" spans="2:12">
      <c r="B162" s="238">
        <f t="shared" si="52"/>
        <v>119</v>
      </c>
      <c r="C162" s="394" t="s">
        <v>4678</v>
      </c>
      <c r="D162" s="267"/>
      <c r="E162" s="1" t="s">
        <v>4128</v>
      </c>
      <c r="F162" s="243">
        <f t="shared" si="39"/>
        <v>1103698.1089891864</v>
      </c>
      <c r="G162" s="235">
        <v>843161.27501083759</v>
      </c>
      <c r="H162" s="125">
        <v>1.19</v>
      </c>
      <c r="I162" s="56">
        <f t="shared" si="48"/>
        <v>1003361.9172628967</v>
      </c>
      <c r="J162" s="125">
        <v>1.1000000000000001</v>
      </c>
      <c r="K162" s="235">
        <f t="shared" si="47"/>
        <v>1103698.1089891864</v>
      </c>
      <c r="L162" s="123">
        <f ca="1">SUMIF(APU!A:B,'Materiales '!C172,APU!I:I)</f>
        <v>0</v>
      </c>
    </row>
    <row r="163" spans="2:12">
      <c r="B163" s="238">
        <f t="shared" ref="B163:B168" si="59">B143+1</f>
        <v>120</v>
      </c>
      <c r="C163" s="394" t="s">
        <v>4679</v>
      </c>
      <c r="D163" s="267"/>
      <c r="E163" s="1" t="s">
        <v>4128</v>
      </c>
      <c r="F163" s="243">
        <f t="shared" ref="F163:F164" si="60">K163</f>
        <v>1178002.9077881298</v>
      </c>
      <c r="G163" s="235">
        <v>899925.82718726492</v>
      </c>
      <c r="H163" s="125">
        <v>1.19</v>
      </c>
      <c r="I163" s="56">
        <f t="shared" ref="I163:I164" si="61">H163*G163</f>
        <v>1070911.7343528452</v>
      </c>
      <c r="J163" s="125">
        <v>1.1000000000000001</v>
      </c>
      <c r="K163" s="235">
        <f t="shared" ref="K163:K164" si="62">J163*I163</f>
        <v>1178002.9077881298</v>
      </c>
      <c r="L163" s="123">
        <f ca="1">SUMIF(APU!A:B,'Materiales '!C195,APU!I:I)</f>
        <v>1</v>
      </c>
    </row>
    <row r="164" spans="2:12">
      <c r="B164" s="238">
        <f t="shared" si="59"/>
        <v>121</v>
      </c>
      <c r="C164" s="394" t="s">
        <v>4680</v>
      </c>
      <c r="D164" s="267"/>
      <c r="E164" s="1" t="s">
        <v>4128</v>
      </c>
      <c r="F164" s="243">
        <f t="shared" si="60"/>
        <v>1083762.67516508</v>
      </c>
      <c r="G164" s="235">
        <v>827931.76101228409</v>
      </c>
      <c r="H164" s="125">
        <v>1.19</v>
      </c>
      <c r="I164" s="56">
        <f t="shared" si="61"/>
        <v>985238.79560461803</v>
      </c>
      <c r="J164" s="125">
        <v>1.1000000000000001</v>
      </c>
      <c r="K164" s="235">
        <f t="shared" si="62"/>
        <v>1083762.67516508</v>
      </c>
      <c r="L164" s="123">
        <f ca="1">SUMIF(APU!A:B,'Materiales '!C196,APU!I:I)</f>
        <v>0</v>
      </c>
    </row>
    <row r="165" spans="2:12">
      <c r="B165" s="238">
        <f t="shared" si="59"/>
        <v>122</v>
      </c>
      <c r="C165" s="394" t="s">
        <v>4681</v>
      </c>
      <c r="D165" s="267"/>
      <c r="E165" s="1" t="s">
        <v>4128</v>
      </c>
      <c r="F165" s="243">
        <f t="shared" si="39"/>
        <v>342526.99934147164</v>
      </c>
      <c r="G165" s="235">
        <v>261670.74052060477</v>
      </c>
      <c r="H165" s="125">
        <v>1.19</v>
      </c>
      <c r="I165" s="56">
        <f t="shared" si="48"/>
        <v>311388.18121951964</v>
      </c>
      <c r="J165" s="125">
        <v>1.1000000000000001</v>
      </c>
      <c r="K165" s="235">
        <f t="shared" si="47"/>
        <v>342526.99934147164</v>
      </c>
      <c r="L165" s="123">
        <f ca="1">SUMIF(APU!A:B,'Materiales '!C197,APU!I:I)</f>
        <v>0</v>
      </c>
    </row>
    <row r="166" spans="2:12">
      <c r="B166" s="238">
        <f t="shared" si="59"/>
        <v>123</v>
      </c>
      <c r="C166" s="394" t="s">
        <v>4682</v>
      </c>
      <c r="D166" s="267"/>
      <c r="E166" s="1" t="s">
        <v>4128</v>
      </c>
      <c r="F166" s="243">
        <f t="shared" si="39"/>
        <v>453078.04145697301</v>
      </c>
      <c r="G166" s="235">
        <v>346125.31814894808</v>
      </c>
      <c r="H166" s="125">
        <v>1.19</v>
      </c>
      <c r="I166" s="56">
        <f t="shared" si="48"/>
        <v>411889.12859724817</v>
      </c>
      <c r="J166" s="125">
        <v>1.1000000000000001</v>
      </c>
      <c r="K166" s="235">
        <f t="shared" si="47"/>
        <v>453078.04145697301</v>
      </c>
      <c r="L166" s="123">
        <f ca="1">SUMIF(APU!A:B,'Materiales '!C199,APU!I:I)</f>
        <v>0</v>
      </c>
    </row>
    <row r="167" spans="2:12">
      <c r="B167" s="238">
        <f t="shared" si="59"/>
        <v>124</v>
      </c>
      <c r="C167" s="394" t="s">
        <v>4683</v>
      </c>
      <c r="D167" s="267"/>
      <c r="E167" s="1" t="s">
        <v>4128</v>
      </c>
      <c r="F167" s="243">
        <f t="shared" ref="F167:F171" si="63">K167</f>
        <v>480625.18637755694</v>
      </c>
      <c r="G167" s="235">
        <v>367169.73749240406</v>
      </c>
      <c r="H167" s="125">
        <v>1.19</v>
      </c>
      <c r="I167" s="56">
        <f t="shared" ref="I167:I171" si="64">H167*G167</f>
        <v>436931.98761596082</v>
      </c>
      <c r="J167" s="125">
        <v>1.1000000000000001</v>
      </c>
      <c r="K167" s="235">
        <f t="shared" ref="K167:K171" si="65">J167*I167</f>
        <v>480625.18637755694</v>
      </c>
      <c r="L167" s="123">
        <f ca="1">SUMIF(APU!A:B,'Materiales '!C200,APU!I:I)</f>
        <v>0</v>
      </c>
    </row>
    <row r="168" spans="2:12">
      <c r="B168" s="238">
        <f t="shared" si="59"/>
        <v>125</v>
      </c>
      <c r="C168" s="394" t="s">
        <v>4684</v>
      </c>
      <c r="D168" s="267"/>
      <c r="E168" s="1" t="s">
        <v>4128</v>
      </c>
      <c r="F168" s="243">
        <f t="shared" si="63"/>
        <v>574502.95656744204</v>
      </c>
      <c r="G168" s="235">
        <v>438886.90341286629</v>
      </c>
      <c r="H168" s="125">
        <v>1.19</v>
      </c>
      <c r="I168" s="56">
        <f t="shared" si="64"/>
        <v>522275.41506131086</v>
      </c>
      <c r="J168" s="125">
        <v>1.1000000000000001</v>
      </c>
      <c r="K168" s="235">
        <f t="shared" si="65"/>
        <v>574502.95656744204</v>
      </c>
      <c r="L168" s="123">
        <f ca="1">SUMIF(APU!A:B,'Materiales '!C203,APU!I:I)</f>
        <v>0</v>
      </c>
    </row>
    <row r="169" spans="2:12">
      <c r="B169" s="238">
        <f>B146+1</f>
        <v>123</v>
      </c>
      <c r="C169" s="394" t="s">
        <v>4722</v>
      </c>
      <c r="D169" s="267"/>
      <c r="E169" s="1" t="s">
        <v>4128</v>
      </c>
      <c r="F169" s="243">
        <f t="shared" ref="F169" si="66">K169</f>
        <v>251328.00000000003</v>
      </c>
      <c r="G169" s="235">
        <v>192000</v>
      </c>
      <c r="H169" s="125">
        <v>1.19</v>
      </c>
      <c r="I169" s="56">
        <f t="shared" ref="I169" si="67">H169*G169</f>
        <v>228480</v>
      </c>
      <c r="J169" s="125">
        <v>1.1000000000000001</v>
      </c>
      <c r="K169" s="235">
        <f t="shared" ref="K169" si="68">J169*I169</f>
        <v>251328.00000000003</v>
      </c>
      <c r="L169" s="123">
        <f ca="1">SUMIF(APU!A:B,'Materiales '!C199,APU!I:I)</f>
        <v>0</v>
      </c>
    </row>
    <row r="170" spans="2:12">
      <c r="B170" s="238">
        <f>B147+1</f>
        <v>124</v>
      </c>
      <c r="C170" s="394" t="s">
        <v>4685</v>
      </c>
      <c r="D170" s="267"/>
      <c r="E170" s="1" t="s">
        <v>4128</v>
      </c>
      <c r="F170" s="243">
        <f t="shared" si="63"/>
        <v>245024.60481993106</v>
      </c>
      <c r="G170" s="235">
        <v>187184.57205495116</v>
      </c>
      <c r="H170" s="125">
        <v>1.19</v>
      </c>
      <c r="I170" s="56">
        <f t="shared" si="64"/>
        <v>222749.64074539187</v>
      </c>
      <c r="J170" s="125">
        <v>1.1000000000000001</v>
      </c>
      <c r="K170" s="235">
        <f t="shared" si="65"/>
        <v>245024.60481993106</v>
      </c>
      <c r="L170" s="123">
        <f ca="1">SUMIF(APU!A:B,'Materiales '!C200,APU!I:I)</f>
        <v>0</v>
      </c>
    </row>
    <row r="171" spans="2:12">
      <c r="B171" s="238">
        <f>B148+1</f>
        <v>125</v>
      </c>
      <c r="C171" s="394" t="s">
        <v>4686</v>
      </c>
      <c r="D171" s="267"/>
      <c r="E171" s="1" t="s">
        <v>4128</v>
      </c>
      <c r="F171" s="243">
        <f t="shared" si="63"/>
        <v>283083.16030231677</v>
      </c>
      <c r="G171" s="235">
        <v>216259.09877946277</v>
      </c>
      <c r="H171" s="125">
        <v>1.19</v>
      </c>
      <c r="I171" s="56">
        <f t="shared" si="64"/>
        <v>257348.32754756068</v>
      </c>
      <c r="J171" s="125">
        <v>1.1000000000000001</v>
      </c>
      <c r="K171" s="235">
        <f t="shared" si="65"/>
        <v>283083.16030231677</v>
      </c>
      <c r="L171" s="123">
        <f ca="1">SUMIF(APU!A:B,'Materiales '!C203,APU!I:I)</f>
        <v>0</v>
      </c>
    </row>
    <row r="172" spans="2:12">
      <c r="B172" s="238">
        <f>B149+1</f>
        <v>126</v>
      </c>
      <c r="C172" s="394" t="s">
        <v>4687</v>
      </c>
      <c r="D172" s="267"/>
      <c r="E172" s="1" t="s">
        <v>4128</v>
      </c>
      <c r="F172" s="243">
        <f t="shared" si="39"/>
        <v>306099.5248083311</v>
      </c>
      <c r="G172" s="235">
        <v>233842.26494142937</v>
      </c>
      <c r="H172" s="125">
        <v>1.19</v>
      </c>
      <c r="I172" s="56">
        <f t="shared" si="48"/>
        <v>278272.29528030095</v>
      </c>
      <c r="J172" s="125">
        <v>1.1000000000000001</v>
      </c>
      <c r="K172" s="235">
        <f t="shared" si="47"/>
        <v>306099.5248083311</v>
      </c>
      <c r="L172" s="123">
        <f ca="1">SUMIF(APU!A:B,'Materiales '!C204,APU!I:I)</f>
        <v>0</v>
      </c>
    </row>
    <row r="173" spans="2:12">
      <c r="B173" s="238">
        <f>B144+1</f>
        <v>121</v>
      </c>
      <c r="C173" s="382" t="s">
        <v>4830</v>
      </c>
      <c r="D173" s="267"/>
      <c r="E173" s="1" t="s">
        <v>4128</v>
      </c>
      <c r="F173" s="243">
        <f t="shared" ref="F173" si="69">K173</f>
        <v>340714.68717564375</v>
      </c>
      <c r="G173" s="235">
        <f>'Luminarias '!P3</f>
        <v>260286.23924800893</v>
      </c>
      <c r="H173" s="125">
        <v>1.19</v>
      </c>
      <c r="I173" s="56">
        <f t="shared" ref="I173" si="70">H173*G173</f>
        <v>309740.62470513064</v>
      </c>
      <c r="J173" s="125">
        <v>1.1000000000000001</v>
      </c>
      <c r="K173" s="235">
        <f t="shared" ref="K173" si="71">J173*I173</f>
        <v>340714.68717564375</v>
      </c>
      <c r="L173" s="123">
        <f ca="1">SUMIF(APU!A:B,'Materiales '!C199,APU!I:I)</f>
        <v>0</v>
      </c>
    </row>
    <row r="174" spans="2:12">
      <c r="B174" s="238">
        <f>B145+1</f>
        <v>122</v>
      </c>
      <c r="C174" s="382" t="s">
        <v>4730</v>
      </c>
      <c r="D174" s="267"/>
      <c r="E174" s="1" t="s">
        <v>4128</v>
      </c>
      <c r="F174" s="243">
        <f t="shared" si="39"/>
        <v>306099.5248083311</v>
      </c>
      <c r="G174" s="235">
        <f>'Luminarias '!P21</f>
        <v>233842.26494142937</v>
      </c>
      <c r="H174" s="125">
        <v>1.19</v>
      </c>
      <c r="I174" s="56">
        <f t="shared" si="48"/>
        <v>278272.29528030095</v>
      </c>
      <c r="J174" s="125">
        <v>1.1000000000000001</v>
      </c>
      <c r="K174" s="235">
        <f t="shared" si="47"/>
        <v>306099.5248083311</v>
      </c>
      <c r="L174" s="123">
        <f ca="1">SUMIF(APU!A:B,'Materiales '!C200,APU!I:I)</f>
        <v>0</v>
      </c>
    </row>
    <row r="175" spans="2:12">
      <c r="B175" s="238">
        <f>B145+1</f>
        <v>122</v>
      </c>
      <c r="C175" s="394" t="s">
        <v>4796</v>
      </c>
      <c r="D175" s="267"/>
      <c r="E175" s="1" t="s">
        <v>4128</v>
      </c>
      <c r="F175" s="243">
        <f t="shared" si="39"/>
        <v>380585.55482385732</v>
      </c>
      <c r="G175" s="235">
        <f>'Luminarias '!P26</f>
        <v>290745.26724511635</v>
      </c>
      <c r="H175" s="125">
        <v>1.19</v>
      </c>
      <c r="I175" s="56">
        <f t="shared" si="48"/>
        <v>345986.86802168842</v>
      </c>
      <c r="J175" s="125">
        <v>1.1000000000000001</v>
      </c>
      <c r="K175" s="235">
        <f t="shared" si="47"/>
        <v>380585.55482385732</v>
      </c>
      <c r="L175" s="123">
        <f ca="1">SUMIF(APU!A:B,'Materiales '!C200,APU!I:I)</f>
        <v>0</v>
      </c>
    </row>
    <row r="176" spans="2:12">
      <c r="B176" s="238">
        <f>B146+1</f>
        <v>123</v>
      </c>
      <c r="C176" s="394" t="s">
        <v>4816</v>
      </c>
      <c r="D176" s="267"/>
      <c r="E176" s="1" t="s">
        <v>4128</v>
      </c>
      <c r="F176" s="243">
        <f t="shared" ref="F176:F177" si="72">K176</f>
        <v>426734.00000000006</v>
      </c>
      <c r="G176" s="235">
        <v>326000</v>
      </c>
      <c r="H176" s="125">
        <v>1.19</v>
      </c>
      <c r="I176" s="56">
        <f t="shared" ref="I176:I177" si="73">H176*G176</f>
        <v>387940</v>
      </c>
      <c r="J176" s="125">
        <v>1.1000000000000001</v>
      </c>
      <c r="K176" s="235">
        <f t="shared" ref="K176:K177" si="74">J176*I176</f>
        <v>426734.00000000006</v>
      </c>
      <c r="L176" s="123">
        <f ca="1">SUMIF(APU!A:B,'Materiales '!C201,APU!I:I)</f>
        <v>0</v>
      </c>
    </row>
    <row r="177" spans="2:12">
      <c r="B177" s="238">
        <f>B146+1</f>
        <v>123</v>
      </c>
      <c r="C177" s="382" t="s">
        <v>4827</v>
      </c>
      <c r="D177" s="267"/>
      <c r="E177" s="1" t="s">
        <v>4128</v>
      </c>
      <c r="F177" s="243">
        <f t="shared" si="72"/>
        <v>304468.44385908591</v>
      </c>
      <c r="G177" s="235">
        <f>'Luminarias '!P28</f>
        <v>232596.21379609313</v>
      </c>
      <c r="H177" s="125">
        <v>1.19</v>
      </c>
      <c r="I177" s="56">
        <f t="shared" si="73"/>
        <v>276789.4944173508</v>
      </c>
      <c r="J177" s="125">
        <v>1.1000000000000001</v>
      </c>
      <c r="K177" s="235">
        <f t="shared" si="74"/>
        <v>304468.44385908591</v>
      </c>
      <c r="L177" s="123">
        <f ca="1">SUMIF(APU!A:B,'Materiales '!C201,APU!I:I)</f>
        <v>0</v>
      </c>
    </row>
    <row r="178" spans="2:12">
      <c r="B178" s="238">
        <f>B147+1</f>
        <v>124</v>
      </c>
      <c r="C178" s="382" t="s">
        <v>4731</v>
      </c>
      <c r="D178" s="267"/>
      <c r="E178" s="1" t="s">
        <v>4128</v>
      </c>
      <c r="F178" s="243">
        <f t="shared" si="39"/>
        <v>659681.62836135295</v>
      </c>
      <c r="G178" s="235">
        <f>'Luminarias '!P23</f>
        <v>503958.46322486852</v>
      </c>
      <c r="H178" s="125">
        <v>1.19</v>
      </c>
      <c r="I178" s="56">
        <f t="shared" si="48"/>
        <v>599710.57123759354</v>
      </c>
      <c r="J178" s="125">
        <v>1.1000000000000001</v>
      </c>
      <c r="K178" s="235">
        <f t="shared" si="47"/>
        <v>659681.62836135295</v>
      </c>
      <c r="L178" s="123">
        <f ca="1">SUMIF(APU!A:B,'Materiales '!C202,APU!I:I)</f>
        <v>0</v>
      </c>
    </row>
    <row r="179" spans="2:12">
      <c r="B179" s="238">
        <f>B147+1</f>
        <v>124</v>
      </c>
      <c r="C179" s="394" t="s">
        <v>4787</v>
      </c>
      <c r="D179" s="267"/>
      <c r="E179" s="1" t="s">
        <v>4128</v>
      </c>
      <c r="F179" s="243">
        <f t="shared" si="39"/>
        <v>714050.99333618965</v>
      </c>
      <c r="G179" s="235">
        <f>'Luminarias '!P25</f>
        <v>545493.50140274223</v>
      </c>
      <c r="H179" s="125">
        <v>1.19</v>
      </c>
      <c r="I179" s="56">
        <f t="shared" si="48"/>
        <v>649137.26666926325</v>
      </c>
      <c r="J179" s="125">
        <v>1.1000000000000001</v>
      </c>
      <c r="K179" s="235">
        <f t="shared" si="47"/>
        <v>714050.99333618965</v>
      </c>
      <c r="L179" s="123">
        <f ca="1">SUMIF(APU!A:B,'Materiales '!C202,APU!I:I)</f>
        <v>0</v>
      </c>
    </row>
    <row r="180" spans="2:12">
      <c r="B180" s="238">
        <f>B148+1</f>
        <v>125</v>
      </c>
      <c r="C180" s="394" t="s">
        <v>4732</v>
      </c>
      <c r="D180" s="267"/>
      <c r="E180" s="1" t="s">
        <v>4128</v>
      </c>
      <c r="F180" s="243">
        <f t="shared" ref="F180:F188" si="75">K180</f>
        <v>750297.23665274761</v>
      </c>
      <c r="G180" s="235">
        <f>'Luminarias '!P24</f>
        <v>573183.52685465815</v>
      </c>
      <c r="H180" s="125">
        <v>1.19</v>
      </c>
      <c r="I180" s="56">
        <f t="shared" ref="I180:I188" si="76">H180*G180</f>
        <v>682088.39695704321</v>
      </c>
      <c r="J180" s="125">
        <v>1.1000000000000001</v>
      </c>
      <c r="K180" s="235">
        <f t="shared" ref="K180:K188" si="77">J180*I180</f>
        <v>750297.23665274761</v>
      </c>
      <c r="L180" s="123">
        <f ca="1">SUMIF(APU!A:B,'Materiales '!C203,APU!I:I)</f>
        <v>0</v>
      </c>
    </row>
    <row r="181" spans="2:12">
      <c r="B181" s="238">
        <f>B140+1</f>
        <v>118</v>
      </c>
      <c r="C181" s="399" t="s">
        <v>4762</v>
      </c>
      <c r="D181" s="267"/>
      <c r="E181" s="1" t="s">
        <v>4128</v>
      </c>
      <c r="F181" s="243">
        <f t="shared" ref="F181:F185" si="78">K181</f>
        <v>65450.000000000007</v>
      </c>
      <c r="G181" s="235">
        <v>50000</v>
      </c>
      <c r="H181" s="125">
        <v>1.19</v>
      </c>
      <c r="I181" s="56">
        <f t="shared" ref="I181:I184" si="79">H181*G181</f>
        <v>59500</v>
      </c>
      <c r="J181" s="125">
        <v>1.1000000000000001</v>
      </c>
      <c r="K181" s="235">
        <f t="shared" ref="K181:K184" si="80">J181*I181</f>
        <v>65450.000000000007</v>
      </c>
      <c r="L181" s="123">
        <f ca="1">SUMIF(APU!A:B,'Materiales '!C195,APU!I:I)</f>
        <v>1</v>
      </c>
    </row>
    <row r="182" spans="2:12">
      <c r="B182" s="238">
        <f>B138+1</f>
        <v>116</v>
      </c>
      <c r="C182" s="399" t="s">
        <v>4763</v>
      </c>
      <c r="D182" s="267"/>
      <c r="E182" s="1" t="s">
        <v>4128</v>
      </c>
      <c r="F182" s="243">
        <f t="shared" si="78"/>
        <v>1010580.7250000001</v>
      </c>
      <c r="G182" s="235">
        <v>772025</v>
      </c>
      <c r="H182" s="125">
        <v>1.19</v>
      </c>
      <c r="I182" s="56">
        <f t="shared" si="79"/>
        <v>918709.75</v>
      </c>
      <c r="J182" s="125">
        <v>1.1000000000000001</v>
      </c>
      <c r="K182" s="235">
        <f t="shared" si="80"/>
        <v>1010580.7250000001</v>
      </c>
      <c r="L182" s="123">
        <f ca="1">SUMIF(APU!A:B,'Materiales '!C193,APU!I:I)</f>
        <v>0</v>
      </c>
    </row>
    <row r="183" spans="2:12">
      <c r="B183" s="238">
        <f>B139+1</f>
        <v>117</v>
      </c>
      <c r="C183" s="399" t="s">
        <v>4764</v>
      </c>
      <c r="D183" s="267"/>
      <c r="E183" s="1" t="s">
        <v>4128</v>
      </c>
      <c r="F183" s="243">
        <f t="shared" si="78"/>
        <v>353430</v>
      </c>
      <c r="G183" s="235">
        <v>270000</v>
      </c>
      <c r="H183" s="125">
        <v>1.19</v>
      </c>
      <c r="I183" s="56">
        <f t="shared" si="79"/>
        <v>321300</v>
      </c>
      <c r="J183" s="125">
        <v>1.1000000000000001</v>
      </c>
      <c r="K183" s="235">
        <f t="shared" si="80"/>
        <v>353430</v>
      </c>
      <c r="L183" s="123">
        <f ca="1">SUMIF(APU!A:B,'Materiales '!C194,APU!I:I)</f>
        <v>1</v>
      </c>
    </row>
    <row r="184" spans="2:12">
      <c r="B184" s="238">
        <f>B140+1</f>
        <v>118</v>
      </c>
      <c r="C184" s="399" t="s">
        <v>4765</v>
      </c>
      <c r="D184" s="267"/>
      <c r="E184" s="1" t="s">
        <v>4128</v>
      </c>
      <c r="F184" s="243">
        <f t="shared" si="78"/>
        <v>36652</v>
      </c>
      <c r="G184" s="235">
        <v>28000</v>
      </c>
      <c r="H184" s="125">
        <v>1.19</v>
      </c>
      <c r="I184" s="56">
        <f t="shared" si="79"/>
        <v>33320</v>
      </c>
      <c r="J184" s="125">
        <v>1.1000000000000001</v>
      </c>
      <c r="K184" s="235">
        <f t="shared" si="80"/>
        <v>36652</v>
      </c>
      <c r="L184" s="123">
        <f ca="1">SUMIF(APU!A:B,'Materiales '!C195,APU!I:I)</f>
        <v>1</v>
      </c>
    </row>
    <row r="185" spans="2:12">
      <c r="B185" s="238">
        <f>B145+1</f>
        <v>122</v>
      </c>
      <c r="C185" s="399" t="s">
        <v>4785</v>
      </c>
      <c r="D185" s="267"/>
      <c r="E185" s="1" t="s">
        <v>4128</v>
      </c>
      <c r="F185" s="243">
        <f t="shared" si="78"/>
        <v>111265.00000000001</v>
      </c>
      <c r="G185" s="235">
        <v>85000</v>
      </c>
      <c r="H185" s="125">
        <v>1.19</v>
      </c>
      <c r="I185" s="56">
        <f t="shared" ref="I185" si="81">H185*G185</f>
        <v>101150</v>
      </c>
      <c r="J185" s="125">
        <v>1.1000000000000001</v>
      </c>
      <c r="K185" s="235">
        <f t="shared" ref="K185" si="82">J185*I185</f>
        <v>111265.00000000001</v>
      </c>
      <c r="L185" s="123">
        <f ca="1">SUMIF(APU!A:B,'Materiales '!C196,APU!I:I)</f>
        <v>0</v>
      </c>
    </row>
    <row r="186" spans="2:12">
      <c r="B186" s="238">
        <f>B143+1</f>
        <v>120</v>
      </c>
      <c r="C186" s="399" t="s">
        <v>4767</v>
      </c>
      <c r="D186" s="267"/>
      <c r="E186" s="1" t="s">
        <v>4128</v>
      </c>
      <c r="F186" s="243">
        <f t="shared" si="75"/>
        <v>681989</v>
      </c>
      <c r="G186" s="235">
        <v>521000</v>
      </c>
      <c r="H186" s="125">
        <v>1.19</v>
      </c>
      <c r="I186" s="56">
        <f t="shared" si="76"/>
        <v>619990</v>
      </c>
      <c r="J186" s="125">
        <v>1.1000000000000001</v>
      </c>
      <c r="K186" s="235">
        <f t="shared" si="77"/>
        <v>681989</v>
      </c>
      <c r="L186" s="123">
        <f ca="1">SUMIF(APU!A:B,'Materiales '!C197,APU!I:I)</f>
        <v>0</v>
      </c>
    </row>
    <row r="187" spans="2:12">
      <c r="B187" s="238">
        <f>B144+1</f>
        <v>121</v>
      </c>
      <c r="C187" s="399" t="s">
        <v>4768</v>
      </c>
      <c r="D187" s="267"/>
      <c r="E187" s="1" t="s">
        <v>4128</v>
      </c>
      <c r="F187" s="243">
        <f t="shared" si="75"/>
        <v>731600.10000000009</v>
      </c>
      <c r="G187" s="235">
        <v>558900</v>
      </c>
      <c r="H187" s="125">
        <v>1.19</v>
      </c>
      <c r="I187" s="56">
        <f t="shared" si="76"/>
        <v>665091</v>
      </c>
      <c r="J187" s="125">
        <v>1.1000000000000001</v>
      </c>
      <c r="K187" s="235">
        <f t="shared" si="77"/>
        <v>731600.10000000009</v>
      </c>
      <c r="L187" s="123">
        <f ca="1">SUMIF(APU!A:B,'Materiales '!C199,APU!I:I)</f>
        <v>0</v>
      </c>
    </row>
    <row r="188" spans="2:12">
      <c r="B188" s="238">
        <f>B145+1</f>
        <v>122</v>
      </c>
      <c r="C188" s="399" t="s">
        <v>4769</v>
      </c>
      <c r="D188" s="267"/>
      <c r="E188" s="1" t="s">
        <v>4128</v>
      </c>
      <c r="F188" s="243">
        <f t="shared" si="75"/>
        <v>731600.10000000009</v>
      </c>
      <c r="G188" s="235">
        <v>558900</v>
      </c>
      <c r="H188" s="125">
        <v>1.19</v>
      </c>
      <c r="I188" s="56">
        <f t="shared" si="76"/>
        <v>665091</v>
      </c>
      <c r="J188" s="125">
        <v>1.1000000000000001</v>
      </c>
      <c r="K188" s="235">
        <f t="shared" si="77"/>
        <v>731600.10000000009</v>
      </c>
      <c r="L188" s="123">
        <f ca="1">SUMIF(APU!A:B,'Materiales '!C200,APU!I:I)</f>
        <v>0</v>
      </c>
    </row>
    <row r="189" spans="2:12">
      <c r="B189" s="238">
        <f>B149+1</f>
        <v>126</v>
      </c>
      <c r="C189" s="399" t="s">
        <v>4770</v>
      </c>
      <c r="D189" s="267"/>
      <c r="E189" s="1" t="s">
        <v>4128</v>
      </c>
      <c r="F189" s="243">
        <f t="shared" si="39"/>
        <v>747962.60000000009</v>
      </c>
      <c r="G189" s="235">
        <v>571400</v>
      </c>
      <c r="H189" s="125">
        <v>1.19</v>
      </c>
      <c r="I189" s="56">
        <f t="shared" si="48"/>
        <v>679966</v>
      </c>
      <c r="J189" s="125">
        <v>1.1000000000000001</v>
      </c>
      <c r="K189" s="235">
        <f t="shared" si="47"/>
        <v>747962.60000000009</v>
      </c>
      <c r="L189" s="123">
        <f ca="1">SUMIF(APU!A:B,'Materiales '!C204,APU!I:I)</f>
        <v>0</v>
      </c>
    </row>
    <row r="190" spans="2:12">
      <c r="B190" s="238">
        <f>B147+1</f>
        <v>124</v>
      </c>
      <c r="C190" s="399" t="s">
        <v>4771</v>
      </c>
      <c r="D190" s="267"/>
      <c r="E190" s="1" t="s">
        <v>4128</v>
      </c>
      <c r="F190" s="243">
        <f t="shared" si="39"/>
        <v>731938.60739999998</v>
      </c>
      <c r="G190" s="235">
        <f>81.51*4900*1.4</f>
        <v>559158.6</v>
      </c>
      <c r="H190" s="125">
        <v>1.19</v>
      </c>
      <c r="I190" s="56">
        <f t="shared" si="48"/>
        <v>665398.73399999994</v>
      </c>
      <c r="J190" s="125">
        <v>1.1000000000000001</v>
      </c>
      <c r="K190" s="235">
        <f t="shared" si="47"/>
        <v>731938.60739999998</v>
      </c>
      <c r="L190" s="123">
        <f ca="1">SUMIF(APU!A:B,'Materiales '!C202,APU!I:I)</f>
        <v>0</v>
      </c>
    </row>
    <row r="191" spans="2:12">
      <c r="B191" s="238">
        <f t="shared" ref="B191:B196" si="83">B146+1</f>
        <v>123</v>
      </c>
      <c r="C191" s="399" t="s">
        <v>4836</v>
      </c>
      <c r="D191" s="267"/>
      <c r="E191" s="1" t="s">
        <v>4128</v>
      </c>
      <c r="F191" s="243">
        <f t="shared" ref="F191" si="84">K191</f>
        <v>745318.42</v>
      </c>
      <c r="G191" s="235">
        <f>83*4900*1.4</f>
        <v>569380</v>
      </c>
      <c r="H191" s="125">
        <v>1.19</v>
      </c>
      <c r="I191" s="56">
        <f t="shared" ref="I191" si="85">H191*G191</f>
        <v>677562.2</v>
      </c>
      <c r="J191" s="125">
        <v>1.1000000000000001</v>
      </c>
      <c r="K191" s="235">
        <f t="shared" ref="K191" si="86">J191*I191</f>
        <v>745318.42</v>
      </c>
      <c r="L191" s="123">
        <f ca="1">SUMIF(APU!A:B,'Materiales '!C201,APU!I:I)</f>
        <v>0</v>
      </c>
    </row>
    <row r="192" spans="2:12">
      <c r="B192" s="238">
        <f t="shared" si="83"/>
        <v>124</v>
      </c>
      <c r="C192" s="399" t="s">
        <v>4982</v>
      </c>
      <c r="D192" s="267"/>
      <c r="E192" s="1" t="s">
        <v>4128</v>
      </c>
      <c r="F192" s="243">
        <f t="shared" si="39"/>
        <v>798555.45000000007</v>
      </c>
      <c r="G192" s="235">
        <f>83*4900*1.5</f>
        <v>610050</v>
      </c>
      <c r="H192" s="125">
        <v>1.19</v>
      </c>
      <c r="I192" s="56">
        <f t="shared" si="48"/>
        <v>725959.5</v>
      </c>
      <c r="J192" s="125">
        <v>1.1000000000000001</v>
      </c>
      <c r="K192" s="235">
        <f t="shared" si="47"/>
        <v>798555.45000000007</v>
      </c>
      <c r="L192" s="123">
        <f ca="1">SUMIF(APU!A:B,'Materiales '!C202,APU!I:I)</f>
        <v>0</v>
      </c>
    </row>
    <row r="193" spans="2:12">
      <c r="B193" s="238">
        <f t="shared" si="83"/>
        <v>125</v>
      </c>
      <c r="C193" s="399" t="s">
        <v>4772</v>
      </c>
      <c r="D193" s="267"/>
      <c r="E193" s="1" t="s">
        <v>4128</v>
      </c>
      <c r="F193" s="243">
        <f t="shared" ref="F193" si="87">K193</f>
        <v>853075.3</v>
      </c>
      <c r="G193" s="235">
        <f>95*4900*1.4</f>
        <v>651700</v>
      </c>
      <c r="H193" s="125">
        <v>1.19</v>
      </c>
      <c r="I193" s="56">
        <f t="shared" ref="I193" si="88">H193*G193</f>
        <v>775523</v>
      </c>
      <c r="J193" s="125">
        <v>1.1000000000000001</v>
      </c>
      <c r="K193" s="235">
        <f t="shared" ref="K193" si="89">J193*I193</f>
        <v>853075.3</v>
      </c>
      <c r="L193" s="123">
        <f ca="1">SUMIF(APU!A:B,'Materiales '!C203,APU!I:I)</f>
        <v>0</v>
      </c>
    </row>
    <row r="194" spans="2:12">
      <c r="B194" s="238">
        <f t="shared" si="83"/>
        <v>126</v>
      </c>
      <c r="C194" s="399" t="s">
        <v>4773</v>
      </c>
      <c r="D194" s="267"/>
      <c r="E194" s="1" t="s">
        <v>4128</v>
      </c>
      <c r="F194" s="243">
        <f t="shared" si="39"/>
        <v>987771.4</v>
      </c>
      <c r="G194" s="235">
        <f>110*4900*1.4</f>
        <v>754600</v>
      </c>
      <c r="H194" s="125">
        <v>1.19</v>
      </c>
      <c r="I194" s="56">
        <f t="shared" si="48"/>
        <v>897974</v>
      </c>
      <c r="J194" s="125">
        <v>1.1000000000000001</v>
      </c>
      <c r="K194" s="235">
        <f t="shared" si="47"/>
        <v>987771.4</v>
      </c>
      <c r="L194" s="123">
        <f ca="1">SUMIF(APU!A:B,'Materiales '!C204,APU!I:I)</f>
        <v>0</v>
      </c>
    </row>
    <row r="195" spans="2:12">
      <c r="B195" s="238">
        <f t="shared" si="83"/>
        <v>127</v>
      </c>
      <c r="C195" s="399" t="s">
        <v>4774</v>
      </c>
      <c r="D195" s="267"/>
      <c r="E195" s="1" t="s">
        <v>4128</v>
      </c>
      <c r="F195" s="243">
        <f t="shared" ref="F195" si="90">K195</f>
        <v>1187750.2097999998</v>
      </c>
      <c r="G195" s="235">
        <f>132.27*4900*1.4</f>
        <v>907372.2</v>
      </c>
      <c r="H195" s="125">
        <v>1.19</v>
      </c>
      <c r="I195" s="56">
        <f t="shared" ref="I195" si="91">H195*G195</f>
        <v>1079772.9179999998</v>
      </c>
      <c r="J195" s="125">
        <v>1.1000000000000001</v>
      </c>
      <c r="K195" s="235">
        <f t="shared" ref="K195" si="92">J195*I195</f>
        <v>1187750.2097999998</v>
      </c>
      <c r="L195" s="123">
        <f ca="1">SUMIF(APU!A:B,'Materiales '!C205,APU!I:I)</f>
        <v>0</v>
      </c>
    </row>
    <row r="196" spans="2:12">
      <c r="B196" s="238">
        <f t="shared" si="83"/>
        <v>128</v>
      </c>
      <c r="C196" s="382" t="s">
        <v>4607</v>
      </c>
      <c r="D196" s="267">
        <v>4966</v>
      </c>
      <c r="E196" s="1" t="s">
        <v>4128</v>
      </c>
      <c r="F196" s="243">
        <f t="shared" si="39"/>
        <v>1977146.3250000002</v>
      </c>
      <c r="G196" s="235">
        <v>1510425</v>
      </c>
      <c r="H196" s="125">
        <v>1.19</v>
      </c>
      <c r="I196" s="56">
        <f t="shared" si="48"/>
        <v>1797405.75</v>
      </c>
      <c r="J196" s="125">
        <v>1.1000000000000001</v>
      </c>
      <c r="K196" s="235">
        <f t="shared" si="47"/>
        <v>1977146.3250000002</v>
      </c>
      <c r="L196" s="123">
        <f ca="1">SUMIF(APU!A:B,'Materiales '!C206,APU!I:I)</f>
        <v>1</v>
      </c>
    </row>
    <row r="197" spans="2:12">
      <c r="B197" s="238">
        <f t="shared" si="40"/>
        <v>129</v>
      </c>
      <c r="C197" s="382" t="s">
        <v>4980</v>
      </c>
      <c r="D197" s="267">
        <v>9508</v>
      </c>
      <c r="E197" s="1" t="s">
        <v>4128</v>
      </c>
      <c r="F197" s="243">
        <f t="shared" ref="F197:F315" si="93">K197</f>
        <v>1154538</v>
      </c>
      <c r="G197" s="235">
        <f>120*4900*1.5</f>
        <v>882000</v>
      </c>
      <c r="H197" s="125">
        <v>1.19</v>
      </c>
      <c r="I197" s="56">
        <f t="shared" si="48"/>
        <v>1049580</v>
      </c>
      <c r="J197" s="125">
        <v>1.1000000000000001</v>
      </c>
      <c r="K197" s="235">
        <f t="shared" si="47"/>
        <v>1154538</v>
      </c>
      <c r="L197" s="123">
        <f ca="1">SUMIF(APU!A:B,'Materiales '!C151,APU!I:I)</f>
        <v>0</v>
      </c>
    </row>
    <row r="198" spans="2:12">
      <c r="B198" s="238">
        <f>B196+1</f>
        <v>129</v>
      </c>
      <c r="C198" s="382" t="s">
        <v>4981</v>
      </c>
      <c r="D198" s="267">
        <v>9509</v>
      </c>
      <c r="E198" s="1" t="s">
        <v>4128</v>
      </c>
      <c r="F198" s="243">
        <f t="shared" ref="F198" si="94">K198</f>
        <v>1250749.5</v>
      </c>
      <c r="G198" s="235">
        <f>130*4900*1.5</f>
        <v>955500</v>
      </c>
      <c r="H198" s="125">
        <v>1.19</v>
      </c>
      <c r="I198" s="56">
        <f t="shared" ref="I198" si="95">H198*G198</f>
        <v>1137045</v>
      </c>
      <c r="J198" s="125">
        <v>1.1000000000000001</v>
      </c>
      <c r="K198" s="235">
        <f t="shared" ref="K198" si="96">J198*I198</f>
        <v>1250749.5</v>
      </c>
      <c r="L198" s="123">
        <f ca="1">SUMIF(APU!A:B,'Materiales '!C195,APU!I:I)</f>
        <v>1</v>
      </c>
    </row>
    <row r="199" spans="2:12">
      <c r="B199" s="238">
        <f>B197+1</f>
        <v>130</v>
      </c>
      <c r="C199" s="382" t="s">
        <v>4979</v>
      </c>
      <c r="D199" s="267">
        <v>9509</v>
      </c>
      <c r="E199" s="1" t="s">
        <v>4128</v>
      </c>
      <c r="F199" s="243">
        <f t="shared" si="93"/>
        <v>1443172.5000000002</v>
      </c>
      <c r="G199" s="235">
        <f>150*4900*1.5</f>
        <v>1102500</v>
      </c>
      <c r="H199" s="125">
        <v>1.19</v>
      </c>
      <c r="I199" s="56">
        <f t="shared" si="48"/>
        <v>1311975</v>
      </c>
      <c r="J199" s="125">
        <v>1.1000000000000001</v>
      </c>
      <c r="K199" s="235">
        <f t="shared" si="47"/>
        <v>1443172.5000000002</v>
      </c>
      <c r="L199" s="123">
        <f ca="1">SUMIF(APU!A:B,'Materiales '!C196,APU!I:I)</f>
        <v>0</v>
      </c>
    </row>
    <row r="200" spans="2:12">
      <c r="B200" s="238">
        <f t="shared" ref="B200:B316" si="97">B199+1</f>
        <v>131</v>
      </c>
      <c r="C200" s="382" t="s">
        <v>4608</v>
      </c>
      <c r="D200" s="267">
        <v>5404</v>
      </c>
      <c r="E200" s="1" t="s">
        <v>4128</v>
      </c>
      <c r="F200" s="243">
        <f t="shared" si="93"/>
        <v>1795948.0000000002</v>
      </c>
      <c r="G200" s="235">
        <f>280*4900</f>
        <v>1372000</v>
      </c>
      <c r="H200" s="125">
        <v>1.19</v>
      </c>
      <c r="I200" s="56">
        <f t="shared" si="48"/>
        <v>1632680</v>
      </c>
      <c r="J200" s="125">
        <v>1.1000000000000001</v>
      </c>
      <c r="K200" s="235">
        <f t="shared" si="47"/>
        <v>1795948.0000000002</v>
      </c>
      <c r="L200" s="123">
        <f ca="1">SUMIF(APU!A:B,'Materiales '!C150,APU!I:I)</f>
        <v>0</v>
      </c>
    </row>
    <row r="201" spans="2:12">
      <c r="B201" s="238">
        <f>B197+1</f>
        <v>130</v>
      </c>
      <c r="C201" s="384" t="s">
        <v>4723</v>
      </c>
      <c r="D201" s="385"/>
      <c r="E201" s="1" t="s">
        <v>4128</v>
      </c>
      <c r="F201" s="243">
        <f t="shared" si="93"/>
        <v>353430</v>
      </c>
      <c r="G201" s="235">
        <v>270000</v>
      </c>
      <c r="H201" s="125">
        <v>1.19</v>
      </c>
      <c r="I201" s="56">
        <f t="shared" si="48"/>
        <v>321300</v>
      </c>
      <c r="J201" s="125">
        <v>1.1000000000000001</v>
      </c>
      <c r="K201" s="235">
        <f t="shared" si="47"/>
        <v>353430</v>
      </c>
      <c r="L201" s="123">
        <f ca="1">SUMIF(APU!A:B,'Materiales '!C144,APU!I:I)</f>
        <v>0</v>
      </c>
    </row>
    <row r="202" spans="2:12">
      <c r="B202" s="238">
        <f>B199+1</f>
        <v>131</v>
      </c>
      <c r="C202" s="384" t="s">
        <v>4724</v>
      </c>
      <c r="D202" s="385"/>
      <c r="E202" s="1" t="s">
        <v>4128</v>
      </c>
      <c r="F202" s="243">
        <f t="shared" ref="F202" si="98">K202</f>
        <v>405790.00000000006</v>
      </c>
      <c r="G202" s="235">
        <v>310000</v>
      </c>
      <c r="H202" s="125">
        <v>1.19</v>
      </c>
      <c r="I202" s="56">
        <f t="shared" ref="I202" si="99">H202*G202</f>
        <v>368900</v>
      </c>
      <c r="J202" s="125">
        <v>1.1000000000000001</v>
      </c>
      <c r="K202" s="235">
        <f t="shared" ref="K202" si="100">J202*I202</f>
        <v>405790.00000000006</v>
      </c>
      <c r="L202" s="123">
        <f ca="1">SUMIF(APU!A:B,'Materiales '!C145,APU!I:I)</f>
        <v>0</v>
      </c>
    </row>
    <row r="203" spans="2:12">
      <c r="B203" s="238">
        <f>B200+1</f>
        <v>132</v>
      </c>
      <c r="C203" s="384" t="s">
        <v>4609</v>
      </c>
      <c r="D203" s="385">
        <v>4962</v>
      </c>
      <c r="E203" s="1" t="s">
        <v>4128</v>
      </c>
      <c r="F203" s="243">
        <f t="shared" si="93"/>
        <v>1218679</v>
      </c>
      <c r="G203" s="235">
        <f>190*4900</f>
        <v>931000</v>
      </c>
      <c r="H203" s="125">
        <v>1.19</v>
      </c>
      <c r="I203" s="56">
        <f t="shared" si="48"/>
        <v>1107890</v>
      </c>
      <c r="J203" s="125">
        <v>1.1000000000000001</v>
      </c>
      <c r="K203" s="235">
        <f t="shared" si="47"/>
        <v>1218679</v>
      </c>
      <c r="L203" s="123">
        <f ca="1">SUMIF(APU!A:B,'Materiales '!C146,APU!I:I)</f>
        <v>0</v>
      </c>
    </row>
    <row r="204" spans="2:12">
      <c r="B204" s="238">
        <f t="shared" si="97"/>
        <v>133</v>
      </c>
      <c r="C204" s="384" t="s">
        <v>4610</v>
      </c>
      <c r="D204" s="385">
        <v>5402</v>
      </c>
      <c r="E204" s="1" t="s">
        <v>4128</v>
      </c>
      <c r="F204" s="243">
        <f t="shared" si="93"/>
        <v>1250749.5</v>
      </c>
      <c r="G204" s="235">
        <f>195*4900</f>
        <v>955500</v>
      </c>
      <c r="H204" s="125">
        <v>1.19</v>
      </c>
      <c r="I204" s="56">
        <f t="shared" si="48"/>
        <v>1137045</v>
      </c>
      <c r="J204" s="125">
        <v>1.1000000000000001</v>
      </c>
      <c r="K204" s="235">
        <f t="shared" si="47"/>
        <v>1250749.5</v>
      </c>
      <c r="L204" s="123">
        <f ca="1">SUMIF(APU!A:B,'Materiales '!C149,APU!I:I)</f>
        <v>2</v>
      </c>
    </row>
    <row r="205" spans="2:12">
      <c r="B205" s="238">
        <f t="shared" si="97"/>
        <v>134</v>
      </c>
      <c r="C205" s="384" t="s">
        <v>4611</v>
      </c>
      <c r="D205" s="385">
        <v>4964</v>
      </c>
      <c r="E205" s="1" t="s">
        <v>4128</v>
      </c>
      <c r="F205" s="243">
        <f t="shared" si="93"/>
        <v>10969420</v>
      </c>
      <c r="G205" s="235">
        <f>200*41900</f>
        <v>8380000</v>
      </c>
      <c r="H205" s="125">
        <v>1.19</v>
      </c>
      <c r="I205" s="56">
        <f t="shared" si="48"/>
        <v>9972200</v>
      </c>
      <c r="J205" s="125">
        <v>1.1000000000000001</v>
      </c>
      <c r="K205" s="235">
        <f t="shared" si="47"/>
        <v>10969420</v>
      </c>
      <c r="L205" s="123">
        <f ca="1">SUMIF(APU!A:B,'Materiales '!C148,APU!I:I)</f>
        <v>0</v>
      </c>
    </row>
    <row r="206" spans="2:12">
      <c r="B206" s="238">
        <f t="shared" si="97"/>
        <v>135</v>
      </c>
      <c r="C206" s="384" t="s">
        <v>4542</v>
      </c>
      <c r="D206" s="385">
        <v>5399</v>
      </c>
      <c r="E206" s="1" t="s">
        <v>4128</v>
      </c>
      <c r="F206" s="243">
        <f t="shared" si="93"/>
        <v>3078768.0000000005</v>
      </c>
      <c r="G206" s="235">
        <f>480*4900</f>
        <v>2352000</v>
      </c>
      <c r="H206" s="125">
        <v>1.19</v>
      </c>
      <c r="I206" s="56">
        <f t="shared" si="48"/>
        <v>2798880</v>
      </c>
      <c r="J206" s="125">
        <v>1.1000000000000001</v>
      </c>
      <c r="K206" s="235">
        <f t="shared" si="47"/>
        <v>3078768.0000000005</v>
      </c>
      <c r="L206" s="123">
        <f ca="1">SUMIF(APU!A:B,'Materiales '!C145,APU!I:I)</f>
        <v>0</v>
      </c>
    </row>
    <row r="207" spans="2:12">
      <c r="B207" s="238">
        <f>B205+1</f>
        <v>135</v>
      </c>
      <c r="C207" s="384" t="s">
        <v>4543</v>
      </c>
      <c r="D207" s="385">
        <v>5400</v>
      </c>
      <c r="E207" s="1" t="s">
        <v>4128</v>
      </c>
      <c r="F207" s="243">
        <f t="shared" ref="F207" si="101">K207</f>
        <v>3207050.0000000005</v>
      </c>
      <c r="G207" s="235">
        <f>500*4900</f>
        <v>2450000</v>
      </c>
      <c r="H207" s="125">
        <v>1.19</v>
      </c>
      <c r="I207" s="56">
        <f t="shared" ref="I207" si="102">H207*G207</f>
        <v>2915500</v>
      </c>
      <c r="J207" s="125">
        <v>1.1000000000000001</v>
      </c>
      <c r="K207" s="235">
        <f t="shared" ref="K207" si="103">J207*I207</f>
        <v>3207050.0000000005</v>
      </c>
      <c r="L207" s="123">
        <f ca="1">SUMIF(APU!A:B,'Materiales '!C146,APU!I:I)</f>
        <v>0</v>
      </c>
    </row>
    <row r="208" spans="2:12">
      <c r="B208" s="238">
        <f>B206+1</f>
        <v>136</v>
      </c>
      <c r="C208" s="384" t="s">
        <v>4778</v>
      </c>
      <c r="D208" s="385">
        <v>5400</v>
      </c>
      <c r="E208" s="1" t="s">
        <v>4128</v>
      </c>
      <c r="F208" s="243">
        <f t="shared" si="93"/>
        <v>3527755.0000000005</v>
      </c>
      <c r="G208" s="235">
        <f>550*4900</f>
        <v>2695000</v>
      </c>
      <c r="H208" s="125">
        <v>1.19</v>
      </c>
      <c r="I208" s="56">
        <f t="shared" si="48"/>
        <v>3207050</v>
      </c>
      <c r="J208" s="125">
        <v>1.1000000000000001</v>
      </c>
      <c r="K208" s="235">
        <f t="shared" si="47"/>
        <v>3527755.0000000005</v>
      </c>
      <c r="L208" s="123">
        <f ca="1">SUMIF(APU!A:B,'Materiales '!C147,APU!I:I)</f>
        <v>0</v>
      </c>
    </row>
    <row r="209" spans="2:12">
      <c r="B209" s="238">
        <f t="shared" si="97"/>
        <v>137</v>
      </c>
      <c r="C209" s="384" t="s">
        <v>4544</v>
      </c>
      <c r="D209" s="385">
        <v>983</v>
      </c>
      <c r="E209" s="1" t="s">
        <v>170</v>
      </c>
      <c r="F209" s="243">
        <f t="shared" si="93"/>
        <v>9740.2690000000002</v>
      </c>
      <c r="G209" s="235">
        <v>7441</v>
      </c>
      <c r="H209" s="125">
        <v>1.19</v>
      </c>
      <c r="I209" s="56">
        <f t="shared" si="48"/>
        <v>8854.7899999999991</v>
      </c>
      <c r="J209" s="125">
        <v>1.1000000000000001</v>
      </c>
      <c r="K209" s="235">
        <f t="shared" si="47"/>
        <v>9740.2690000000002</v>
      </c>
      <c r="L209" s="123">
        <f ca="1">SUMIF(APU!A:B,'Materiales '!C197,APU!I:I)</f>
        <v>0</v>
      </c>
    </row>
    <row r="210" spans="2:12">
      <c r="B210" s="238">
        <f>B208+1</f>
        <v>137</v>
      </c>
      <c r="C210" s="384" t="s">
        <v>5013</v>
      </c>
      <c r="D210" s="385">
        <v>8991</v>
      </c>
      <c r="E210" s="1" t="s">
        <v>4128</v>
      </c>
      <c r="F210" s="243">
        <f t="shared" ref="F210" si="104">K210</f>
        <v>242165.00000000003</v>
      </c>
      <c r="G210" s="235">
        <v>185000</v>
      </c>
      <c r="H210" s="125">
        <v>1.19</v>
      </c>
      <c r="I210" s="56">
        <f t="shared" ref="I210" si="105">H210*G210</f>
        <v>220150</v>
      </c>
      <c r="J210" s="125">
        <v>1.1000000000000001</v>
      </c>
      <c r="K210" s="235">
        <f t="shared" ref="K210" si="106">J210*I210</f>
        <v>242165.00000000003</v>
      </c>
      <c r="L210" s="123">
        <f ca="1">SUMIF(APU!A:B,'Materiales '!C143,APU!I:I)</f>
        <v>0</v>
      </c>
    </row>
    <row r="211" spans="2:12">
      <c r="B211" s="238">
        <f>B209+1</f>
        <v>138</v>
      </c>
      <c r="C211" s="384" t="s">
        <v>4545</v>
      </c>
      <c r="D211" s="385">
        <v>8991</v>
      </c>
      <c r="E211" s="1" t="s">
        <v>4128</v>
      </c>
      <c r="F211" s="243">
        <f t="shared" si="93"/>
        <v>851179.86800000002</v>
      </c>
      <c r="G211" s="235">
        <v>650252</v>
      </c>
      <c r="H211" s="125">
        <v>1.19</v>
      </c>
      <c r="I211" s="56">
        <f t="shared" si="48"/>
        <v>773799.88</v>
      </c>
      <c r="J211" s="125">
        <v>1.1000000000000001</v>
      </c>
      <c r="K211" s="235">
        <f t="shared" si="47"/>
        <v>851179.86800000002</v>
      </c>
      <c r="L211" s="123">
        <f ca="1">SUMIF(APU!A:B,'Materiales '!C144,APU!I:I)</f>
        <v>0</v>
      </c>
    </row>
    <row r="212" spans="2:12">
      <c r="B212" s="238">
        <f t="shared" si="97"/>
        <v>139</v>
      </c>
      <c r="C212" s="384" t="s">
        <v>4546</v>
      </c>
      <c r="D212" s="385">
        <v>2513</v>
      </c>
      <c r="E212" s="1" t="s">
        <v>4128</v>
      </c>
      <c r="F212" s="243">
        <f t="shared" si="93"/>
        <v>1060290</v>
      </c>
      <c r="G212" s="235">
        <v>810000</v>
      </c>
      <c r="H212" s="125">
        <v>1.19</v>
      </c>
      <c r="I212" s="56">
        <f t="shared" si="48"/>
        <v>963900</v>
      </c>
      <c r="J212" s="125">
        <v>1.1000000000000001</v>
      </c>
      <c r="K212" s="235">
        <f t="shared" si="47"/>
        <v>1060290</v>
      </c>
      <c r="L212" s="123">
        <f ca="1">SUMIF(APU!A:B,'Materiales '!C208,APU!I:I)</f>
        <v>0</v>
      </c>
    </row>
    <row r="213" spans="2:12">
      <c r="B213" s="238">
        <f t="shared" si="97"/>
        <v>140</v>
      </c>
      <c r="C213" s="382" t="s">
        <v>4547</v>
      </c>
      <c r="D213" s="385">
        <v>490</v>
      </c>
      <c r="E213" s="1" t="s">
        <v>4128</v>
      </c>
      <c r="F213" s="243">
        <f t="shared" si="93"/>
        <v>28928.9</v>
      </c>
      <c r="G213" s="235">
        <v>22100</v>
      </c>
      <c r="H213" s="125">
        <v>1.19</v>
      </c>
      <c r="I213" s="56">
        <f t="shared" si="48"/>
        <v>26299</v>
      </c>
      <c r="J213" s="125">
        <v>1.1000000000000001</v>
      </c>
      <c r="K213" s="235">
        <f t="shared" si="47"/>
        <v>28928.9</v>
      </c>
      <c r="L213" s="123">
        <f ca="1">SUMIF(APU!A:B,'Materiales '!C220,APU!I:I)</f>
        <v>14</v>
      </c>
    </row>
    <row r="214" spans="2:12">
      <c r="B214" s="238">
        <f t="shared" si="97"/>
        <v>141</v>
      </c>
      <c r="C214" s="382" t="s">
        <v>4548</v>
      </c>
      <c r="D214" s="385">
        <v>491</v>
      </c>
      <c r="E214" s="1" t="s">
        <v>4128</v>
      </c>
      <c r="F214" s="243">
        <f t="shared" si="93"/>
        <v>28928.9</v>
      </c>
      <c r="G214" s="235">
        <v>22100</v>
      </c>
      <c r="H214" s="125">
        <v>1.19</v>
      </c>
      <c r="I214" s="56">
        <f t="shared" si="48"/>
        <v>26299</v>
      </c>
      <c r="J214" s="125">
        <v>1.1000000000000001</v>
      </c>
      <c r="K214" s="235">
        <f t="shared" si="47"/>
        <v>28928.9</v>
      </c>
      <c r="L214" s="123">
        <f ca="1">SUMIF(APU!A:B,'Materiales '!C209,APU!I:I)</f>
        <v>0</v>
      </c>
    </row>
    <row r="215" spans="2:12">
      <c r="B215" s="238">
        <f t="shared" si="97"/>
        <v>142</v>
      </c>
      <c r="C215" s="382" t="s">
        <v>4549</v>
      </c>
      <c r="D215" s="385">
        <v>495</v>
      </c>
      <c r="E215" s="1" t="s">
        <v>4128</v>
      </c>
      <c r="F215" s="243">
        <f t="shared" si="93"/>
        <v>49486.745000000003</v>
      </c>
      <c r="G215" s="235">
        <v>37805</v>
      </c>
      <c r="H215" s="125">
        <v>1.19</v>
      </c>
      <c r="I215" s="56">
        <f t="shared" si="48"/>
        <v>44987.95</v>
      </c>
      <c r="J215" s="125">
        <v>1.1000000000000001</v>
      </c>
      <c r="K215" s="235">
        <f t="shared" si="47"/>
        <v>49486.745000000003</v>
      </c>
      <c r="L215" s="123">
        <f ca="1">SUMIF(APU!A:B,'Materiales '!C221,APU!I:I)</f>
        <v>0</v>
      </c>
    </row>
    <row r="216" spans="2:12">
      <c r="B216" s="238">
        <f t="shared" si="97"/>
        <v>143</v>
      </c>
      <c r="C216" s="382" t="s">
        <v>4550</v>
      </c>
      <c r="D216" s="385">
        <v>496</v>
      </c>
      <c r="E216" s="1" t="s">
        <v>4128</v>
      </c>
      <c r="F216" s="243">
        <f t="shared" si="93"/>
        <v>49486.745000000003</v>
      </c>
      <c r="G216" s="235">
        <v>37805</v>
      </c>
      <c r="H216" s="125">
        <v>1.19</v>
      </c>
      <c r="I216" s="56">
        <f t="shared" si="48"/>
        <v>44987.95</v>
      </c>
      <c r="J216" s="125">
        <v>1.1000000000000001</v>
      </c>
      <c r="K216" s="235">
        <f t="shared" si="47"/>
        <v>49486.745000000003</v>
      </c>
      <c r="L216" s="123">
        <f ca="1">SUMIF(APU!A:B,'Materiales '!C211,APU!I:I)</f>
        <v>2</v>
      </c>
    </row>
    <row r="217" spans="2:12">
      <c r="B217" s="238">
        <f t="shared" si="97"/>
        <v>144</v>
      </c>
      <c r="C217" s="382" t="s">
        <v>4551</v>
      </c>
      <c r="D217" s="385">
        <v>7240</v>
      </c>
      <c r="E217" s="1" t="s">
        <v>4128</v>
      </c>
      <c r="F217" s="243">
        <f t="shared" si="93"/>
        <v>11113.410000000002</v>
      </c>
      <c r="G217" s="235">
        <v>8490</v>
      </c>
      <c r="H217" s="125">
        <v>1.19</v>
      </c>
      <c r="I217" s="56">
        <f t="shared" si="48"/>
        <v>10103.1</v>
      </c>
      <c r="J217" s="125">
        <v>1.1000000000000001</v>
      </c>
      <c r="K217" s="235">
        <f t="shared" si="47"/>
        <v>11113.410000000002</v>
      </c>
      <c r="L217" s="123">
        <f ca="1">SUMIF(APU!A:B,'Materiales '!C222,APU!I:I)</f>
        <v>2</v>
      </c>
    </row>
    <row r="218" spans="2:12">
      <c r="B218" s="238">
        <f t="shared" si="97"/>
        <v>145</v>
      </c>
      <c r="C218" s="382" t="s">
        <v>4552</v>
      </c>
      <c r="D218" s="385">
        <v>5553</v>
      </c>
      <c r="E218" s="1" t="s">
        <v>4128</v>
      </c>
      <c r="F218" s="243">
        <f t="shared" si="93"/>
        <v>16854.684000000001</v>
      </c>
      <c r="G218" s="235">
        <v>12876</v>
      </c>
      <c r="H218" s="125">
        <v>1.19</v>
      </c>
      <c r="I218" s="56">
        <f t="shared" si="48"/>
        <v>15322.439999999999</v>
      </c>
      <c r="J218" s="125">
        <v>1.1000000000000001</v>
      </c>
      <c r="K218" s="235">
        <f t="shared" si="47"/>
        <v>16854.684000000001</v>
      </c>
      <c r="L218" s="123">
        <f ca="1">SUMIF(APU!A:B,'Materiales '!C212,APU!I:I)</f>
        <v>0</v>
      </c>
    </row>
    <row r="219" spans="2:12">
      <c r="B219" s="238">
        <f t="shared" si="97"/>
        <v>146</v>
      </c>
      <c r="C219" s="382" t="s">
        <v>4553</v>
      </c>
      <c r="D219" s="385">
        <v>2757</v>
      </c>
      <c r="E219" s="1" t="s">
        <v>4128</v>
      </c>
      <c r="F219" s="243">
        <f t="shared" si="93"/>
        <v>6428.4990000000007</v>
      </c>
      <c r="G219" s="235">
        <v>4911</v>
      </c>
      <c r="H219" s="125">
        <v>1.19</v>
      </c>
      <c r="I219" s="56">
        <f t="shared" si="48"/>
        <v>5844.09</v>
      </c>
      <c r="J219" s="125">
        <v>1.1000000000000001</v>
      </c>
      <c r="K219" s="235">
        <f t="shared" si="47"/>
        <v>6428.4990000000007</v>
      </c>
      <c r="L219" s="123">
        <f ca="1">SUMIF(APU!A:B,'Materiales '!C223,APU!I:I)</f>
        <v>0</v>
      </c>
    </row>
    <row r="220" spans="2:12">
      <c r="B220" s="238">
        <f t="shared" si="97"/>
        <v>147</v>
      </c>
      <c r="C220" s="382" t="s">
        <v>4554</v>
      </c>
      <c r="D220" s="385">
        <v>9659</v>
      </c>
      <c r="E220" s="1" t="s">
        <v>4128</v>
      </c>
      <c r="F220" s="243">
        <f t="shared" si="93"/>
        <v>2535.5329999999999</v>
      </c>
      <c r="G220" s="235">
        <v>1937</v>
      </c>
      <c r="H220" s="125">
        <v>1.19</v>
      </c>
      <c r="I220" s="56">
        <f t="shared" si="48"/>
        <v>2305.0299999999997</v>
      </c>
      <c r="J220" s="125">
        <v>1.1000000000000001</v>
      </c>
      <c r="K220" s="235">
        <f t="shared" si="47"/>
        <v>2535.5329999999999</v>
      </c>
      <c r="L220" s="123">
        <f ca="1">SUMIF(APU!A:B,'Materiales '!C213,APU!I:I)</f>
        <v>0</v>
      </c>
    </row>
    <row r="221" spans="2:12">
      <c r="B221" s="238">
        <f t="shared" si="97"/>
        <v>148</v>
      </c>
      <c r="C221" s="382" t="s">
        <v>4555</v>
      </c>
      <c r="D221" s="385">
        <v>2784</v>
      </c>
      <c r="E221" s="1" t="s">
        <v>4128</v>
      </c>
      <c r="F221" s="243">
        <f t="shared" si="93"/>
        <v>6919.3740000000007</v>
      </c>
      <c r="G221" s="235">
        <v>5286</v>
      </c>
      <c r="H221" s="125">
        <v>1.19</v>
      </c>
      <c r="I221" s="56">
        <f t="shared" si="48"/>
        <v>6290.34</v>
      </c>
      <c r="J221" s="125">
        <v>1.1000000000000001</v>
      </c>
      <c r="K221" s="235">
        <f t="shared" si="47"/>
        <v>6919.3740000000007</v>
      </c>
      <c r="L221" s="123">
        <f ca="1">SUMIF(APU!A:B,'Materiales '!C224,APU!I:I)</f>
        <v>0</v>
      </c>
    </row>
    <row r="222" spans="2:12">
      <c r="B222" s="238">
        <f t="shared" si="97"/>
        <v>149</v>
      </c>
      <c r="C222" s="382" t="s">
        <v>4556</v>
      </c>
      <c r="D222" s="385">
        <v>2796</v>
      </c>
      <c r="E222" s="1" t="s">
        <v>4128</v>
      </c>
      <c r="F222" s="243">
        <f t="shared" si="93"/>
        <v>7979.6640000000007</v>
      </c>
      <c r="G222" s="236">
        <v>6096</v>
      </c>
      <c r="H222" s="125">
        <v>1.19</v>
      </c>
      <c r="I222" s="56">
        <f t="shared" si="48"/>
        <v>7254.24</v>
      </c>
      <c r="J222" s="125">
        <v>1.1000000000000001</v>
      </c>
      <c r="K222" s="235">
        <f t="shared" si="47"/>
        <v>7979.6640000000007</v>
      </c>
      <c r="L222" s="123">
        <f ca="1">SUMIF(APU!A:B,'Materiales '!C214,APU!I:I)</f>
        <v>0</v>
      </c>
    </row>
    <row r="223" spans="2:12">
      <c r="B223" s="238">
        <f t="shared" si="97"/>
        <v>150</v>
      </c>
      <c r="C223" s="382" t="s">
        <v>4557</v>
      </c>
      <c r="D223" s="385">
        <v>10948</v>
      </c>
      <c r="E223" s="1" t="s">
        <v>4128</v>
      </c>
      <c r="F223" s="243">
        <f t="shared" si="93"/>
        <v>13351.800000000001</v>
      </c>
      <c r="G223" s="236">
        <v>10200</v>
      </c>
      <c r="H223" s="125">
        <v>1.19</v>
      </c>
      <c r="I223" s="56">
        <f t="shared" si="48"/>
        <v>12138</v>
      </c>
      <c r="J223" s="125">
        <v>1.1000000000000001</v>
      </c>
      <c r="K223" s="235">
        <f t="shared" si="47"/>
        <v>13351.800000000001</v>
      </c>
      <c r="L223" s="123">
        <f ca="1">SUMIF(APU!A:B,'Materiales '!C234,APU!I:I)</f>
        <v>0</v>
      </c>
    </row>
    <row r="224" spans="2:12">
      <c r="B224" s="238">
        <f t="shared" si="97"/>
        <v>151</v>
      </c>
      <c r="C224" s="382" t="s">
        <v>4558</v>
      </c>
      <c r="D224" s="385">
        <v>10969</v>
      </c>
      <c r="E224" s="1" t="s">
        <v>4128</v>
      </c>
      <c r="F224" s="243">
        <f t="shared" si="93"/>
        <v>0</v>
      </c>
      <c r="G224" s="235">
        <v>0</v>
      </c>
      <c r="H224" s="125">
        <v>1.19</v>
      </c>
      <c r="I224" s="56">
        <f t="shared" si="48"/>
        <v>0</v>
      </c>
      <c r="J224" s="125">
        <v>1.1000000000000001</v>
      </c>
      <c r="K224" s="235">
        <f t="shared" si="47"/>
        <v>0</v>
      </c>
      <c r="L224" s="123">
        <f ca="1">SUMIF(APU!A:B,'Materiales '!C215,APU!I:I)</f>
        <v>1</v>
      </c>
    </row>
    <row r="225" spans="2:12">
      <c r="B225" s="238">
        <f>B222+1</f>
        <v>150</v>
      </c>
      <c r="C225" s="382" t="s">
        <v>4627</v>
      </c>
      <c r="D225" s="385">
        <v>6231</v>
      </c>
      <c r="E225" s="1" t="s">
        <v>4128</v>
      </c>
      <c r="F225" s="243">
        <f t="shared" si="93"/>
        <v>733040.00000000012</v>
      </c>
      <c r="G225" s="235">
        <v>560000</v>
      </c>
      <c r="H225" s="125">
        <v>1.19</v>
      </c>
      <c r="I225" s="56">
        <f t="shared" ref="I225:I232" si="107">H225*G225</f>
        <v>666400</v>
      </c>
      <c r="J225" s="125">
        <v>1.1000000000000001</v>
      </c>
      <c r="K225" s="235">
        <f t="shared" ref="K225:K232" si="108">J225*I225</f>
        <v>733040.00000000012</v>
      </c>
      <c r="L225" s="123">
        <f ca="1">SUMIF(APU!A:B,'Materiales '!C233,APU!I:I)</f>
        <v>0</v>
      </c>
    </row>
    <row r="226" spans="2:12">
      <c r="B226" s="238">
        <f>B222+1</f>
        <v>150</v>
      </c>
      <c r="C226" s="382" t="s">
        <v>4643</v>
      </c>
      <c r="D226" s="385">
        <v>6231</v>
      </c>
      <c r="E226" s="1" t="s">
        <v>4128</v>
      </c>
      <c r="F226" s="243">
        <f t="shared" si="93"/>
        <v>981750.00000000012</v>
      </c>
      <c r="G226" s="235">
        <v>750000</v>
      </c>
      <c r="H226" s="125">
        <v>1.19</v>
      </c>
      <c r="I226" s="56">
        <f t="shared" si="107"/>
        <v>892500</v>
      </c>
      <c r="J226" s="125">
        <v>1.1000000000000001</v>
      </c>
      <c r="K226" s="235">
        <f t="shared" si="108"/>
        <v>981750.00000000012</v>
      </c>
      <c r="L226" s="123">
        <f ca="1">SUMIF(APU!A:B,'Materiales '!C233,APU!I:I)</f>
        <v>0</v>
      </c>
    </row>
    <row r="227" spans="2:12">
      <c r="B227" s="238">
        <f>B221+1</f>
        <v>149</v>
      </c>
      <c r="C227" s="382" t="s">
        <v>4693</v>
      </c>
      <c r="D227" s="385"/>
      <c r="E227" s="1" t="s">
        <v>4128</v>
      </c>
      <c r="F227" s="243">
        <f t="shared" ref="F227:F228" si="109">K227</f>
        <v>1047200.0000000001</v>
      </c>
      <c r="G227" s="235">
        <v>800000</v>
      </c>
      <c r="H227" s="125">
        <v>1.19</v>
      </c>
      <c r="I227" s="56">
        <f t="shared" ref="I227:I228" si="110">H227*G227</f>
        <v>952000</v>
      </c>
      <c r="J227" s="125">
        <v>1.1000000000000001</v>
      </c>
      <c r="K227" s="235">
        <f t="shared" ref="K227:K228" si="111">J227*I227</f>
        <v>1047200.0000000001</v>
      </c>
      <c r="L227" s="123">
        <f ca="1">SUMIF(APU!A:B,'Materiales '!C230,APU!I:I)</f>
        <v>0</v>
      </c>
    </row>
    <row r="228" spans="2:12">
      <c r="B228" s="238">
        <f>B221+1</f>
        <v>149</v>
      </c>
      <c r="C228" s="382" t="s">
        <v>4737</v>
      </c>
      <c r="D228" s="385"/>
      <c r="E228" s="1" t="s">
        <v>4128</v>
      </c>
      <c r="F228" s="243">
        <f t="shared" si="109"/>
        <v>1106105</v>
      </c>
      <c r="G228" s="235">
        <v>845000</v>
      </c>
      <c r="H228" s="125">
        <v>1.19</v>
      </c>
      <c r="I228" s="56">
        <f t="shared" si="110"/>
        <v>1005550</v>
      </c>
      <c r="J228" s="125">
        <v>1.1000000000000001</v>
      </c>
      <c r="K228" s="235">
        <f t="shared" si="111"/>
        <v>1106105</v>
      </c>
      <c r="L228" s="123">
        <f ca="1">SUMIF(APU!A:B,'Materiales '!C232,APU!I:I)</f>
        <v>0</v>
      </c>
    </row>
    <row r="229" spans="2:12">
      <c r="B229" s="238">
        <f>B222+1</f>
        <v>150</v>
      </c>
      <c r="C229" s="382" t="s">
        <v>4838</v>
      </c>
      <c r="D229" s="385"/>
      <c r="E229" s="1" t="s">
        <v>4128</v>
      </c>
      <c r="F229" s="243">
        <f t="shared" si="93"/>
        <v>1367905</v>
      </c>
      <c r="G229" s="235">
        <v>1045000</v>
      </c>
      <c r="H229" s="125">
        <v>1.19</v>
      </c>
      <c r="I229" s="56">
        <f t="shared" si="107"/>
        <v>1243550</v>
      </c>
      <c r="J229" s="125">
        <v>1.1000000000000001</v>
      </c>
      <c r="K229" s="235">
        <f t="shared" si="108"/>
        <v>1367905</v>
      </c>
      <c r="L229" s="123">
        <f ca="1">SUMIF(APU!A:B,'Materiales '!C233,APU!I:I)</f>
        <v>0</v>
      </c>
    </row>
    <row r="230" spans="2:12">
      <c r="B230" s="238">
        <f>B222+1</f>
        <v>150</v>
      </c>
      <c r="C230" s="382" t="s">
        <v>4694</v>
      </c>
      <c r="D230" s="385"/>
      <c r="E230" s="1" t="s">
        <v>4128</v>
      </c>
      <c r="F230" s="243">
        <f t="shared" si="93"/>
        <v>1898050.0000000002</v>
      </c>
      <c r="G230" s="235">
        <v>1450000</v>
      </c>
      <c r="H230" s="125">
        <v>1.19</v>
      </c>
      <c r="I230" s="56">
        <f t="shared" si="107"/>
        <v>1725500</v>
      </c>
      <c r="J230" s="125">
        <v>1.1000000000000001</v>
      </c>
      <c r="K230" s="235">
        <f t="shared" si="108"/>
        <v>1898050.0000000002</v>
      </c>
      <c r="L230" s="123">
        <f ca="1">SUMIF(APU!A:B,'Materiales '!C233,APU!I:I)</f>
        <v>0</v>
      </c>
    </row>
    <row r="231" spans="2:12">
      <c r="B231" s="238">
        <f>B222+1</f>
        <v>150</v>
      </c>
      <c r="C231" s="382" t="s">
        <v>4695</v>
      </c>
      <c r="D231" s="385"/>
      <c r="E231" s="1" t="s">
        <v>4128</v>
      </c>
      <c r="F231" s="243">
        <f t="shared" si="93"/>
        <v>2682141</v>
      </c>
      <c r="G231" s="235">
        <v>2049000</v>
      </c>
      <c r="H231" s="125">
        <v>1.19</v>
      </c>
      <c r="I231" s="56">
        <f t="shared" si="107"/>
        <v>2438310</v>
      </c>
      <c r="J231" s="125">
        <v>1.1000000000000001</v>
      </c>
      <c r="K231" s="235">
        <f t="shared" si="108"/>
        <v>2682141</v>
      </c>
      <c r="L231" s="123">
        <f ca="1">SUMIF(APU!A:B,'Materiales '!C233,APU!I:I)</f>
        <v>0</v>
      </c>
    </row>
    <row r="232" spans="2:12">
      <c r="B232" s="238">
        <f>B222+1</f>
        <v>150</v>
      </c>
      <c r="C232" s="382" t="s">
        <v>4752</v>
      </c>
      <c r="D232" s="385"/>
      <c r="E232" s="1" t="s">
        <v>4128</v>
      </c>
      <c r="F232" s="243">
        <f t="shared" si="93"/>
        <v>2434740</v>
      </c>
      <c r="G232" s="235">
        <v>1860000</v>
      </c>
      <c r="H232" s="125">
        <v>1.19</v>
      </c>
      <c r="I232" s="56">
        <f t="shared" si="107"/>
        <v>2213400</v>
      </c>
      <c r="J232" s="125">
        <v>1.1000000000000001</v>
      </c>
      <c r="K232" s="235">
        <f t="shared" si="108"/>
        <v>2434740</v>
      </c>
      <c r="L232" s="123">
        <f ca="1">SUMIF(APU!A:B,'Materiales '!C233,APU!I:I)</f>
        <v>0</v>
      </c>
    </row>
    <row r="233" spans="2:12">
      <c r="B233" s="238">
        <f>B223+1</f>
        <v>151</v>
      </c>
      <c r="C233" s="382" t="s">
        <v>4804</v>
      </c>
      <c r="D233" s="385"/>
      <c r="E233" s="1" t="s">
        <v>4128</v>
      </c>
      <c r="F233" s="243">
        <f t="shared" ref="F233" si="112">K233</f>
        <v>18980500</v>
      </c>
      <c r="G233" s="235">
        <v>14500000</v>
      </c>
      <c r="H233" s="125">
        <v>1.19</v>
      </c>
      <c r="I233" s="56">
        <f t="shared" si="48"/>
        <v>17255000</v>
      </c>
      <c r="J233" s="125">
        <v>1.1000000000000001</v>
      </c>
      <c r="K233" s="235">
        <f t="shared" si="47"/>
        <v>18980500</v>
      </c>
      <c r="L233" s="123">
        <f ca="1">SUMIF(APU!A:B,'Materiales '!C234,APU!I:I)</f>
        <v>0</v>
      </c>
    </row>
    <row r="234" spans="2:12">
      <c r="B234" s="238">
        <f>B224+1</f>
        <v>152</v>
      </c>
      <c r="C234" s="382" t="s">
        <v>4559</v>
      </c>
      <c r="D234" s="385">
        <v>10974</v>
      </c>
      <c r="E234" s="1" t="s">
        <v>4128</v>
      </c>
      <c r="F234" s="243">
        <f t="shared" si="93"/>
        <v>1385576.5</v>
      </c>
      <c r="G234" s="235">
        <v>1058500</v>
      </c>
      <c r="H234" s="125">
        <v>1.19</v>
      </c>
      <c r="I234" s="56">
        <f t="shared" si="48"/>
        <v>1259615</v>
      </c>
      <c r="J234" s="125">
        <v>1.1000000000000001</v>
      </c>
      <c r="K234" s="235">
        <f t="shared" si="47"/>
        <v>1385576.5</v>
      </c>
      <c r="L234" s="123">
        <f ca="1">SUMIF(APU!A:B,'Materiales '!C235,APU!I:I)</f>
        <v>0</v>
      </c>
    </row>
    <row r="235" spans="2:12">
      <c r="B235" s="238">
        <f t="shared" si="97"/>
        <v>153</v>
      </c>
      <c r="C235" s="382" t="s">
        <v>4560</v>
      </c>
      <c r="D235" s="385"/>
      <c r="E235" s="1" t="s">
        <v>4128</v>
      </c>
      <c r="F235" s="243">
        <f t="shared" si="93"/>
        <v>1563731.4000000001</v>
      </c>
      <c r="G235" s="236">
        <v>1194600</v>
      </c>
      <c r="H235" s="125">
        <v>1.19</v>
      </c>
      <c r="I235" s="56">
        <f t="shared" si="48"/>
        <v>1421574</v>
      </c>
      <c r="J235" s="125">
        <v>1.1000000000000001</v>
      </c>
      <c r="K235" s="235">
        <f t="shared" si="47"/>
        <v>1563731.4000000001</v>
      </c>
      <c r="L235" s="123">
        <f ca="1">SUMIF(APU!A:B,'Materiales '!C216,APU!I:I)</f>
        <v>0</v>
      </c>
    </row>
    <row r="236" spans="2:12">
      <c r="B236" s="238">
        <f>B233+1</f>
        <v>152</v>
      </c>
      <c r="C236" s="382" t="s">
        <v>4839</v>
      </c>
      <c r="D236" s="385">
        <v>2978</v>
      </c>
      <c r="E236" s="1" t="s">
        <v>4128</v>
      </c>
      <c r="F236" s="243">
        <f t="shared" si="93"/>
        <v>1076390.7000000002</v>
      </c>
      <c r="G236" s="236">
        <v>822300</v>
      </c>
      <c r="H236" s="125">
        <v>1.19</v>
      </c>
      <c r="I236" s="56">
        <f t="shared" si="48"/>
        <v>978537</v>
      </c>
      <c r="J236" s="125">
        <v>1.1000000000000001</v>
      </c>
      <c r="K236" s="235">
        <f t="shared" si="47"/>
        <v>1076390.7000000002</v>
      </c>
      <c r="L236" s="123">
        <f ca="1">SUMIF(APU!A:B,'Materiales '!C236,APU!I:I)</f>
        <v>0</v>
      </c>
    </row>
    <row r="237" spans="2:12">
      <c r="B237" s="238">
        <f>B234+1</f>
        <v>153</v>
      </c>
      <c r="C237" s="382" t="s">
        <v>4840</v>
      </c>
      <c r="D237" s="385">
        <v>2978</v>
      </c>
      <c r="E237" s="1" t="s">
        <v>4128</v>
      </c>
      <c r="F237" s="243">
        <f t="shared" ref="F237:F238" si="113">K237</f>
        <v>1390288.9000000001</v>
      </c>
      <c r="G237" s="236">
        <v>1062100</v>
      </c>
      <c r="H237" s="125">
        <v>1.19</v>
      </c>
      <c r="I237" s="56">
        <f t="shared" ref="I237:I238" si="114">H237*G237</f>
        <v>1263899</v>
      </c>
      <c r="J237" s="125">
        <v>1.1000000000000001</v>
      </c>
      <c r="K237" s="235">
        <f t="shared" ref="K237:K238" si="115">J237*I237</f>
        <v>1390288.9000000001</v>
      </c>
      <c r="L237" s="123">
        <f ca="1">SUMIF(APU!A:B,'Materiales '!C237,APU!I:I)</f>
        <v>0</v>
      </c>
    </row>
    <row r="238" spans="2:12">
      <c r="B238" s="238">
        <f>B234+1</f>
        <v>153</v>
      </c>
      <c r="C238" s="382" t="s">
        <v>4841</v>
      </c>
      <c r="D238" s="385">
        <v>2978</v>
      </c>
      <c r="E238" s="1" t="s">
        <v>4128</v>
      </c>
      <c r="F238" s="243">
        <f t="shared" si="113"/>
        <v>1153621.7000000002</v>
      </c>
      <c r="G238" s="236">
        <v>881300</v>
      </c>
      <c r="H238" s="125">
        <v>1.19</v>
      </c>
      <c r="I238" s="56">
        <f t="shared" si="114"/>
        <v>1048747</v>
      </c>
      <c r="J238" s="125">
        <v>1.1000000000000001</v>
      </c>
      <c r="K238" s="235">
        <f t="shared" si="115"/>
        <v>1153621.7000000002</v>
      </c>
      <c r="L238" s="123">
        <f ca="1">SUMIF(APU!A:B,'Materiales '!C238,APU!I:I)</f>
        <v>0</v>
      </c>
    </row>
    <row r="239" spans="2:12">
      <c r="B239" s="238">
        <f>B235+1</f>
        <v>154</v>
      </c>
      <c r="C239" s="382" t="s">
        <v>4561</v>
      </c>
      <c r="D239" s="385">
        <v>2978</v>
      </c>
      <c r="E239" s="1" t="s">
        <v>4128</v>
      </c>
      <c r="F239" s="243">
        <f t="shared" si="93"/>
        <v>965256.60000000009</v>
      </c>
      <c r="G239" s="236">
        <v>737400</v>
      </c>
      <c r="H239" s="125">
        <v>1.19</v>
      </c>
      <c r="I239" s="56">
        <f t="shared" si="48"/>
        <v>877506</v>
      </c>
      <c r="J239" s="125">
        <v>1.1000000000000001</v>
      </c>
      <c r="K239" s="235">
        <f t="shared" si="47"/>
        <v>965256.60000000009</v>
      </c>
      <c r="L239" s="123">
        <f ca="1">SUMIF(APU!A:B,'Materiales '!C239,APU!I:I)</f>
        <v>0</v>
      </c>
    </row>
    <row r="240" spans="2:12">
      <c r="B240" s="238">
        <f t="shared" si="97"/>
        <v>155</v>
      </c>
      <c r="C240" s="382" t="s">
        <v>4562</v>
      </c>
      <c r="D240" s="385">
        <v>2976</v>
      </c>
      <c r="E240" s="1" t="s">
        <v>4128</v>
      </c>
      <c r="F240" s="243">
        <f t="shared" si="93"/>
        <v>1879200.4000000001</v>
      </c>
      <c r="G240" s="235">
        <v>1435600</v>
      </c>
      <c r="H240" s="125">
        <v>1.19</v>
      </c>
      <c r="I240" s="56">
        <f t="shared" si="48"/>
        <v>1708364</v>
      </c>
      <c r="J240" s="125">
        <v>1.1000000000000001</v>
      </c>
      <c r="K240" s="235">
        <f t="shared" si="47"/>
        <v>1879200.4000000001</v>
      </c>
      <c r="L240" s="123">
        <f ca="1">SUMIF(APU!A:B,'Materiales '!C217,APU!I:I)</f>
        <v>0</v>
      </c>
    </row>
    <row r="241" spans="2:12">
      <c r="B241" s="238">
        <f t="shared" si="97"/>
        <v>156</v>
      </c>
      <c r="C241" s="382" t="s">
        <v>4563</v>
      </c>
      <c r="D241" s="385">
        <v>2977</v>
      </c>
      <c r="E241" s="1" t="s">
        <v>4128</v>
      </c>
      <c r="F241" s="243">
        <f t="shared" si="93"/>
        <v>2240353.5</v>
      </c>
      <c r="G241" s="235">
        <v>1711500</v>
      </c>
      <c r="H241" s="125">
        <v>1.19</v>
      </c>
      <c r="I241" s="56">
        <f t="shared" si="48"/>
        <v>2036685</v>
      </c>
      <c r="J241" s="125">
        <v>1.1000000000000001</v>
      </c>
      <c r="K241" s="235">
        <f t="shared" si="47"/>
        <v>2240353.5</v>
      </c>
      <c r="L241" s="123">
        <f ca="1">SUMIF(APU!A:B,'Materiales '!C240,APU!I:I)</f>
        <v>0</v>
      </c>
    </row>
    <row r="242" spans="2:12">
      <c r="B242" s="238">
        <f t="shared" si="97"/>
        <v>157</v>
      </c>
      <c r="C242" s="382" t="s">
        <v>4564</v>
      </c>
      <c r="D242" s="385">
        <v>7149</v>
      </c>
      <c r="E242" s="1" t="s">
        <v>4128</v>
      </c>
      <c r="F242" s="243">
        <f t="shared" si="93"/>
        <v>1445073.1680000001</v>
      </c>
      <c r="G242" s="235">
        <v>1103952</v>
      </c>
      <c r="H242" s="125">
        <v>1.19</v>
      </c>
      <c r="I242" s="56">
        <f t="shared" si="48"/>
        <v>1313702.8799999999</v>
      </c>
      <c r="J242" s="125">
        <v>1.1000000000000001</v>
      </c>
      <c r="K242" s="235">
        <f t="shared" si="47"/>
        <v>1445073.1680000001</v>
      </c>
      <c r="L242" s="123">
        <f ca="1">SUMIF(APU!A:B,'Materiales '!C218,APU!I:I)</f>
        <v>0</v>
      </c>
    </row>
    <row r="243" spans="2:12">
      <c r="B243" s="238">
        <f>B239+1</f>
        <v>155</v>
      </c>
      <c r="C243" s="382" t="s">
        <v>4842</v>
      </c>
      <c r="D243" s="385"/>
      <c r="E243" s="1" t="s">
        <v>4128</v>
      </c>
      <c r="F243" s="243">
        <f t="shared" ref="F243" si="116">K243</f>
        <v>602140</v>
      </c>
      <c r="G243" s="235">
        <v>460000</v>
      </c>
      <c r="H243" s="125">
        <v>1.19</v>
      </c>
      <c r="I243" s="56">
        <f t="shared" si="48"/>
        <v>547400</v>
      </c>
      <c r="J243" s="125">
        <v>1.1000000000000001</v>
      </c>
      <c r="K243" s="235">
        <f t="shared" si="47"/>
        <v>602140</v>
      </c>
      <c r="L243" s="123">
        <f ca="1">SUMIF(APU!A:B,'Materiales '!C238,APU!I:I)</f>
        <v>0</v>
      </c>
    </row>
    <row r="244" spans="2:12">
      <c r="B244" s="238">
        <f>B240+1</f>
        <v>156</v>
      </c>
      <c r="C244" s="382" t="s">
        <v>4642</v>
      </c>
      <c r="D244" s="385"/>
      <c r="E244" s="1" t="s">
        <v>4128</v>
      </c>
      <c r="F244" s="243">
        <f t="shared" si="93"/>
        <v>536690</v>
      </c>
      <c r="G244" s="235">
        <v>410000</v>
      </c>
      <c r="H244" s="125">
        <v>1.19</v>
      </c>
      <c r="I244" s="56">
        <f t="shared" ref="I244" si="117">H244*G244</f>
        <v>487900</v>
      </c>
      <c r="J244" s="125">
        <v>1.1000000000000001</v>
      </c>
      <c r="K244" s="235">
        <f t="shared" ref="K244" si="118">J244*I244</f>
        <v>536690</v>
      </c>
      <c r="L244" s="123">
        <f ca="1">SUMIF(APU!A:B,'Materiales '!C239,APU!I:I)</f>
        <v>0</v>
      </c>
    </row>
    <row r="245" spans="2:12">
      <c r="B245" s="238">
        <f>B241+1</f>
        <v>157</v>
      </c>
      <c r="C245" s="382" t="s">
        <v>4629</v>
      </c>
      <c r="D245" s="385">
        <v>5838</v>
      </c>
      <c r="E245" s="1" t="s">
        <v>4128</v>
      </c>
      <c r="F245" s="243">
        <f t="shared" ref="F245:F246" si="119">K245</f>
        <v>462077.00000000006</v>
      </c>
      <c r="G245" s="235">
        <v>353000</v>
      </c>
      <c r="H245" s="125">
        <v>1.19</v>
      </c>
      <c r="I245" s="56">
        <f t="shared" si="48"/>
        <v>420070</v>
      </c>
      <c r="J245" s="125">
        <v>1.1000000000000001</v>
      </c>
      <c r="K245" s="235">
        <f t="shared" si="47"/>
        <v>462077.00000000006</v>
      </c>
      <c r="L245" s="123">
        <f ca="1">SUMIF(APU!A:B,'Materiales '!C240,APU!I:I)</f>
        <v>0</v>
      </c>
    </row>
    <row r="246" spans="2:12">
      <c r="B246" s="238">
        <f>B241+1</f>
        <v>157</v>
      </c>
      <c r="C246" s="382" t="s">
        <v>4761</v>
      </c>
      <c r="D246" s="385">
        <v>5838</v>
      </c>
      <c r="E246" s="1" t="s">
        <v>4128</v>
      </c>
      <c r="F246" s="243">
        <f t="shared" si="119"/>
        <v>727280.4</v>
      </c>
      <c r="G246" s="235">
        <v>555600</v>
      </c>
      <c r="H246" s="125">
        <v>1.19</v>
      </c>
      <c r="I246" s="56">
        <f t="shared" ref="I246" si="120">H246*G246</f>
        <v>661164</v>
      </c>
      <c r="J246" s="125">
        <v>1.1000000000000001</v>
      </c>
      <c r="K246" s="235">
        <f t="shared" ref="K246" si="121">J246*I246</f>
        <v>727280.4</v>
      </c>
      <c r="L246" s="123">
        <f ca="1">SUMIF(APU!A:B,'Materiales '!C240,APU!I:I)</f>
        <v>0</v>
      </c>
    </row>
    <row r="247" spans="2:12">
      <c r="B247" s="238">
        <f>B242+1</f>
        <v>158</v>
      </c>
      <c r="C247" s="382" t="s">
        <v>4565</v>
      </c>
      <c r="D247" s="385">
        <v>5838</v>
      </c>
      <c r="E247" s="1" t="s">
        <v>4128</v>
      </c>
      <c r="F247" s="243">
        <f t="shared" si="93"/>
        <v>806344.00000000012</v>
      </c>
      <c r="G247" s="235">
        <v>616000</v>
      </c>
      <c r="H247" s="125">
        <v>1.19</v>
      </c>
      <c r="I247" s="56">
        <f t="shared" si="48"/>
        <v>733040</v>
      </c>
      <c r="J247" s="125">
        <v>1.1000000000000001</v>
      </c>
      <c r="K247" s="235">
        <f t="shared" si="47"/>
        <v>806344.00000000012</v>
      </c>
      <c r="L247" s="123">
        <f ca="1">SUMIF(APU!A:B,'Materiales '!C241,APU!I:I)</f>
        <v>0</v>
      </c>
    </row>
    <row r="248" spans="2:12">
      <c r="B248" s="238">
        <f t="shared" si="97"/>
        <v>159</v>
      </c>
      <c r="C248" s="382" t="s">
        <v>4566</v>
      </c>
      <c r="D248" s="385">
        <v>10162</v>
      </c>
      <c r="E248" s="1" t="s">
        <v>4128</v>
      </c>
      <c r="F248" s="243">
        <f t="shared" si="93"/>
        <v>1306643.8</v>
      </c>
      <c r="G248" s="235">
        <v>998200</v>
      </c>
      <c r="H248" s="125">
        <v>1.19</v>
      </c>
      <c r="I248" s="56">
        <f t="shared" si="48"/>
        <v>1187858</v>
      </c>
      <c r="J248" s="125">
        <v>1.1000000000000001</v>
      </c>
      <c r="K248" s="235">
        <f t="shared" si="47"/>
        <v>1306643.8</v>
      </c>
      <c r="L248" s="123">
        <f ca="1">SUMIF(APU!A:B,'Materiales '!C219,APU!I:I)</f>
        <v>0.12</v>
      </c>
    </row>
    <row r="249" spans="2:12">
      <c r="B249" s="238">
        <f t="shared" si="97"/>
        <v>160</v>
      </c>
      <c r="C249" s="382" t="s">
        <v>4567</v>
      </c>
      <c r="D249" s="385">
        <v>8709</v>
      </c>
      <c r="E249" s="1" t="s">
        <v>4128</v>
      </c>
      <c r="F249" s="243">
        <f t="shared" si="93"/>
        <v>1407175</v>
      </c>
      <c r="G249" s="235">
        <v>1075000</v>
      </c>
      <c r="H249" s="125">
        <v>1.19</v>
      </c>
      <c r="I249" s="56">
        <f t="shared" si="48"/>
        <v>1279250</v>
      </c>
      <c r="J249" s="125">
        <v>1.1000000000000001</v>
      </c>
      <c r="K249" s="235">
        <f t="shared" si="47"/>
        <v>1407175</v>
      </c>
      <c r="L249" s="123">
        <f ca="1">SUMIF(APU!A:B,'Materiales '!C242,APU!I:I)</f>
        <v>0</v>
      </c>
    </row>
    <row r="250" spans="2:12">
      <c r="B250" s="238">
        <f>B248+1</f>
        <v>160</v>
      </c>
      <c r="C250" s="382" t="s">
        <v>4568</v>
      </c>
      <c r="D250" s="385">
        <v>5839</v>
      </c>
      <c r="E250" s="1" t="s">
        <v>4128</v>
      </c>
      <c r="F250" s="243">
        <f t="shared" ref="F250" si="122">K250</f>
        <v>1466080.0000000002</v>
      </c>
      <c r="G250" s="235">
        <v>1120000</v>
      </c>
      <c r="H250" s="125">
        <v>1.19</v>
      </c>
      <c r="I250" s="56">
        <f t="shared" ref="I250" si="123">H250*G250</f>
        <v>1332800</v>
      </c>
      <c r="J250" s="125">
        <v>1.1000000000000001</v>
      </c>
      <c r="K250" s="235">
        <f t="shared" ref="K250" si="124">J250*I250</f>
        <v>1466080.0000000002</v>
      </c>
      <c r="L250" s="123">
        <f ca="1">SUMIF(APU!A:B,'Materiales '!C245,APU!I:I)</f>
        <v>1</v>
      </c>
    </row>
    <row r="251" spans="2:12">
      <c r="B251" s="238">
        <f>B249+1</f>
        <v>161</v>
      </c>
      <c r="C251" s="382" t="s">
        <v>4750</v>
      </c>
      <c r="D251" s="385"/>
      <c r="E251" s="1" t="s">
        <v>4128</v>
      </c>
      <c r="F251" s="243">
        <f t="shared" si="93"/>
        <v>887502.00000000012</v>
      </c>
      <c r="G251" s="235">
        <v>678000</v>
      </c>
      <c r="H251" s="125">
        <v>1.19</v>
      </c>
      <c r="I251" s="56">
        <f t="shared" si="48"/>
        <v>806820</v>
      </c>
      <c r="J251" s="125">
        <v>1.1000000000000001</v>
      </c>
      <c r="K251" s="235">
        <f t="shared" si="47"/>
        <v>887502.00000000012</v>
      </c>
      <c r="L251" s="123">
        <f ca="1">SUMIF(APU!A:B,'Materiales '!C247,APU!I:I)</f>
        <v>1</v>
      </c>
    </row>
    <row r="252" spans="2:12">
      <c r="B252" s="238">
        <f>B249+1</f>
        <v>161</v>
      </c>
      <c r="C252" s="382" t="s">
        <v>4843</v>
      </c>
      <c r="D252" s="385">
        <v>10742</v>
      </c>
      <c r="E252" s="1" t="s">
        <v>4128</v>
      </c>
      <c r="F252" s="243">
        <f t="shared" si="93"/>
        <v>1391266.723</v>
      </c>
      <c r="G252" s="244">
        <v>1062847</v>
      </c>
      <c r="H252" s="125">
        <v>1.19</v>
      </c>
      <c r="I252" s="56">
        <f t="shared" si="48"/>
        <v>1264787.93</v>
      </c>
      <c r="J252" s="125">
        <v>1.1000000000000001</v>
      </c>
      <c r="K252" s="235">
        <f t="shared" si="47"/>
        <v>1391266.723</v>
      </c>
      <c r="L252" s="123">
        <f ca="1">SUMIF(APU!A:B,'Materiales '!C246,APU!I:I)</f>
        <v>0</v>
      </c>
    </row>
    <row r="253" spans="2:12">
      <c r="B253" s="238">
        <f>B250+1</f>
        <v>161</v>
      </c>
      <c r="C253" s="382" t="s">
        <v>4844</v>
      </c>
      <c r="D253" s="385">
        <v>10742</v>
      </c>
      <c r="E253" s="1" t="s">
        <v>4128</v>
      </c>
      <c r="F253" s="243">
        <f t="shared" ref="F253" si="125">K253</f>
        <v>1561859.5300000003</v>
      </c>
      <c r="G253" s="244">
        <v>1193170</v>
      </c>
      <c r="H253" s="125">
        <v>1.19</v>
      </c>
      <c r="I253" s="56">
        <f t="shared" ref="I253" si="126">H253*G253</f>
        <v>1419872.3</v>
      </c>
      <c r="J253" s="125">
        <v>1.1000000000000001</v>
      </c>
      <c r="K253" s="235">
        <f t="shared" ref="K253" si="127">J253*I253</f>
        <v>1561859.5300000003</v>
      </c>
      <c r="L253" s="123">
        <f ca="1">SUMIF(APU!A:B,'Materiales '!C247,APU!I:I)</f>
        <v>1</v>
      </c>
    </row>
    <row r="254" spans="2:12">
      <c r="B254" s="238">
        <f>B251+1</f>
        <v>162</v>
      </c>
      <c r="C254" s="382" t="s">
        <v>4569</v>
      </c>
      <c r="D254" s="385">
        <v>10742</v>
      </c>
      <c r="E254" s="1" t="s">
        <v>4128</v>
      </c>
      <c r="F254" s="243">
        <f t="shared" si="93"/>
        <v>1898050.0000000002</v>
      </c>
      <c r="G254" s="244">
        <v>1450000</v>
      </c>
      <c r="H254" s="125">
        <v>1.19</v>
      </c>
      <c r="I254" s="56">
        <f t="shared" si="48"/>
        <v>1725500</v>
      </c>
      <c r="J254" s="125">
        <v>1.1000000000000001</v>
      </c>
      <c r="K254" s="235">
        <f t="shared" si="47"/>
        <v>1898050.0000000002</v>
      </c>
      <c r="L254" s="123">
        <f ca="1">SUMIF(APU!A:B,'Materiales '!C248,APU!I:I)</f>
        <v>1</v>
      </c>
    </row>
    <row r="255" spans="2:12">
      <c r="B255" s="238">
        <f t="shared" si="97"/>
        <v>163</v>
      </c>
      <c r="C255" s="382" t="s">
        <v>4570</v>
      </c>
      <c r="D255" s="385">
        <v>10474</v>
      </c>
      <c r="E255" s="1" t="s">
        <v>4128</v>
      </c>
      <c r="F255" s="243">
        <f t="shared" si="93"/>
        <v>0</v>
      </c>
      <c r="G255" s="244">
        <v>1480000</v>
      </c>
      <c r="H255" s="125"/>
      <c r="I255" s="56">
        <f t="shared" si="48"/>
        <v>0</v>
      </c>
      <c r="J255" s="125">
        <v>1.1000000000000001</v>
      </c>
      <c r="K255" s="235">
        <f t="shared" si="47"/>
        <v>0</v>
      </c>
    </row>
    <row r="256" spans="2:12">
      <c r="B256" s="238">
        <f t="shared" si="97"/>
        <v>164</v>
      </c>
      <c r="C256" s="382" t="s">
        <v>4571</v>
      </c>
      <c r="D256" s="385">
        <v>10740</v>
      </c>
      <c r="E256" s="1" t="s">
        <v>4128</v>
      </c>
      <c r="F256" s="243">
        <f t="shared" si="93"/>
        <v>1814529.2549999999</v>
      </c>
      <c r="G256" s="235">
        <v>1386195</v>
      </c>
      <c r="H256" s="125">
        <v>1.19</v>
      </c>
      <c r="I256" s="56">
        <f t="shared" si="48"/>
        <v>1649572.0499999998</v>
      </c>
      <c r="J256" s="125">
        <v>1.1000000000000001</v>
      </c>
      <c r="K256" s="235">
        <f t="shared" si="47"/>
        <v>1814529.2549999999</v>
      </c>
      <c r="L256" s="123">
        <f ca="1">SUMIF(APU!A:B,'Materiales '!C249,APU!I:I)</f>
        <v>0</v>
      </c>
    </row>
    <row r="257" spans="2:12">
      <c r="B257" s="238">
        <f>B255+1</f>
        <v>164</v>
      </c>
      <c r="C257" s="382" t="s">
        <v>4572</v>
      </c>
      <c r="D257" s="385">
        <v>10503</v>
      </c>
      <c r="E257" s="1" t="s">
        <v>4128</v>
      </c>
      <c r="F257" s="243">
        <f t="shared" ref="F257" si="128">K257</f>
        <v>2748900</v>
      </c>
      <c r="G257" s="235">
        <v>2100000</v>
      </c>
      <c r="H257" s="125">
        <v>1.19</v>
      </c>
      <c r="I257" s="56">
        <f t="shared" ref="I257" si="129">H257*G257</f>
        <v>2499000</v>
      </c>
      <c r="J257" s="125">
        <v>1.1000000000000001</v>
      </c>
      <c r="K257" s="235">
        <f t="shared" ref="K257" si="130">J257*I257</f>
        <v>2748900</v>
      </c>
      <c r="L257" s="123">
        <f ca="1">SUMIF(APU!A:B,'Materiales '!C250,APU!I:I)</f>
        <v>0</v>
      </c>
    </row>
    <row r="258" spans="2:12">
      <c r="B258" s="238">
        <f>B256+1</f>
        <v>165</v>
      </c>
      <c r="C258" s="382" t="s">
        <v>4573</v>
      </c>
      <c r="D258" s="385">
        <v>10503</v>
      </c>
      <c r="E258" s="1" t="s">
        <v>4128</v>
      </c>
      <c r="F258" s="243">
        <f t="shared" si="93"/>
        <v>3141600.0000000005</v>
      </c>
      <c r="G258" s="235">
        <v>2400000</v>
      </c>
      <c r="H258" s="125">
        <v>1.19</v>
      </c>
      <c r="I258" s="56">
        <f t="shared" si="48"/>
        <v>2856000</v>
      </c>
      <c r="J258" s="125">
        <v>1.1000000000000001</v>
      </c>
      <c r="K258" s="235">
        <f t="shared" si="47"/>
        <v>3141600.0000000005</v>
      </c>
      <c r="L258" s="123">
        <f ca="1">SUMIF(APU!A:B,'Materiales '!C251,APU!I:I)</f>
        <v>0</v>
      </c>
    </row>
    <row r="259" spans="2:12">
      <c r="B259" s="238">
        <f>B255+1</f>
        <v>164</v>
      </c>
      <c r="C259" s="382" t="s">
        <v>4989</v>
      </c>
      <c r="D259" s="385"/>
      <c r="E259" s="1" t="s">
        <v>4128</v>
      </c>
      <c r="F259" s="243">
        <f t="shared" si="93"/>
        <v>1505350.0000000002</v>
      </c>
      <c r="G259" s="235">
        <v>1150000</v>
      </c>
      <c r="H259" s="125">
        <v>1.19</v>
      </c>
      <c r="I259" s="56">
        <f t="shared" si="48"/>
        <v>1368500</v>
      </c>
      <c r="J259" s="125">
        <v>1.1000000000000001</v>
      </c>
      <c r="K259" s="235">
        <f t="shared" si="47"/>
        <v>1505350.0000000002</v>
      </c>
      <c r="L259" s="123">
        <f ca="1">SUMIF(APU!A:B,'Materiales '!C250,APU!I:I)</f>
        <v>0</v>
      </c>
    </row>
    <row r="260" spans="2:12">
      <c r="B260" s="238">
        <f>B256+1</f>
        <v>165</v>
      </c>
      <c r="C260" s="382" t="s">
        <v>4825</v>
      </c>
      <c r="D260" s="385"/>
      <c r="E260" s="1" t="s">
        <v>4128</v>
      </c>
      <c r="F260" s="243">
        <f t="shared" ref="F260" si="131">K260</f>
        <v>1898050.0000000002</v>
      </c>
      <c r="G260" s="235">
        <v>1450000</v>
      </c>
      <c r="H260" s="125">
        <v>1.19</v>
      </c>
      <c r="I260" s="56">
        <f t="shared" ref="I260" si="132">H260*G260</f>
        <v>1725500</v>
      </c>
      <c r="J260" s="125">
        <v>1.1000000000000001</v>
      </c>
      <c r="K260" s="235">
        <f t="shared" ref="K260" si="133">J260*I260</f>
        <v>1898050.0000000002</v>
      </c>
      <c r="L260" s="123">
        <f ca="1">SUMIF(APU!A:B,'Materiales '!C251,APU!I:I)</f>
        <v>0</v>
      </c>
    </row>
    <row r="261" spans="2:12">
      <c r="B261" s="238">
        <f>B258+1</f>
        <v>166</v>
      </c>
      <c r="C261" s="382" t="s">
        <v>4834</v>
      </c>
      <c r="D261" s="385"/>
      <c r="E261" s="1" t="s">
        <v>4128</v>
      </c>
      <c r="F261" s="243">
        <f t="shared" si="93"/>
        <v>2042040.0000000002</v>
      </c>
      <c r="G261" s="235">
        <v>1560000</v>
      </c>
      <c r="H261" s="125">
        <v>1.19</v>
      </c>
      <c r="I261" s="56">
        <f t="shared" si="48"/>
        <v>1856400</v>
      </c>
      <c r="J261" s="125">
        <v>1.1000000000000001</v>
      </c>
      <c r="K261" s="235">
        <f t="shared" si="47"/>
        <v>2042040.0000000002</v>
      </c>
      <c r="L261" s="123">
        <f ca="1">SUMIF(APU!A:B,'Materiales '!C254,APU!I:I)</f>
        <v>0</v>
      </c>
    </row>
    <row r="262" spans="2:12">
      <c r="B262" s="238">
        <f t="shared" si="97"/>
        <v>167</v>
      </c>
      <c r="C262" s="382" t="s">
        <v>4574</v>
      </c>
      <c r="D262" s="385">
        <v>2991</v>
      </c>
      <c r="E262" s="1" t="s">
        <v>4128</v>
      </c>
      <c r="F262" s="243">
        <f t="shared" si="93"/>
        <v>654.5</v>
      </c>
      <c r="G262" s="235">
        <v>500</v>
      </c>
      <c r="H262" s="125">
        <v>1.19</v>
      </c>
      <c r="I262" s="56">
        <f t="shared" si="48"/>
        <v>595</v>
      </c>
      <c r="J262" s="125">
        <v>1.1000000000000001</v>
      </c>
      <c r="K262" s="235">
        <f t="shared" si="47"/>
        <v>654.5</v>
      </c>
      <c r="L262" s="123">
        <f ca="1">SUMIF(APU!A:B,'Materiales '!C256,APU!I:I)</f>
        <v>0</v>
      </c>
    </row>
    <row r="263" spans="2:12">
      <c r="B263" s="238">
        <f t="shared" si="97"/>
        <v>168</v>
      </c>
      <c r="C263" s="382" t="s">
        <v>4575</v>
      </c>
      <c r="D263" s="385">
        <v>2992</v>
      </c>
      <c r="E263" s="1" t="s">
        <v>4128</v>
      </c>
      <c r="F263" s="243">
        <f t="shared" si="93"/>
        <v>1439.9</v>
      </c>
      <c r="G263" s="235">
        <v>1100</v>
      </c>
      <c r="H263" s="125">
        <v>1.19</v>
      </c>
      <c r="I263" s="56">
        <f t="shared" si="48"/>
        <v>1309</v>
      </c>
      <c r="J263" s="125">
        <v>1.1000000000000001</v>
      </c>
      <c r="K263" s="235">
        <f t="shared" si="47"/>
        <v>1439.9</v>
      </c>
      <c r="L263" s="123">
        <f ca="1">SUMIF(APU!A:B,'Materiales '!C258,APU!I:I)</f>
        <v>0</v>
      </c>
    </row>
    <row r="264" spans="2:12">
      <c r="B264" s="238">
        <f>B255+1</f>
        <v>164</v>
      </c>
      <c r="C264" s="394" t="s">
        <v>4713</v>
      </c>
      <c r="D264" s="385"/>
      <c r="E264" s="1" t="s">
        <v>4128</v>
      </c>
      <c r="F264" s="243">
        <f t="shared" ref="F264:F270" si="134">K264</f>
        <v>60475.8</v>
      </c>
      <c r="G264" s="235">
        <v>46200</v>
      </c>
      <c r="H264" s="125">
        <v>1.19</v>
      </c>
      <c r="I264" s="56">
        <f t="shared" ref="I264:I270" si="135">H264*G264</f>
        <v>54978</v>
      </c>
      <c r="J264" s="125">
        <v>1.1000000000000001</v>
      </c>
      <c r="K264" s="235">
        <f t="shared" ref="K264:K270" si="136">J264*I264</f>
        <v>60475.8</v>
      </c>
      <c r="L264" s="123">
        <f ca="1">SUMIF(APU!A:B,'Materiales '!C251,APU!I:I)</f>
        <v>0</v>
      </c>
    </row>
    <row r="265" spans="2:12">
      <c r="B265" s="238">
        <f t="shared" si="97"/>
        <v>165</v>
      </c>
      <c r="C265" s="394" t="s">
        <v>4714</v>
      </c>
      <c r="D265" s="385"/>
      <c r="E265" s="1" t="s">
        <v>4128</v>
      </c>
      <c r="F265" s="243">
        <f t="shared" si="134"/>
        <v>801108.00000000012</v>
      </c>
      <c r="G265" s="235">
        <v>612000</v>
      </c>
      <c r="H265" s="125">
        <v>1.19</v>
      </c>
      <c r="I265" s="56">
        <f t="shared" si="135"/>
        <v>728280</v>
      </c>
      <c r="J265" s="125">
        <v>1.1000000000000001</v>
      </c>
      <c r="K265" s="235">
        <f t="shared" si="136"/>
        <v>801108.00000000012</v>
      </c>
      <c r="L265" s="123">
        <f ca="1">SUMIF(APU!A:B,'Materiales '!C254,APU!I:I)</f>
        <v>0</v>
      </c>
    </row>
    <row r="266" spans="2:12">
      <c r="B266" s="238">
        <f t="shared" si="97"/>
        <v>166</v>
      </c>
      <c r="C266" s="394" t="s">
        <v>4715</v>
      </c>
      <c r="D266" s="385"/>
      <c r="E266" s="1" t="s">
        <v>4128</v>
      </c>
      <c r="F266" s="243">
        <f t="shared" si="134"/>
        <v>1010580.7250000001</v>
      </c>
      <c r="G266" s="235">
        <v>772025</v>
      </c>
      <c r="H266" s="125">
        <v>1.19</v>
      </c>
      <c r="I266" s="56">
        <f t="shared" si="135"/>
        <v>918709.75</v>
      </c>
      <c r="J266" s="125">
        <v>1.1000000000000001</v>
      </c>
      <c r="K266" s="235">
        <f t="shared" si="136"/>
        <v>1010580.7250000001</v>
      </c>
      <c r="L266" s="123">
        <f ca="1">SUMIF(APU!A:B,'Materiales '!C255,APU!I:I)</f>
        <v>0</v>
      </c>
    </row>
    <row r="267" spans="2:12">
      <c r="B267" s="238">
        <f>B265+1</f>
        <v>166</v>
      </c>
      <c r="C267" s="394" t="s">
        <v>4716</v>
      </c>
      <c r="D267" s="385"/>
      <c r="E267" s="1" t="s">
        <v>4128</v>
      </c>
      <c r="F267" s="243">
        <f t="shared" ref="F267" si="137">K267</f>
        <v>1165010</v>
      </c>
      <c r="G267" s="235">
        <v>890000</v>
      </c>
      <c r="H267" s="125">
        <v>1.19</v>
      </c>
      <c r="I267" s="56">
        <f t="shared" ref="I267" si="138">H267*G267</f>
        <v>1059100</v>
      </c>
      <c r="J267" s="125">
        <v>1.1000000000000001</v>
      </c>
      <c r="K267" s="235">
        <f t="shared" ref="K267" si="139">J267*I267</f>
        <v>1165010</v>
      </c>
      <c r="L267" s="123">
        <f ca="1">SUMIF(APU!A:B,'Materiales '!C263,APU!I:I)</f>
        <v>0</v>
      </c>
    </row>
    <row r="268" spans="2:12">
      <c r="B268" s="238">
        <f>B266+1</f>
        <v>167</v>
      </c>
      <c r="C268" s="394" t="s">
        <v>4789</v>
      </c>
      <c r="D268" s="385"/>
      <c r="E268" s="1" t="s">
        <v>4128</v>
      </c>
      <c r="F268" s="243">
        <f t="shared" si="134"/>
        <v>2042040.0000000002</v>
      </c>
      <c r="G268" s="235">
        <v>1560000</v>
      </c>
      <c r="H268" s="125">
        <v>1.19</v>
      </c>
      <c r="I268" s="56">
        <f t="shared" si="135"/>
        <v>1856400</v>
      </c>
      <c r="J268" s="125">
        <v>1.1000000000000001</v>
      </c>
      <c r="K268" s="235">
        <f t="shared" si="136"/>
        <v>2042040.0000000002</v>
      </c>
      <c r="L268" s="123">
        <f ca="1">SUMIF(APU!A:B,'Materiales '!C264,APU!I:I)</f>
        <v>0</v>
      </c>
    </row>
    <row r="269" spans="2:12">
      <c r="B269" s="238">
        <f t="shared" si="97"/>
        <v>168</v>
      </c>
      <c r="C269" s="382" t="s">
        <v>4580</v>
      </c>
      <c r="D269" s="385">
        <v>9516</v>
      </c>
      <c r="E269" s="1" t="s">
        <v>4128</v>
      </c>
      <c r="F269" s="243">
        <f t="shared" si="134"/>
        <v>5291632.5</v>
      </c>
      <c r="G269" s="235">
        <f>550*4900*1.5</f>
        <v>4042500</v>
      </c>
      <c r="H269" s="125">
        <v>1.19</v>
      </c>
      <c r="I269" s="56">
        <f t="shared" si="135"/>
        <v>4810575</v>
      </c>
      <c r="J269" s="125">
        <v>1.1000000000000001</v>
      </c>
      <c r="K269" s="235">
        <f t="shared" si="136"/>
        <v>5291632.5</v>
      </c>
      <c r="L269" s="123">
        <f ca="1">SUMIF(APU!A:B,'Materiales '!C265,APU!I:I)</f>
        <v>0</v>
      </c>
    </row>
    <row r="270" spans="2:12">
      <c r="B270" s="238">
        <f>B262+1</f>
        <v>168</v>
      </c>
      <c r="C270" s="384" t="s">
        <v>4747</v>
      </c>
      <c r="D270" s="385"/>
      <c r="E270" s="1" t="s">
        <v>4128</v>
      </c>
      <c r="F270" s="243">
        <f t="shared" si="134"/>
        <v>1426810</v>
      </c>
      <c r="G270" s="235">
        <v>1090000</v>
      </c>
      <c r="H270" s="125">
        <v>1.19</v>
      </c>
      <c r="I270" s="56">
        <f t="shared" si="135"/>
        <v>1297100</v>
      </c>
      <c r="J270" s="125">
        <v>1.1000000000000001</v>
      </c>
      <c r="K270" s="235">
        <f t="shared" si="136"/>
        <v>1426810</v>
      </c>
      <c r="L270" s="123">
        <f ca="1">SUMIF(APU!A:B,'Materiales '!C258,APU!I:I)</f>
        <v>0</v>
      </c>
    </row>
    <row r="271" spans="2:12">
      <c r="B271" s="238">
        <f>B263+1</f>
        <v>169</v>
      </c>
      <c r="C271" s="384" t="s">
        <v>4576</v>
      </c>
      <c r="D271" s="385">
        <v>5408</v>
      </c>
      <c r="E271" s="1" t="s">
        <v>4128</v>
      </c>
      <c r="F271" s="243">
        <f t="shared" si="93"/>
        <v>2693922</v>
      </c>
      <c r="G271" s="235">
        <f>280*4900*1.5</f>
        <v>2058000</v>
      </c>
      <c r="H271" s="125">
        <v>1.19</v>
      </c>
      <c r="I271" s="56">
        <f t="shared" si="48"/>
        <v>2449020</v>
      </c>
      <c r="J271" s="125">
        <v>1.1000000000000001</v>
      </c>
      <c r="K271" s="235">
        <f t="shared" si="47"/>
        <v>2693922</v>
      </c>
      <c r="L271" s="123">
        <f ca="1">SUMIF(APU!A:B,'Materiales '!C261,APU!I:I)</f>
        <v>0</v>
      </c>
    </row>
    <row r="272" spans="2:12">
      <c r="B272" s="238">
        <f t="shared" si="97"/>
        <v>170</v>
      </c>
      <c r="C272" s="384" t="s">
        <v>4577</v>
      </c>
      <c r="D272" s="385">
        <v>5409</v>
      </c>
      <c r="E272" s="1" t="s">
        <v>4128</v>
      </c>
      <c r="F272" s="243">
        <f t="shared" si="93"/>
        <v>3174979.5000000005</v>
      </c>
      <c r="G272" s="235">
        <f>330*4900*1.5</f>
        <v>2425500</v>
      </c>
      <c r="H272" s="125">
        <v>1.19</v>
      </c>
      <c r="I272" s="56">
        <f t="shared" si="48"/>
        <v>2886345</v>
      </c>
      <c r="J272" s="125">
        <v>1.1000000000000001</v>
      </c>
      <c r="K272" s="235">
        <f t="shared" si="47"/>
        <v>3174979.5000000005</v>
      </c>
      <c r="L272" s="123">
        <f ca="1">SUMIF(APU!A:B,'Materiales '!C262,APU!I:I)</f>
        <v>0</v>
      </c>
    </row>
    <row r="273" spans="2:12">
      <c r="B273" s="238">
        <f>B270+1</f>
        <v>169</v>
      </c>
      <c r="C273" s="382" t="s">
        <v>4986</v>
      </c>
      <c r="D273" s="385">
        <v>4962</v>
      </c>
      <c r="E273" s="1" t="s">
        <v>4128</v>
      </c>
      <c r="F273" s="243">
        <f t="shared" si="93"/>
        <v>865903.50000000012</v>
      </c>
      <c r="G273" s="235">
        <f>90*4900*1.5</f>
        <v>661500</v>
      </c>
      <c r="H273" s="125">
        <v>1.19</v>
      </c>
      <c r="I273" s="56">
        <f t="shared" si="48"/>
        <v>787185</v>
      </c>
      <c r="J273" s="125">
        <v>1.1000000000000001</v>
      </c>
      <c r="K273" s="235">
        <f t="shared" si="47"/>
        <v>865903.50000000012</v>
      </c>
      <c r="L273" s="123">
        <f ca="1">SUMIF(APU!A:B,'Materiales '!C261,APU!I:I)</f>
        <v>0</v>
      </c>
    </row>
    <row r="274" spans="2:12">
      <c r="B274" s="238">
        <f>B271+1</f>
        <v>170</v>
      </c>
      <c r="C274" s="382" t="s">
        <v>4987</v>
      </c>
      <c r="D274" s="385">
        <v>4962</v>
      </c>
      <c r="E274" s="1" t="s">
        <v>4128</v>
      </c>
      <c r="F274" s="243">
        <f t="shared" ref="F274" si="140">K274</f>
        <v>1924230.0000000002</v>
      </c>
      <c r="G274" s="235">
        <f>200*4900*1.5</f>
        <v>1470000</v>
      </c>
      <c r="H274" s="125">
        <v>1.19</v>
      </c>
      <c r="I274" s="56">
        <f t="shared" ref="I274" si="141">H274*G274</f>
        <v>1749300</v>
      </c>
      <c r="J274" s="125">
        <v>1.1000000000000001</v>
      </c>
      <c r="K274" s="235">
        <f t="shared" ref="K274" si="142">J274*I274</f>
        <v>1924230.0000000002</v>
      </c>
      <c r="L274" s="123">
        <f ca="1">SUMIF(APU!A:B,'Materiales '!C262,APU!I:I)</f>
        <v>0</v>
      </c>
    </row>
    <row r="275" spans="2:12">
      <c r="B275" s="238">
        <f>B272+1</f>
        <v>171</v>
      </c>
      <c r="C275" s="382" t="s">
        <v>4578</v>
      </c>
      <c r="D275" s="385">
        <v>4962</v>
      </c>
      <c r="E275" s="1" t="s">
        <v>4128</v>
      </c>
      <c r="F275" s="243">
        <f t="shared" si="93"/>
        <v>1051286.94671</v>
      </c>
      <c r="G275" s="235">
        <v>803122.19</v>
      </c>
      <c r="H275" s="125">
        <v>1.19</v>
      </c>
      <c r="I275" s="56">
        <f t="shared" si="48"/>
        <v>955715.40609999991</v>
      </c>
      <c r="J275" s="125">
        <v>1.1000000000000001</v>
      </c>
      <c r="K275" s="235">
        <f t="shared" si="47"/>
        <v>1051286.94671</v>
      </c>
      <c r="L275" s="123">
        <f ca="1">SUMIF(APU!A:B,'Materiales '!C263,APU!I:I)</f>
        <v>0</v>
      </c>
    </row>
    <row r="276" spans="2:12">
      <c r="B276" s="238">
        <f t="shared" si="97"/>
        <v>172</v>
      </c>
      <c r="C276" s="382" t="s">
        <v>4579</v>
      </c>
      <c r="D276" s="385">
        <v>9515</v>
      </c>
      <c r="E276" s="1" t="s">
        <v>4128</v>
      </c>
      <c r="F276" s="243">
        <f t="shared" si="93"/>
        <v>1636250.0000000002</v>
      </c>
      <c r="G276" s="235">
        <v>1250000</v>
      </c>
      <c r="H276" s="125">
        <v>1.19</v>
      </c>
      <c r="I276" s="56">
        <f t="shared" si="48"/>
        <v>1487500</v>
      </c>
      <c r="J276" s="125">
        <v>1.1000000000000001</v>
      </c>
      <c r="K276" s="235">
        <f t="shared" si="47"/>
        <v>1636250.0000000002</v>
      </c>
      <c r="L276" s="123">
        <f ca="1">SUMIF(APU!A:B,'Materiales '!C271,APU!I:I)</f>
        <v>1</v>
      </c>
    </row>
    <row r="277" spans="2:12">
      <c r="B277" s="238">
        <f>B275+1</f>
        <v>172</v>
      </c>
      <c r="C277" s="382" t="s">
        <v>4580</v>
      </c>
      <c r="D277" s="385">
        <v>9516</v>
      </c>
      <c r="E277" s="1" t="s">
        <v>4128</v>
      </c>
      <c r="F277" s="243">
        <f t="shared" ref="F277" si="143">K277</f>
        <v>2951795.0000000005</v>
      </c>
      <c r="G277" s="235">
        <f>550*4100</f>
        <v>2255000</v>
      </c>
      <c r="H277" s="125">
        <v>1.19</v>
      </c>
      <c r="I277" s="56">
        <f t="shared" ref="I277" si="144">H277*G277</f>
        <v>2683450</v>
      </c>
      <c r="J277" s="125">
        <v>1.1000000000000001</v>
      </c>
      <c r="K277" s="235">
        <f t="shared" ref="K277" si="145">J277*I277</f>
        <v>2951795.0000000005</v>
      </c>
      <c r="L277" s="123">
        <f ca="1">SUMIF(APU!A:B,'Materiales '!C271,APU!I:I)</f>
        <v>1</v>
      </c>
    </row>
    <row r="278" spans="2:12">
      <c r="B278" s="238">
        <f>B276+1</f>
        <v>173</v>
      </c>
      <c r="C278" s="382" t="s">
        <v>4983</v>
      </c>
      <c r="D278" s="385">
        <v>9516</v>
      </c>
      <c r="E278" s="1" t="s">
        <v>4128</v>
      </c>
      <c r="F278" s="243">
        <f t="shared" si="93"/>
        <v>4751670</v>
      </c>
      <c r="G278" s="235">
        <f>550*4400*1.5</f>
        <v>3630000</v>
      </c>
      <c r="H278" s="125">
        <v>1.19</v>
      </c>
      <c r="I278" s="56">
        <f t="shared" si="48"/>
        <v>4319700</v>
      </c>
      <c r="J278" s="125">
        <v>1.1000000000000001</v>
      </c>
      <c r="K278" s="235">
        <f t="shared" si="47"/>
        <v>4751670</v>
      </c>
      <c r="L278" s="123">
        <f ca="1">SUMIF(APU!A:B,'Materiales '!C272,APU!I:I)</f>
        <v>1</v>
      </c>
    </row>
    <row r="279" spans="2:12">
      <c r="B279" s="238">
        <f>B272+1</f>
        <v>171</v>
      </c>
      <c r="C279" s="394" t="s">
        <v>4748</v>
      </c>
      <c r="D279" s="385"/>
      <c r="E279" s="1" t="s">
        <v>4128</v>
      </c>
      <c r="F279" s="243">
        <f t="shared" ref="F279:F280" si="146">K279</f>
        <v>606900</v>
      </c>
      <c r="G279" s="235">
        <v>425000</v>
      </c>
      <c r="H279" s="125">
        <v>1.19</v>
      </c>
      <c r="I279" s="56">
        <f t="shared" ref="I279:I280" si="147">H279*G279</f>
        <v>505750</v>
      </c>
      <c r="J279" s="125">
        <v>1.2</v>
      </c>
      <c r="K279" s="235">
        <f t="shared" ref="K279:K280" si="148">J279*I279</f>
        <v>606900</v>
      </c>
      <c r="L279" s="123">
        <f ca="1">SUMIF(APU!A:B,'Materiales '!C275,APU!I:I)</f>
        <v>0</v>
      </c>
    </row>
    <row r="280" spans="2:12">
      <c r="B280" s="238">
        <f>B272+1</f>
        <v>171</v>
      </c>
      <c r="C280" s="392" t="s">
        <v>4726</v>
      </c>
      <c r="D280" s="385"/>
      <c r="E280" s="1" t="s">
        <v>4128</v>
      </c>
      <c r="F280" s="243">
        <f t="shared" si="146"/>
        <v>94864.895999999993</v>
      </c>
      <c r="G280" s="235">
        <v>66432</v>
      </c>
      <c r="H280" s="125">
        <v>1.19</v>
      </c>
      <c r="I280" s="56">
        <f t="shared" si="147"/>
        <v>79054.080000000002</v>
      </c>
      <c r="J280" s="125">
        <v>1.2</v>
      </c>
      <c r="K280" s="235">
        <f t="shared" si="148"/>
        <v>94864.895999999993</v>
      </c>
      <c r="L280" s="123">
        <f ca="1">SUMIF(APU!A:B,'Materiales '!C270,APU!I:I)</f>
        <v>0</v>
      </c>
    </row>
    <row r="281" spans="2:12">
      <c r="B281" s="238">
        <f>B275+1</f>
        <v>172</v>
      </c>
      <c r="C281" s="392" t="s">
        <v>4632</v>
      </c>
      <c r="D281" s="385"/>
      <c r="E281" s="1" t="s">
        <v>4128</v>
      </c>
      <c r="F281" s="243">
        <f t="shared" si="93"/>
        <v>82824</v>
      </c>
      <c r="G281" s="235">
        <v>58000</v>
      </c>
      <c r="H281" s="125">
        <v>1.19</v>
      </c>
      <c r="I281" s="56">
        <f t="shared" ref="I281" si="149">H281*G281</f>
        <v>69020</v>
      </c>
      <c r="J281" s="125">
        <v>1.2</v>
      </c>
      <c r="K281" s="235">
        <f t="shared" ref="K281" si="150">J281*I281</f>
        <v>82824</v>
      </c>
      <c r="L281" s="123">
        <f ca="1">SUMIF(APU!A:B,'Materiales '!C271,APU!I:I)</f>
        <v>1</v>
      </c>
    </row>
    <row r="282" spans="2:12">
      <c r="B282" s="238">
        <f>B276+1</f>
        <v>173</v>
      </c>
      <c r="C282" s="382" t="s">
        <v>4637</v>
      </c>
      <c r="D282" s="385"/>
      <c r="E282" s="1" t="s">
        <v>4128</v>
      </c>
      <c r="F282" s="243">
        <f t="shared" ref="F282" si="151">K282</f>
        <v>14280</v>
      </c>
      <c r="G282" s="235">
        <v>10000</v>
      </c>
      <c r="H282" s="125">
        <v>1.19</v>
      </c>
      <c r="I282" s="56">
        <f t="shared" si="48"/>
        <v>11900</v>
      </c>
      <c r="J282" s="125">
        <v>1.2</v>
      </c>
      <c r="K282" s="235">
        <f t="shared" si="47"/>
        <v>14280</v>
      </c>
      <c r="L282" s="123">
        <f ca="1">SUMIF(APU!A:B,'Materiales '!C272,APU!I:I)</f>
        <v>1</v>
      </c>
    </row>
    <row r="283" spans="2:12">
      <c r="B283" s="238">
        <f>B278+1</f>
        <v>174</v>
      </c>
      <c r="C283" s="382" t="s">
        <v>4581</v>
      </c>
      <c r="D283" s="385">
        <v>3360</v>
      </c>
      <c r="E283" s="1" t="s">
        <v>4128</v>
      </c>
      <c r="F283" s="243">
        <f t="shared" si="93"/>
        <v>34629</v>
      </c>
      <c r="G283" s="235">
        <v>24250</v>
      </c>
      <c r="H283" s="125">
        <v>1.19</v>
      </c>
      <c r="I283" s="56">
        <f t="shared" si="48"/>
        <v>28857.5</v>
      </c>
      <c r="J283" s="125">
        <v>1.2</v>
      </c>
      <c r="K283" s="235">
        <f t="shared" si="47"/>
        <v>34629</v>
      </c>
      <c r="L283" s="123">
        <f ca="1">SUMIF(APU!A:B,'Materiales '!C275,APU!I:I)</f>
        <v>0</v>
      </c>
    </row>
    <row r="284" spans="2:12">
      <c r="B284" s="238">
        <f>B282+1</f>
        <v>174</v>
      </c>
      <c r="C284" s="382" t="s">
        <v>4638</v>
      </c>
      <c r="D284" s="385"/>
      <c r="E284" s="1" t="s">
        <v>4128</v>
      </c>
      <c r="F284" s="243">
        <f t="shared" ref="F284" si="152">K284</f>
        <v>4426.8</v>
      </c>
      <c r="G284" s="235">
        <v>3100</v>
      </c>
      <c r="H284" s="125">
        <v>1.19</v>
      </c>
      <c r="I284" s="56">
        <f t="shared" si="48"/>
        <v>3689</v>
      </c>
      <c r="J284" s="125">
        <v>1.2</v>
      </c>
      <c r="K284" s="235">
        <f t="shared" si="47"/>
        <v>4426.8</v>
      </c>
      <c r="L284" s="123">
        <f ca="1">SUMIF(APU!A:B,'Materiales '!C275,APU!I:I)</f>
        <v>0</v>
      </c>
    </row>
    <row r="285" spans="2:12">
      <c r="B285" s="238">
        <f>B283+1</f>
        <v>175</v>
      </c>
      <c r="C285" s="382" t="s">
        <v>4582</v>
      </c>
      <c r="D285" s="385">
        <v>9491</v>
      </c>
      <c r="E285" s="1" t="s">
        <v>4128</v>
      </c>
      <c r="F285" s="243">
        <f t="shared" si="93"/>
        <v>0</v>
      </c>
      <c r="G285" s="235">
        <v>0</v>
      </c>
      <c r="H285" s="125">
        <v>1.19</v>
      </c>
      <c r="I285" s="56">
        <f t="shared" si="48"/>
        <v>0</v>
      </c>
      <c r="J285" s="125">
        <v>1.2</v>
      </c>
      <c r="K285" s="235">
        <f t="shared" si="47"/>
        <v>0</v>
      </c>
      <c r="L285" s="123">
        <f ca="1">SUMIF(APU!A:B,'Materiales '!C276,APU!I:I)</f>
        <v>0</v>
      </c>
    </row>
    <row r="286" spans="2:12">
      <c r="B286" s="238">
        <f t="shared" si="97"/>
        <v>176</v>
      </c>
      <c r="C286" s="382" t="s">
        <v>4583</v>
      </c>
      <c r="D286" s="385">
        <v>9615</v>
      </c>
      <c r="E286" s="1" t="s">
        <v>4128</v>
      </c>
      <c r="F286" s="243">
        <f t="shared" si="93"/>
        <v>0</v>
      </c>
      <c r="G286" s="235">
        <v>0</v>
      </c>
      <c r="H286" s="125">
        <v>1.19</v>
      </c>
      <c r="I286" s="56">
        <f t="shared" si="48"/>
        <v>0</v>
      </c>
      <c r="J286" s="125">
        <v>1.2</v>
      </c>
      <c r="K286" s="235">
        <f t="shared" si="47"/>
        <v>0</v>
      </c>
      <c r="L286" s="123">
        <f ca="1">SUMIF(APU!A:B,'Materiales '!C278,APU!I:I)</f>
        <v>0</v>
      </c>
    </row>
    <row r="287" spans="2:12">
      <c r="B287" s="238">
        <f t="shared" si="97"/>
        <v>177</v>
      </c>
      <c r="C287" s="382" t="s">
        <v>4584</v>
      </c>
      <c r="D287" s="385">
        <v>5334</v>
      </c>
      <c r="E287" s="1" t="s">
        <v>4128</v>
      </c>
      <c r="F287" s="243">
        <f t="shared" si="93"/>
        <v>3274.404</v>
      </c>
      <c r="G287" s="235">
        <v>2293</v>
      </c>
      <c r="H287" s="125">
        <v>1.19</v>
      </c>
      <c r="I287" s="56">
        <f t="shared" si="48"/>
        <v>2728.67</v>
      </c>
      <c r="J287" s="125">
        <v>1.2</v>
      </c>
      <c r="K287" s="235">
        <f t="shared" si="47"/>
        <v>3274.404</v>
      </c>
      <c r="L287" s="123">
        <f ca="1">SUMIF(APU!A:B,'Materiales '!C283,APU!I:I)</f>
        <v>0.04</v>
      </c>
    </row>
    <row r="288" spans="2:12">
      <c r="B288" s="238">
        <f t="shared" si="97"/>
        <v>178</v>
      </c>
      <c r="C288" s="382" t="s">
        <v>4585</v>
      </c>
      <c r="D288" s="385">
        <v>11149</v>
      </c>
      <c r="E288" s="1" t="s">
        <v>4128</v>
      </c>
      <c r="F288" s="243">
        <f t="shared" si="93"/>
        <v>217484.4</v>
      </c>
      <c r="G288" s="235">
        <v>152300</v>
      </c>
      <c r="H288" s="125">
        <v>1.19</v>
      </c>
      <c r="I288" s="56">
        <f t="shared" si="48"/>
        <v>181237</v>
      </c>
      <c r="J288" s="125">
        <v>1.2</v>
      </c>
      <c r="K288" s="235">
        <f t="shared" si="47"/>
        <v>217484.4</v>
      </c>
      <c r="L288" s="123">
        <f ca="1">SUMIF(APU!A:B,'Materiales '!C285,APU!I:I)</f>
        <v>0</v>
      </c>
    </row>
    <row r="289" spans="2:12">
      <c r="B289" s="238">
        <f t="shared" si="97"/>
        <v>179</v>
      </c>
      <c r="C289" s="382" t="s">
        <v>4586</v>
      </c>
      <c r="D289" s="385">
        <v>3664</v>
      </c>
      <c r="E289" s="1" t="s">
        <v>4128</v>
      </c>
      <c r="F289" s="243">
        <f t="shared" si="93"/>
        <v>0</v>
      </c>
      <c r="G289" s="235">
        <v>0</v>
      </c>
      <c r="H289" s="125">
        <v>1.19</v>
      </c>
      <c r="I289" s="56">
        <f t="shared" si="48"/>
        <v>0</v>
      </c>
      <c r="J289" s="125">
        <v>1.2</v>
      </c>
      <c r="K289" s="235">
        <f t="shared" si="47"/>
        <v>0</v>
      </c>
      <c r="L289" s="123">
        <f ca="1">SUMIF(APU!A:B,'Materiales '!C286,APU!I:I)</f>
        <v>0</v>
      </c>
    </row>
    <row r="290" spans="2:12">
      <c r="B290" s="238">
        <f t="shared" si="97"/>
        <v>180</v>
      </c>
      <c r="C290" s="382" t="s">
        <v>4587</v>
      </c>
      <c r="D290" s="385">
        <v>10285</v>
      </c>
      <c r="E290" s="1" t="s">
        <v>4128</v>
      </c>
      <c r="F290" s="243">
        <f t="shared" si="93"/>
        <v>2399.0399999999995</v>
      </c>
      <c r="G290" s="235">
        <v>1680</v>
      </c>
      <c r="H290" s="125">
        <v>1.19</v>
      </c>
      <c r="I290" s="56">
        <f t="shared" si="48"/>
        <v>1999.1999999999998</v>
      </c>
      <c r="J290" s="125">
        <v>1.2</v>
      </c>
      <c r="K290" s="235">
        <f t="shared" si="47"/>
        <v>2399.0399999999995</v>
      </c>
      <c r="L290" s="123">
        <f ca="1">SUMIF(APU!A:B,'Materiales '!C287,APU!I:I)</f>
        <v>0</v>
      </c>
    </row>
    <row r="291" spans="2:12">
      <c r="B291" s="238">
        <f t="shared" si="97"/>
        <v>181</v>
      </c>
      <c r="C291" s="382" t="s">
        <v>4588</v>
      </c>
      <c r="D291" s="385">
        <v>3669</v>
      </c>
      <c r="E291" s="1" t="s">
        <v>4128</v>
      </c>
      <c r="F291" s="243">
        <f t="shared" si="93"/>
        <v>0</v>
      </c>
      <c r="G291" s="235">
        <v>0</v>
      </c>
      <c r="H291" s="125">
        <v>1.19</v>
      </c>
      <c r="I291" s="56">
        <f t="shared" si="48"/>
        <v>0</v>
      </c>
      <c r="J291" s="125">
        <v>1.2</v>
      </c>
      <c r="K291" s="235">
        <f t="shared" si="47"/>
        <v>0</v>
      </c>
      <c r="L291" s="123">
        <f ca="1">SUMIF(APU!A:B,'Materiales '!C288,APU!I:I)</f>
        <v>1</v>
      </c>
    </row>
    <row r="292" spans="2:12">
      <c r="B292" s="238">
        <f t="shared" si="97"/>
        <v>182</v>
      </c>
      <c r="C292" s="382" t="s">
        <v>4589</v>
      </c>
      <c r="D292" s="385">
        <v>3848</v>
      </c>
      <c r="E292" s="1" t="s">
        <v>4128</v>
      </c>
      <c r="F292" s="243">
        <f t="shared" si="93"/>
        <v>3412920</v>
      </c>
      <c r="G292" s="398">
        <v>2390000</v>
      </c>
      <c r="H292" s="125">
        <v>1.19</v>
      </c>
      <c r="I292" s="56">
        <f t="shared" si="48"/>
        <v>2844100</v>
      </c>
      <c r="J292" s="125">
        <v>1.2</v>
      </c>
      <c r="K292" s="235">
        <f t="shared" si="47"/>
        <v>3412920</v>
      </c>
      <c r="L292" s="123">
        <f ca="1">SUMIF(APU!A:B,'Materiales '!C289,APU!I:I)</f>
        <v>0</v>
      </c>
    </row>
    <row r="293" spans="2:12">
      <c r="B293" s="238">
        <f t="shared" si="97"/>
        <v>183</v>
      </c>
      <c r="C293" s="382" t="s">
        <v>4590</v>
      </c>
      <c r="D293" s="385">
        <v>3846</v>
      </c>
      <c r="E293" s="1" t="s">
        <v>4128</v>
      </c>
      <c r="F293" s="243">
        <f t="shared" si="93"/>
        <v>4955160</v>
      </c>
      <c r="G293" s="398">
        <v>3470000</v>
      </c>
      <c r="H293" s="125">
        <v>1.19</v>
      </c>
      <c r="I293" s="56">
        <f t="shared" si="48"/>
        <v>4129300</v>
      </c>
      <c r="J293" s="125">
        <v>1.2</v>
      </c>
      <c r="K293" s="235">
        <f t="shared" si="47"/>
        <v>4955160</v>
      </c>
      <c r="L293" s="123">
        <f ca="1">SUMIF(APU!A:B,'Materiales '!C291,APU!I:I)</f>
        <v>0</v>
      </c>
    </row>
    <row r="294" spans="2:12">
      <c r="B294" s="238">
        <f>B292+1</f>
        <v>183</v>
      </c>
      <c r="C294" s="382" t="s">
        <v>4591</v>
      </c>
      <c r="D294" s="385">
        <v>3849</v>
      </c>
      <c r="E294" s="1" t="s">
        <v>4128</v>
      </c>
      <c r="F294" s="243">
        <f t="shared" ref="F294:F297" si="153">K294</f>
        <v>5640600</v>
      </c>
      <c r="G294" s="398">
        <v>3950000</v>
      </c>
      <c r="H294" s="125">
        <v>1.19</v>
      </c>
      <c r="I294" s="56">
        <f t="shared" ref="I294:I297" si="154">H294*G294</f>
        <v>4700500</v>
      </c>
      <c r="J294" s="125">
        <v>1.2</v>
      </c>
      <c r="K294" s="235">
        <f t="shared" ref="K294:K297" si="155">J294*I294</f>
        <v>5640600</v>
      </c>
      <c r="L294" s="123">
        <f ca="1">SUMIF(APU!A:B,'Materiales '!C291,APU!I:I)</f>
        <v>0</v>
      </c>
    </row>
    <row r="295" spans="2:12">
      <c r="B295" s="238">
        <f>B292+1</f>
        <v>183</v>
      </c>
      <c r="C295" s="382" t="s">
        <v>4791</v>
      </c>
      <c r="D295" s="385">
        <v>3849</v>
      </c>
      <c r="E295" s="1" t="s">
        <v>4128</v>
      </c>
      <c r="F295" s="243">
        <f t="shared" si="153"/>
        <v>10727136</v>
      </c>
      <c r="G295" s="398">
        <v>7512000</v>
      </c>
      <c r="H295" s="125">
        <v>1.19</v>
      </c>
      <c r="I295" s="56">
        <f t="shared" si="154"/>
        <v>8939280</v>
      </c>
      <c r="J295" s="125">
        <v>1.2</v>
      </c>
      <c r="K295" s="235">
        <f t="shared" si="155"/>
        <v>10727136</v>
      </c>
      <c r="L295" s="123">
        <f ca="1">SUMIF(APU!A:B,'Materiales '!C291,APU!I:I)</f>
        <v>0</v>
      </c>
    </row>
    <row r="296" spans="2:12">
      <c r="B296" s="238">
        <f>B292+1</f>
        <v>183</v>
      </c>
      <c r="C296" s="382" t="s">
        <v>4819</v>
      </c>
      <c r="D296" s="385"/>
      <c r="E296" s="1" t="s">
        <v>4128</v>
      </c>
      <c r="F296" s="243">
        <f t="shared" si="153"/>
        <v>7854000</v>
      </c>
      <c r="G296" s="398">
        <v>5500000</v>
      </c>
      <c r="H296" s="125">
        <v>1.19</v>
      </c>
      <c r="I296" s="56">
        <f t="shared" si="154"/>
        <v>6545000</v>
      </c>
      <c r="J296" s="125">
        <v>1.2</v>
      </c>
      <c r="K296" s="235">
        <f t="shared" si="155"/>
        <v>7854000</v>
      </c>
      <c r="L296" s="123">
        <f ca="1">SUMIF(APU!A:B,'Materiales '!C291,APU!I:I)</f>
        <v>0</v>
      </c>
    </row>
    <row r="297" spans="2:12">
      <c r="B297" s="238">
        <f>B292+1</f>
        <v>183</v>
      </c>
      <c r="C297" s="382" t="s">
        <v>5012</v>
      </c>
      <c r="D297" s="385"/>
      <c r="E297" s="1" t="s">
        <v>4128</v>
      </c>
      <c r="F297" s="243">
        <f t="shared" si="153"/>
        <v>13994400</v>
      </c>
      <c r="G297" s="398">
        <v>9800000</v>
      </c>
      <c r="H297" s="125">
        <v>1.19</v>
      </c>
      <c r="I297" s="56">
        <f t="shared" si="154"/>
        <v>11662000</v>
      </c>
      <c r="J297" s="125">
        <v>1.2</v>
      </c>
      <c r="K297" s="235">
        <f t="shared" si="155"/>
        <v>13994400</v>
      </c>
      <c r="L297" s="123">
        <f ca="1">SUMIF(APU!A:B,'Materiales '!C291,APU!I:I)</f>
        <v>0</v>
      </c>
    </row>
    <row r="298" spans="2:12">
      <c r="B298" s="238">
        <f>B293+1</f>
        <v>184</v>
      </c>
      <c r="C298" s="382" t="s">
        <v>4820</v>
      </c>
      <c r="D298" s="385"/>
      <c r="E298" s="1" t="s">
        <v>4128</v>
      </c>
      <c r="F298" s="243">
        <f t="shared" si="93"/>
        <v>14994000</v>
      </c>
      <c r="G298" s="398">
        <v>10500000</v>
      </c>
      <c r="H298" s="125">
        <v>1.19</v>
      </c>
      <c r="I298" s="56">
        <f t="shared" ref="I298:I300" si="156">H298*G298</f>
        <v>12495000</v>
      </c>
      <c r="J298" s="125">
        <v>1.2</v>
      </c>
      <c r="K298" s="235">
        <f t="shared" ref="K298:K300" si="157">J298*I298</f>
        <v>14994000</v>
      </c>
      <c r="L298" s="123">
        <f ca="1">SUMIF(APU!A:B,'Materiales '!C292,APU!I:I)</f>
        <v>0</v>
      </c>
    </row>
    <row r="299" spans="2:12">
      <c r="B299" s="238">
        <f>B290+1</f>
        <v>181</v>
      </c>
      <c r="C299" s="382" t="s">
        <v>4966</v>
      </c>
      <c r="D299" s="385"/>
      <c r="E299" s="1" t="s">
        <v>4128</v>
      </c>
      <c r="F299" s="243">
        <f t="shared" si="93"/>
        <v>128520</v>
      </c>
      <c r="G299" s="235">
        <v>90000</v>
      </c>
      <c r="H299" s="125">
        <v>1.19</v>
      </c>
      <c r="I299" s="56">
        <f t="shared" ref="I299" si="158">H299*G299</f>
        <v>107100</v>
      </c>
      <c r="J299" s="125">
        <v>1.2</v>
      </c>
      <c r="K299" s="235">
        <f t="shared" ref="K299" si="159">J299*I299</f>
        <v>128520</v>
      </c>
      <c r="L299" s="123">
        <f ca="1">SUMIF(APU!A:B,'Materiales '!C290,APU!I:I)</f>
        <v>0</v>
      </c>
    </row>
    <row r="300" spans="2:12">
      <c r="B300" s="238">
        <f>B291+1</f>
        <v>182</v>
      </c>
      <c r="C300" s="382" t="s">
        <v>4965</v>
      </c>
      <c r="D300" s="385"/>
      <c r="E300" s="1" t="s">
        <v>4128</v>
      </c>
      <c r="F300" s="243">
        <f t="shared" ref="F300" si="160">K300</f>
        <v>101388</v>
      </c>
      <c r="G300" s="235">
        <v>71000</v>
      </c>
      <c r="H300" s="125">
        <v>1.19</v>
      </c>
      <c r="I300" s="56">
        <f t="shared" si="156"/>
        <v>84490</v>
      </c>
      <c r="J300" s="125">
        <v>1.2</v>
      </c>
      <c r="K300" s="235">
        <f t="shared" si="157"/>
        <v>101388</v>
      </c>
      <c r="L300" s="123">
        <f ca="1">SUMIF(APU!A:B,'Materiales '!C291,APU!I:I)</f>
        <v>0</v>
      </c>
    </row>
    <row r="301" spans="2:12">
      <c r="B301" s="238">
        <f>B292+1</f>
        <v>183</v>
      </c>
      <c r="C301" s="382" t="s">
        <v>4707</v>
      </c>
      <c r="D301" s="385"/>
      <c r="E301" s="1" t="s">
        <v>4128</v>
      </c>
      <c r="F301" s="243">
        <f t="shared" si="93"/>
        <v>85680</v>
      </c>
      <c r="G301" s="235">
        <v>60000</v>
      </c>
      <c r="H301" s="125">
        <v>1.19</v>
      </c>
      <c r="I301" s="56">
        <f t="shared" si="48"/>
        <v>71400</v>
      </c>
      <c r="J301" s="125">
        <v>1.2</v>
      </c>
      <c r="K301" s="235">
        <f t="shared" si="47"/>
        <v>85680</v>
      </c>
      <c r="L301" s="123">
        <f ca="1">SUMIF(APU!A:B,'Materiales '!C292,APU!I:I)</f>
        <v>0</v>
      </c>
    </row>
    <row r="302" spans="2:12">
      <c r="B302" s="238">
        <f>B292+1</f>
        <v>183</v>
      </c>
      <c r="C302" s="382" t="s">
        <v>4967</v>
      </c>
      <c r="D302" s="385"/>
      <c r="E302" s="1" t="s">
        <v>4128</v>
      </c>
      <c r="F302" s="243">
        <f t="shared" si="93"/>
        <v>42840</v>
      </c>
      <c r="G302" s="235">
        <v>30000</v>
      </c>
      <c r="H302" s="125">
        <v>1.19</v>
      </c>
      <c r="I302" s="56">
        <f t="shared" si="48"/>
        <v>35700</v>
      </c>
      <c r="J302" s="125">
        <v>1.2</v>
      </c>
      <c r="K302" s="235">
        <f t="shared" si="47"/>
        <v>42840</v>
      </c>
      <c r="L302" s="123">
        <f ca="1">SUMIF(APU!A:B,'Materiales '!C292,APU!I:I)</f>
        <v>0</v>
      </c>
    </row>
    <row r="303" spans="2:12">
      <c r="B303" s="238">
        <f>B293+1</f>
        <v>184</v>
      </c>
      <c r="C303" s="382" t="s">
        <v>4650</v>
      </c>
      <c r="D303" s="385"/>
      <c r="E303" s="1" t="s">
        <v>4128</v>
      </c>
      <c r="F303" s="243">
        <f t="shared" ref="F303" si="161">K303</f>
        <v>27132</v>
      </c>
      <c r="G303" s="235">
        <v>19000</v>
      </c>
      <c r="H303" s="125">
        <v>1.19</v>
      </c>
      <c r="I303" s="56">
        <f t="shared" ref="I303" si="162">H303*G303</f>
        <v>22610</v>
      </c>
      <c r="J303" s="125">
        <v>1.2</v>
      </c>
      <c r="K303" s="235">
        <f t="shared" ref="K303" si="163">J303*I303</f>
        <v>27132</v>
      </c>
      <c r="L303" s="123">
        <f ca="1">SUMIF(APU!A:B,'Materiales '!C293,APU!I:I)</f>
        <v>0</v>
      </c>
    </row>
    <row r="304" spans="2:12">
      <c r="B304" s="238">
        <f>B298+1</f>
        <v>185</v>
      </c>
      <c r="C304" s="382" t="s">
        <v>4592</v>
      </c>
      <c r="D304" s="385">
        <v>3907</v>
      </c>
      <c r="E304" s="1" t="s">
        <v>4128</v>
      </c>
      <c r="F304" s="243">
        <f t="shared" si="93"/>
        <v>204204</v>
      </c>
      <c r="G304" s="235">
        <v>143000</v>
      </c>
      <c r="H304" s="125">
        <v>1.19</v>
      </c>
      <c r="I304" s="56">
        <f t="shared" si="48"/>
        <v>170170</v>
      </c>
      <c r="J304" s="125">
        <v>1.2</v>
      </c>
      <c r="K304" s="235">
        <f t="shared" si="47"/>
        <v>204204</v>
      </c>
      <c r="L304" s="123">
        <f ca="1">SUMIF(APU!A:B,'Materiales '!C293,APU!I:I)</f>
        <v>0</v>
      </c>
    </row>
    <row r="305" spans="2:12">
      <c r="B305" s="238">
        <f>B303+1</f>
        <v>185</v>
      </c>
      <c r="C305" s="382" t="s">
        <v>4964</v>
      </c>
      <c r="D305" s="385"/>
      <c r="E305" s="1" t="s">
        <v>4128</v>
      </c>
      <c r="F305" s="243">
        <f t="shared" ref="F305" si="164">K305</f>
        <v>135660</v>
      </c>
      <c r="G305" s="235">
        <v>95000</v>
      </c>
      <c r="H305" s="125">
        <v>1.19</v>
      </c>
      <c r="I305" s="56">
        <f t="shared" ref="I305" si="165">H305*G305</f>
        <v>113050</v>
      </c>
      <c r="J305" s="125">
        <v>1.2</v>
      </c>
      <c r="K305" s="235">
        <f t="shared" ref="K305" si="166">J305*I305</f>
        <v>135660</v>
      </c>
      <c r="L305" s="123">
        <f ca="1">SUMIF(APU!A:B,'Materiales '!C296,APU!I:I)</f>
        <v>0</v>
      </c>
    </row>
    <row r="306" spans="2:12">
      <c r="B306" s="238">
        <f>B304+1</f>
        <v>186</v>
      </c>
      <c r="C306" s="382" t="s">
        <v>4593</v>
      </c>
      <c r="D306" s="385">
        <v>7150</v>
      </c>
      <c r="E306" s="1" t="s">
        <v>4128</v>
      </c>
      <c r="F306" s="243">
        <f t="shared" si="93"/>
        <v>165648</v>
      </c>
      <c r="G306" s="235">
        <v>116000</v>
      </c>
      <c r="H306" s="125">
        <v>1.19</v>
      </c>
      <c r="I306" s="56">
        <f t="shared" si="48"/>
        <v>138040</v>
      </c>
      <c r="J306" s="125">
        <v>1.2</v>
      </c>
      <c r="K306" s="235">
        <f t="shared" ref="K306:K375" si="167">J306*I306</f>
        <v>165648</v>
      </c>
      <c r="L306" s="123">
        <f ca="1">SUMIF(APU!A:B,'Materiales '!C298,APU!I:I)</f>
        <v>0</v>
      </c>
    </row>
    <row r="307" spans="2:12">
      <c r="B307" s="238">
        <f t="shared" si="97"/>
        <v>187</v>
      </c>
      <c r="C307" s="382" t="s">
        <v>4594</v>
      </c>
      <c r="D307" s="385">
        <v>3905</v>
      </c>
      <c r="E307" s="1" t="s">
        <v>4128</v>
      </c>
      <c r="F307" s="243">
        <f t="shared" si="93"/>
        <v>102816</v>
      </c>
      <c r="G307" s="235">
        <v>72000</v>
      </c>
      <c r="H307" s="125">
        <v>1.19</v>
      </c>
      <c r="I307" s="56">
        <f t="shared" ref="I307:I376" si="168">H307*G307</f>
        <v>85680</v>
      </c>
      <c r="J307" s="125">
        <v>1.2</v>
      </c>
      <c r="K307" s="235">
        <f t="shared" si="167"/>
        <v>102816</v>
      </c>
      <c r="L307" s="123">
        <f ca="1">SUMIF(APU!A:B,'Materiales '!C304,APU!I:I)</f>
        <v>0</v>
      </c>
    </row>
    <row r="308" spans="2:12">
      <c r="B308" s="238">
        <f t="shared" si="97"/>
        <v>188</v>
      </c>
      <c r="C308" s="382" t="s">
        <v>4595</v>
      </c>
      <c r="D308" s="385">
        <v>3908</v>
      </c>
      <c r="E308" s="1" t="s">
        <v>4128</v>
      </c>
      <c r="F308" s="243">
        <f t="shared" si="93"/>
        <v>78540</v>
      </c>
      <c r="G308" s="235">
        <v>55000</v>
      </c>
      <c r="H308" s="125">
        <v>1.19</v>
      </c>
      <c r="I308" s="56">
        <f t="shared" si="168"/>
        <v>65450</v>
      </c>
      <c r="J308" s="125">
        <v>1.2</v>
      </c>
      <c r="K308" s="235">
        <f t="shared" si="167"/>
        <v>78540</v>
      </c>
      <c r="L308" s="123">
        <f ca="1">SUMIF(APU!A:B,'Materiales '!C290,APU!I:I)</f>
        <v>0</v>
      </c>
    </row>
    <row r="309" spans="2:12">
      <c r="B309" s="238">
        <f>B307+1</f>
        <v>188</v>
      </c>
      <c r="C309" s="382" t="s">
        <v>4653</v>
      </c>
      <c r="D309" s="385"/>
      <c r="E309" s="1" t="s">
        <v>4128</v>
      </c>
      <c r="F309" s="243">
        <f t="shared" ref="F309:F310" si="169">K309</f>
        <v>58548</v>
      </c>
      <c r="G309" s="235">
        <v>41000</v>
      </c>
      <c r="H309" s="125">
        <v>1.19</v>
      </c>
      <c r="I309" s="56">
        <f t="shared" ref="I309:I310" si="170">H309*G309</f>
        <v>48790</v>
      </c>
      <c r="J309" s="125">
        <v>1.2</v>
      </c>
      <c r="K309" s="235">
        <f t="shared" ref="K309:K310" si="171">J309*I309</f>
        <v>58548</v>
      </c>
      <c r="L309" s="123">
        <f ca="1">SUMIF(APU!A:B,'Materiales '!C304,APU!I:I)</f>
        <v>0</v>
      </c>
    </row>
    <row r="310" spans="2:12">
      <c r="B310" s="238">
        <f>B307+1</f>
        <v>188</v>
      </c>
      <c r="C310" s="382" t="s">
        <v>5006</v>
      </c>
      <c r="D310" s="385">
        <v>3965</v>
      </c>
      <c r="E310" s="1" t="s">
        <v>4128</v>
      </c>
      <c r="F310" s="243">
        <f t="shared" si="169"/>
        <v>62832</v>
      </c>
      <c r="G310" s="235">
        <v>44000</v>
      </c>
      <c r="H310" s="125">
        <v>1.19</v>
      </c>
      <c r="I310" s="56">
        <f t="shared" si="170"/>
        <v>52360</v>
      </c>
      <c r="J310" s="125">
        <v>1.2</v>
      </c>
      <c r="K310" s="235">
        <f t="shared" si="171"/>
        <v>62832</v>
      </c>
      <c r="L310" s="123">
        <f ca="1">SUMIF(APU!A:B,'Materiales '!C305,APU!I:I)</f>
        <v>0</v>
      </c>
    </row>
    <row r="311" spans="2:12">
      <c r="B311" s="238">
        <f>B308+1</f>
        <v>189</v>
      </c>
      <c r="C311" s="382" t="s">
        <v>4596</v>
      </c>
      <c r="D311" s="385">
        <v>3965</v>
      </c>
      <c r="E311" s="1" t="s">
        <v>4128</v>
      </c>
      <c r="F311" s="243">
        <f t="shared" si="93"/>
        <v>34524.755999999994</v>
      </c>
      <c r="G311" s="235">
        <v>24177</v>
      </c>
      <c r="H311" s="125">
        <v>1.19</v>
      </c>
      <c r="I311" s="56">
        <f t="shared" si="168"/>
        <v>28770.629999999997</v>
      </c>
      <c r="J311" s="125">
        <v>1.2</v>
      </c>
      <c r="K311" s="235">
        <f t="shared" si="167"/>
        <v>34524.755999999994</v>
      </c>
      <c r="L311" s="123">
        <f ca="1">SUMIF(APU!A:B,'Materiales '!C306,APU!I:I)</f>
        <v>0</v>
      </c>
    </row>
    <row r="312" spans="2:12">
      <c r="B312" s="238">
        <f t="shared" si="97"/>
        <v>190</v>
      </c>
      <c r="C312" s="382" t="s">
        <v>4597</v>
      </c>
      <c r="D312" s="385">
        <v>3961</v>
      </c>
      <c r="E312" s="1" t="s">
        <v>4128</v>
      </c>
      <c r="F312" s="243">
        <f t="shared" si="93"/>
        <v>22446.732</v>
      </c>
      <c r="G312" s="235">
        <v>15719</v>
      </c>
      <c r="H312" s="125">
        <v>1.19</v>
      </c>
      <c r="I312" s="56">
        <f t="shared" si="168"/>
        <v>18705.61</v>
      </c>
      <c r="J312" s="125">
        <v>1.2</v>
      </c>
      <c r="K312" s="235">
        <f t="shared" si="167"/>
        <v>22446.732</v>
      </c>
      <c r="L312" s="123">
        <f ca="1">SUMIF(APU!A:B,'Materiales '!C307,APU!I:I)</f>
        <v>0</v>
      </c>
    </row>
    <row r="313" spans="2:12">
      <c r="B313" s="238">
        <f t="shared" si="97"/>
        <v>191</v>
      </c>
      <c r="C313" s="382" t="s">
        <v>4598</v>
      </c>
      <c r="D313" s="385">
        <v>3963</v>
      </c>
      <c r="E313" s="1" t="s">
        <v>4128</v>
      </c>
      <c r="F313" s="243">
        <f t="shared" si="93"/>
        <v>12495</v>
      </c>
      <c r="G313" s="235">
        <v>8750</v>
      </c>
      <c r="H313" s="125">
        <v>1.19</v>
      </c>
      <c r="I313" s="56">
        <f t="shared" si="168"/>
        <v>10412.5</v>
      </c>
      <c r="J313" s="125">
        <v>1.2</v>
      </c>
      <c r="K313" s="235">
        <f t="shared" si="167"/>
        <v>12495</v>
      </c>
      <c r="L313" s="123">
        <f ca="1">SUMIF(APU!A:B,'Materiales '!C308,APU!I:I)</f>
        <v>0</v>
      </c>
    </row>
    <row r="314" spans="2:12">
      <c r="B314" s="238">
        <f>B312+1</f>
        <v>191</v>
      </c>
      <c r="C314" s="382" t="s">
        <v>4599</v>
      </c>
      <c r="D314" s="385">
        <v>3967</v>
      </c>
      <c r="E314" s="1" t="s">
        <v>4128</v>
      </c>
      <c r="F314" s="243">
        <f t="shared" ref="F314" si="172">K314</f>
        <v>9330.5519999999997</v>
      </c>
      <c r="G314" s="235">
        <v>6534</v>
      </c>
      <c r="H314" s="125">
        <v>1.19</v>
      </c>
      <c r="I314" s="56">
        <f t="shared" ref="I314" si="173">H314*G314</f>
        <v>7775.46</v>
      </c>
      <c r="J314" s="125">
        <v>1.2</v>
      </c>
      <c r="K314" s="235">
        <f t="shared" ref="K314" si="174">J314*I314</f>
        <v>9330.5519999999997</v>
      </c>
      <c r="L314" s="123">
        <f ca="1">SUMIF(APU!A:B,'Materiales '!C309,APU!I:I)</f>
        <v>0</v>
      </c>
    </row>
    <row r="315" spans="2:12">
      <c r="B315" s="238">
        <f>B313+1</f>
        <v>192</v>
      </c>
      <c r="C315" s="382" t="s">
        <v>4706</v>
      </c>
      <c r="D315" s="385"/>
      <c r="E315" s="1" t="s">
        <v>4128</v>
      </c>
      <c r="F315" s="243">
        <f t="shared" si="93"/>
        <v>6277.4879999999994</v>
      </c>
      <c r="G315" s="235">
        <v>4396</v>
      </c>
      <c r="H315" s="125">
        <v>1.19</v>
      </c>
      <c r="I315" s="56">
        <f t="shared" si="168"/>
        <v>5231.24</v>
      </c>
      <c r="J315" s="125">
        <v>1.2</v>
      </c>
      <c r="K315" s="235">
        <f t="shared" si="167"/>
        <v>6277.4879999999994</v>
      </c>
      <c r="L315" s="123">
        <f ca="1">SUMIF(APU!A:B,'Materiales '!C311,APU!I:I)</f>
        <v>0</v>
      </c>
    </row>
    <row r="316" spans="2:12">
      <c r="B316" s="238">
        <f t="shared" si="97"/>
        <v>193</v>
      </c>
      <c r="C316" s="382" t="s">
        <v>4600</v>
      </c>
      <c r="D316" s="385">
        <v>9494</v>
      </c>
      <c r="E316" s="1" t="s">
        <v>4128</v>
      </c>
      <c r="F316" s="243">
        <f t="shared" ref="F316:F335" si="175">K316</f>
        <v>2998.7999999999997</v>
      </c>
      <c r="G316" s="235">
        <v>2100</v>
      </c>
      <c r="H316" s="125">
        <v>1.19</v>
      </c>
      <c r="I316" s="56">
        <f t="shared" si="168"/>
        <v>2499</v>
      </c>
      <c r="J316" s="125">
        <v>1.2</v>
      </c>
      <c r="K316" s="235">
        <f t="shared" si="167"/>
        <v>2998.7999999999997</v>
      </c>
      <c r="L316" s="123">
        <f ca="1">SUMIF(APU!A:B,'Materiales '!C312,APU!I:I)</f>
        <v>0</v>
      </c>
    </row>
    <row r="317" spans="2:12">
      <c r="B317" s="238">
        <f>B314+1</f>
        <v>192</v>
      </c>
      <c r="C317" s="382" t="s">
        <v>4710</v>
      </c>
      <c r="D317" s="385"/>
      <c r="E317" s="1" t="s">
        <v>4128</v>
      </c>
      <c r="F317" s="243">
        <f t="shared" si="175"/>
        <v>928.19999999999993</v>
      </c>
      <c r="G317" s="235">
        <v>650</v>
      </c>
      <c r="H317" s="125">
        <v>1.19</v>
      </c>
      <c r="I317" s="56">
        <f t="shared" si="168"/>
        <v>773.5</v>
      </c>
      <c r="J317" s="125">
        <v>1.2</v>
      </c>
      <c r="K317" s="235">
        <f t="shared" si="167"/>
        <v>928.19999999999993</v>
      </c>
      <c r="L317" s="123">
        <f ca="1">SUMIF(APU!A:B,'Materiales '!C311,APU!I:I)</f>
        <v>0</v>
      </c>
    </row>
    <row r="318" spans="2:12">
      <c r="B318" s="238">
        <f>B315+1</f>
        <v>193</v>
      </c>
      <c r="C318" s="382" t="s">
        <v>4709</v>
      </c>
      <c r="D318" s="385"/>
      <c r="E318" s="1" t="s">
        <v>4128</v>
      </c>
      <c r="F318" s="243">
        <f t="shared" ref="F318" si="176">K318</f>
        <v>2142</v>
      </c>
      <c r="G318" s="235">
        <v>1500</v>
      </c>
      <c r="H318" s="125">
        <v>1.19</v>
      </c>
      <c r="I318" s="56">
        <f t="shared" ref="I318" si="177">H318*G318</f>
        <v>1785</v>
      </c>
      <c r="J318" s="125">
        <v>1.2</v>
      </c>
      <c r="K318" s="235">
        <f t="shared" ref="K318" si="178">J318*I318</f>
        <v>2142</v>
      </c>
      <c r="L318" s="123">
        <f ca="1">SUMIF(APU!A:B,'Materiales '!C312,APU!I:I)</f>
        <v>0</v>
      </c>
    </row>
    <row r="319" spans="2:12">
      <c r="B319" s="238">
        <f>B316+1</f>
        <v>194</v>
      </c>
      <c r="C319" s="382" t="s">
        <v>4601</v>
      </c>
      <c r="D319" s="385">
        <v>7148</v>
      </c>
      <c r="E319" s="1" t="s">
        <v>4128</v>
      </c>
      <c r="F319" s="243">
        <f t="shared" si="175"/>
        <v>5426.4</v>
      </c>
      <c r="G319" s="235">
        <v>3800</v>
      </c>
      <c r="H319" s="125">
        <v>1.19</v>
      </c>
      <c r="I319" s="56">
        <f t="shared" si="168"/>
        <v>4522</v>
      </c>
      <c r="J319" s="125">
        <v>1.2</v>
      </c>
      <c r="K319" s="235">
        <f t="shared" si="167"/>
        <v>5426.4</v>
      </c>
      <c r="L319" s="123">
        <f ca="1">SUMIF(APU!A:B,'Materiales '!C313,APU!I:I)</f>
        <v>0.34</v>
      </c>
    </row>
    <row r="320" spans="2:12">
      <c r="B320" s="238">
        <f t="shared" ref="B320:B384" si="179">B319+1</f>
        <v>195</v>
      </c>
      <c r="C320" s="382" t="s">
        <v>4602</v>
      </c>
      <c r="D320" s="385">
        <v>4796</v>
      </c>
      <c r="E320" s="1" t="s">
        <v>4128</v>
      </c>
      <c r="F320" s="243">
        <f t="shared" si="175"/>
        <v>11176.955999999998</v>
      </c>
      <c r="G320" s="235">
        <v>7827</v>
      </c>
      <c r="H320" s="125">
        <v>1.19</v>
      </c>
      <c r="I320" s="56">
        <f t="shared" si="168"/>
        <v>9314.1299999999992</v>
      </c>
      <c r="J320" s="125">
        <v>1.2</v>
      </c>
      <c r="K320" s="235">
        <f t="shared" si="167"/>
        <v>11176.955999999998</v>
      </c>
      <c r="L320" s="123">
        <f ca="1">SUMIF(APU!A:B,'Materiales '!C315,APU!I:I)</f>
        <v>0</v>
      </c>
    </row>
    <row r="321" spans="2:12">
      <c r="B321" s="238">
        <f t="shared" si="179"/>
        <v>196</v>
      </c>
      <c r="C321" s="382" t="s">
        <v>4603</v>
      </c>
      <c r="D321" s="385">
        <v>4798</v>
      </c>
      <c r="E321" s="1" t="s">
        <v>4128</v>
      </c>
      <c r="F321" s="243">
        <f t="shared" si="175"/>
        <v>11422.571999999998</v>
      </c>
      <c r="G321" s="235">
        <v>7999</v>
      </c>
      <c r="H321" s="125">
        <v>1.19</v>
      </c>
      <c r="I321" s="56">
        <f t="shared" si="168"/>
        <v>9518.81</v>
      </c>
      <c r="J321" s="125">
        <v>1.2</v>
      </c>
      <c r="K321" s="235">
        <f t="shared" si="167"/>
        <v>11422.571999999998</v>
      </c>
      <c r="L321" s="123">
        <f ca="1">SUMIF(APU!A:B,'Materiales '!C316,APU!I:I)</f>
        <v>0</v>
      </c>
    </row>
    <row r="322" spans="2:12">
      <c r="B322" s="238">
        <f t="shared" si="179"/>
        <v>197</v>
      </c>
      <c r="C322" s="382" t="s">
        <v>4604</v>
      </c>
      <c r="D322" s="385">
        <v>4118</v>
      </c>
      <c r="E322" s="1" t="s">
        <v>4128</v>
      </c>
      <c r="F322" s="243">
        <f t="shared" si="175"/>
        <v>294366.49199999997</v>
      </c>
      <c r="G322" s="235">
        <v>206139</v>
      </c>
      <c r="H322" s="125">
        <v>1.19</v>
      </c>
      <c r="I322" s="56">
        <f t="shared" si="168"/>
        <v>245305.41</v>
      </c>
      <c r="J322" s="125">
        <v>1.2</v>
      </c>
      <c r="K322" s="235">
        <f t="shared" si="167"/>
        <v>294366.49199999997</v>
      </c>
      <c r="L322" s="123">
        <f ca="1">SUMIF(APU!A:B,'Materiales '!C319,APU!I:I)</f>
        <v>0</v>
      </c>
    </row>
    <row r="323" spans="2:12">
      <c r="B323" s="238">
        <f t="shared" si="179"/>
        <v>198</v>
      </c>
      <c r="C323" s="382" t="s">
        <v>4605</v>
      </c>
      <c r="D323" s="385">
        <v>10167</v>
      </c>
      <c r="E323" s="1" t="s">
        <v>4128</v>
      </c>
      <c r="F323" s="243">
        <f t="shared" si="175"/>
        <v>25389.84</v>
      </c>
      <c r="G323" s="235">
        <v>17780</v>
      </c>
      <c r="H323" s="125">
        <v>1.19</v>
      </c>
      <c r="I323" s="56">
        <f t="shared" si="168"/>
        <v>21158.2</v>
      </c>
      <c r="J323" s="125">
        <v>1.2</v>
      </c>
      <c r="K323" s="235">
        <f t="shared" si="167"/>
        <v>25389.84</v>
      </c>
      <c r="L323" s="123">
        <f ca="1">SUMIF(APU!A:B,'Materiales '!C321,APU!I:I)</f>
        <v>0</v>
      </c>
    </row>
    <row r="324" spans="2:12">
      <c r="B324" s="238">
        <f t="shared" si="179"/>
        <v>199</v>
      </c>
      <c r="C324" s="393" t="s">
        <v>4639</v>
      </c>
      <c r="D324" s="127"/>
      <c r="E324" s="1" t="s">
        <v>4128</v>
      </c>
      <c r="F324" s="243">
        <f t="shared" si="175"/>
        <v>35700</v>
      </c>
      <c r="G324" s="235">
        <v>25000</v>
      </c>
      <c r="H324" s="125">
        <v>1.19</v>
      </c>
      <c r="I324" s="56">
        <f t="shared" ref="I324:I325" si="180">H324*G324</f>
        <v>29750</v>
      </c>
      <c r="J324" s="125">
        <v>1.2</v>
      </c>
      <c r="K324" s="235">
        <f t="shared" ref="K324:K325" si="181">J324*I324</f>
        <v>35700</v>
      </c>
      <c r="L324" s="123">
        <f ca="1">SUMIF(APU!A:B,'Materiales '!C322,APU!I:I)</f>
        <v>1</v>
      </c>
    </row>
    <row r="325" spans="2:12">
      <c r="B325" s="238">
        <f>B323+1</f>
        <v>199</v>
      </c>
      <c r="C325" s="392" t="s">
        <v>4633</v>
      </c>
      <c r="D325" s="127"/>
      <c r="E325" s="1" t="s">
        <v>4128</v>
      </c>
      <c r="F325" s="243">
        <f t="shared" ref="F325" si="182">K325</f>
        <v>606900</v>
      </c>
      <c r="G325" s="235">
        <v>425000</v>
      </c>
      <c r="H325" s="125">
        <v>1.19</v>
      </c>
      <c r="I325" s="56">
        <f t="shared" si="180"/>
        <v>505750</v>
      </c>
      <c r="J325" s="125">
        <v>1.2</v>
      </c>
      <c r="K325" s="235">
        <f t="shared" si="181"/>
        <v>606900</v>
      </c>
      <c r="L325" s="123">
        <f ca="1">SUMIF(APU!A:B,'Materiales '!C322,APU!I:I)</f>
        <v>1</v>
      </c>
    </row>
    <row r="326" spans="2:12">
      <c r="B326" s="238">
        <f>B324+1</f>
        <v>200</v>
      </c>
      <c r="C326" s="392" t="s">
        <v>4810</v>
      </c>
      <c r="D326" s="127"/>
      <c r="E326" s="1" t="s">
        <v>4128</v>
      </c>
      <c r="F326" s="243">
        <f t="shared" si="175"/>
        <v>835380</v>
      </c>
      <c r="G326" s="235">
        <v>585000</v>
      </c>
      <c r="H326" s="125">
        <v>1.19</v>
      </c>
      <c r="I326" s="56">
        <f t="shared" ref="I326" si="183">H326*G326</f>
        <v>696150</v>
      </c>
      <c r="J326" s="125">
        <v>1.2</v>
      </c>
      <c r="K326" s="235">
        <f t="shared" ref="K326" si="184">J326*I326</f>
        <v>835380</v>
      </c>
      <c r="L326" s="123">
        <f ca="1">SUMIF(APU!A:B,'Materiales '!C323,APU!I:I)</f>
        <v>0</v>
      </c>
    </row>
    <row r="327" spans="2:12">
      <c r="B327" s="238">
        <f t="shared" si="179"/>
        <v>201</v>
      </c>
      <c r="C327" s="392" t="s">
        <v>4634</v>
      </c>
      <c r="D327" s="127">
        <v>648</v>
      </c>
      <c r="E327" s="1" t="s">
        <v>4128</v>
      </c>
      <c r="F327" s="243">
        <f t="shared" ref="F327" si="185">K327</f>
        <v>102459</v>
      </c>
      <c r="G327" s="235">
        <f>12.5*1.4*4100</f>
        <v>71750</v>
      </c>
      <c r="H327" s="125">
        <v>1.19</v>
      </c>
      <c r="I327" s="56">
        <f t="shared" ref="I327" si="186">H327*G327</f>
        <v>85382.5</v>
      </c>
      <c r="J327" s="125">
        <v>1.2</v>
      </c>
      <c r="K327" s="235">
        <f t="shared" ref="K327" si="187">J327*I327</f>
        <v>102459</v>
      </c>
      <c r="L327" s="123">
        <f ca="1">SUMIF(APU!A:B,'Materiales '!C324,APU!I:I)</f>
        <v>7.3</v>
      </c>
    </row>
    <row r="328" spans="2:12">
      <c r="B328" s="238">
        <f t="shared" si="179"/>
        <v>202</v>
      </c>
      <c r="C328" s="393" t="s">
        <v>4651</v>
      </c>
      <c r="D328" s="127"/>
      <c r="E328" s="1" t="s">
        <v>4128</v>
      </c>
      <c r="F328" s="243">
        <f t="shared" ref="F328:F329" si="188">K328</f>
        <v>1356.6</v>
      </c>
      <c r="G328" s="235">
        <v>950</v>
      </c>
      <c r="H328" s="125">
        <v>1.19</v>
      </c>
      <c r="I328" s="56">
        <f t="shared" ref="I328:I329" si="189">H328*G328</f>
        <v>1130.5</v>
      </c>
      <c r="J328" s="125">
        <v>1.2</v>
      </c>
      <c r="K328" s="235">
        <f t="shared" ref="K328:K329" si="190">J328*I328</f>
        <v>1356.6</v>
      </c>
      <c r="L328" s="123">
        <f ca="1">SUMIF(APU!A:B,'Materiales '!C326,APU!I:I)</f>
        <v>0</v>
      </c>
    </row>
    <row r="329" spans="2:12">
      <c r="B329" s="238">
        <f t="shared" si="179"/>
        <v>203</v>
      </c>
      <c r="C329" s="393" t="s">
        <v>4652</v>
      </c>
      <c r="D329" s="127"/>
      <c r="E329" s="1" t="s">
        <v>4128</v>
      </c>
      <c r="F329" s="243">
        <f t="shared" si="188"/>
        <v>1356.6</v>
      </c>
      <c r="G329" s="235">
        <v>950</v>
      </c>
      <c r="H329" s="125">
        <v>1.19</v>
      </c>
      <c r="I329" s="56">
        <f t="shared" si="189"/>
        <v>1130.5</v>
      </c>
      <c r="J329" s="125">
        <v>1.2</v>
      </c>
      <c r="K329" s="235">
        <f t="shared" si="190"/>
        <v>1356.6</v>
      </c>
      <c r="L329" s="123">
        <f ca="1">SUMIF(APU!A:B,'Materiales '!C327,APU!I:I)</f>
        <v>0</v>
      </c>
    </row>
    <row r="330" spans="2:12">
      <c r="B330" s="238">
        <f t="shared" si="179"/>
        <v>204</v>
      </c>
      <c r="C330" s="393" t="s">
        <v>4660</v>
      </c>
      <c r="D330" s="127"/>
      <c r="E330" s="1" t="s">
        <v>4128</v>
      </c>
      <c r="F330" s="243">
        <f t="shared" si="175"/>
        <v>77112</v>
      </c>
      <c r="G330" s="234">
        <v>54000</v>
      </c>
      <c r="H330" s="125">
        <v>1.19</v>
      </c>
      <c r="I330" s="56">
        <f t="shared" ref="I330" si="191">H330*G330</f>
        <v>64260</v>
      </c>
      <c r="J330" s="125">
        <v>1.2</v>
      </c>
      <c r="K330" s="235">
        <f t="shared" ref="K330" si="192">J330*I330</f>
        <v>77112</v>
      </c>
      <c r="L330" s="123">
        <f ca="1">SUMIF(APU!A:B,'Materiales '!C328,APU!I:I)</f>
        <v>0</v>
      </c>
    </row>
    <row r="331" spans="2:12">
      <c r="B331" s="238">
        <f t="shared" si="179"/>
        <v>205</v>
      </c>
      <c r="C331" s="393" t="s">
        <v>4661</v>
      </c>
      <c r="D331" s="127"/>
      <c r="E331" s="1" t="s">
        <v>4128</v>
      </c>
      <c r="F331" s="243">
        <f t="shared" si="175"/>
        <v>425544</v>
      </c>
      <c r="G331" s="234">
        <v>298000</v>
      </c>
      <c r="H331" s="125">
        <v>1.19</v>
      </c>
      <c r="I331" s="56">
        <f t="shared" ref="I331" si="193">H331*G331</f>
        <v>354620</v>
      </c>
      <c r="J331" s="125">
        <v>1.2</v>
      </c>
      <c r="K331" s="235">
        <f t="shared" ref="K331" si="194">J331*I331</f>
        <v>425544</v>
      </c>
      <c r="L331" s="123">
        <f ca="1">SUMIF(APU!A:B,'Materiales '!C329,APU!I:I)</f>
        <v>0</v>
      </c>
    </row>
    <row r="332" spans="2:12">
      <c r="B332" s="238">
        <f t="shared" si="179"/>
        <v>206</v>
      </c>
      <c r="C332" s="393" t="s">
        <v>4662</v>
      </c>
      <c r="D332" s="127"/>
      <c r="E332" s="1" t="s">
        <v>4128</v>
      </c>
      <c r="F332" s="243">
        <f t="shared" si="175"/>
        <v>71400</v>
      </c>
      <c r="G332" s="234">
        <v>50000</v>
      </c>
      <c r="H332" s="125">
        <v>1.19</v>
      </c>
      <c r="I332" s="56">
        <f t="shared" ref="I332:I335" si="195">H332*G332</f>
        <v>59500</v>
      </c>
      <c r="J332" s="125">
        <v>1.2</v>
      </c>
      <c r="K332" s="235">
        <f t="shared" ref="K332:K335" si="196">J332*I332</f>
        <v>71400</v>
      </c>
      <c r="L332" s="123">
        <f ca="1">SUMIF(APU!A:B,'Materiales '!C330,APU!I:I)</f>
        <v>1</v>
      </c>
    </row>
    <row r="333" spans="2:12">
      <c r="B333" s="238">
        <f t="shared" si="179"/>
        <v>207</v>
      </c>
      <c r="C333" s="393" t="s">
        <v>4663</v>
      </c>
      <c r="D333" s="127"/>
      <c r="E333" s="1" t="s">
        <v>4128</v>
      </c>
      <c r="F333" s="243">
        <f t="shared" si="175"/>
        <v>111384</v>
      </c>
      <c r="G333" s="234">
        <v>78000</v>
      </c>
      <c r="H333" s="125">
        <v>1.19</v>
      </c>
      <c r="I333" s="56">
        <f t="shared" si="195"/>
        <v>92820</v>
      </c>
      <c r="J333" s="125">
        <v>1.2</v>
      </c>
      <c r="K333" s="235">
        <f t="shared" si="196"/>
        <v>111384</v>
      </c>
      <c r="L333" s="123">
        <f ca="1">SUMIF(APU!A:B,'Materiales '!C331,APU!I:I)</f>
        <v>0</v>
      </c>
    </row>
    <row r="334" spans="2:12">
      <c r="B334" s="238">
        <f t="shared" si="179"/>
        <v>208</v>
      </c>
      <c r="C334" s="393" t="s">
        <v>4664</v>
      </c>
      <c r="D334" s="127"/>
      <c r="E334" s="1" t="s">
        <v>4666</v>
      </c>
      <c r="F334" s="243">
        <f t="shared" si="175"/>
        <v>21420</v>
      </c>
      <c r="G334" s="234">
        <v>15000</v>
      </c>
      <c r="H334" s="125">
        <v>1.19</v>
      </c>
      <c r="I334" s="56">
        <f t="shared" si="195"/>
        <v>17850</v>
      </c>
      <c r="J334" s="125">
        <v>1.2</v>
      </c>
      <c r="K334" s="235">
        <f t="shared" si="196"/>
        <v>21420</v>
      </c>
      <c r="L334" s="123">
        <f ca="1">SUMIF(APU!A:B,'Materiales '!C332,APU!I:I)</f>
        <v>1</v>
      </c>
    </row>
    <row r="335" spans="2:12">
      <c r="B335" s="238">
        <f t="shared" si="179"/>
        <v>209</v>
      </c>
      <c r="C335" s="393" t="s">
        <v>4665</v>
      </c>
      <c r="D335" s="127"/>
      <c r="E335" s="1" t="s">
        <v>4128</v>
      </c>
      <c r="F335" s="243">
        <f t="shared" si="175"/>
        <v>29886.000000000004</v>
      </c>
      <c r="G335" s="234">
        <f>29300/1.4</f>
        <v>20928.571428571431</v>
      </c>
      <c r="H335" s="125">
        <v>1.19</v>
      </c>
      <c r="I335" s="56">
        <f t="shared" si="195"/>
        <v>24905.000000000004</v>
      </c>
      <c r="J335" s="125">
        <v>1.2</v>
      </c>
      <c r="K335" s="235">
        <f t="shared" si="196"/>
        <v>29886.000000000004</v>
      </c>
      <c r="L335" s="123">
        <f ca="1">SUMIF(APU!A:B,'Materiales '!C333,APU!I:I)</f>
        <v>1</v>
      </c>
    </row>
    <row r="336" spans="2:12">
      <c r="B336" s="238">
        <f t="shared" si="179"/>
        <v>210</v>
      </c>
      <c r="C336" s="241"/>
      <c r="D336" s="127"/>
      <c r="E336" s="124"/>
      <c r="F336" s="129"/>
      <c r="I336" s="56">
        <f t="shared" si="168"/>
        <v>0</v>
      </c>
      <c r="J336" s="125">
        <v>1.2</v>
      </c>
      <c r="K336" s="235">
        <f t="shared" si="167"/>
        <v>0</v>
      </c>
      <c r="L336" s="123">
        <f ca="1">SUMIF(APU!A:B,'Materiales '!C336,APU!I:I)</f>
        <v>0</v>
      </c>
    </row>
    <row r="337" spans="2:12">
      <c r="B337" s="238">
        <f t="shared" si="179"/>
        <v>211</v>
      </c>
      <c r="C337" s="241"/>
      <c r="D337" s="127"/>
      <c r="E337" s="124"/>
      <c r="F337" s="129"/>
      <c r="I337" s="56">
        <f t="shared" si="168"/>
        <v>0</v>
      </c>
      <c r="J337" s="125">
        <v>1.2</v>
      </c>
      <c r="K337" s="235">
        <f t="shared" si="167"/>
        <v>0</v>
      </c>
      <c r="L337" s="123">
        <f ca="1">SUMIF(APU!A:B,'Materiales '!C337,APU!I:I)</f>
        <v>0</v>
      </c>
    </row>
    <row r="338" spans="2:12">
      <c r="B338" s="238">
        <f t="shared" si="179"/>
        <v>212</v>
      </c>
      <c r="C338" s="241"/>
      <c r="D338" s="127"/>
      <c r="E338" s="124"/>
      <c r="F338" s="129"/>
      <c r="I338" s="56">
        <f t="shared" si="168"/>
        <v>0</v>
      </c>
      <c r="J338" s="125">
        <v>1.2</v>
      </c>
      <c r="K338" s="235">
        <f t="shared" si="167"/>
        <v>0</v>
      </c>
      <c r="L338" s="123">
        <f ca="1">SUMIF(APU!A:B,'Materiales '!C338,APU!I:I)</f>
        <v>0</v>
      </c>
    </row>
    <row r="339" spans="2:12">
      <c r="B339" s="238">
        <f t="shared" si="179"/>
        <v>213</v>
      </c>
      <c r="C339" s="241"/>
      <c r="D339" s="127"/>
      <c r="E339" s="124"/>
      <c r="F339" s="129"/>
      <c r="I339" s="56">
        <f t="shared" si="168"/>
        <v>0</v>
      </c>
      <c r="J339" s="125">
        <v>1.2</v>
      </c>
      <c r="K339" s="235">
        <f t="shared" si="167"/>
        <v>0</v>
      </c>
      <c r="L339" s="123">
        <f ca="1">SUMIF(APU!A:B,'Materiales '!C339,APU!I:I)</f>
        <v>0</v>
      </c>
    </row>
    <row r="340" spans="2:12">
      <c r="B340" s="238">
        <f t="shared" si="179"/>
        <v>214</v>
      </c>
      <c r="C340" s="241"/>
      <c r="D340" s="127"/>
      <c r="E340" s="124"/>
      <c r="F340" s="129"/>
      <c r="I340" s="56">
        <f t="shared" si="168"/>
        <v>0</v>
      </c>
      <c r="J340" s="125">
        <v>1.2</v>
      </c>
      <c r="K340" s="235">
        <f t="shared" si="167"/>
        <v>0</v>
      </c>
      <c r="L340" s="123">
        <f ca="1">SUMIF(APU!A:B,'Materiales '!C340,APU!I:I)</f>
        <v>0</v>
      </c>
    </row>
    <row r="341" spans="2:12">
      <c r="B341" s="238">
        <f t="shared" si="179"/>
        <v>215</v>
      </c>
      <c r="C341" s="241"/>
      <c r="D341" s="127"/>
      <c r="E341" s="124"/>
      <c r="F341" s="129"/>
      <c r="I341" s="56">
        <f t="shared" si="168"/>
        <v>0</v>
      </c>
      <c r="J341" s="125">
        <v>1.2</v>
      </c>
      <c r="K341" s="235">
        <f t="shared" si="167"/>
        <v>0</v>
      </c>
      <c r="L341" s="123">
        <f ca="1">SUMIF(APU!A:B,'Materiales '!C341,APU!I:I)</f>
        <v>0</v>
      </c>
    </row>
    <row r="342" spans="2:12">
      <c r="B342" s="238">
        <f t="shared" si="179"/>
        <v>216</v>
      </c>
      <c r="C342" s="241"/>
      <c r="D342" s="127"/>
      <c r="E342" s="124"/>
      <c r="F342" s="129"/>
      <c r="I342" s="56">
        <f t="shared" si="168"/>
        <v>0</v>
      </c>
      <c r="J342" s="125">
        <v>1.2</v>
      </c>
      <c r="K342" s="235">
        <f t="shared" si="167"/>
        <v>0</v>
      </c>
      <c r="L342" s="123">
        <f ca="1">SUMIF(APU!A:B,'Materiales '!C342,APU!I:I)</f>
        <v>0</v>
      </c>
    </row>
    <row r="343" spans="2:12">
      <c r="B343" s="238">
        <f t="shared" si="179"/>
        <v>217</v>
      </c>
      <c r="C343" s="241"/>
      <c r="D343" s="127"/>
      <c r="E343" s="124"/>
      <c r="F343" s="129"/>
      <c r="I343" s="56">
        <f t="shared" si="168"/>
        <v>0</v>
      </c>
      <c r="J343" s="125">
        <v>1.2</v>
      </c>
      <c r="K343" s="235">
        <f t="shared" si="167"/>
        <v>0</v>
      </c>
      <c r="L343" s="123">
        <f ca="1">SUMIF(APU!A:B,'Materiales '!C343,APU!I:I)</f>
        <v>0</v>
      </c>
    </row>
    <row r="344" spans="2:12">
      <c r="B344" s="238">
        <f t="shared" si="179"/>
        <v>218</v>
      </c>
      <c r="C344" s="241"/>
      <c r="D344" s="127"/>
      <c r="E344" s="124"/>
      <c r="F344" s="129"/>
      <c r="I344" s="56">
        <f t="shared" si="168"/>
        <v>0</v>
      </c>
      <c r="J344" s="125">
        <v>1.2</v>
      </c>
      <c r="K344" s="235">
        <f t="shared" si="167"/>
        <v>0</v>
      </c>
      <c r="L344" s="123">
        <f ca="1">SUMIF(APU!A:B,'Materiales '!C344,APU!I:I)</f>
        <v>0</v>
      </c>
    </row>
    <row r="345" spans="2:12">
      <c r="B345" s="238">
        <f t="shared" si="179"/>
        <v>219</v>
      </c>
      <c r="C345" s="241"/>
      <c r="D345" s="127"/>
      <c r="E345" s="124"/>
      <c r="F345" s="129"/>
      <c r="I345" s="56">
        <f t="shared" si="168"/>
        <v>0</v>
      </c>
      <c r="J345" s="125">
        <v>1.2</v>
      </c>
      <c r="K345" s="235">
        <f t="shared" si="167"/>
        <v>0</v>
      </c>
      <c r="L345" s="123">
        <f ca="1">SUMIF(APU!A:B,'Materiales '!C345,APU!I:I)</f>
        <v>0</v>
      </c>
    </row>
    <row r="346" spans="2:12">
      <c r="B346" s="238">
        <f t="shared" si="179"/>
        <v>220</v>
      </c>
      <c r="C346" s="241"/>
      <c r="D346" s="127"/>
      <c r="E346" s="124"/>
      <c r="F346" s="129"/>
      <c r="I346" s="56">
        <f t="shared" si="168"/>
        <v>0</v>
      </c>
      <c r="J346" s="125">
        <v>1.2</v>
      </c>
      <c r="K346" s="235">
        <f t="shared" si="167"/>
        <v>0</v>
      </c>
      <c r="L346" s="123">
        <f ca="1">SUMIF(APU!A:B,'Materiales '!C346,APU!I:I)</f>
        <v>0</v>
      </c>
    </row>
    <row r="347" spans="2:12">
      <c r="B347" s="238">
        <f t="shared" si="179"/>
        <v>221</v>
      </c>
      <c r="C347" s="241"/>
      <c r="D347" s="127"/>
      <c r="E347" s="124"/>
      <c r="F347" s="129"/>
      <c r="I347" s="56">
        <f t="shared" si="168"/>
        <v>0</v>
      </c>
      <c r="J347" s="125">
        <v>1.2</v>
      </c>
      <c r="K347" s="235">
        <f t="shared" si="167"/>
        <v>0</v>
      </c>
      <c r="L347" s="123">
        <f ca="1">SUMIF(APU!A:B,'Materiales '!C347,APU!I:I)</f>
        <v>0</v>
      </c>
    </row>
    <row r="348" spans="2:12">
      <c r="B348" s="238">
        <f t="shared" si="179"/>
        <v>222</v>
      </c>
      <c r="C348" s="241"/>
      <c r="D348" s="127"/>
      <c r="E348" s="124"/>
      <c r="F348" s="129"/>
      <c r="I348" s="56">
        <f t="shared" si="168"/>
        <v>0</v>
      </c>
      <c r="J348" s="125">
        <v>1.2</v>
      </c>
      <c r="K348" s="235">
        <f t="shared" si="167"/>
        <v>0</v>
      </c>
      <c r="L348" s="123">
        <f ca="1">SUMIF(APU!A:B,'Materiales '!C348,APU!I:I)</f>
        <v>0</v>
      </c>
    </row>
    <row r="349" spans="2:12">
      <c r="B349" s="238">
        <f t="shared" si="179"/>
        <v>223</v>
      </c>
      <c r="C349" s="241"/>
      <c r="D349" s="127"/>
      <c r="E349" s="124"/>
      <c r="F349" s="129"/>
      <c r="I349" s="56">
        <f t="shared" si="168"/>
        <v>0</v>
      </c>
      <c r="J349" s="125">
        <v>1.2</v>
      </c>
      <c r="K349" s="235">
        <f t="shared" si="167"/>
        <v>0</v>
      </c>
      <c r="L349" s="123">
        <f ca="1">SUMIF(APU!A:B,'Materiales '!C349,APU!I:I)</f>
        <v>0</v>
      </c>
    </row>
    <row r="350" spans="2:12">
      <c r="B350" s="238">
        <f t="shared" si="179"/>
        <v>224</v>
      </c>
      <c r="C350" s="241"/>
      <c r="D350" s="127"/>
      <c r="E350" s="124"/>
      <c r="F350" s="129"/>
      <c r="I350" s="56">
        <f t="shared" si="168"/>
        <v>0</v>
      </c>
      <c r="J350" s="125">
        <v>1.2</v>
      </c>
      <c r="K350" s="235">
        <f t="shared" si="167"/>
        <v>0</v>
      </c>
      <c r="L350" s="123">
        <f ca="1">SUMIF(APU!A:B,'Materiales '!C350,APU!I:I)</f>
        <v>0</v>
      </c>
    </row>
    <row r="351" spans="2:12">
      <c r="B351" s="238">
        <f t="shared" si="179"/>
        <v>225</v>
      </c>
      <c r="C351" s="241"/>
      <c r="D351" s="127"/>
      <c r="E351" s="124"/>
      <c r="F351" s="129"/>
      <c r="I351" s="56">
        <f t="shared" si="168"/>
        <v>0</v>
      </c>
      <c r="J351" s="125">
        <v>1.2</v>
      </c>
      <c r="K351" s="235">
        <f t="shared" si="167"/>
        <v>0</v>
      </c>
      <c r="L351" s="123">
        <f ca="1">SUMIF(APU!A:B,'Materiales '!C351,APU!I:I)</f>
        <v>0</v>
      </c>
    </row>
    <row r="352" spans="2:12">
      <c r="B352" s="238">
        <f t="shared" si="179"/>
        <v>226</v>
      </c>
      <c r="C352" s="241"/>
      <c r="D352" s="127"/>
      <c r="E352" s="124"/>
      <c r="F352" s="129"/>
      <c r="I352" s="56">
        <f t="shared" si="168"/>
        <v>0</v>
      </c>
      <c r="J352" s="125">
        <v>1.2</v>
      </c>
      <c r="K352" s="235">
        <f t="shared" si="167"/>
        <v>0</v>
      </c>
      <c r="L352" s="123">
        <f ca="1">SUMIF(APU!A:B,'Materiales '!C352,APU!I:I)</f>
        <v>0</v>
      </c>
    </row>
    <row r="353" spans="2:12">
      <c r="B353" s="238">
        <f t="shared" si="179"/>
        <v>227</v>
      </c>
      <c r="C353" s="241"/>
      <c r="D353" s="127"/>
      <c r="E353" s="124"/>
      <c r="F353" s="129"/>
      <c r="I353" s="56">
        <f t="shared" si="168"/>
        <v>0</v>
      </c>
      <c r="J353" s="125">
        <v>1.2</v>
      </c>
      <c r="K353" s="235">
        <f t="shared" si="167"/>
        <v>0</v>
      </c>
      <c r="L353" s="123">
        <f ca="1">SUMIF(APU!A:B,'Materiales '!C353,APU!I:I)</f>
        <v>0</v>
      </c>
    </row>
    <row r="354" spans="2:12">
      <c r="B354" s="238">
        <f t="shared" si="179"/>
        <v>228</v>
      </c>
      <c r="C354" s="241"/>
      <c r="D354" s="127"/>
      <c r="E354" s="124"/>
      <c r="F354" s="129"/>
      <c r="I354" s="56">
        <f t="shared" si="168"/>
        <v>0</v>
      </c>
      <c r="J354" s="125">
        <v>1.2</v>
      </c>
      <c r="K354" s="235">
        <f t="shared" si="167"/>
        <v>0</v>
      </c>
      <c r="L354" s="123">
        <f ca="1">SUMIF(APU!A:B,'Materiales '!C354,APU!I:I)</f>
        <v>0</v>
      </c>
    </row>
    <row r="355" spans="2:12">
      <c r="B355" s="238">
        <f t="shared" si="179"/>
        <v>229</v>
      </c>
      <c r="C355" s="241"/>
      <c r="D355" s="127"/>
      <c r="E355" s="124"/>
      <c r="F355" s="129"/>
      <c r="I355" s="56">
        <f t="shared" si="168"/>
        <v>0</v>
      </c>
      <c r="J355" s="125">
        <v>1.2</v>
      </c>
      <c r="K355" s="235">
        <f t="shared" si="167"/>
        <v>0</v>
      </c>
      <c r="L355" s="123">
        <f ca="1">SUMIF(APU!A:B,'Materiales '!C355,APU!I:I)</f>
        <v>0</v>
      </c>
    </row>
    <row r="356" spans="2:12">
      <c r="B356" s="238">
        <f t="shared" si="179"/>
        <v>230</v>
      </c>
      <c r="C356" s="241"/>
      <c r="D356" s="127"/>
      <c r="E356" s="124"/>
      <c r="F356" s="129"/>
      <c r="I356" s="56">
        <f t="shared" si="168"/>
        <v>0</v>
      </c>
      <c r="J356" s="125">
        <v>1.2</v>
      </c>
      <c r="K356" s="235">
        <f t="shared" si="167"/>
        <v>0</v>
      </c>
      <c r="L356" s="123">
        <f ca="1">SUMIF(APU!A:B,'Materiales '!C356,APU!I:I)</f>
        <v>0</v>
      </c>
    </row>
    <row r="357" spans="2:12">
      <c r="B357" s="238">
        <f t="shared" si="179"/>
        <v>231</v>
      </c>
      <c r="C357" s="241"/>
      <c r="D357" s="127"/>
      <c r="E357" s="124"/>
      <c r="F357" s="129"/>
      <c r="I357" s="56">
        <f t="shared" si="168"/>
        <v>0</v>
      </c>
      <c r="J357" s="125">
        <v>1.2</v>
      </c>
      <c r="K357" s="235">
        <f t="shared" si="167"/>
        <v>0</v>
      </c>
      <c r="L357" s="123">
        <f ca="1">SUMIF(APU!A:B,'Materiales '!C357,APU!I:I)</f>
        <v>0</v>
      </c>
    </row>
    <row r="358" spans="2:12">
      <c r="B358" s="238">
        <f t="shared" si="179"/>
        <v>232</v>
      </c>
      <c r="C358" s="241"/>
      <c r="D358" s="127"/>
      <c r="E358" s="124"/>
      <c r="F358" s="129"/>
      <c r="I358" s="56">
        <f t="shared" si="168"/>
        <v>0</v>
      </c>
      <c r="J358" s="125">
        <v>1.2</v>
      </c>
      <c r="K358" s="235">
        <f t="shared" si="167"/>
        <v>0</v>
      </c>
      <c r="L358" s="123">
        <f ca="1">SUMIF(APU!A:B,'Materiales '!C358,APU!I:I)</f>
        <v>0</v>
      </c>
    </row>
    <row r="359" spans="2:12">
      <c r="B359" s="238">
        <f t="shared" si="179"/>
        <v>233</v>
      </c>
      <c r="C359" s="241"/>
      <c r="D359" s="127"/>
      <c r="E359" s="124"/>
      <c r="F359" s="129"/>
      <c r="I359" s="56">
        <f t="shared" si="168"/>
        <v>0</v>
      </c>
      <c r="J359" s="125">
        <v>1.2</v>
      </c>
      <c r="K359" s="235">
        <f t="shared" si="167"/>
        <v>0</v>
      </c>
      <c r="L359" s="123">
        <f ca="1">SUMIF(APU!A:B,'Materiales '!C359,APU!I:I)</f>
        <v>0</v>
      </c>
    </row>
    <row r="360" spans="2:12">
      <c r="B360" s="238">
        <f t="shared" si="179"/>
        <v>234</v>
      </c>
      <c r="C360" s="241"/>
      <c r="D360" s="127"/>
      <c r="E360" s="124"/>
      <c r="F360" s="129"/>
      <c r="I360" s="56">
        <f t="shared" si="168"/>
        <v>0</v>
      </c>
      <c r="J360" s="125">
        <v>1.2</v>
      </c>
      <c r="K360" s="235">
        <f t="shared" si="167"/>
        <v>0</v>
      </c>
      <c r="L360" s="123">
        <f ca="1">SUMIF(APU!A:B,'Materiales '!C360,APU!I:I)</f>
        <v>0</v>
      </c>
    </row>
    <row r="361" spans="2:12">
      <c r="B361" s="238">
        <f t="shared" si="179"/>
        <v>235</v>
      </c>
      <c r="C361" s="241"/>
      <c r="D361" s="127"/>
      <c r="E361" s="124"/>
      <c r="F361" s="129"/>
      <c r="I361" s="56">
        <f t="shared" si="168"/>
        <v>0</v>
      </c>
      <c r="J361" s="125">
        <v>1.2</v>
      </c>
      <c r="K361" s="235">
        <f t="shared" si="167"/>
        <v>0</v>
      </c>
      <c r="L361" s="123">
        <f ca="1">SUMIF(APU!A:B,'Materiales '!C361,APU!I:I)</f>
        <v>0</v>
      </c>
    </row>
    <row r="362" spans="2:12">
      <c r="B362" s="238">
        <f t="shared" si="179"/>
        <v>236</v>
      </c>
      <c r="C362" s="241"/>
      <c r="D362" s="127"/>
      <c r="E362" s="124"/>
      <c r="F362" s="129"/>
      <c r="I362" s="56">
        <f t="shared" si="168"/>
        <v>0</v>
      </c>
      <c r="J362" s="125">
        <v>1.2</v>
      </c>
      <c r="K362" s="235">
        <f t="shared" si="167"/>
        <v>0</v>
      </c>
      <c r="L362" s="123">
        <f ca="1">SUMIF(APU!A:B,'Materiales '!C362,APU!I:I)</f>
        <v>0</v>
      </c>
    </row>
    <row r="363" spans="2:12">
      <c r="B363" s="238">
        <f t="shared" si="179"/>
        <v>237</v>
      </c>
      <c r="C363" s="241"/>
      <c r="D363" s="127"/>
      <c r="E363" s="124"/>
      <c r="F363" s="129"/>
      <c r="I363" s="56">
        <f t="shared" si="168"/>
        <v>0</v>
      </c>
      <c r="J363" s="125">
        <v>1.2</v>
      </c>
      <c r="K363" s="235">
        <f t="shared" si="167"/>
        <v>0</v>
      </c>
      <c r="L363" s="123">
        <f ca="1">SUMIF(APU!A:B,'Materiales '!C363,APU!I:I)</f>
        <v>0</v>
      </c>
    </row>
    <row r="364" spans="2:12">
      <c r="B364" s="238">
        <f t="shared" si="179"/>
        <v>238</v>
      </c>
      <c r="C364" s="241"/>
      <c r="D364" s="127"/>
      <c r="E364" s="124"/>
      <c r="F364" s="129"/>
      <c r="I364" s="56">
        <f t="shared" si="168"/>
        <v>0</v>
      </c>
      <c r="J364" s="125">
        <v>1.2</v>
      </c>
      <c r="K364" s="235">
        <f t="shared" si="167"/>
        <v>0</v>
      </c>
      <c r="L364" s="123">
        <f ca="1">SUMIF(APU!A:B,'Materiales '!C364,APU!I:I)</f>
        <v>0</v>
      </c>
    </row>
    <row r="365" spans="2:12">
      <c r="B365" s="238">
        <f t="shared" si="179"/>
        <v>239</v>
      </c>
      <c r="C365" s="241"/>
      <c r="D365" s="127"/>
      <c r="E365" s="124"/>
      <c r="F365" s="129"/>
      <c r="I365" s="56">
        <f t="shared" si="168"/>
        <v>0</v>
      </c>
      <c r="J365" s="125">
        <v>1.2</v>
      </c>
      <c r="K365" s="235">
        <f t="shared" si="167"/>
        <v>0</v>
      </c>
      <c r="L365" s="123">
        <f ca="1">SUMIF(APU!A:B,'Materiales '!C365,APU!I:I)</f>
        <v>0</v>
      </c>
    </row>
    <row r="366" spans="2:12">
      <c r="B366" s="238">
        <f t="shared" si="179"/>
        <v>240</v>
      </c>
      <c r="C366" s="241"/>
      <c r="D366" s="127"/>
      <c r="E366" s="124"/>
      <c r="F366" s="129"/>
      <c r="I366" s="56">
        <f t="shared" si="168"/>
        <v>0</v>
      </c>
      <c r="J366" s="125">
        <v>1.2</v>
      </c>
      <c r="K366" s="235">
        <f t="shared" si="167"/>
        <v>0</v>
      </c>
      <c r="L366" s="123">
        <f ca="1">SUMIF(APU!A:B,'Materiales '!C366,APU!I:I)</f>
        <v>0</v>
      </c>
    </row>
    <row r="367" spans="2:12">
      <c r="B367" s="238">
        <f t="shared" si="179"/>
        <v>241</v>
      </c>
      <c r="C367" s="241"/>
      <c r="D367" s="127"/>
      <c r="E367" s="124"/>
      <c r="F367" s="129"/>
      <c r="I367" s="56">
        <f t="shared" si="168"/>
        <v>0</v>
      </c>
      <c r="J367" s="125">
        <v>1.2</v>
      </c>
      <c r="K367" s="235">
        <f t="shared" si="167"/>
        <v>0</v>
      </c>
      <c r="L367" s="123">
        <f ca="1">SUMIF(APU!A:B,'Materiales '!C367,APU!I:I)</f>
        <v>0</v>
      </c>
    </row>
    <row r="368" spans="2:12">
      <c r="B368" s="238">
        <f t="shared" si="179"/>
        <v>242</v>
      </c>
      <c r="C368" s="241"/>
      <c r="D368" s="127"/>
      <c r="E368" s="124"/>
      <c r="F368" s="129"/>
      <c r="I368" s="56">
        <f t="shared" si="168"/>
        <v>0</v>
      </c>
      <c r="J368" s="125">
        <v>1.2</v>
      </c>
      <c r="K368" s="235">
        <f t="shared" si="167"/>
        <v>0</v>
      </c>
      <c r="L368" s="123">
        <f ca="1">SUMIF(APU!A:B,'Materiales '!C368,APU!I:I)</f>
        <v>0</v>
      </c>
    </row>
    <row r="369" spans="2:12">
      <c r="B369" s="238">
        <f t="shared" si="179"/>
        <v>243</v>
      </c>
      <c r="C369" s="241"/>
      <c r="D369" s="127"/>
      <c r="E369" s="124"/>
      <c r="F369" s="129"/>
      <c r="I369" s="56">
        <f t="shared" si="168"/>
        <v>0</v>
      </c>
      <c r="J369" s="125">
        <v>1.2</v>
      </c>
      <c r="K369" s="235">
        <f t="shared" si="167"/>
        <v>0</v>
      </c>
      <c r="L369" s="123">
        <f ca="1">SUMIF(APU!A:B,'Materiales '!C369,APU!I:I)</f>
        <v>0</v>
      </c>
    </row>
    <row r="370" spans="2:12">
      <c r="B370" s="238">
        <f t="shared" si="179"/>
        <v>244</v>
      </c>
      <c r="C370" s="241"/>
      <c r="D370" s="127"/>
      <c r="E370" s="124"/>
      <c r="F370" s="129"/>
      <c r="I370" s="56">
        <f t="shared" si="168"/>
        <v>0</v>
      </c>
      <c r="J370" s="125">
        <v>1.2</v>
      </c>
      <c r="K370" s="235">
        <f t="shared" si="167"/>
        <v>0</v>
      </c>
      <c r="L370" s="123">
        <f ca="1">SUMIF(APU!A:B,'Materiales '!C370,APU!I:I)</f>
        <v>0</v>
      </c>
    </row>
    <row r="371" spans="2:12">
      <c r="B371" s="238">
        <f t="shared" si="179"/>
        <v>245</v>
      </c>
      <c r="C371" s="241"/>
      <c r="D371" s="127"/>
      <c r="E371" s="124"/>
      <c r="F371" s="129"/>
      <c r="I371" s="56">
        <f t="shared" si="168"/>
        <v>0</v>
      </c>
      <c r="J371" s="125">
        <v>1.2</v>
      </c>
      <c r="K371" s="235">
        <f t="shared" si="167"/>
        <v>0</v>
      </c>
      <c r="L371" s="123">
        <f ca="1">SUMIF(APU!A:B,'Materiales '!C371,APU!I:I)</f>
        <v>0</v>
      </c>
    </row>
    <row r="372" spans="2:12">
      <c r="B372" s="238">
        <f t="shared" si="179"/>
        <v>246</v>
      </c>
      <c r="C372" s="241"/>
      <c r="D372" s="127"/>
      <c r="E372" s="124"/>
      <c r="F372" s="129"/>
      <c r="I372" s="56">
        <f t="shared" si="168"/>
        <v>0</v>
      </c>
      <c r="K372" s="235">
        <f t="shared" si="167"/>
        <v>0</v>
      </c>
      <c r="L372" s="123">
        <f ca="1">SUMIF(APU!A:B,'Materiales '!C372,APU!I:I)</f>
        <v>0</v>
      </c>
    </row>
    <row r="373" spans="2:12">
      <c r="B373" s="238">
        <f t="shared" si="179"/>
        <v>247</v>
      </c>
      <c r="C373" s="241"/>
      <c r="D373" s="127"/>
      <c r="E373" s="124"/>
      <c r="F373" s="129"/>
      <c r="I373" s="56">
        <f t="shared" si="168"/>
        <v>0</v>
      </c>
      <c r="K373" s="235">
        <f t="shared" si="167"/>
        <v>0</v>
      </c>
      <c r="L373" s="123">
        <f ca="1">SUMIF(APU!A:B,'Materiales '!C373,APU!I:I)</f>
        <v>0</v>
      </c>
    </row>
    <row r="374" spans="2:12">
      <c r="B374" s="238">
        <f t="shared" si="179"/>
        <v>248</v>
      </c>
      <c r="C374" s="241"/>
      <c r="D374" s="127"/>
      <c r="E374" s="124"/>
      <c r="F374" s="129"/>
      <c r="I374" s="56">
        <f t="shared" si="168"/>
        <v>0</v>
      </c>
      <c r="K374" s="235">
        <f t="shared" si="167"/>
        <v>0</v>
      </c>
      <c r="L374" s="123">
        <f ca="1">SUMIF(APU!A:B,'Materiales '!C374,APU!I:I)</f>
        <v>0</v>
      </c>
    </row>
    <row r="375" spans="2:12">
      <c r="B375" s="238">
        <f t="shared" si="179"/>
        <v>249</v>
      </c>
      <c r="C375" s="241"/>
      <c r="D375" s="127"/>
      <c r="E375" s="124"/>
      <c r="F375" s="129"/>
      <c r="I375" s="56">
        <f t="shared" si="168"/>
        <v>0</v>
      </c>
      <c r="K375" s="235">
        <f t="shared" si="167"/>
        <v>0</v>
      </c>
      <c r="L375" s="123">
        <f ca="1">SUMIF(APU!A:B,'Materiales '!C375,APU!I:I)</f>
        <v>0</v>
      </c>
    </row>
    <row r="376" spans="2:12">
      <c r="B376" s="238">
        <f t="shared" si="179"/>
        <v>250</v>
      </c>
      <c r="C376" s="241"/>
      <c r="D376" s="127"/>
      <c r="E376" s="124"/>
      <c r="F376" s="129"/>
      <c r="I376" s="56">
        <f t="shared" si="168"/>
        <v>0</v>
      </c>
      <c r="K376" s="235">
        <f t="shared" ref="K376:K383" si="197">J376*I376</f>
        <v>0</v>
      </c>
      <c r="L376" s="123">
        <f ca="1">SUMIF(APU!A:B,'Materiales '!C376,APU!I:I)</f>
        <v>0</v>
      </c>
    </row>
    <row r="377" spans="2:12">
      <c r="B377" s="238">
        <f t="shared" si="179"/>
        <v>251</v>
      </c>
      <c r="C377" s="241"/>
      <c r="D377" s="127"/>
      <c r="E377" s="124"/>
      <c r="F377" s="129"/>
      <c r="K377" s="235">
        <f t="shared" si="197"/>
        <v>0</v>
      </c>
      <c r="L377" s="123">
        <f ca="1">SUMIF(APU!A:B,'Materiales '!C377,APU!I:I)</f>
        <v>0</v>
      </c>
    </row>
    <row r="378" spans="2:12">
      <c r="B378" s="238">
        <f t="shared" si="179"/>
        <v>252</v>
      </c>
      <c r="C378" s="241"/>
      <c r="D378" s="127"/>
      <c r="E378" s="124"/>
      <c r="F378" s="129"/>
      <c r="K378" s="235">
        <f t="shared" si="197"/>
        <v>0</v>
      </c>
      <c r="L378" s="123">
        <f ca="1">SUMIF(APU!A:B,'Materiales '!C378,APU!I:I)</f>
        <v>0</v>
      </c>
    </row>
    <row r="379" spans="2:12">
      <c r="B379" s="238">
        <f t="shared" si="179"/>
        <v>253</v>
      </c>
      <c r="C379" s="241"/>
      <c r="D379" s="127"/>
      <c r="E379" s="124"/>
      <c r="F379" s="129"/>
      <c r="K379" s="235">
        <f t="shared" si="197"/>
        <v>0</v>
      </c>
      <c r="L379" s="123">
        <f ca="1">SUMIF(APU!A:B,'Materiales '!C379,APU!I:I)</f>
        <v>0</v>
      </c>
    </row>
    <row r="380" spans="2:12">
      <c r="B380" s="238">
        <f t="shared" si="179"/>
        <v>254</v>
      </c>
      <c r="C380" s="241"/>
      <c r="D380" s="127"/>
      <c r="E380" s="124"/>
      <c r="F380" s="129"/>
      <c r="K380" s="235">
        <f t="shared" si="197"/>
        <v>0</v>
      </c>
      <c r="L380" s="123">
        <f ca="1">SUMIF(APU!A:B,'Materiales '!C380,APU!I:I)</f>
        <v>0</v>
      </c>
    </row>
    <row r="381" spans="2:12">
      <c r="B381" s="238">
        <f t="shared" si="179"/>
        <v>255</v>
      </c>
      <c r="C381" s="241"/>
      <c r="D381" s="127"/>
      <c r="E381" s="124"/>
      <c r="F381" s="129"/>
      <c r="K381" s="235">
        <f t="shared" si="197"/>
        <v>0</v>
      </c>
      <c r="L381" s="123">
        <f ca="1">SUMIF(APU!A:B,'Materiales '!C381,APU!I:I)</f>
        <v>0</v>
      </c>
    </row>
    <row r="382" spans="2:12">
      <c r="B382" s="238">
        <f t="shared" si="179"/>
        <v>256</v>
      </c>
      <c r="C382" s="241"/>
      <c r="D382" s="127"/>
      <c r="E382" s="124"/>
      <c r="F382" s="129"/>
      <c r="K382" s="235">
        <f t="shared" si="197"/>
        <v>0</v>
      </c>
      <c r="L382" s="123">
        <f ca="1">SUMIF(APU!A:B,'Materiales '!C382,APU!I:I)</f>
        <v>0</v>
      </c>
    </row>
    <row r="383" spans="2:12">
      <c r="B383" s="238">
        <f t="shared" si="179"/>
        <v>257</v>
      </c>
      <c r="C383" s="241"/>
      <c r="D383" s="127"/>
      <c r="E383" s="124"/>
      <c r="F383" s="129"/>
      <c r="K383" s="235">
        <f t="shared" si="197"/>
        <v>0</v>
      </c>
      <c r="L383" s="123">
        <f ca="1">SUMIF(APU!A:B,'Materiales '!C383,APU!I:I)</f>
        <v>0</v>
      </c>
    </row>
    <row r="384" spans="2:12">
      <c r="B384" s="238">
        <f t="shared" si="179"/>
        <v>258</v>
      </c>
      <c r="C384" s="241"/>
      <c r="D384" s="127"/>
      <c r="E384" s="124"/>
      <c r="F384" s="129"/>
      <c r="L384" s="123">
        <f ca="1">SUMIF(APU!A:B,'Materiales '!C384,APU!I:I)</f>
        <v>0</v>
      </c>
    </row>
    <row r="385" spans="2:12">
      <c r="B385" s="238">
        <f t="shared" ref="B385:B396" si="198">B384+1</f>
        <v>259</v>
      </c>
      <c r="C385" s="241"/>
      <c r="D385" s="127"/>
      <c r="E385" s="124"/>
      <c r="F385" s="129"/>
      <c r="L385" s="123">
        <f ca="1">SUMIF(APU!A:B,'Materiales '!C385,APU!I:I)</f>
        <v>0</v>
      </c>
    </row>
    <row r="386" spans="2:12">
      <c r="B386" s="238">
        <f t="shared" si="198"/>
        <v>260</v>
      </c>
      <c r="C386" s="241"/>
      <c r="D386" s="127"/>
      <c r="E386" s="124"/>
      <c r="F386" s="129"/>
      <c r="L386" s="123">
        <f ca="1">SUMIF(APU!A:B,'Materiales '!C386,APU!I:I)</f>
        <v>0</v>
      </c>
    </row>
    <row r="387" spans="2:12">
      <c r="B387" s="238">
        <f t="shared" si="198"/>
        <v>261</v>
      </c>
      <c r="C387" s="241"/>
      <c r="D387" s="127"/>
      <c r="E387" s="124"/>
      <c r="F387" s="129"/>
      <c r="L387" s="123">
        <f ca="1">SUMIF(APU!A:B,'Materiales '!C387,APU!I:I)</f>
        <v>0</v>
      </c>
    </row>
    <row r="388" spans="2:12">
      <c r="B388" s="238">
        <f t="shared" si="198"/>
        <v>262</v>
      </c>
      <c r="C388" s="241"/>
      <c r="D388" s="127"/>
      <c r="E388" s="124"/>
      <c r="F388" s="129"/>
      <c r="L388" s="123">
        <f ca="1">SUMIF(APU!A:B,'Materiales '!C388,APU!I:I)</f>
        <v>0</v>
      </c>
    </row>
    <row r="389" spans="2:12">
      <c r="B389" s="238">
        <f t="shared" si="198"/>
        <v>263</v>
      </c>
      <c r="C389" s="241"/>
      <c r="D389" s="127"/>
      <c r="E389" s="124"/>
      <c r="F389" s="129"/>
      <c r="L389" s="123">
        <f ca="1">SUMIF(APU!A:B,'Materiales '!C389,APU!I:I)</f>
        <v>0</v>
      </c>
    </row>
    <row r="390" spans="2:12">
      <c r="B390" s="238">
        <f t="shared" si="198"/>
        <v>264</v>
      </c>
      <c r="C390" s="241"/>
      <c r="D390" s="127"/>
      <c r="E390" s="124"/>
      <c r="F390" s="129"/>
      <c r="L390" s="123">
        <f ca="1">SUMIF(APU!A:B,'Materiales '!C390,APU!I:I)</f>
        <v>0</v>
      </c>
    </row>
    <row r="391" spans="2:12">
      <c r="B391" s="238">
        <f t="shared" si="198"/>
        <v>265</v>
      </c>
      <c r="C391" s="241"/>
      <c r="D391" s="127"/>
      <c r="E391" s="124"/>
      <c r="F391" s="129"/>
      <c r="L391" s="123">
        <f ca="1">SUMIF(APU!A:B,'Materiales '!C391,APU!I:I)</f>
        <v>0</v>
      </c>
    </row>
    <row r="392" spans="2:12">
      <c r="B392" s="238">
        <f t="shared" si="198"/>
        <v>266</v>
      </c>
      <c r="C392" s="241"/>
      <c r="D392" s="127"/>
      <c r="E392" s="124"/>
      <c r="F392" s="129"/>
      <c r="L392" s="123">
        <f ca="1">SUMIF(APU!A:B,'Materiales '!C392,APU!I:I)</f>
        <v>0</v>
      </c>
    </row>
    <row r="393" spans="2:12">
      <c r="B393" s="238">
        <f t="shared" si="198"/>
        <v>267</v>
      </c>
      <c r="C393" s="241"/>
      <c r="D393" s="127"/>
      <c r="E393" s="124"/>
      <c r="F393" s="129"/>
      <c r="L393" s="123">
        <f ca="1">SUMIF(APU!A:B,'Materiales '!C393,APU!I:I)</f>
        <v>0</v>
      </c>
    </row>
    <row r="394" spans="2:12">
      <c r="B394" s="238">
        <f t="shared" si="198"/>
        <v>268</v>
      </c>
      <c r="C394" s="241"/>
      <c r="D394" s="127"/>
      <c r="E394" s="124"/>
      <c r="F394" s="129"/>
      <c r="L394" s="123">
        <f ca="1">SUMIF(APU!A:B,'Materiales '!C394,APU!I:I)</f>
        <v>0</v>
      </c>
    </row>
    <row r="395" spans="2:12">
      <c r="B395" s="238">
        <f t="shared" si="198"/>
        <v>269</v>
      </c>
      <c r="C395" s="241"/>
      <c r="D395" s="127"/>
      <c r="E395" s="124"/>
      <c r="F395" s="129"/>
      <c r="L395" s="123">
        <f ca="1">SUMIF(APU!A:B,'Materiales '!C395,APU!I:I)</f>
        <v>0</v>
      </c>
    </row>
    <row r="396" spans="2:12">
      <c r="B396" s="238">
        <f t="shared" si="198"/>
        <v>270</v>
      </c>
      <c r="C396" s="241"/>
      <c r="D396" s="127"/>
      <c r="E396" s="124"/>
      <c r="F396" s="129"/>
      <c r="L396" s="123">
        <f ca="1">SUMIF(APU!A:B,'Materiales '!C396,APU!I:I)</f>
        <v>0</v>
      </c>
    </row>
    <row r="397" spans="2:12">
      <c r="B397" s="239"/>
      <c r="C397" s="241"/>
      <c r="D397" s="127"/>
      <c r="E397" s="124"/>
      <c r="F397" s="129"/>
      <c r="L397" s="123">
        <f ca="1">SUMIF(APU!A:B,'Materiales '!C397,APU!I:I)</f>
        <v>0</v>
      </c>
    </row>
    <row r="398" spans="2:12">
      <c r="B398" s="239"/>
      <c r="C398" s="241"/>
      <c r="D398" s="127"/>
      <c r="E398" s="124"/>
      <c r="F398" s="129"/>
      <c r="L398" s="123">
        <f ca="1">SUMIF(APU!A:B,'Materiales '!C398,APU!I:I)</f>
        <v>0</v>
      </c>
    </row>
    <row r="399" spans="2:12">
      <c r="B399" s="239"/>
      <c r="C399" s="241"/>
      <c r="D399" s="127"/>
      <c r="E399" s="124"/>
      <c r="F399" s="129"/>
      <c r="L399" s="123">
        <f ca="1">SUMIF(APU!A:B,'Materiales '!C399,APU!I:I)</f>
        <v>0</v>
      </c>
    </row>
    <row r="400" spans="2:12">
      <c r="B400" s="239"/>
      <c r="C400" s="241"/>
      <c r="D400" s="127"/>
      <c r="E400" s="124"/>
      <c r="F400" s="129"/>
      <c r="L400" s="123">
        <f ca="1">SUMIF(APU!A:B,'Materiales '!C400,APU!I:I)</f>
        <v>0</v>
      </c>
    </row>
    <row r="401" spans="2:12">
      <c r="B401" s="239"/>
      <c r="C401" s="241"/>
      <c r="D401" s="127"/>
      <c r="E401" s="124"/>
      <c r="F401" s="129"/>
      <c r="L401" s="123">
        <f ca="1">SUMIF(APU!A:B,'Materiales '!C401,APU!I:I)</f>
        <v>0</v>
      </c>
    </row>
    <row r="402" spans="2:12">
      <c r="B402" s="239"/>
      <c r="C402" s="241"/>
      <c r="D402" s="127"/>
      <c r="E402" s="124"/>
      <c r="F402" s="129"/>
      <c r="L402" s="123">
        <f ca="1">SUMIF(APU!A:B,'Materiales '!C402,APU!I:I)</f>
        <v>0</v>
      </c>
    </row>
    <row r="403" spans="2:12">
      <c r="B403" s="239"/>
      <c r="C403" s="241"/>
      <c r="D403" s="127"/>
      <c r="E403" s="124"/>
      <c r="F403" s="129"/>
      <c r="L403" s="123">
        <f ca="1">SUMIF(APU!A:B,'Materiales '!C403,APU!I:I)</f>
        <v>0</v>
      </c>
    </row>
    <row r="404" spans="2:12">
      <c r="B404" s="239"/>
      <c r="C404" s="241"/>
      <c r="D404" s="127"/>
      <c r="E404" s="124"/>
      <c r="F404" s="129"/>
      <c r="L404" s="123">
        <f ca="1">SUMIF(APU!A:B,'Materiales '!C404,APU!I:I)</f>
        <v>0</v>
      </c>
    </row>
    <row r="405" spans="2:12">
      <c r="B405" s="239"/>
      <c r="C405" s="241"/>
      <c r="D405" s="127"/>
      <c r="E405" s="124"/>
      <c r="F405" s="129"/>
      <c r="L405" s="123">
        <f ca="1">SUMIF(APU!A:B,'Materiales '!C405,APU!I:I)</f>
        <v>0</v>
      </c>
    </row>
    <row r="406" spans="2:12">
      <c r="B406" s="239"/>
      <c r="C406" s="241"/>
      <c r="D406" s="127"/>
      <c r="E406" s="124"/>
      <c r="F406" s="129"/>
      <c r="L406" s="123">
        <f ca="1">SUMIF(APU!A:B,'Materiales '!C406,APU!I:I)</f>
        <v>0</v>
      </c>
    </row>
    <row r="407" spans="2:12">
      <c r="B407" s="239"/>
      <c r="C407" s="241"/>
      <c r="D407" s="127"/>
      <c r="E407" s="124"/>
      <c r="F407" s="129"/>
      <c r="L407" s="123">
        <f ca="1">SUMIF(APU!A:B,'Materiales '!C407,APU!I:I)</f>
        <v>0</v>
      </c>
    </row>
    <row r="408" spans="2:12">
      <c r="B408" s="239"/>
      <c r="C408" s="241"/>
      <c r="D408" s="127"/>
      <c r="E408" s="124"/>
      <c r="F408" s="129"/>
      <c r="L408" s="123">
        <f ca="1">SUMIF(APU!A:B,'Materiales '!C408,APU!I:I)</f>
        <v>0</v>
      </c>
    </row>
    <row r="409" spans="2:12">
      <c r="B409" s="239"/>
      <c r="C409" s="241"/>
      <c r="D409" s="127"/>
      <c r="E409" s="124"/>
      <c r="F409" s="129"/>
      <c r="L409" s="123">
        <f ca="1">SUMIF(APU!A:B,'Materiales '!C409,APU!I:I)</f>
        <v>0</v>
      </c>
    </row>
    <row r="410" spans="2:12">
      <c r="B410" s="239"/>
      <c r="C410" s="241"/>
      <c r="D410" s="127"/>
      <c r="E410" s="124"/>
      <c r="F410" s="129"/>
      <c r="L410" s="123">
        <f ca="1">SUMIF(APU!A:B,'Materiales '!C410,APU!I:I)</f>
        <v>0</v>
      </c>
    </row>
    <row r="411" spans="2:12">
      <c r="B411" s="239"/>
      <c r="C411" s="241"/>
      <c r="D411" s="127"/>
      <c r="E411" s="124"/>
      <c r="F411" s="129"/>
      <c r="L411" s="123">
        <f ca="1">SUMIF(APU!A:B,'Materiales '!C411,APU!I:I)</f>
        <v>0</v>
      </c>
    </row>
    <row r="412" spans="2:12">
      <c r="B412" s="239"/>
      <c r="C412" s="241"/>
      <c r="D412" s="127"/>
      <c r="E412" s="124"/>
      <c r="F412" s="129"/>
      <c r="L412" s="123">
        <f ca="1">SUMIF(APU!A:B,'Materiales '!C412,APU!I:I)</f>
        <v>0</v>
      </c>
    </row>
    <row r="413" spans="2:12">
      <c r="B413" s="239"/>
      <c r="C413" s="241"/>
      <c r="D413" s="127"/>
      <c r="E413" s="124"/>
      <c r="F413" s="129"/>
      <c r="L413" s="123">
        <f ca="1">SUMIF(APU!A:B,'Materiales '!C413,APU!I:I)</f>
        <v>0</v>
      </c>
    </row>
    <row r="414" spans="2:12">
      <c r="B414" s="239"/>
      <c r="C414" s="241"/>
      <c r="D414" s="127"/>
      <c r="E414" s="124"/>
      <c r="F414" s="129"/>
      <c r="L414" s="123">
        <f ca="1">SUMIF(APU!A:B,'Materiales '!C414,APU!I:I)</f>
        <v>0</v>
      </c>
    </row>
    <row r="415" spans="2:12">
      <c r="B415" s="239"/>
      <c r="C415" s="241"/>
      <c r="D415" s="127"/>
      <c r="E415" s="124"/>
      <c r="F415" s="129"/>
      <c r="L415" s="123">
        <f ca="1">SUMIF(APU!A:B,'Materiales '!C415,APU!I:I)</f>
        <v>0</v>
      </c>
    </row>
    <row r="416" spans="2:12">
      <c r="B416" s="239"/>
      <c r="C416" s="241"/>
      <c r="D416" s="127"/>
      <c r="E416" s="124"/>
      <c r="F416" s="129"/>
      <c r="L416" s="123">
        <f ca="1">SUMIF(APU!A:B,'Materiales '!C416,APU!I:I)</f>
        <v>0</v>
      </c>
    </row>
    <row r="417" spans="2:6">
      <c r="B417" s="239"/>
      <c r="C417" s="241"/>
      <c r="D417" s="127"/>
      <c r="E417" s="124"/>
      <c r="F417" s="129"/>
    </row>
    <row r="418" spans="2:6">
      <c r="B418" s="239"/>
      <c r="C418" s="241"/>
      <c r="D418" s="127"/>
      <c r="E418" s="124"/>
      <c r="F418" s="129"/>
    </row>
    <row r="419" spans="2:6">
      <c r="B419" s="239"/>
      <c r="C419" s="241"/>
      <c r="D419" s="127"/>
      <c r="E419" s="124"/>
      <c r="F419" s="129"/>
    </row>
    <row r="420" spans="2:6">
      <c r="B420" s="239"/>
      <c r="C420" s="241"/>
      <c r="D420" s="127"/>
      <c r="E420" s="124"/>
      <c r="F420" s="129"/>
    </row>
    <row r="421" spans="2:6">
      <c r="B421" s="239"/>
      <c r="C421" s="241"/>
      <c r="D421" s="127"/>
      <c r="E421" s="124"/>
      <c r="F421" s="129"/>
    </row>
    <row r="422" spans="2:6">
      <c r="B422" s="239"/>
      <c r="C422" s="241"/>
      <c r="D422" s="127"/>
      <c r="E422" s="124"/>
      <c r="F422" s="129"/>
    </row>
    <row r="423" spans="2:6">
      <c r="B423" s="239"/>
      <c r="C423" s="241"/>
      <c r="D423" s="127"/>
      <c r="E423" s="124"/>
      <c r="F423" s="129"/>
    </row>
    <row r="424" spans="2:6">
      <c r="B424" s="239"/>
      <c r="C424" s="241"/>
      <c r="D424" s="127"/>
      <c r="E424" s="124"/>
      <c r="F424" s="129"/>
    </row>
    <row r="425" spans="2:6">
      <c r="B425" s="239"/>
      <c r="C425" s="241"/>
      <c r="D425" s="127"/>
      <c r="E425" s="124"/>
      <c r="F425" s="129"/>
    </row>
    <row r="426" spans="2:6">
      <c r="B426" s="239"/>
      <c r="C426" s="241"/>
      <c r="D426" s="127"/>
      <c r="E426" s="124"/>
      <c r="F426" s="129"/>
    </row>
    <row r="427" spans="2:6">
      <c r="B427" s="239"/>
      <c r="C427" s="241"/>
      <c r="D427" s="127"/>
      <c r="E427" s="124"/>
      <c r="F427" s="129"/>
    </row>
    <row r="428" spans="2:6">
      <c r="B428" s="239"/>
      <c r="C428" s="241"/>
      <c r="D428" s="127"/>
      <c r="E428" s="124"/>
      <c r="F428" s="129"/>
    </row>
    <row r="429" spans="2:6">
      <c r="B429" s="239"/>
      <c r="C429" s="241"/>
      <c r="D429" s="127"/>
      <c r="E429" s="124"/>
      <c r="F429" s="129"/>
    </row>
    <row r="430" spans="2:6">
      <c r="B430" s="239"/>
      <c r="C430" s="241"/>
      <c r="D430" s="127"/>
      <c r="E430" s="124"/>
      <c r="F430" s="129"/>
    </row>
    <row r="431" spans="2:6">
      <c r="B431" s="239"/>
      <c r="C431" s="241"/>
      <c r="D431" s="127"/>
      <c r="E431" s="124"/>
      <c r="F431" s="129"/>
    </row>
    <row r="432" spans="2:6">
      <c r="B432" s="239"/>
      <c r="C432" s="241"/>
      <c r="D432" s="127"/>
      <c r="E432" s="124"/>
      <c r="F432" s="129"/>
    </row>
    <row r="433" spans="2:6">
      <c r="B433" s="239"/>
      <c r="C433" s="241"/>
      <c r="D433" s="127"/>
      <c r="E433" s="124"/>
      <c r="F433" s="129"/>
    </row>
    <row r="434" spans="2:6">
      <c r="B434" s="239"/>
      <c r="C434" s="241"/>
      <c r="D434" s="127"/>
      <c r="E434" s="124"/>
      <c r="F434" s="129"/>
    </row>
    <row r="435" spans="2:6">
      <c r="B435" s="239"/>
      <c r="C435" s="241"/>
      <c r="D435" s="127"/>
      <c r="E435" s="124"/>
      <c r="F435" s="129"/>
    </row>
    <row r="436" spans="2:6">
      <c r="B436" s="239"/>
      <c r="C436" s="241"/>
      <c r="D436" s="127"/>
      <c r="E436" s="124"/>
      <c r="F436" s="129"/>
    </row>
    <row r="437" spans="2:6">
      <c r="B437" s="239"/>
      <c r="C437" s="241"/>
      <c r="D437" s="127"/>
      <c r="E437" s="124"/>
      <c r="F437" s="129"/>
    </row>
    <row r="438" spans="2:6">
      <c r="B438" s="239"/>
      <c r="C438" s="241"/>
      <c r="D438" s="127"/>
      <c r="E438" s="124"/>
      <c r="F438" s="129"/>
    </row>
    <row r="439" spans="2:6">
      <c r="B439" s="239"/>
      <c r="C439" s="241"/>
      <c r="D439" s="127"/>
      <c r="E439" s="124"/>
      <c r="F439" s="129"/>
    </row>
    <row r="440" spans="2:6">
      <c r="B440" s="239"/>
      <c r="C440" s="241"/>
      <c r="D440" s="127"/>
      <c r="E440" s="124"/>
      <c r="F440" s="129"/>
    </row>
    <row r="441" spans="2:6">
      <c r="B441" s="239"/>
      <c r="C441" s="241"/>
      <c r="D441" s="127"/>
      <c r="E441" s="124"/>
      <c r="F441" s="129"/>
    </row>
    <row r="442" spans="2:6">
      <c r="B442" s="239"/>
      <c r="C442" s="241"/>
      <c r="D442" s="127"/>
      <c r="E442" s="124"/>
      <c r="F442" s="129"/>
    </row>
    <row r="443" spans="2:6">
      <c r="B443" s="239"/>
      <c r="C443" s="241"/>
      <c r="D443" s="127"/>
      <c r="E443" s="124"/>
      <c r="F443" s="129"/>
    </row>
    <row r="444" spans="2:6">
      <c r="B444" s="239"/>
      <c r="C444" s="241"/>
      <c r="D444" s="127"/>
      <c r="E444" s="124"/>
      <c r="F444" s="129"/>
    </row>
    <row r="445" spans="2:6">
      <c r="B445" s="239"/>
      <c r="C445" s="241"/>
      <c r="D445" s="127"/>
      <c r="E445" s="124"/>
      <c r="F445" s="129"/>
    </row>
    <row r="446" spans="2:6">
      <c r="B446" s="239"/>
      <c r="C446" s="241"/>
      <c r="D446" s="127"/>
      <c r="E446" s="124"/>
      <c r="F446" s="129"/>
    </row>
    <row r="447" spans="2:6">
      <c r="B447" s="239"/>
      <c r="C447" s="241"/>
      <c r="D447" s="127"/>
      <c r="E447" s="124"/>
      <c r="F447" s="129"/>
    </row>
    <row r="448" spans="2:6">
      <c r="B448" s="239"/>
      <c r="C448" s="241"/>
      <c r="D448" s="127"/>
      <c r="E448" s="124"/>
      <c r="F448" s="129"/>
    </row>
    <row r="449" spans="2:6">
      <c r="B449" s="239"/>
      <c r="C449" s="241"/>
      <c r="D449" s="127"/>
      <c r="E449" s="124"/>
      <c r="F449" s="129"/>
    </row>
    <row r="450" spans="2:6">
      <c r="B450" s="239"/>
      <c r="C450" s="241"/>
      <c r="D450" s="127"/>
      <c r="E450" s="124"/>
      <c r="F450" s="129"/>
    </row>
    <row r="451" spans="2:6">
      <c r="B451" s="239"/>
      <c r="C451" s="241"/>
      <c r="D451" s="127"/>
      <c r="E451" s="124"/>
      <c r="F451" s="129"/>
    </row>
    <row r="452" spans="2:6">
      <c r="B452" s="239"/>
      <c r="C452" s="241"/>
      <c r="D452" s="127"/>
      <c r="E452" s="124"/>
      <c r="F452" s="129"/>
    </row>
    <row r="453" spans="2:6">
      <c r="B453" s="239"/>
      <c r="C453" s="241"/>
      <c r="D453" s="127"/>
      <c r="E453" s="124"/>
      <c r="F453" s="129"/>
    </row>
    <row r="454" spans="2:6">
      <c r="B454" s="239"/>
      <c r="C454" s="241"/>
      <c r="D454" s="127"/>
      <c r="E454" s="124"/>
      <c r="F454" s="129"/>
    </row>
    <row r="455" spans="2:6">
      <c r="B455" s="239"/>
      <c r="C455" s="241"/>
      <c r="D455" s="127"/>
      <c r="E455" s="124"/>
      <c r="F455" s="129"/>
    </row>
    <row r="456" spans="2:6">
      <c r="B456" s="239"/>
      <c r="C456" s="241"/>
      <c r="D456" s="127"/>
      <c r="E456" s="124"/>
      <c r="F456" s="129"/>
    </row>
    <row r="457" spans="2:6">
      <c r="B457" s="239"/>
      <c r="C457" s="241"/>
      <c r="D457" s="127"/>
      <c r="E457" s="124"/>
      <c r="F457" s="129"/>
    </row>
    <row r="458" spans="2:6">
      <c r="B458" s="239"/>
      <c r="C458" s="241"/>
      <c r="D458" s="127"/>
      <c r="E458" s="124"/>
      <c r="F458" s="129"/>
    </row>
    <row r="459" spans="2:6">
      <c r="B459" s="239"/>
      <c r="C459" s="241"/>
      <c r="D459" s="127"/>
      <c r="E459" s="124"/>
      <c r="F459" s="129"/>
    </row>
    <row r="460" spans="2:6">
      <c r="B460" s="239"/>
      <c r="C460" s="241"/>
      <c r="D460" s="127"/>
      <c r="E460" s="124"/>
      <c r="F460" s="129"/>
    </row>
    <row r="461" spans="2:6">
      <c r="B461" s="239"/>
      <c r="C461" s="241"/>
      <c r="D461" s="127"/>
      <c r="E461" s="124"/>
      <c r="F461" s="129"/>
    </row>
    <row r="462" spans="2:6">
      <c r="B462" s="239"/>
      <c r="C462" s="241"/>
      <c r="D462" s="127"/>
      <c r="E462" s="124"/>
      <c r="F462" s="129"/>
    </row>
    <row r="463" spans="2:6">
      <c r="B463" s="239"/>
      <c r="C463" s="241"/>
      <c r="D463" s="127"/>
      <c r="E463" s="124"/>
      <c r="F463" s="129"/>
    </row>
    <row r="464" spans="2:6">
      <c r="B464" s="239"/>
      <c r="C464" s="241"/>
      <c r="D464" s="127"/>
      <c r="E464" s="124"/>
      <c r="F464" s="129"/>
    </row>
    <row r="465" spans="2:6">
      <c r="B465" s="239"/>
      <c r="C465" s="241"/>
      <c r="D465" s="127"/>
      <c r="E465" s="124"/>
      <c r="F465" s="129"/>
    </row>
    <row r="466" spans="2:6">
      <c r="B466" s="239"/>
      <c r="C466" s="241"/>
      <c r="D466" s="127"/>
      <c r="E466" s="124"/>
      <c r="F466" s="129"/>
    </row>
    <row r="467" spans="2:6">
      <c r="B467" s="239"/>
      <c r="C467" s="241"/>
      <c r="D467" s="127"/>
      <c r="E467" s="124"/>
      <c r="F467" s="129"/>
    </row>
    <row r="468" spans="2:6">
      <c r="B468" s="239"/>
      <c r="C468" s="241"/>
      <c r="D468" s="127"/>
      <c r="E468" s="124"/>
      <c r="F468" s="129"/>
    </row>
    <row r="469" spans="2:6">
      <c r="B469" s="239"/>
      <c r="C469" s="241"/>
      <c r="D469" s="127"/>
      <c r="E469" s="124"/>
      <c r="F469" s="129"/>
    </row>
    <row r="470" spans="2:6">
      <c r="B470" s="239"/>
      <c r="C470" s="241"/>
      <c r="D470" s="127"/>
      <c r="E470" s="124"/>
      <c r="F470" s="129"/>
    </row>
    <row r="471" spans="2:6">
      <c r="B471" s="239"/>
      <c r="C471" s="241"/>
      <c r="D471" s="127"/>
      <c r="E471" s="124"/>
      <c r="F471" s="129"/>
    </row>
    <row r="472" spans="2:6">
      <c r="B472" s="239"/>
      <c r="C472" s="241"/>
      <c r="D472" s="127"/>
      <c r="E472" s="124"/>
      <c r="F472" s="129"/>
    </row>
    <row r="473" spans="2:6">
      <c r="B473" s="239"/>
      <c r="C473" s="241"/>
      <c r="D473" s="127"/>
      <c r="E473" s="124"/>
      <c r="F473" s="129"/>
    </row>
    <row r="474" spans="2:6">
      <c r="B474" s="239"/>
      <c r="C474" s="241"/>
      <c r="D474" s="127"/>
      <c r="E474" s="124"/>
      <c r="F474" s="129"/>
    </row>
    <row r="475" spans="2:6">
      <c r="B475" s="239"/>
      <c r="C475" s="241"/>
      <c r="D475" s="127"/>
      <c r="E475" s="124"/>
      <c r="F475" s="129"/>
    </row>
    <row r="476" spans="2:6">
      <c r="B476" s="239"/>
      <c r="C476" s="241"/>
      <c r="D476" s="127"/>
      <c r="E476" s="124"/>
      <c r="F476" s="129"/>
    </row>
    <row r="477" spans="2:6">
      <c r="B477" s="239"/>
      <c r="C477" s="241"/>
      <c r="D477" s="127"/>
      <c r="E477" s="124"/>
      <c r="F477" s="129"/>
    </row>
    <row r="478" spans="2:6">
      <c r="B478" s="239"/>
      <c r="C478" s="241"/>
      <c r="D478" s="127"/>
      <c r="E478" s="124"/>
      <c r="F478" s="129"/>
    </row>
    <row r="479" spans="2:6">
      <c r="B479" s="239"/>
      <c r="C479" s="241"/>
      <c r="D479" s="127"/>
      <c r="E479" s="124"/>
      <c r="F479" s="129"/>
    </row>
    <row r="480" spans="2:6">
      <c r="B480" s="239"/>
      <c r="C480" s="241"/>
      <c r="D480" s="127"/>
      <c r="E480" s="124"/>
      <c r="F480" s="129"/>
    </row>
    <row r="481" spans="2:6">
      <c r="B481" s="239"/>
      <c r="C481" s="241"/>
      <c r="D481" s="127"/>
      <c r="E481" s="124"/>
      <c r="F481" s="129"/>
    </row>
    <row r="482" spans="2:6">
      <c r="B482" s="239"/>
      <c r="C482" s="241"/>
      <c r="D482" s="127"/>
      <c r="E482" s="124"/>
      <c r="F482" s="129"/>
    </row>
    <row r="483" spans="2:6">
      <c r="B483" s="239"/>
      <c r="C483" s="241"/>
      <c r="D483" s="127"/>
      <c r="E483" s="124"/>
      <c r="F483" s="129"/>
    </row>
    <row r="484" spans="2:6">
      <c r="B484" s="239"/>
      <c r="C484" s="241"/>
      <c r="D484" s="127"/>
      <c r="E484" s="124"/>
      <c r="F484" s="129"/>
    </row>
    <row r="485" spans="2:6">
      <c r="B485" s="239"/>
      <c r="C485" s="241"/>
      <c r="D485" s="127"/>
      <c r="E485" s="124"/>
      <c r="F485" s="129"/>
    </row>
    <row r="486" spans="2:6">
      <c r="B486" s="239"/>
      <c r="C486" s="241"/>
      <c r="D486" s="127"/>
      <c r="E486" s="124"/>
      <c r="F486" s="129"/>
    </row>
    <row r="487" spans="2:6">
      <c r="B487" s="239"/>
      <c r="C487" s="241"/>
      <c r="D487" s="127"/>
      <c r="E487" s="124"/>
      <c r="F487" s="129"/>
    </row>
    <row r="488" spans="2:6">
      <c r="B488" s="239"/>
      <c r="C488" s="241"/>
      <c r="D488" s="127"/>
      <c r="E488" s="124"/>
      <c r="F488" s="129"/>
    </row>
    <row r="489" spans="2:6">
      <c r="B489" s="239"/>
      <c r="C489" s="241"/>
      <c r="D489" s="127"/>
      <c r="E489" s="124"/>
      <c r="F489" s="129"/>
    </row>
    <row r="490" spans="2:6">
      <c r="B490" s="239"/>
      <c r="C490" s="241"/>
      <c r="D490" s="127"/>
      <c r="E490" s="124"/>
      <c r="F490" s="129"/>
    </row>
    <row r="491" spans="2:6">
      <c r="B491" s="239"/>
      <c r="C491" s="241"/>
      <c r="D491" s="127"/>
      <c r="E491" s="124"/>
      <c r="F491" s="129"/>
    </row>
    <row r="492" spans="2:6">
      <c r="B492" s="239"/>
      <c r="C492" s="241"/>
      <c r="D492" s="127"/>
      <c r="E492" s="124"/>
      <c r="F492" s="129"/>
    </row>
    <row r="493" spans="2:6">
      <c r="B493" s="239"/>
      <c r="C493" s="241"/>
      <c r="D493" s="127"/>
      <c r="E493" s="124"/>
      <c r="F493" s="129"/>
    </row>
    <row r="494" spans="2:6">
      <c r="B494" s="239"/>
      <c r="C494" s="241"/>
      <c r="D494" s="127"/>
      <c r="E494" s="124"/>
      <c r="F494" s="129"/>
    </row>
    <row r="495" spans="2:6">
      <c r="B495" s="239"/>
      <c r="C495" s="241"/>
      <c r="D495" s="127"/>
      <c r="E495" s="124"/>
      <c r="F495" s="129"/>
    </row>
    <row r="496" spans="2:6">
      <c r="B496" s="239"/>
      <c r="C496" s="241"/>
      <c r="D496" s="127"/>
      <c r="E496" s="124"/>
      <c r="F496" s="129"/>
    </row>
    <row r="497" spans="2:6">
      <c r="B497" s="239"/>
      <c r="C497" s="241"/>
      <c r="D497" s="127"/>
      <c r="E497" s="124"/>
      <c r="F497" s="129"/>
    </row>
    <row r="498" spans="2:6">
      <c r="B498" s="239"/>
      <c r="C498" s="241"/>
      <c r="D498" s="127"/>
      <c r="E498" s="124"/>
      <c r="F498" s="129"/>
    </row>
    <row r="499" spans="2:6">
      <c r="B499" s="239"/>
      <c r="C499" s="241"/>
      <c r="D499" s="127"/>
      <c r="E499" s="124"/>
      <c r="F499" s="129"/>
    </row>
    <row r="500" spans="2:6">
      <c r="B500" s="239"/>
      <c r="C500" s="241"/>
      <c r="D500" s="127"/>
      <c r="E500" s="124"/>
      <c r="F500" s="129"/>
    </row>
    <row r="501" spans="2:6">
      <c r="B501" s="239"/>
      <c r="C501" s="241"/>
      <c r="D501" s="127"/>
      <c r="E501" s="124"/>
      <c r="F501" s="129"/>
    </row>
    <row r="502" spans="2:6">
      <c r="B502" s="239"/>
      <c r="C502" s="241"/>
      <c r="D502" s="127"/>
      <c r="E502" s="124"/>
      <c r="F502" s="129"/>
    </row>
    <row r="503" spans="2:6">
      <c r="B503" s="239"/>
      <c r="C503" s="241"/>
      <c r="D503" s="127"/>
      <c r="E503" s="124"/>
      <c r="F503" s="129"/>
    </row>
    <row r="504" spans="2:6">
      <c r="B504" s="239"/>
      <c r="C504" s="241"/>
      <c r="D504" s="127"/>
      <c r="E504" s="124"/>
      <c r="F504" s="129"/>
    </row>
    <row r="505" spans="2:6">
      <c r="B505" s="239"/>
      <c r="C505" s="241"/>
      <c r="D505" s="127"/>
      <c r="E505" s="124"/>
      <c r="F505" s="129"/>
    </row>
    <row r="506" spans="2:6">
      <c r="B506" s="239"/>
      <c r="C506" s="241"/>
      <c r="D506" s="127"/>
      <c r="E506" s="124"/>
      <c r="F506" s="129"/>
    </row>
    <row r="507" spans="2:6">
      <c r="B507" s="239"/>
      <c r="C507" s="241"/>
      <c r="D507" s="127"/>
      <c r="E507" s="124"/>
      <c r="F507" s="129"/>
    </row>
    <row r="508" spans="2:6">
      <c r="B508" s="239"/>
      <c r="C508" s="241"/>
      <c r="D508" s="127"/>
      <c r="E508" s="124"/>
      <c r="F508" s="129"/>
    </row>
    <row r="509" spans="2:6">
      <c r="B509" s="239"/>
      <c r="C509" s="241"/>
      <c r="D509" s="127"/>
      <c r="E509" s="124"/>
      <c r="F509" s="129"/>
    </row>
    <row r="510" spans="2:6">
      <c r="B510" s="239"/>
      <c r="C510" s="241"/>
      <c r="D510" s="127"/>
      <c r="E510" s="124"/>
      <c r="F510" s="129"/>
    </row>
    <row r="511" spans="2:6">
      <c r="B511" s="239"/>
      <c r="C511" s="241"/>
      <c r="D511" s="127"/>
      <c r="E511" s="124"/>
      <c r="F511" s="129"/>
    </row>
    <row r="512" spans="2:6">
      <c r="B512" s="239"/>
      <c r="C512" s="241"/>
      <c r="D512" s="127"/>
      <c r="E512" s="124"/>
      <c r="F512" s="129"/>
    </row>
    <row r="513" spans="2:6">
      <c r="B513" s="239"/>
      <c r="C513" s="241"/>
      <c r="D513" s="127"/>
      <c r="E513" s="124"/>
      <c r="F513" s="129"/>
    </row>
    <row r="514" spans="2:6">
      <c r="B514" s="239"/>
      <c r="C514" s="241"/>
      <c r="D514" s="127"/>
      <c r="E514" s="124"/>
      <c r="F514" s="129"/>
    </row>
    <row r="515" spans="2:6">
      <c r="B515" s="239"/>
      <c r="C515" s="241"/>
      <c r="D515" s="127"/>
      <c r="E515" s="124"/>
      <c r="F515" s="129"/>
    </row>
    <row r="516" spans="2:6">
      <c r="B516" s="239"/>
      <c r="C516" s="241"/>
      <c r="D516" s="127"/>
      <c r="E516" s="124"/>
      <c r="F516" s="129"/>
    </row>
    <row r="517" spans="2:6">
      <c r="B517" s="239"/>
      <c r="C517" s="241"/>
      <c r="D517" s="127"/>
      <c r="E517" s="124"/>
      <c r="F517" s="129"/>
    </row>
    <row r="518" spans="2:6">
      <c r="B518" s="239"/>
      <c r="C518" s="241"/>
      <c r="D518" s="127"/>
      <c r="E518" s="124"/>
      <c r="F518" s="129"/>
    </row>
    <row r="519" spans="2:6">
      <c r="B519" s="239"/>
      <c r="C519" s="241"/>
      <c r="D519" s="127"/>
      <c r="E519" s="124"/>
      <c r="F519" s="129"/>
    </row>
    <row r="520" spans="2:6">
      <c r="B520" s="239"/>
      <c r="C520" s="241"/>
      <c r="D520" s="127"/>
      <c r="E520" s="124"/>
      <c r="F520" s="129"/>
    </row>
    <row r="521" spans="2:6">
      <c r="B521" s="239"/>
      <c r="C521" s="241"/>
      <c r="D521" s="127"/>
      <c r="E521" s="124"/>
      <c r="F521" s="129"/>
    </row>
    <row r="522" spans="2:6">
      <c r="B522" s="239"/>
      <c r="C522" s="241"/>
      <c r="D522" s="127"/>
      <c r="E522" s="124"/>
      <c r="F522" s="129"/>
    </row>
    <row r="523" spans="2:6">
      <c r="B523" s="239"/>
      <c r="C523" s="241"/>
      <c r="D523" s="127"/>
      <c r="E523" s="124"/>
      <c r="F523" s="129"/>
    </row>
    <row r="524" spans="2:6">
      <c r="B524" s="239"/>
      <c r="C524" s="241"/>
      <c r="D524" s="127"/>
      <c r="E524" s="124"/>
      <c r="F524" s="129"/>
    </row>
    <row r="525" spans="2:6">
      <c r="B525" s="239"/>
      <c r="C525" s="241"/>
      <c r="D525" s="127"/>
      <c r="E525" s="124"/>
      <c r="F525" s="129"/>
    </row>
    <row r="526" spans="2:6">
      <c r="B526" s="239"/>
      <c r="C526" s="241"/>
      <c r="D526" s="127"/>
      <c r="E526" s="124"/>
      <c r="F526" s="129"/>
    </row>
    <row r="527" spans="2:6">
      <c r="B527" s="239"/>
      <c r="C527" s="241"/>
      <c r="D527" s="127"/>
      <c r="E527" s="124"/>
      <c r="F527" s="129"/>
    </row>
    <row r="528" spans="2:6">
      <c r="B528" s="239"/>
      <c r="C528" s="241"/>
      <c r="D528" s="127"/>
      <c r="E528" s="124"/>
      <c r="F528" s="129"/>
    </row>
    <row r="529" spans="2:6">
      <c r="B529" s="239"/>
      <c r="C529" s="241"/>
      <c r="D529" s="127"/>
      <c r="E529" s="124"/>
      <c r="F529" s="129"/>
    </row>
    <row r="530" spans="2:6">
      <c r="B530" s="239"/>
      <c r="C530" s="241"/>
      <c r="D530" s="127"/>
      <c r="E530" s="124"/>
      <c r="F530" s="129"/>
    </row>
    <row r="531" spans="2:6">
      <c r="B531" s="239"/>
      <c r="C531" s="241"/>
      <c r="D531" s="127"/>
      <c r="E531" s="124"/>
      <c r="F531" s="129"/>
    </row>
    <row r="532" spans="2:6">
      <c r="B532" s="239"/>
      <c r="C532" s="241"/>
      <c r="D532" s="127"/>
      <c r="E532" s="124"/>
      <c r="F532" s="129"/>
    </row>
    <row r="533" spans="2:6">
      <c r="B533" s="239"/>
      <c r="C533" s="241"/>
      <c r="D533" s="127"/>
      <c r="E533" s="124"/>
      <c r="F533" s="129"/>
    </row>
    <row r="534" spans="2:6">
      <c r="B534" s="239"/>
      <c r="C534" s="241"/>
      <c r="D534" s="127"/>
      <c r="E534" s="124"/>
      <c r="F534" s="129"/>
    </row>
    <row r="535" spans="2:6">
      <c r="B535" s="239"/>
      <c r="C535" s="241"/>
      <c r="D535" s="127"/>
      <c r="E535" s="124"/>
      <c r="F535" s="129"/>
    </row>
    <row r="536" spans="2:6">
      <c r="B536" s="239"/>
      <c r="C536" s="241"/>
      <c r="D536" s="127"/>
      <c r="E536" s="124"/>
      <c r="F536" s="129"/>
    </row>
    <row r="537" spans="2:6">
      <c r="B537" s="239"/>
      <c r="C537" s="241"/>
      <c r="D537" s="127"/>
      <c r="E537" s="124"/>
      <c r="F537" s="129"/>
    </row>
    <row r="538" spans="2:6">
      <c r="B538" s="239"/>
      <c r="C538" s="241"/>
      <c r="D538" s="127"/>
      <c r="E538" s="124"/>
      <c r="F538" s="129"/>
    </row>
    <row r="539" spans="2:6">
      <c r="B539" s="239"/>
      <c r="C539" s="241"/>
      <c r="D539" s="127"/>
      <c r="E539" s="124"/>
      <c r="F539" s="129"/>
    </row>
    <row r="540" spans="2:6">
      <c r="B540" s="239"/>
      <c r="C540" s="241"/>
      <c r="D540" s="127"/>
      <c r="E540" s="124"/>
      <c r="F540" s="129"/>
    </row>
    <row r="541" spans="2:6">
      <c r="B541" s="239"/>
      <c r="C541" s="241"/>
      <c r="D541" s="127"/>
      <c r="E541" s="124"/>
      <c r="F541" s="129"/>
    </row>
    <row r="542" spans="2:6">
      <c r="B542" s="239"/>
      <c r="C542" s="241"/>
      <c r="D542" s="127"/>
      <c r="E542" s="124"/>
      <c r="F542" s="129"/>
    </row>
    <row r="543" spans="2:6">
      <c r="B543" s="239"/>
      <c r="C543" s="241"/>
      <c r="D543" s="127"/>
      <c r="E543" s="124"/>
      <c r="F543" s="129"/>
    </row>
    <row r="544" spans="2:6">
      <c r="B544" s="239"/>
      <c r="C544" s="241"/>
      <c r="D544" s="127"/>
      <c r="E544" s="124"/>
      <c r="F544" s="129"/>
    </row>
    <row r="545" spans="2:6">
      <c r="B545" s="239"/>
      <c r="C545" s="241"/>
      <c r="D545" s="127"/>
      <c r="E545" s="124"/>
      <c r="F545" s="129"/>
    </row>
    <row r="546" spans="2:6">
      <c r="B546" s="239"/>
      <c r="C546" s="241"/>
      <c r="D546" s="127"/>
      <c r="E546" s="124"/>
      <c r="F546" s="129"/>
    </row>
    <row r="547" spans="2:6">
      <c r="B547" s="239"/>
      <c r="C547" s="241"/>
      <c r="D547" s="127"/>
      <c r="E547" s="124"/>
      <c r="F547" s="129"/>
    </row>
    <row r="548" spans="2:6">
      <c r="B548" s="239"/>
      <c r="C548" s="241"/>
      <c r="D548" s="127"/>
      <c r="E548" s="124"/>
      <c r="F548" s="129"/>
    </row>
    <row r="549" spans="2:6">
      <c r="B549" s="239"/>
      <c r="C549" s="241"/>
      <c r="D549" s="127"/>
      <c r="E549" s="124"/>
      <c r="F549" s="129"/>
    </row>
    <row r="550" spans="2:6">
      <c r="B550" s="239"/>
      <c r="C550" s="241"/>
      <c r="D550" s="127"/>
      <c r="E550" s="124"/>
      <c r="F550" s="129"/>
    </row>
    <row r="551" spans="2:6">
      <c r="B551" s="239"/>
      <c r="C551" s="241"/>
      <c r="D551" s="127"/>
      <c r="E551" s="124"/>
      <c r="F551" s="129"/>
    </row>
    <row r="552" spans="2:6">
      <c r="B552" s="239"/>
      <c r="C552" s="241"/>
      <c r="D552" s="127"/>
      <c r="E552" s="124"/>
      <c r="F552" s="129"/>
    </row>
    <row r="553" spans="2:6">
      <c r="B553" s="239"/>
      <c r="C553" s="241"/>
      <c r="D553" s="127"/>
      <c r="E553" s="124"/>
      <c r="F553" s="129"/>
    </row>
    <row r="554" spans="2:6">
      <c r="B554" s="239"/>
      <c r="C554" s="241"/>
      <c r="D554" s="127"/>
      <c r="E554" s="124"/>
      <c r="F554" s="129"/>
    </row>
    <row r="555" spans="2:6">
      <c r="B555" s="239"/>
      <c r="C555" s="241"/>
      <c r="D555" s="127"/>
      <c r="E555" s="124"/>
      <c r="F555" s="129"/>
    </row>
    <row r="556" spans="2:6">
      <c r="B556" s="239"/>
      <c r="C556" s="241"/>
      <c r="D556" s="127"/>
      <c r="E556" s="124"/>
      <c r="F556" s="129"/>
    </row>
    <row r="557" spans="2:6">
      <c r="B557" s="239"/>
      <c r="C557" s="241"/>
      <c r="D557" s="127"/>
      <c r="E557" s="124"/>
      <c r="F557" s="129"/>
    </row>
    <row r="558" spans="2:6">
      <c r="B558" s="239"/>
      <c r="C558" s="241"/>
      <c r="D558" s="127"/>
      <c r="E558" s="124"/>
      <c r="F558" s="129"/>
    </row>
    <row r="559" spans="2:6">
      <c r="B559" s="239"/>
      <c r="C559" s="241"/>
      <c r="D559" s="127"/>
      <c r="E559" s="124"/>
      <c r="F559" s="129"/>
    </row>
    <row r="560" spans="2:6">
      <c r="B560" s="239"/>
      <c r="C560" s="241"/>
      <c r="D560" s="127"/>
      <c r="E560" s="124"/>
      <c r="F560" s="129"/>
    </row>
    <row r="561" spans="2:6">
      <c r="B561" s="239"/>
      <c r="C561" s="241"/>
      <c r="D561" s="127"/>
      <c r="E561" s="124"/>
      <c r="F561" s="129"/>
    </row>
    <row r="562" spans="2:6">
      <c r="B562" s="239"/>
      <c r="C562" s="241"/>
      <c r="D562" s="127"/>
      <c r="E562" s="124"/>
      <c r="F562" s="129"/>
    </row>
    <row r="563" spans="2:6">
      <c r="B563" s="239"/>
      <c r="C563" s="241"/>
      <c r="D563" s="127"/>
      <c r="E563" s="124"/>
      <c r="F563" s="129"/>
    </row>
    <row r="564" spans="2:6">
      <c r="B564" s="239"/>
      <c r="C564" s="241"/>
      <c r="D564" s="127"/>
      <c r="E564" s="124"/>
      <c r="F564" s="129"/>
    </row>
    <row r="565" spans="2:6">
      <c r="B565" s="239"/>
      <c r="C565" s="241"/>
      <c r="D565" s="127"/>
      <c r="E565" s="124"/>
      <c r="F565" s="129"/>
    </row>
    <row r="566" spans="2:6">
      <c r="B566" s="239"/>
      <c r="C566" s="241"/>
      <c r="D566" s="127"/>
      <c r="E566" s="124"/>
      <c r="F566" s="129"/>
    </row>
    <row r="567" spans="2:6">
      <c r="B567" s="239"/>
      <c r="C567" s="241"/>
      <c r="D567" s="127"/>
      <c r="E567" s="124"/>
      <c r="F567" s="129"/>
    </row>
    <row r="568" spans="2:6">
      <c r="B568" s="239"/>
      <c r="C568" s="241"/>
      <c r="D568" s="127"/>
      <c r="E568" s="124"/>
      <c r="F568" s="129"/>
    </row>
    <row r="569" spans="2:6">
      <c r="B569" s="239"/>
      <c r="C569" s="241"/>
      <c r="D569" s="127"/>
      <c r="E569" s="124"/>
      <c r="F569" s="129"/>
    </row>
    <row r="570" spans="2:6">
      <c r="B570" s="239"/>
      <c r="C570" s="241"/>
      <c r="D570" s="127"/>
      <c r="E570" s="124"/>
      <c r="F570" s="129"/>
    </row>
    <row r="571" spans="2:6">
      <c r="B571" s="239"/>
      <c r="C571" s="241"/>
      <c r="D571" s="127"/>
      <c r="E571" s="124"/>
      <c r="F571" s="129"/>
    </row>
    <row r="572" spans="2:6">
      <c r="B572" s="239"/>
      <c r="C572" s="241"/>
      <c r="D572" s="127"/>
      <c r="E572" s="124"/>
      <c r="F572" s="129"/>
    </row>
    <row r="573" spans="2:6">
      <c r="B573" s="239"/>
      <c r="C573" s="241"/>
      <c r="D573" s="127"/>
      <c r="E573" s="124"/>
      <c r="F573" s="129"/>
    </row>
    <row r="574" spans="2:6">
      <c r="B574" s="239"/>
      <c r="C574" s="241"/>
      <c r="D574" s="127"/>
      <c r="E574" s="124"/>
      <c r="F574" s="129"/>
    </row>
    <row r="575" spans="2:6">
      <c r="B575" s="239"/>
      <c r="C575" s="241"/>
      <c r="D575" s="127"/>
      <c r="E575" s="124"/>
      <c r="F575" s="129"/>
    </row>
    <row r="576" spans="2:6">
      <c r="B576" s="239"/>
      <c r="C576" s="241"/>
      <c r="D576" s="127"/>
      <c r="E576" s="124"/>
      <c r="F576" s="129"/>
    </row>
    <row r="577" spans="2:6">
      <c r="B577" s="239"/>
      <c r="C577" s="241"/>
      <c r="D577" s="127"/>
      <c r="E577" s="124"/>
      <c r="F577" s="129"/>
    </row>
    <row r="578" spans="2:6">
      <c r="B578" s="239"/>
      <c r="C578" s="241"/>
      <c r="D578" s="127"/>
      <c r="E578" s="124"/>
      <c r="F578" s="129"/>
    </row>
    <row r="579" spans="2:6">
      <c r="B579" s="239"/>
      <c r="C579" s="241"/>
      <c r="D579" s="127"/>
      <c r="E579" s="124"/>
      <c r="F579" s="129"/>
    </row>
    <row r="580" spans="2:6">
      <c r="B580" s="239"/>
      <c r="C580" s="241"/>
      <c r="D580" s="127"/>
      <c r="E580" s="124"/>
      <c r="F580" s="129"/>
    </row>
    <row r="581" spans="2:6">
      <c r="B581" s="239"/>
      <c r="C581" s="241"/>
      <c r="D581" s="127"/>
      <c r="E581" s="124"/>
      <c r="F581" s="129"/>
    </row>
    <row r="582" spans="2:6">
      <c r="B582" s="239"/>
      <c r="C582" s="241"/>
      <c r="D582" s="127"/>
      <c r="E582" s="124"/>
      <c r="F582" s="129"/>
    </row>
    <row r="583" spans="2:6">
      <c r="B583" s="239"/>
      <c r="C583" s="241"/>
      <c r="D583" s="127"/>
      <c r="E583" s="124"/>
      <c r="F583" s="129"/>
    </row>
    <row r="584" spans="2:6">
      <c r="B584" s="239"/>
      <c r="C584" s="241"/>
      <c r="D584" s="127"/>
      <c r="E584" s="124"/>
      <c r="F584" s="129"/>
    </row>
    <row r="585" spans="2:6">
      <c r="B585" s="239"/>
      <c r="C585" s="241"/>
      <c r="D585" s="127"/>
      <c r="E585" s="124"/>
      <c r="F585" s="129"/>
    </row>
    <row r="586" spans="2:6">
      <c r="B586" s="239"/>
      <c r="C586" s="241"/>
      <c r="D586" s="127"/>
      <c r="E586" s="124"/>
      <c r="F586" s="129"/>
    </row>
    <row r="587" spans="2:6">
      <c r="B587" s="239"/>
      <c r="C587" s="241"/>
      <c r="D587" s="127"/>
      <c r="E587" s="124"/>
      <c r="F587" s="129"/>
    </row>
    <row r="588" spans="2:6">
      <c r="B588" s="239"/>
      <c r="C588" s="241"/>
      <c r="D588" s="127"/>
      <c r="E588" s="124"/>
      <c r="F588" s="129"/>
    </row>
    <row r="589" spans="2:6">
      <c r="B589" s="239"/>
      <c r="C589" s="241"/>
      <c r="D589" s="127"/>
      <c r="E589" s="124"/>
      <c r="F589" s="129"/>
    </row>
    <row r="590" spans="2:6">
      <c r="B590" s="239"/>
      <c r="C590" s="241"/>
      <c r="D590" s="127"/>
      <c r="E590" s="124"/>
      <c r="F590" s="129"/>
    </row>
    <row r="591" spans="2:6">
      <c r="B591" s="239"/>
      <c r="C591" s="241"/>
      <c r="D591" s="127"/>
      <c r="E591" s="124"/>
      <c r="F591" s="129"/>
    </row>
    <row r="592" spans="2:6">
      <c r="B592" s="239"/>
      <c r="C592" s="241"/>
      <c r="D592" s="127"/>
      <c r="E592" s="124"/>
      <c r="F592" s="129"/>
    </row>
    <row r="593" spans="2:6">
      <c r="B593" s="239"/>
      <c r="C593" s="241"/>
      <c r="D593" s="127"/>
      <c r="E593" s="124"/>
      <c r="F593" s="129"/>
    </row>
    <row r="594" spans="2:6">
      <c r="B594" s="239"/>
      <c r="C594" s="241"/>
      <c r="D594" s="127"/>
      <c r="E594" s="124"/>
      <c r="F594" s="129"/>
    </row>
    <row r="595" spans="2:6">
      <c r="B595" s="239"/>
      <c r="C595" s="241"/>
      <c r="D595" s="127"/>
      <c r="E595" s="124"/>
      <c r="F595" s="129"/>
    </row>
    <row r="596" spans="2:6">
      <c r="B596" s="239"/>
      <c r="C596" s="241"/>
      <c r="D596" s="127"/>
      <c r="E596" s="124"/>
      <c r="F596" s="129"/>
    </row>
    <row r="597" spans="2:6">
      <c r="B597" s="239"/>
      <c r="C597" s="241"/>
      <c r="D597" s="127"/>
      <c r="E597" s="124"/>
      <c r="F597" s="129"/>
    </row>
    <row r="598" spans="2:6">
      <c r="B598" s="239"/>
      <c r="C598" s="241"/>
      <c r="D598" s="127"/>
      <c r="E598" s="124"/>
      <c r="F598" s="129"/>
    </row>
    <row r="599" spans="2:6">
      <c r="B599" s="239"/>
      <c r="C599" s="241"/>
      <c r="D599" s="127"/>
      <c r="E599" s="124"/>
      <c r="F599" s="129"/>
    </row>
    <row r="600" spans="2:6">
      <c r="B600" s="239"/>
      <c r="C600" s="241"/>
      <c r="D600" s="127"/>
      <c r="E600" s="124"/>
      <c r="F600" s="129"/>
    </row>
    <row r="601" spans="2:6">
      <c r="B601" s="239"/>
      <c r="C601" s="241"/>
      <c r="D601" s="127"/>
      <c r="E601" s="124"/>
      <c r="F601" s="129"/>
    </row>
    <row r="602" spans="2:6">
      <c r="B602" s="239"/>
      <c r="C602" s="241"/>
      <c r="D602" s="127"/>
      <c r="E602" s="124"/>
      <c r="F602" s="129"/>
    </row>
    <row r="603" spans="2:6">
      <c r="B603" s="239"/>
      <c r="C603" s="241"/>
      <c r="D603" s="127"/>
      <c r="E603" s="124"/>
      <c r="F603" s="129"/>
    </row>
    <row r="604" spans="2:6">
      <c r="B604" s="239"/>
      <c r="C604" s="241"/>
      <c r="D604" s="127"/>
      <c r="E604" s="124"/>
      <c r="F604" s="129"/>
    </row>
    <row r="605" spans="2:6">
      <c r="B605" s="239"/>
      <c r="C605" s="241"/>
      <c r="D605" s="127"/>
      <c r="E605" s="124"/>
      <c r="F605" s="129"/>
    </row>
    <row r="606" spans="2:6">
      <c r="B606" s="239"/>
      <c r="C606" s="241"/>
      <c r="D606" s="127"/>
      <c r="E606" s="124"/>
      <c r="F606" s="129"/>
    </row>
    <row r="607" spans="2:6">
      <c r="B607" s="239"/>
      <c r="C607" s="241"/>
      <c r="D607" s="127"/>
      <c r="E607" s="124"/>
      <c r="F607" s="129"/>
    </row>
    <row r="608" spans="2:6">
      <c r="B608" s="239"/>
      <c r="C608" s="241"/>
      <c r="D608" s="127"/>
      <c r="E608" s="124"/>
      <c r="F608" s="129"/>
    </row>
    <row r="609" spans="2:6">
      <c r="B609" s="239"/>
      <c r="C609" s="241"/>
      <c r="D609" s="127"/>
      <c r="E609" s="124"/>
      <c r="F609" s="129"/>
    </row>
    <row r="610" spans="2:6">
      <c r="B610" s="239"/>
      <c r="C610" s="241"/>
      <c r="D610" s="127"/>
      <c r="E610" s="124"/>
      <c r="F610" s="129"/>
    </row>
    <row r="611" spans="2:6">
      <c r="B611" s="239"/>
      <c r="C611" s="241"/>
      <c r="D611" s="127"/>
      <c r="E611" s="124"/>
      <c r="F611" s="129"/>
    </row>
    <row r="612" spans="2:6">
      <c r="B612" s="239"/>
      <c r="C612" s="241"/>
      <c r="D612" s="127"/>
      <c r="E612" s="124"/>
      <c r="F612" s="129"/>
    </row>
    <row r="613" spans="2:6">
      <c r="B613" s="239"/>
      <c r="C613" s="241"/>
      <c r="D613" s="127"/>
      <c r="E613" s="124"/>
      <c r="F613" s="129"/>
    </row>
    <row r="614" spans="2:6">
      <c r="B614" s="239"/>
      <c r="C614" s="241"/>
      <c r="D614" s="127"/>
      <c r="E614" s="124"/>
      <c r="F614" s="129"/>
    </row>
    <row r="615" spans="2:6">
      <c r="B615" s="239"/>
      <c r="C615" s="241"/>
      <c r="D615" s="127"/>
      <c r="E615" s="124"/>
      <c r="F615" s="129"/>
    </row>
    <row r="616" spans="2:6">
      <c r="B616" s="239"/>
      <c r="C616" s="241"/>
      <c r="D616" s="127"/>
      <c r="E616" s="124"/>
      <c r="F616" s="129"/>
    </row>
    <row r="617" spans="2:6">
      <c r="B617" s="239"/>
      <c r="C617" s="241"/>
      <c r="D617" s="127"/>
      <c r="E617" s="124"/>
      <c r="F617" s="129"/>
    </row>
    <row r="618" spans="2:6">
      <c r="B618" s="239"/>
      <c r="C618" s="241"/>
      <c r="D618" s="127"/>
      <c r="E618" s="124"/>
      <c r="F618" s="129"/>
    </row>
    <row r="619" spans="2:6">
      <c r="B619" s="239"/>
      <c r="C619" s="241"/>
      <c r="D619" s="127"/>
      <c r="E619" s="124"/>
      <c r="F619" s="129"/>
    </row>
    <row r="620" spans="2:6">
      <c r="B620" s="239"/>
      <c r="C620" s="241"/>
      <c r="D620" s="127"/>
      <c r="E620" s="124"/>
      <c r="F620" s="129"/>
    </row>
    <row r="621" spans="2:6">
      <c r="B621" s="239"/>
      <c r="C621" s="241"/>
      <c r="D621" s="127"/>
      <c r="E621" s="124"/>
      <c r="F621" s="129"/>
    </row>
    <row r="622" spans="2:6">
      <c r="B622" s="239"/>
      <c r="C622" s="241"/>
      <c r="D622" s="127"/>
      <c r="E622" s="124"/>
      <c r="F622" s="129"/>
    </row>
    <row r="623" spans="2:6">
      <c r="B623" s="239"/>
      <c r="C623" s="241"/>
      <c r="D623" s="127"/>
      <c r="E623" s="124"/>
      <c r="F623" s="129"/>
    </row>
    <row r="624" spans="2:6">
      <c r="B624" s="239"/>
      <c r="C624" s="241"/>
      <c r="D624" s="127"/>
      <c r="E624" s="124"/>
      <c r="F624" s="129"/>
    </row>
    <row r="625" spans="2:6">
      <c r="B625" s="239"/>
      <c r="C625" s="241"/>
      <c r="D625" s="127"/>
      <c r="E625" s="124"/>
      <c r="F625" s="129"/>
    </row>
    <row r="626" spans="2:6">
      <c r="B626" s="239"/>
      <c r="C626" s="241"/>
      <c r="D626" s="127"/>
      <c r="E626" s="124"/>
      <c r="F626" s="129"/>
    </row>
    <row r="627" spans="2:6">
      <c r="B627" s="239"/>
      <c r="C627" s="241"/>
      <c r="D627" s="127"/>
      <c r="E627" s="124"/>
      <c r="F627" s="129"/>
    </row>
    <row r="628" spans="2:6">
      <c r="B628" s="239"/>
      <c r="C628" s="241"/>
      <c r="D628" s="127"/>
      <c r="E628" s="124"/>
      <c r="F628" s="129"/>
    </row>
    <row r="629" spans="2:6">
      <c r="B629" s="239"/>
      <c r="C629" s="241"/>
      <c r="D629" s="127"/>
      <c r="E629" s="124"/>
      <c r="F629" s="129"/>
    </row>
    <row r="630" spans="2:6">
      <c r="B630" s="239"/>
      <c r="C630" s="241"/>
      <c r="D630" s="127"/>
      <c r="E630" s="124"/>
      <c r="F630" s="129"/>
    </row>
    <row r="631" spans="2:6">
      <c r="B631" s="239"/>
      <c r="C631" s="241"/>
      <c r="D631" s="127"/>
      <c r="E631" s="124"/>
      <c r="F631" s="129"/>
    </row>
    <row r="632" spans="2:6">
      <c r="B632" s="239"/>
      <c r="C632" s="241"/>
      <c r="D632" s="127"/>
      <c r="E632" s="124"/>
      <c r="F632" s="129"/>
    </row>
    <row r="633" spans="2:6">
      <c r="B633" s="239"/>
      <c r="C633" s="241"/>
      <c r="D633" s="127"/>
      <c r="E633" s="124"/>
      <c r="F633" s="129"/>
    </row>
    <row r="634" spans="2:6">
      <c r="B634" s="239"/>
      <c r="C634" s="241"/>
      <c r="D634" s="127"/>
      <c r="E634" s="124"/>
      <c r="F634" s="129"/>
    </row>
    <row r="635" spans="2:6">
      <c r="B635" s="239"/>
      <c r="C635" s="241"/>
      <c r="D635" s="127"/>
      <c r="E635" s="124"/>
      <c r="F635" s="129"/>
    </row>
    <row r="636" spans="2:6">
      <c r="B636" s="239"/>
      <c r="C636" s="241"/>
      <c r="D636" s="127"/>
      <c r="E636" s="124"/>
      <c r="F636" s="129"/>
    </row>
    <row r="637" spans="2:6">
      <c r="B637" s="239"/>
      <c r="C637" s="241"/>
      <c r="D637" s="127"/>
      <c r="E637" s="124"/>
      <c r="F637" s="129"/>
    </row>
    <row r="638" spans="2:6">
      <c r="B638" s="239"/>
      <c r="C638" s="241"/>
      <c r="D638" s="127"/>
      <c r="E638" s="124"/>
      <c r="F638" s="129"/>
    </row>
    <row r="639" spans="2:6">
      <c r="B639" s="239"/>
      <c r="C639" s="241"/>
      <c r="D639" s="127"/>
      <c r="E639" s="124"/>
      <c r="F639" s="129"/>
    </row>
    <row r="640" spans="2:6">
      <c r="B640" s="239"/>
      <c r="C640" s="241"/>
      <c r="D640" s="127"/>
      <c r="E640" s="124"/>
      <c r="F640" s="129"/>
    </row>
    <row r="641" spans="2:6">
      <c r="B641" s="239"/>
      <c r="C641" s="241"/>
      <c r="D641" s="127"/>
      <c r="E641" s="124"/>
      <c r="F641" s="129"/>
    </row>
    <row r="642" spans="2:6">
      <c r="B642" s="239"/>
      <c r="C642" s="241"/>
      <c r="D642" s="127"/>
      <c r="E642" s="124"/>
      <c r="F642" s="129"/>
    </row>
    <row r="643" spans="2:6">
      <c r="B643" s="239"/>
      <c r="C643" s="241"/>
      <c r="D643" s="127"/>
      <c r="E643" s="124"/>
      <c r="F643" s="129"/>
    </row>
    <row r="644" spans="2:6">
      <c r="B644" s="239"/>
      <c r="C644" s="241"/>
      <c r="D644" s="127"/>
      <c r="E644" s="124"/>
      <c r="F644" s="129"/>
    </row>
    <row r="645" spans="2:6">
      <c r="B645" s="239"/>
      <c r="C645" s="241"/>
      <c r="D645" s="127"/>
      <c r="E645" s="124"/>
      <c r="F645" s="129"/>
    </row>
    <row r="646" spans="2:6">
      <c r="B646" s="239"/>
      <c r="C646" s="241"/>
      <c r="D646" s="127"/>
      <c r="E646" s="124"/>
      <c r="F646" s="129"/>
    </row>
    <row r="647" spans="2:6">
      <c r="B647" s="239"/>
      <c r="C647" s="241"/>
      <c r="D647" s="127"/>
      <c r="E647" s="124"/>
      <c r="F647" s="129"/>
    </row>
    <row r="648" spans="2:6">
      <c r="B648" s="239"/>
      <c r="C648" s="241"/>
      <c r="D648" s="127"/>
      <c r="E648" s="124"/>
      <c r="F648" s="129"/>
    </row>
    <row r="649" spans="2:6">
      <c r="B649" s="239"/>
      <c r="C649" s="241"/>
      <c r="D649" s="127"/>
      <c r="E649" s="124"/>
      <c r="F649" s="129"/>
    </row>
    <row r="650" spans="2:6">
      <c r="B650" s="127"/>
      <c r="C650" s="126"/>
      <c r="D650" s="127"/>
      <c r="E650" s="124"/>
      <c r="F650" s="128"/>
    </row>
    <row r="651" spans="2:6">
      <c r="B651" s="127"/>
      <c r="C651" s="126"/>
      <c r="D651" s="127"/>
      <c r="E651" s="124"/>
      <c r="F651" s="128"/>
    </row>
    <row r="652" spans="2:6">
      <c r="B652" s="127"/>
      <c r="C652" s="126"/>
      <c r="D652" s="127"/>
      <c r="E652" s="124"/>
      <c r="F652" s="128"/>
    </row>
    <row r="653" spans="2:6">
      <c r="B653" s="127"/>
      <c r="C653" s="126"/>
      <c r="D653" s="127"/>
      <c r="E653" s="124"/>
      <c r="F653" s="128"/>
    </row>
    <row r="654" spans="2:6">
      <c r="B654" s="127"/>
      <c r="C654" s="126"/>
      <c r="D654" s="127"/>
      <c r="E654" s="124"/>
      <c r="F654" s="128"/>
    </row>
    <row r="655" spans="2:6">
      <c r="B655" s="127"/>
      <c r="C655" s="126"/>
      <c r="D655" s="127"/>
      <c r="E655" s="124"/>
      <c r="F655" s="128"/>
    </row>
    <row r="656" spans="2:6">
      <c r="B656" s="127"/>
      <c r="C656" s="126"/>
      <c r="D656" s="127"/>
      <c r="E656" s="124"/>
      <c r="F656" s="128"/>
    </row>
    <row r="657" spans="2:6">
      <c r="B657" s="127"/>
      <c r="C657" s="126"/>
      <c r="D657" s="127"/>
      <c r="E657" s="124"/>
      <c r="F657" s="128"/>
    </row>
    <row r="658" spans="2:6">
      <c r="B658" s="127"/>
      <c r="C658" s="126"/>
      <c r="D658" s="127"/>
      <c r="E658" s="124"/>
      <c r="F658" s="128"/>
    </row>
    <row r="659" spans="2:6">
      <c r="B659" s="127"/>
      <c r="C659" s="126"/>
      <c r="D659" s="127"/>
      <c r="E659" s="124"/>
      <c r="F659" s="128"/>
    </row>
    <row r="660" spans="2:6">
      <c r="B660" s="127"/>
      <c r="C660" s="126"/>
      <c r="D660" s="127"/>
      <c r="E660" s="124"/>
      <c r="F660" s="128"/>
    </row>
    <row r="661" spans="2:6">
      <c r="B661" s="127"/>
      <c r="C661" s="126"/>
      <c r="D661" s="127"/>
      <c r="E661" s="124"/>
      <c r="F661" s="128"/>
    </row>
    <row r="662" spans="2:6">
      <c r="B662" s="127"/>
      <c r="C662" s="126"/>
      <c r="D662" s="127"/>
      <c r="E662" s="124"/>
      <c r="F662" s="128"/>
    </row>
    <row r="663" spans="2:6">
      <c r="B663" s="127"/>
      <c r="C663" s="126"/>
      <c r="D663" s="127"/>
      <c r="E663" s="124"/>
      <c r="F663" s="128"/>
    </row>
    <row r="664" spans="2:6">
      <c r="B664" s="127"/>
      <c r="C664" s="126"/>
      <c r="D664" s="127"/>
      <c r="E664" s="124"/>
      <c r="F664" s="128"/>
    </row>
    <row r="665" spans="2:6">
      <c r="B665" s="127"/>
      <c r="C665" s="126"/>
      <c r="D665" s="127"/>
      <c r="E665" s="124"/>
      <c r="F665" s="128"/>
    </row>
    <row r="666" spans="2:6">
      <c r="B666" s="127"/>
      <c r="C666" s="126"/>
      <c r="D666" s="127"/>
      <c r="E666" s="124"/>
      <c r="F666" s="128"/>
    </row>
    <row r="667" spans="2:6">
      <c r="B667" s="127"/>
      <c r="C667" s="126"/>
      <c r="D667" s="127"/>
      <c r="E667" s="124"/>
      <c r="F667" s="128"/>
    </row>
    <row r="668" spans="2:6">
      <c r="B668" s="127"/>
      <c r="C668" s="126"/>
      <c r="D668" s="127"/>
      <c r="E668" s="124"/>
      <c r="F668" s="128"/>
    </row>
    <row r="669" spans="2:6">
      <c r="B669" s="127"/>
      <c r="C669" s="126"/>
      <c r="D669" s="127"/>
      <c r="E669" s="124"/>
      <c r="F669" s="128"/>
    </row>
    <row r="670" spans="2:6">
      <c r="B670" s="127"/>
      <c r="C670" s="126"/>
      <c r="D670" s="127"/>
      <c r="E670" s="124"/>
      <c r="F670" s="128"/>
    </row>
    <row r="671" spans="2:6">
      <c r="B671" s="127"/>
      <c r="C671" s="126"/>
      <c r="D671" s="127"/>
      <c r="E671" s="124"/>
      <c r="F671" s="128"/>
    </row>
    <row r="672" spans="2:6">
      <c r="B672" s="127"/>
      <c r="C672" s="126"/>
      <c r="D672" s="127"/>
      <c r="E672" s="124"/>
      <c r="F672" s="128"/>
    </row>
    <row r="673" spans="2:6">
      <c r="B673" s="127"/>
      <c r="C673" s="126"/>
      <c r="D673" s="127"/>
      <c r="E673" s="124"/>
      <c r="F673" s="128"/>
    </row>
    <row r="674" spans="2:6">
      <c r="B674" s="127"/>
      <c r="C674" s="126"/>
      <c r="D674" s="127"/>
      <c r="E674" s="124"/>
      <c r="F674" s="128"/>
    </row>
    <row r="675" spans="2:6">
      <c r="B675" s="127"/>
      <c r="C675" s="126"/>
      <c r="D675" s="127"/>
      <c r="E675" s="124"/>
      <c r="F675" s="128"/>
    </row>
    <row r="676" spans="2:6">
      <c r="B676" s="127"/>
      <c r="C676" s="126"/>
      <c r="D676" s="127"/>
      <c r="E676" s="124"/>
      <c r="F676" s="128"/>
    </row>
    <row r="677" spans="2:6">
      <c r="B677" s="127"/>
      <c r="C677" s="126"/>
      <c r="D677" s="127"/>
      <c r="E677" s="124"/>
      <c r="F677" s="128"/>
    </row>
    <row r="678" spans="2:6">
      <c r="B678" s="127"/>
      <c r="C678" s="126"/>
      <c r="D678" s="127"/>
      <c r="E678" s="124"/>
      <c r="F678" s="128"/>
    </row>
    <row r="679" spans="2:6">
      <c r="B679" s="127"/>
      <c r="C679" s="126"/>
      <c r="D679" s="127"/>
      <c r="E679" s="124"/>
      <c r="F679" s="128"/>
    </row>
    <row r="680" spans="2:6">
      <c r="B680" s="127"/>
      <c r="C680" s="126"/>
      <c r="D680" s="127"/>
      <c r="E680" s="124"/>
      <c r="F680" s="128"/>
    </row>
    <row r="681" spans="2:6">
      <c r="B681" s="127"/>
      <c r="C681" s="126"/>
      <c r="D681" s="127"/>
      <c r="E681" s="124"/>
      <c r="F681" s="128"/>
    </row>
    <row r="682" spans="2:6">
      <c r="B682" s="127"/>
      <c r="C682" s="126"/>
      <c r="D682" s="127"/>
      <c r="E682" s="124"/>
      <c r="F682" s="128"/>
    </row>
    <row r="683" spans="2:6">
      <c r="B683" s="127"/>
      <c r="C683" s="126"/>
      <c r="D683" s="127"/>
      <c r="E683" s="124"/>
      <c r="F683" s="128"/>
    </row>
    <row r="684" spans="2:6">
      <c r="B684" s="127"/>
      <c r="C684" s="126"/>
      <c r="D684" s="127"/>
      <c r="E684" s="124"/>
      <c r="F684" s="128"/>
    </row>
    <row r="685" spans="2:6">
      <c r="B685" s="127"/>
      <c r="C685" s="126"/>
      <c r="D685" s="127"/>
      <c r="E685" s="124"/>
      <c r="F685" s="128"/>
    </row>
    <row r="686" spans="2:6">
      <c r="B686" s="127"/>
      <c r="C686" s="126"/>
      <c r="D686" s="127"/>
      <c r="E686" s="124"/>
      <c r="F686" s="128"/>
    </row>
    <row r="687" spans="2:6">
      <c r="B687" s="127"/>
      <c r="C687" s="126"/>
      <c r="D687" s="127"/>
      <c r="E687" s="124"/>
      <c r="F687" s="128"/>
    </row>
    <row r="688" spans="2:6">
      <c r="B688" s="127"/>
      <c r="C688" s="126"/>
      <c r="D688" s="127"/>
      <c r="E688" s="124"/>
      <c r="F688" s="128"/>
    </row>
    <row r="689" spans="2:6">
      <c r="B689" s="127"/>
      <c r="C689" s="126"/>
      <c r="D689" s="127"/>
      <c r="E689" s="124"/>
      <c r="F689" s="128"/>
    </row>
    <row r="690" spans="2:6">
      <c r="B690" s="127"/>
      <c r="C690" s="126"/>
      <c r="D690" s="127"/>
      <c r="E690" s="124"/>
      <c r="F690" s="128"/>
    </row>
    <row r="691" spans="2:6">
      <c r="B691" s="127"/>
      <c r="C691" s="126"/>
      <c r="D691" s="127"/>
      <c r="E691" s="124"/>
      <c r="F691" s="128"/>
    </row>
    <row r="692" spans="2:6">
      <c r="B692" s="127"/>
      <c r="C692" s="126"/>
      <c r="D692" s="127"/>
      <c r="E692" s="124"/>
      <c r="F692" s="128"/>
    </row>
    <row r="693" spans="2:6">
      <c r="B693" s="127"/>
      <c r="C693" s="126"/>
      <c r="D693" s="127"/>
      <c r="E693" s="124"/>
      <c r="F693" s="128"/>
    </row>
    <row r="694" spans="2:6">
      <c r="B694" s="127"/>
      <c r="C694" s="126"/>
      <c r="D694" s="127"/>
      <c r="E694" s="124"/>
      <c r="F694" s="128"/>
    </row>
    <row r="695" spans="2:6">
      <c r="B695" s="127"/>
      <c r="C695" s="126"/>
      <c r="D695" s="127"/>
      <c r="E695" s="124"/>
      <c r="F695" s="128"/>
    </row>
    <row r="696" spans="2:6">
      <c r="B696" s="127"/>
      <c r="C696" s="126"/>
      <c r="D696" s="127"/>
      <c r="E696" s="124"/>
      <c r="F696" s="128"/>
    </row>
    <row r="697" spans="2:6">
      <c r="B697" s="127"/>
      <c r="C697" s="126"/>
      <c r="D697" s="127"/>
      <c r="E697" s="124"/>
      <c r="F697" s="128"/>
    </row>
    <row r="698" spans="2:6">
      <c r="B698" s="127"/>
      <c r="C698" s="126"/>
      <c r="D698" s="127"/>
      <c r="E698" s="124"/>
      <c r="F698" s="128"/>
    </row>
    <row r="699" spans="2:6">
      <c r="B699" s="127"/>
      <c r="C699" s="126"/>
      <c r="D699" s="127"/>
      <c r="E699" s="124"/>
      <c r="F699" s="128"/>
    </row>
    <row r="700" spans="2:6">
      <c r="B700" s="127"/>
      <c r="C700" s="126"/>
      <c r="D700" s="127"/>
      <c r="E700" s="124"/>
      <c r="F700" s="128"/>
    </row>
    <row r="701" spans="2:6">
      <c r="B701" s="127"/>
      <c r="C701" s="126"/>
      <c r="D701" s="127"/>
      <c r="E701" s="124"/>
      <c r="F701" s="128"/>
    </row>
    <row r="702" spans="2:6">
      <c r="B702" s="127"/>
      <c r="C702" s="126"/>
      <c r="D702" s="127"/>
      <c r="E702" s="124"/>
      <c r="F702" s="128"/>
    </row>
    <row r="703" spans="2:6">
      <c r="B703" s="127"/>
      <c r="C703" s="126"/>
      <c r="D703" s="127"/>
      <c r="E703" s="124"/>
      <c r="F703" s="128"/>
    </row>
    <row r="704" spans="2:6">
      <c r="B704" s="127"/>
      <c r="C704" s="126"/>
      <c r="D704" s="127"/>
      <c r="E704" s="124"/>
      <c r="F704" s="128"/>
    </row>
    <row r="705" spans="2:6">
      <c r="B705" s="127"/>
      <c r="C705" s="126"/>
      <c r="D705" s="127"/>
      <c r="E705" s="124"/>
      <c r="F705" s="128"/>
    </row>
    <row r="706" spans="2:6">
      <c r="B706" s="127"/>
      <c r="C706" s="126"/>
      <c r="D706" s="127"/>
      <c r="E706" s="124"/>
      <c r="F706" s="128"/>
    </row>
    <row r="707" spans="2:6">
      <c r="B707" s="127"/>
      <c r="C707" s="126"/>
      <c r="D707" s="127"/>
      <c r="E707" s="124"/>
      <c r="F707" s="128"/>
    </row>
    <row r="708" spans="2:6">
      <c r="B708" s="127"/>
      <c r="C708" s="126"/>
      <c r="D708" s="127"/>
      <c r="E708" s="124"/>
      <c r="F708" s="128"/>
    </row>
    <row r="709" spans="2:6">
      <c r="B709" s="127"/>
      <c r="C709" s="126"/>
      <c r="D709" s="127"/>
      <c r="E709" s="124"/>
      <c r="F709" s="128"/>
    </row>
    <row r="710" spans="2:6">
      <c r="B710" s="127"/>
      <c r="C710" s="126"/>
      <c r="D710" s="127"/>
      <c r="E710" s="124"/>
      <c r="F710" s="128"/>
    </row>
    <row r="711" spans="2:6">
      <c r="B711" s="127"/>
      <c r="C711" s="126"/>
      <c r="D711" s="127"/>
      <c r="E711" s="124"/>
      <c r="F711" s="128"/>
    </row>
    <row r="712" spans="2:6">
      <c r="B712" s="127"/>
      <c r="C712" s="126"/>
      <c r="D712" s="127"/>
      <c r="E712" s="124"/>
      <c r="F712" s="128"/>
    </row>
    <row r="713" spans="2:6">
      <c r="B713" s="127"/>
      <c r="C713" s="126"/>
      <c r="D713" s="127"/>
      <c r="E713" s="124"/>
      <c r="F713" s="128"/>
    </row>
    <row r="714" spans="2:6">
      <c r="B714" s="127"/>
      <c r="C714" s="126"/>
      <c r="D714" s="127"/>
      <c r="E714" s="124"/>
      <c r="F714" s="128"/>
    </row>
    <row r="715" spans="2:6">
      <c r="B715" s="127"/>
      <c r="C715" s="126"/>
      <c r="D715" s="127"/>
      <c r="E715" s="124"/>
      <c r="F715" s="128"/>
    </row>
    <row r="716" spans="2:6">
      <c r="B716" s="127"/>
      <c r="C716" s="126"/>
      <c r="D716" s="127"/>
      <c r="E716" s="124"/>
      <c r="F716" s="128"/>
    </row>
    <row r="717" spans="2:6">
      <c r="B717" s="127"/>
      <c r="C717" s="126"/>
      <c r="D717" s="127"/>
      <c r="E717" s="124"/>
      <c r="F717" s="128"/>
    </row>
    <row r="718" spans="2:6">
      <c r="B718" s="127"/>
      <c r="C718" s="126"/>
      <c r="D718" s="127"/>
      <c r="E718" s="124"/>
      <c r="F718" s="128"/>
    </row>
    <row r="719" spans="2:6">
      <c r="B719" s="127"/>
      <c r="C719" s="126"/>
      <c r="D719" s="127"/>
      <c r="E719" s="124"/>
      <c r="F719" s="128"/>
    </row>
    <row r="720" spans="2:6">
      <c r="B720" s="127"/>
      <c r="C720" s="126"/>
      <c r="D720" s="127"/>
      <c r="E720" s="124"/>
      <c r="F720" s="128"/>
    </row>
    <row r="721" spans="2:6">
      <c r="B721" s="127"/>
      <c r="C721" s="126"/>
      <c r="D721" s="127"/>
      <c r="E721" s="124"/>
      <c r="F721" s="128"/>
    </row>
    <row r="722" spans="2:6">
      <c r="B722" s="127"/>
      <c r="C722" s="126"/>
      <c r="D722" s="127"/>
      <c r="E722" s="124"/>
      <c r="F722" s="128"/>
    </row>
    <row r="723" spans="2:6">
      <c r="B723" s="127"/>
      <c r="C723" s="126"/>
      <c r="D723" s="127"/>
      <c r="E723" s="124"/>
      <c r="F723" s="128"/>
    </row>
    <row r="724" spans="2:6">
      <c r="B724" s="127"/>
      <c r="C724" s="126"/>
      <c r="D724" s="127"/>
      <c r="E724" s="124"/>
      <c r="F724" s="128"/>
    </row>
    <row r="725" spans="2:6">
      <c r="B725" s="127"/>
      <c r="C725" s="126"/>
      <c r="D725" s="127"/>
      <c r="E725" s="124"/>
      <c r="F725" s="128"/>
    </row>
    <row r="726" spans="2:6">
      <c r="B726" s="127"/>
      <c r="C726" s="126"/>
      <c r="D726" s="127"/>
      <c r="E726" s="124"/>
      <c r="F726" s="128"/>
    </row>
    <row r="727" spans="2:6">
      <c r="B727" s="127"/>
      <c r="C727" s="126"/>
      <c r="D727" s="127"/>
      <c r="E727" s="124"/>
      <c r="F727" s="128"/>
    </row>
    <row r="728" spans="2:6">
      <c r="B728" s="127"/>
      <c r="C728" s="126"/>
      <c r="D728" s="127"/>
      <c r="E728" s="124"/>
      <c r="F728" s="128"/>
    </row>
    <row r="729" spans="2:6">
      <c r="B729" s="127"/>
      <c r="C729" s="126"/>
      <c r="D729" s="127"/>
      <c r="E729" s="124"/>
      <c r="F729" s="128"/>
    </row>
    <row r="730" spans="2:6">
      <c r="B730" s="127"/>
      <c r="C730" s="126"/>
      <c r="D730" s="127"/>
      <c r="E730" s="124"/>
      <c r="F730" s="128"/>
    </row>
    <row r="731" spans="2:6">
      <c r="B731" s="127"/>
      <c r="C731" s="126"/>
      <c r="D731" s="127"/>
      <c r="E731" s="124"/>
      <c r="F731" s="128"/>
    </row>
    <row r="732" spans="2:6">
      <c r="B732" s="127"/>
      <c r="C732" s="126"/>
      <c r="D732" s="127"/>
      <c r="E732" s="124"/>
      <c r="F732" s="128"/>
    </row>
    <row r="733" spans="2:6">
      <c r="B733" s="127"/>
      <c r="C733" s="126"/>
      <c r="D733" s="127"/>
      <c r="E733" s="124"/>
      <c r="F733" s="128"/>
    </row>
    <row r="734" spans="2:6">
      <c r="B734" s="127"/>
      <c r="C734" s="126"/>
      <c r="D734" s="127"/>
      <c r="E734" s="124"/>
      <c r="F734" s="128"/>
    </row>
    <row r="735" spans="2:6">
      <c r="B735" s="127"/>
      <c r="C735" s="126"/>
      <c r="D735" s="127"/>
      <c r="E735" s="124"/>
      <c r="F735" s="128"/>
    </row>
    <row r="736" spans="2:6">
      <c r="B736" s="127"/>
      <c r="C736" s="126"/>
      <c r="D736" s="127"/>
      <c r="E736" s="124"/>
      <c r="F736" s="128"/>
    </row>
    <row r="737" spans="2:6">
      <c r="B737" s="127"/>
      <c r="C737" s="126"/>
      <c r="D737" s="127"/>
      <c r="E737" s="124"/>
      <c r="F737" s="128"/>
    </row>
    <row r="738" spans="2:6">
      <c r="B738" s="127"/>
      <c r="C738" s="126"/>
      <c r="D738" s="127"/>
      <c r="E738" s="124"/>
      <c r="F738" s="128"/>
    </row>
    <row r="739" spans="2:6">
      <c r="B739" s="127"/>
      <c r="C739" s="126"/>
      <c r="D739" s="127"/>
      <c r="E739" s="124"/>
      <c r="F739" s="128"/>
    </row>
    <row r="740" spans="2:6">
      <c r="B740" s="127"/>
      <c r="C740" s="126"/>
      <c r="D740" s="127"/>
      <c r="E740" s="124"/>
      <c r="F740" s="128"/>
    </row>
    <row r="741" spans="2:6">
      <c r="B741" s="127"/>
      <c r="C741" s="126"/>
      <c r="D741" s="127"/>
      <c r="E741" s="124"/>
      <c r="F741" s="128"/>
    </row>
    <row r="742" spans="2:6">
      <c r="B742" s="127"/>
      <c r="C742" s="126"/>
      <c r="D742" s="127"/>
      <c r="E742" s="124"/>
      <c r="F742" s="128"/>
    </row>
    <row r="743" spans="2:6">
      <c r="B743" s="127"/>
      <c r="C743" s="126"/>
      <c r="D743" s="127"/>
      <c r="E743" s="124"/>
      <c r="F743" s="128"/>
    </row>
    <row r="744" spans="2:6">
      <c r="B744" s="127"/>
      <c r="C744" s="126"/>
      <c r="D744" s="127"/>
      <c r="E744" s="124"/>
      <c r="F744" s="128"/>
    </row>
    <row r="745" spans="2:6">
      <c r="B745" s="127"/>
      <c r="C745" s="126"/>
      <c r="D745" s="127"/>
      <c r="E745" s="124"/>
      <c r="F745" s="128"/>
    </row>
    <row r="746" spans="2:6">
      <c r="B746" s="127"/>
      <c r="C746" s="126"/>
      <c r="D746" s="127"/>
      <c r="E746" s="124"/>
      <c r="F746" s="128"/>
    </row>
    <row r="747" spans="2:6">
      <c r="B747" s="127"/>
      <c r="C747" s="126"/>
      <c r="D747" s="127"/>
      <c r="E747" s="124"/>
      <c r="F747" s="128"/>
    </row>
    <row r="748" spans="2:6">
      <c r="B748" s="127"/>
      <c r="C748" s="126"/>
      <c r="D748" s="127"/>
      <c r="E748" s="124"/>
      <c r="F748" s="128"/>
    </row>
    <row r="749" spans="2:6">
      <c r="B749" s="127"/>
      <c r="C749" s="126"/>
      <c r="D749" s="127"/>
      <c r="E749" s="124"/>
      <c r="F749" s="128"/>
    </row>
    <row r="750" spans="2:6">
      <c r="B750" s="127"/>
      <c r="C750" s="126"/>
      <c r="D750" s="127"/>
      <c r="E750" s="124"/>
      <c r="F750" s="128"/>
    </row>
    <row r="751" spans="2:6">
      <c r="B751" s="127"/>
      <c r="C751" s="126"/>
      <c r="D751" s="127"/>
      <c r="E751" s="124"/>
      <c r="F751" s="128"/>
    </row>
    <row r="752" spans="2:6">
      <c r="B752" s="127"/>
      <c r="C752" s="126"/>
      <c r="D752" s="127"/>
      <c r="E752" s="124"/>
      <c r="F752" s="128"/>
    </row>
    <row r="753" spans="2:6">
      <c r="B753" s="127"/>
      <c r="C753" s="126"/>
      <c r="D753" s="127"/>
      <c r="E753" s="124"/>
      <c r="F753" s="128"/>
    </row>
    <row r="754" spans="2:6">
      <c r="B754" s="127"/>
      <c r="C754" s="126"/>
      <c r="D754" s="127"/>
      <c r="E754" s="124"/>
      <c r="F754" s="128"/>
    </row>
    <row r="755" spans="2:6">
      <c r="B755" s="127"/>
      <c r="C755" s="126"/>
      <c r="D755" s="127"/>
      <c r="E755" s="124"/>
      <c r="F755" s="128"/>
    </row>
    <row r="756" spans="2:6">
      <c r="B756" s="127"/>
      <c r="C756" s="126"/>
      <c r="D756" s="127"/>
      <c r="E756" s="124"/>
      <c r="F756" s="128"/>
    </row>
    <row r="757" spans="2:6">
      <c r="B757" s="127"/>
      <c r="C757" s="126"/>
      <c r="D757" s="127"/>
      <c r="E757" s="124"/>
      <c r="F757" s="128"/>
    </row>
    <row r="758" spans="2:6">
      <c r="B758" s="127"/>
      <c r="C758" s="126"/>
      <c r="D758" s="127"/>
      <c r="E758" s="124"/>
      <c r="F758" s="128"/>
    </row>
    <row r="759" spans="2:6">
      <c r="B759" s="127"/>
      <c r="C759" s="126"/>
      <c r="D759" s="127"/>
      <c r="E759" s="124"/>
      <c r="F759" s="128"/>
    </row>
    <row r="760" spans="2:6">
      <c r="B760" s="127"/>
      <c r="C760" s="126"/>
      <c r="D760" s="127"/>
      <c r="E760" s="124"/>
      <c r="F760" s="128"/>
    </row>
    <row r="761" spans="2:6">
      <c r="B761" s="127"/>
      <c r="C761" s="126"/>
      <c r="D761" s="127"/>
      <c r="E761" s="124"/>
      <c r="F761" s="128"/>
    </row>
    <row r="762" spans="2:6">
      <c r="B762" s="127"/>
      <c r="C762" s="126"/>
      <c r="D762" s="127"/>
      <c r="E762" s="124"/>
      <c r="F762" s="128"/>
    </row>
    <row r="763" spans="2:6">
      <c r="B763" s="127"/>
      <c r="C763" s="126"/>
      <c r="D763" s="127"/>
      <c r="E763" s="124"/>
      <c r="F763" s="128"/>
    </row>
    <row r="764" spans="2:6">
      <c r="B764" s="127"/>
      <c r="C764" s="126"/>
      <c r="D764" s="127"/>
      <c r="E764" s="124"/>
      <c r="F764" s="128"/>
    </row>
    <row r="765" spans="2:6">
      <c r="B765" s="127"/>
      <c r="C765" s="126"/>
      <c r="D765" s="127"/>
      <c r="E765" s="124"/>
      <c r="F765" s="128"/>
    </row>
    <row r="766" spans="2:6">
      <c r="B766" s="127"/>
      <c r="C766" s="126"/>
      <c r="D766" s="127"/>
      <c r="E766" s="124"/>
      <c r="F766" s="128"/>
    </row>
    <row r="767" spans="2:6">
      <c r="B767" s="127"/>
      <c r="C767" s="126"/>
      <c r="D767" s="127"/>
      <c r="E767" s="124"/>
      <c r="F767" s="128"/>
    </row>
    <row r="768" spans="2:6">
      <c r="B768" s="127"/>
      <c r="C768" s="126"/>
      <c r="D768" s="127"/>
      <c r="E768" s="124"/>
      <c r="F768" s="128"/>
    </row>
    <row r="769" spans="2:6">
      <c r="B769" s="127"/>
      <c r="C769" s="126"/>
      <c r="D769" s="127"/>
      <c r="E769" s="124"/>
      <c r="F769" s="128"/>
    </row>
    <row r="770" spans="2:6">
      <c r="B770" s="127"/>
      <c r="C770" s="126"/>
      <c r="D770" s="127"/>
      <c r="E770" s="124"/>
      <c r="F770" s="128"/>
    </row>
    <row r="771" spans="2:6">
      <c r="B771" s="127"/>
      <c r="C771" s="126"/>
      <c r="D771" s="127"/>
      <c r="E771" s="124"/>
      <c r="F771" s="128"/>
    </row>
    <row r="772" spans="2:6">
      <c r="B772" s="127"/>
      <c r="C772" s="126"/>
      <c r="D772" s="127"/>
      <c r="E772" s="124"/>
      <c r="F772" s="128"/>
    </row>
    <row r="773" spans="2:6">
      <c r="B773" s="127"/>
      <c r="C773" s="126"/>
      <c r="D773" s="127"/>
      <c r="E773" s="124"/>
      <c r="F773" s="128"/>
    </row>
    <row r="774" spans="2:6">
      <c r="B774" s="127"/>
      <c r="C774" s="126"/>
      <c r="D774" s="127"/>
      <c r="E774" s="124"/>
      <c r="F774" s="128"/>
    </row>
    <row r="775" spans="2:6">
      <c r="B775" s="127"/>
      <c r="C775" s="126"/>
      <c r="D775" s="127"/>
      <c r="E775" s="124"/>
      <c r="F775" s="128"/>
    </row>
    <row r="776" spans="2:6">
      <c r="B776" s="127"/>
      <c r="C776" s="126"/>
      <c r="D776" s="127"/>
      <c r="E776" s="124"/>
      <c r="F776" s="128"/>
    </row>
    <row r="777" spans="2:6">
      <c r="B777" s="127"/>
      <c r="C777" s="126"/>
      <c r="D777" s="127"/>
      <c r="E777" s="124"/>
      <c r="F777" s="128"/>
    </row>
    <row r="778" spans="2:6">
      <c r="B778" s="127"/>
      <c r="C778" s="126"/>
      <c r="D778" s="127"/>
      <c r="E778" s="124"/>
      <c r="F778" s="128"/>
    </row>
    <row r="779" spans="2:6">
      <c r="B779" s="127"/>
      <c r="C779" s="126"/>
      <c r="D779" s="127"/>
      <c r="E779" s="124"/>
      <c r="F779" s="128"/>
    </row>
    <row r="780" spans="2:6">
      <c r="B780" s="127"/>
      <c r="C780" s="126"/>
      <c r="D780" s="127"/>
      <c r="E780" s="124"/>
      <c r="F780" s="128"/>
    </row>
    <row r="781" spans="2:6">
      <c r="B781" s="127"/>
      <c r="C781" s="126"/>
      <c r="D781" s="127"/>
      <c r="E781" s="124"/>
      <c r="F781" s="128"/>
    </row>
    <row r="782" spans="2:6">
      <c r="B782" s="127"/>
      <c r="C782" s="126"/>
      <c r="D782" s="127"/>
      <c r="E782" s="124"/>
      <c r="F782" s="128"/>
    </row>
    <row r="783" spans="2:6">
      <c r="B783" s="127"/>
      <c r="C783" s="126"/>
      <c r="D783" s="127"/>
      <c r="E783" s="124"/>
      <c r="F783" s="128"/>
    </row>
    <row r="784" spans="2:6">
      <c r="B784" s="127"/>
      <c r="C784" s="126"/>
      <c r="D784" s="127"/>
      <c r="E784" s="124"/>
      <c r="F784" s="128"/>
    </row>
    <row r="785" spans="2:6">
      <c r="B785" s="127"/>
      <c r="C785" s="126"/>
      <c r="D785" s="127"/>
      <c r="E785" s="124"/>
      <c r="F785" s="128"/>
    </row>
    <row r="786" spans="2:6">
      <c r="B786" s="127"/>
      <c r="C786" s="126"/>
      <c r="D786" s="127"/>
      <c r="E786" s="124"/>
      <c r="F786" s="128"/>
    </row>
    <row r="787" spans="2:6">
      <c r="B787" s="127"/>
      <c r="C787" s="126"/>
      <c r="D787" s="127"/>
      <c r="E787" s="124"/>
      <c r="F787" s="128"/>
    </row>
    <row r="788" spans="2:6">
      <c r="B788" s="127"/>
      <c r="C788" s="126"/>
      <c r="D788" s="127"/>
      <c r="E788" s="124"/>
      <c r="F788" s="128"/>
    </row>
    <row r="789" spans="2:6">
      <c r="B789" s="127"/>
      <c r="C789" s="126"/>
      <c r="D789" s="127"/>
      <c r="E789" s="124"/>
      <c r="F789" s="128"/>
    </row>
    <row r="790" spans="2:6">
      <c r="B790" s="127"/>
      <c r="C790" s="126"/>
      <c r="D790" s="127"/>
      <c r="E790" s="124"/>
      <c r="F790" s="128"/>
    </row>
    <row r="791" spans="2:6">
      <c r="B791" s="127"/>
      <c r="C791" s="126"/>
      <c r="D791" s="127"/>
      <c r="E791" s="124"/>
      <c r="F791" s="128"/>
    </row>
    <row r="792" spans="2:6">
      <c r="B792" s="127"/>
      <c r="C792" s="126"/>
      <c r="D792" s="127"/>
      <c r="E792" s="124"/>
      <c r="F792" s="128"/>
    </row>
    <row r="793" spans="2:6">
      <c r="B793" s="127"/>
      <c r="C793" s="126"/>
      <c r="D793" s="127"/>
      <c r="E793" s="124"/>
      <c r="F793" s="128"/>
    </row>
    <row r="794" spans="2:6">
      <c r="B794" s="127"/>
      <c r="C794" s="126"/>
      <c r="D794" s="127"/>
      <c r="E794" s="124"/>
      <c r="F794" s="128"/>
    </row>
    <row r="795" spans="2:6">
      <c r="B795" s="127"/>
      <c r="C795" s="126"/>
      <c r="D795" s="127"/>
      <c r="E795" s="124"/>
      <c r="F795" s="128"/>
    </row>
    <row r="796" spans="2:6">
      <c r="B796" s="127"/>
      <c r="C796" s="126"/>
      <c r="D796" s="127"/>
      <c r="E796" s="124"/>
      <c r="F796" s="128"/>
    </row>
    <row r="797" spans="2:6">
      <c r="B797" s="127"/>
      <c r="C797" s="126"/>
      <c r="D797" s="127"/>
      <c r="E797" s="124"/>
      <c r="F797" s="128"/>
    </row>
    <row r="798" spans="2:6">
      <c r="B798" s="127"/>
      <c r="C798" s="126"/>
      <c r="D798" s="127"/>
      <c r="E798" s="124"/>
      <c r="F798" s="128"/>
    </row>
    <row r="799" spans="2:6">
      <c r="B799" s="127"/>
      <c r="C799" s="126"/>
      <c r="D799" s="127"/>
      <c r="E799" s="124"/>
      <c r="F799" s="128"/>
    </row>
    <row r="800" spans="2:6">
      <c r="B800" s="127"/>
      <c r="C800" s="126"/>
      <c r="D800" s="127"/>
      <c r="E800" s="124"/>
      <c r="F800" s="128"/>
    </row>
    <row r="801" spans="2:6">
      <c r="B801" s="127"/>
      <c r="C801" s="126"/>
      <c r="D801" s="127"/>
      <c r="E801" s="124"/>
      <c r="F801" s="128"/>
    </row>
    <row r="802" spans="2:6">
      <c r="B802" s="127"/>
      <c r="C802" s="126"/>
      <c r="D802" s="127"/>
      <c r="E802" s="124"/>
      <c r="F802" s="128"/>
    </row>
    <row r="803" spans="2:6">
      <c r="B803" s="127"/>
      <c r="C803" s="126"/>
      <c r="D803" s="127"/>
      <c r="E803" s="124"/>
      <c r="F803" s="128"/>
    </row>
    <row r="804" spans="2:6">
      <c r="B804" s="127"/>
      <c r="C804" s="126"/>
      <c r="D804" s="127"/>
      <c r="E804" s="124"/>
      <c r="F804" s="128"/>
    </row>
    <row r="805" spans="2:6">
      <c r="B805" s="127"/>
      <c r="C805" s="126"/>
      <c r="D805" s="127"/>
      <c r="E805" s="124"/>
      <c r="F805" s="128"/>
    </row>
    <row r="806" spans="2:6">
      <c r="B806" s="127"/>
      <c r="C806" s="126"/>
      <c r="D806" s="127"/>
      <c r="E806" s="124"/>
      <c r="F806" s="128"/>
    </row>
    <row r="807" spans="2:6">
      <c r="B807" s="127"/>
      <c r="C807" s="126"/>
      <c r="D807" s="127"/>
      <c r="E807" s="124"/>
      <c r="F807" s="128"/>
    </row>
    <row r="808" spans="2:6">
      <c r="B808" s="127"/>
      <c r="C808" s="126"/>
      <c r="D808" s="127"/>
      <c r="E808" s="124"/>
      <c r="F808" s="128"/>
    </row>
    <row r="809" spans="2:6">
      <c r="B809" s="127"/>
      <c r="C809" s="126"/>
      <c r="D809" s="127"/>
      <c r="E809" s="124"/>
      <c r="F809" s="128"/>
    </row>
    <row r="810" spans="2:6">
      <c r="B810" s="127"/>
      <c r="C810" s="126"/>
      <c r="D810" s="127"/>
      <c r="E810" s="124"/>
      <c r="F810" s="128"/>
    </row>
    <row r="811" spans="2:6">
      <c r="B811" s="127"/>
      <c r="C811" s="126"/>
      <c r="D811" s="127"/>
      <c r="E811" s="124"/>
      <c r="F811" s="128"/>
    </row>
    <row r="812" spans="2:6">
      <c r="B812" s="127"/>
      <c r="C812" s="126"/>
      <c r="D812" s="127"/>
      <c r="E812" s="124"/>
      <c r="F812" s="128"/>
    </row>
    <row r="813" spans="2:6">
      <c r="B813" s="127"/>
      <c r="C813" s="126"/>
      <c r="D813" s="127"/>
      <c r="E813" s="124"/>
      <c r="F813" s="128"/>
    </row>
    <row r="814" spans="2:6">
      <c r="B814" s="127"/>
      <c r="C814" s="126"/>
      <c r="D814" s="127"/>
      <c r="E814" s="124"/>
      <c r="F814" s="128"/>
    </row>
    <row r="815" spans="2:6">
      <c r="B815" s="127"/>
      <c r="C815" s="126"/>
      <c r="D815" s="127"/>
      <c r="E815" s="124"/>
      <c r="F815" s="128"/>
    </row>
    <row r="816" spans="2:6">
      <c r="B816" s="127"/>
      <c r="C816" s="126"/>
      <c r="D816" s="127"/>
      <c r="E816" s="124"/>
      <c r="F816" s="128"/>
    </row>
    <row r="817" spans="2:6">
      <c r="B817" s="127"/>
      <c r="C817" s="126"/>
      <c r="D817" s="127"/>
      <c r="E817" s="124"/>
      <c r="F817" s="128"/>
    </row>
    <row r="818" spans="2:6">
      <c r="B818" s="127"/>
      <c r="C818" s="126"/>
      <c r="D818" s="127"/>
      <c r="E818" s="124"/>
      <c r="F818" s="128"/>
    </row>
    <row r="819" spans="2:6">
      <c r="B819" s="127"/>
      <c r="C819" s="126"/>
      <c r="D819" s="127"/>
      <c r="E819" s="124"/>
      <c r="F819" s="128"/>
    </row>
    <row r="820" spans="2:6">
      <c r="B820" s="127"/>
      <c r="C820" s="126"/>
      <c r="D820" s="127"/>
      <c r="E820" s="124"/>
      <c r="F820" s="128"/>
    </row>
    <row r="821" spans="2:6">
      <c r="B821" s="127"/>
      <c r="C821" s="126"/>
      <c r="D821" s="127"/>
      <c r="E821" s="124"/>
      <c r="F821" s="128"/>
    </row>
    <row r="822" spans="2:6">
      <c r="B822" s="127"/>
      <c r="C822" s="126"/>
      <c r="D822" s="127"/>
      <c r="E822" s="124"/>
      <c r="F822" s="128"/>
    </row>
    <row r="823" spans="2:6">
      <c r="B823" s="127"/>
      <c r="C823" s="126"/>
      <c r="D823" s="127"/>
      <c r="E823" s="124"/>
      <c r="F823" s="128"/>
    </row>
    <row r="824" spans="2:6">
      <c r="B824" s="127"/>
      <c r="C824" s="126"/>
      <c r="D824" s="127"/>
      <c r="E824" s="124"/>
      <c r="F824" s="128"/>
    </row>
    <row r="825" spans="2:6">
      <c r="B825" s="127"/>
      <c r="C825" s="126"/>
      <c r="D825" s="127"/>
      <c r="E825" s="124"/>
      <c r="F825" s="128"/>
    </row>
    <row r="826" spans="2:6">
      <c r="B826" s="127"/>
      <c r="C826" s="126"/>
      <c r="D826" s="127"/>
      <c r="E826" s="124"/>
      <c r="F826" s="128"/>
    </row>
    <row r="827" spans="2:6">
      <c r="B827" s="127"/>
      <c r="C827" s="126"/>
      <c r="D827" s="127"/>
      <c r="E827" s="124"/>
      <c r="F827" s="128"/>
    </row>
    <row r="828" spans="2:6">
      <c r="B828" s="127"/>
      <c r="C828" s="126"/>
      <c r="D828" s="127"/>
      <c r="E828" s="124"/>
      <c r="F828" s="128"/>
    </row>
    <row r="829" spans="2:6">
      <c r="B829" s="127"/>
      <c r="C829" s="126"/>
      <c r="D829" s="127"/>
      <c r="E829" s="124"/>
      <c r="F829" s="128"/>
    </row>
    <row r="830" spans="2:6">
      <c r="B830" s="127"/>
      <c r="C830" s="126"/>
      <c r="D830" s="127"/>
      <c r="E830" s="124"/>
      <c r="F830" s="128"/>
    </row>
    <row r="831" spans="2:6">
      <c r="B831" s="127"/>
      <c r="C831" s="126"/>
      <c r="D831" s="127"/>
      <c r="E831" s="124"/>
      <c r="F831" s="128"/>
    </row>
    <row r="832" spans="2:6">
      <c r="B832" s="127"/>
      <c r="C832" s="126"/>
      <c r="D832" s="127"/>
      <c r="E832" s="124"/>
      <c r="F832" s="128"/>
    </row>
    <row r="833" spans="2:6">
      <c r="B833" s="127"/>
      <c r="C833" s="126"/>
      <c r="D833" s="127"/>
      <c r="E833" s="124"/>
      <c r="F833" s="128"/>
    </row>
    <row r="834" spans="2:6">
      <c r="B834" s="127"/>
      <c r="C834" s="126"/>
      <c r="D834" s="127"/>
      <c r="E834" s="124"/>
      <c r="F834" s="128"/>
    </row>
    <row r="835" spans="2:6">
      <c r="B835" s="127"/>
      <c r="C835" s="126"/>
      <c r="D835" s="127"/>
      <c r="E835" s="124"/>
      <c r="F835" s="128"/>
    </row>
    <row r="836" spans="2:6">
      <c r="B836" s="127"/>
      <c r="C836" s="126"/>
      <c r="D836" s="127"/>
      <c r="E836" s="124"/>
      <c r="F836" s="128"/>
    </row>
    <row r="837" spans="2:6">
      <c r="B837" s="127"/>
      <c r="C837" s="126"/>
      <c r="D837" s="127"/>
      <c r="E837" s="124"/>
      <c r="F837" s="128"/>
    </row>
    <row r="838" spans="2:6">
      <c r="B838" s="127"/>
      <c r="C838" s="126"/>
      <c r="D838" s="127"/>
      <c r="E838" s="124"/>
      <c r="F838" s="128"/>
    </row>
    <row r="839" spans="2:6">
      <c r="B839" s="127"/>
      <c r="C839" s="126"/>
      <c r="D839" s="127"/>
      <c r="E839" s="124"/>
      <c r="F839" s="128"/>
    </row>
    <row r="840" spans="2:6">
      <c r="B840" s="127"/>
      <c r="C840" s="126"/>
      <c r="D840" s="127"/>
      <c r="E840" s="124"/>
      <c r="F840" s="128"/>
    </row>
    <row r="841" spans="2:6">
      <c r="B841" s="127"/>
      <c r="C841" s="126"/>
      <c r="D841" s="127"/>
      <c r="E841" s="124"/>
      <c r="F841" s="128"/>
    </row>
    <row r="842" spans="2:6">
      <c r="B842" s="127"/>
      <c r="C842" s="126"/>
      <c r="D842" s="127"/>
      <c r="E842" s="124"/>
      <c r="F842" s="128"/>
    </row>
    <row r="843" spans="2:6">
      <c r="B843" s="127"/>
      <c r="C843" s="126"/>
      <c r="D843" s="127"/>
      <c r="E843" s="124"/>
      <c r="F843" s="128"/>
    </row>
    <row r="844" spans="2:6">
      <c r="B844" s="127"/>
      <c r="C844" s="126"/>
      <c r="D844" s="127"/>
      <c r="E844" s="124"/>
      <c r="F844" s="128"/>
    </row>
    <row r="845" spans="2:6">
      <c r="B845" s="127"/>
      <c r="C845" s="126"/>
      <c r="D845" s="127"/>
      <c r="E845" s="124"/>
      <c r="F845" s="128"/>
    </row>
    <row r="846" spans="2:6">
      <c r="B846" s="127"/>
      <c r="C846" s="126"/>
      <c r="D846" s="127"/>
      <c r="E846" s="124"/>
      <c r="F846" s="128"/>
    </row>
    <row r="847" spans="2:6">
      <c r="B847" s="127"/>
      <c r="C847" s="126"/>
      <c r="D847" s="127"/>
      <c r="E847" s="124"/>
      <c r="F847" s="128"/>
    </row>
    <row r="848" spans="2:6">
      <c r="B848" s="127"/>
      <c r="C848" s="126"/>
      <c r="D848" s="127"/>
      <c r="E848" s="124"/>
      <c r="F848" s="128"/>
    </row>
    <row r="849" spans="2:6">
      <c r="B849" s="127"/>
      <c r="C849" s="126"/>
      <c r="D849" s="127"/>
      <c r="E849" s="124"/>
      <c r="F849" s="128"/>
    </row>
    <row r="850" spans="2:6">
      <c r="B850" s="127"/>
      <c r="C850" s="126"/>
      <c r="D850" s="127"/>
      <c r="E850" s="124"/>
      <c r="F850" s="128"/>
    </row>
    <row r="851" spans="2:6">
      <c r="B851" s="127"/>
      <c r="C851" s="126"/>
      <c r="D851" s="127"/>
      <c r="E851" s="124"/>
      <c r="F851" s="128"/>
    </row>
    <row r="852" spans="2:6">
      <c r="B852" s="127"/>
      <c r="C852" s="126"/>
      <c r="D852" s="127"/>
      <c r="E852" s="124"/>
      <c r="F852" s="128"/>
    </row>
    <row r="853" spans="2:6">
      <c r="B853" s="127"/>
      <c r="C853" s="126"/>
      <c r="D853" s="127"/>
      <c r="E853" s="124"/>
      <c r="F853" s="128"/>
    </row>
    <row r="854" spans="2:6">
      <c r="B854" s="127"/>
      <c r="C854" s="126"/>
      <c r="D854" s="127"/>
      <c r="E854" s="124"/>
      <c r="F854" s="128"/>
    </row>
    <row r="855" spans="2:6">
      <c r="B855" s="127"/>
      <c r="C855" s="126"/>
      <c r="D855" s="127"/>
      <c r="E855" s="124"/>
      <c r="F855" s="128"/>
    </row>
    <row r="856" spans="2:6">
      <c r="B856" s="127"/>
      <c r="C856" s="126"/>
      <c r="D856" s="127"/>
      <c r="E856" s="124"/>
      <c r="F856" s="128"/>
    </row>
    <row r="857" spans="2:6">
      <c r="B857" s="127"/>
      <c r="C857" s="126"/>
      <c r="D857" s="127"/>
      <c r="E857" s="124"/>
      <c r="F857" s="128"/>
    </row>
    <row r="858" spans="2:6">
      <c r="B858" s="127"/>
      <c r="C858" s="126"/>
      <c r="D858" s="127"/>
      <c r="E858" s="124"/>
      <c r="F858" s="128"/>
    </row>
    <row r="859" spans="2:6">
      <c r="B859" s="127"/>
      <c r="C859" s="126"/>
      <c r="D859" s="127"/>
      <c r="E859" s="124"/>
      <c r="F859" s="128"/>
    </row>
    <row r="860" spans="2:6">
      <c r="B860" s="127"/>
      <c r="C860" s="126"/>
      <c r="D860" s="127"/>
      <c r="E860" s="124"/>
      <c r="F860" s="128"/>
    </row>
    <row r="861" spans="2:6">
      <c r="B861" s="127"/>
      <c r="C861" s="126"/>
      <c r="D861" s="127"/>
      <c r="E861" s="124"/>
      <c r="F861" s="128"/>
    </row>
    <row r="862" spans="2:6">
      <c r="B862" s="127"/>
      <c r="C862" s="126"/>
      <c r="D862" s="127"/>
      <c r="E862" s="124"/>
      <c r="F862" s="128"/>
    </row>
    <row r="863" spans="2:6">
      <c r="B863" s="127"/>
      <c r="C863" s="126"/>
      <c r="D863" s="127"/>
      <c r="E863" s="124"/>
      <c r="F863" s="128"/>
    </row>
    <row r="864" spans="2:6">
      <c r="B864" s="127"/>
      <c r="C864" s="126"/>
      <c r="D864" s="127"/>
      <c r="E864" s="124"/>
      <c r="F864" s="128"/>
    </row>
    <row r="865" spans="2:6">
      <c r="B865" s="127"/>
      <c r="C865" s="126"/>
      <c r="D865" s="127"/>
      <c r="E865" s="124"/>
      <c r="F865" s="128"/>
    </row>
    <row r="866" spans="2:6">
      <c r="B866" s="127"/>
      <c r="C866" s="126"/>
      <c r="D866" s="127"/>
      <c r="E866" s="124"/>
      <c r="F866" s="128"/>
    </row>
    <row r="867" spans="2:6">
      <c r="B867" s="127"/>
      <c r="C867" s="126"/>
      <c r="D867" s="127"/>
      <c r="E867" s="124"/>
      <c r="F867" s="128"/>
    </row>
    <row r="868" spans="2:6">
      <c r="B868" s="127"/>
      <c r="C868" s="126"/>
      <c r="D868" s="127"/>
      <c r="E868" s="124"/>
      <c r="F868" s="128"/>
    </row>
    <row r="869" spans="2:6">
      <c r="B869" s="127"/>
      <c r="C869" s="126"/>
      <c r="D869" s="127"/>
      <c r="E869" s="124"/>
      <c r="F869" s="128"/>
    </row>
    <row r="870" spans="2:6">
      <c r="B870" s="127"/>
      <c r="C870" s="126"/>
      <c r="D870" s="127"/>
      <c r="E870" s="124"/>
      <c r="F870" s="128"/>
    </row>
    <row r="871" spans="2:6">
      <c r="B871" s="127"/>
      <c r="C871" s="126"/>
      <c r="D871" s="127"/>
      <c r="E871" s="124"/>
      <c r="F871" s="128"/>
    </row>
    <row r="872" spans="2:6">
      <c r="B872" s="127"/>
      <c r="C872" s="126"/>
      <c r="D872" s="127"/>
      <c r="E872" s="124"/>
      <c r="F872" s="128"/>
    </row>
    <row r="873" spans="2:6">
      <c r="B873" s="127"/>
      <c r="C873" s="126"/>
      <c r="D873" s="127"/>
      <c r="E873" s="124"/>
      <c r="F873" s="128"/>
    </row>
    <row r="874" spans="2:6">
      <c r="B874" s="127"/>
      <c r="C874" s="126"/>
      <c r="D874" s="127"/>
      <c r="E874" s="124"/>
      <c r="F874" s="128"/>
    </row>
    <row r="875" spans="2:6">
      <c r="B875" s="127"/>
      <c r="C875" s="126"/>
      <c r="D875" s="127"/>
      <c r="E875" s="124"/>
      <c r="F875" s="128"/>
    </row>
    <row r="876" spans="2:6">
      <c r="B876" s="127"/>
      <c r="C876" s="126"/>
      <c r="D876" s="127"/>
      <c r="E876" s="124"/>
      <c r="F876" s="128"/>
    </row>
    <row r="877" spans="2:6">
      <c r="B877" s="127"/>
      <c r="C877" s="126"/>
      <c r="D877" s="127"/>
      <c r="E877" s="124"/>
      <c r="F877" s="128"/>
    </row>
    <row r="878" spans="2:6">
      <c r="B878" s="127"/>
      <c r="C878" s="126"/>
      <c r="D878" s="127"/>
      <c r="E878" s="124"/>
      <c r="F878" s="128"/>
    </row>
    <row r="879" spans="2:6">
      <c r="B879" s="127"/>
      <c r="C879" s="126"/>
      <c r="D879" s="127"/>
      <c r="E879" s="124"/>
      <c r="F879" s="128"/>
    </row>
    <row r="880" spans="2:6">
      <c r="B880" s="127"/>
      <c r="C880" s="126"/>
      <c r="D880" s="127"/>
      <c r="E880" s="124"/>
      <c r="F880" s="128"/>
    </row>
    <row r="881" spans="2:6">
      <c r="B881" s="127"/>
      <c r="C881" s="126"/>
      <c r="D881" s="127"/>
      <c r="E881" s="124"/>
      <c r="F881" s="128"/>
    </row>
    <row r="882" spans="2:6">
      <c r="B882" s="127"/>
      <c r="C882" s="126"/>
      <c r="D882" s="127"/>
      <c r="E882" s="124"/>
      <c r="F882" s="128"/>
    </row>
    <row r="883" spans="2:6">
      <c r="B883" s="127"/>
      <c r="C883" s="126"/>
      <c r="D883" s="127"/>
      <c r="E883" s="124"/>
      <c r="F883" s="128"/>
    </row>
    <row r="884" spans="2:6">
      <c r="B884" s="127"/>
      <c r="C884" s="126"/>
      <c r="D884" s="127"/>
      <c r="E884" s="124"/>
      <c r="F884" s="128"/>
    </row>
    <row r="885" spans="2:6">
      <c r="B885" s="127"/>
      <c r="C885" s="126"/>
      <c r="D885" s="127"/>
      <c r="E885" s="124"/>
      <c r="F885" s="128"/>
    </row>
    <row r="886" spans="2:6">
      <c r="B886" s="127"/>
      <c r="C886" s="126"/>
      <c r="D886" s="127"/>
      <c r="E886" s="124"/>
      <c r="F886" s="128"/>
    </row>
    <row r="887" spans="2:6">
      <c r="B887" s="127"/>
      <c r="C887" s="126"/>
      <c r="D887" s="127"/>
      <c r="E887" s="124"/>
      <c r="F887" s="128"/>
    </row>
    <row r="888" spans="2:6">
      <c r="B888" s="127"/>
      <c r="C888" s="126"/>
      <c r="D888" s="127"/>
      <c r="E888" s="124"/>
      <c r="F888" s="128"/>
    </row>
    <row r="889" spans="2:6">
      <c r="B889" s="127"/>
      <c r="C889" s="126"/>
      <c r="D889" s="127"/>
      <c r="E889" s="124"/>
      <c r="F889" s="128"/>
    </row>
    <row r="890" spans="2:6">
      <c r="B890" s="127"/>
      <c r="C890" s="126"/>
      <c r="D890" s="127"/>
      <c r="E890" s="124"/>
      <c r="F890" s="128"/>
    </row>
    <row r="891" spans="2:6">
      <c r="B891" s="127"/>
      <c r="C891" s="126"/>
      <c r="D891" s="127"/>
      <c r="E891" s="124"/>
      <c r="F891" s="128"/>
    </row>
    <row r="892" spans="2:6">
      <c r="B892" s="127"/>
      <c r="C892" s="126"/>
      <c r="D892" s="127"/>
      <c r="E892" s="124"/>
      <c r="F892" s="128"/>
    </row>
    <row r="893" spans="2:6">
      <c r="B893" s="127"/>
      <c r="C893" s="126"/>
      <c r="D893" s="127"/>
      <c r="E893" s="124"/>
      <c r="F893" s="128"/>
    </row>
    <row r="894" spans="2:6">
      <c r="B894" s="127"/>
      <c r="C894" s="126"/>
      <c r="D894" s="127"/>
      <c r="E894" s="124"/>
      <c r="F894" s="128"/>
    </row>
    <row r="895" spans="2:6">
      <c r="B895" s="127"/>
      <c r="C895" s="126"/>
      <c r="D895" s="127"/>
      <c r="E895" s="124"/>
      <c r="F895" s="128"/>
    </row>
    <row r="896" spans="2:6">
      <c r="B896" s="127"/>
      <c r="C896" s="126"/>
      <c r="D896" s="127"/>
      <c r="E896" s="124"/>
      <c r="F896" s="128"/>
    </row>
    <row r="897" spans="2:6">
      <c r="B897" s="127"/>
      <c r="C897" s="126"/>
      <c r="D897" s="127"/>
      <c r="E897" s="124"/>
      <c r="F897" s="128"/>
    </row>
    <row r="898" spans="2:6">
      <c r="B898" s="127"/>
      <c r="C898" s="126"/>
      <c r="D898" s="127"/>
      <c r="E898" s="124"/>
      <c r="F898" s="128"/>
    </row>
    <row r="899" spans="2:6">
      <c r="B899" s="127"/>
      <c r="C899" s="126"/>
      <c r="D899" s="127"/>
      <c r="E899" s="124"/>
      <c r="F899" s="128"/>
    </row>
    <row r="900" spans="2:6">
      <c r="B900" s="127"/>
      <c r="C900" s="126"/>
      <c r="D900" s="127"/>
      <c r="E900" s="124"/>
      <c r="F900" s="128"/>
    </row>
    <row r="901" spans="2:6">
      <c r="B901" s="127"/>
      <c r="C901" s="126"/>
      <c r="D901" s="127"/>
      <c r="E901" s="124"/>
      <c r="F901" s="128"/>
    </row>
    <row r="902" spans="2:6">
      <c r="B902" s="127"/>
      <c r="C902" s="126"/>
      <c r="D902" s="127"/>
      <c r="E902" s="124"/>
      <c r="F902" s="128"/>
    </row>
    <row r="903" spans="2:6">
      <c r="B903" s="127"/>
      <c r="C903" s="126"/>
      <c r="D903" s="127"/>
      <c r="E903" s="124"/>
      <c r="F903" s="128"/>
    </row>
    <row r="904" spans="2:6">
      <c r="B904" s="127"/>
      <c r="C904" s="126"/>
      <c r="D904" s="127"/>
      <c r="E904" s="124"/>
      <c r="F904" s="128"/>
    </row>
    <row r="905" spans="2:6">
      <c r="B905" s="127"/>
      <c r="C905" s="126"/>
      <c r="D905" s="127"/>
      <c r="E905" s="124"/>
      <c r="F905" s="128"/>
    </row>
    <row r="906" spans="2:6">
      <c r="B906" s="127"/>
      <c r="C906" s="126"/>
      <c r="D906" s="127"/>
      <c r="E906" s="124"/>
      <c r="F906" s="128"/>
    </row>
    <row r="907" spans="2:6">
      <c r="B907" s="127"/>
      <c r="C907" s="126"/>
      <c r="D907" s="127"/>
      <c r="E907" s="124"/>
      <c r="F907" s="128"/>
    </row>
    <row r="908" spans="2:6">
      <c r="B908" s="127"/>
      <c r="C908" s="126"/>
      <c r="D908" s="127"/>
      <c r="E908" s="124"/>
      <c r="F908" s="128"/>
    </row>
    <row r="909" spans="2:6">
      <c r="B909" s="127"/>
      <c r="C909" s="126"/>
      <c r="D909" s="127"/>
      <c r="E909" s="124"/>
      <c r="F909" s="128"/>
    </row>
    <row r="910" spans="2:6">
      <c r="B910" s="127"/>
      <c r="C910" s="126"/>
      <c r="D910" s="127"/>
      <c r="E910" s="124"/>
      <c r="F910" s="128"/>
    </row>
    <row r="911" spans="2:6">
      <c r="B911" s="127"/>
      <c r="C911" s="126"/>
      <c r="D911" s="127"/>
      <c r="E911" s="124"/>
      <c r="F911" s="128"/>
    </row>
    <row r="912" spans="2:6">
      <c r="B912" s="127"/>
      <c r="C912" s="126"/>
      <c r="D912" s="127"/>
      <c r="E912" s="124"/>
      <c r="F912" s="128"/>
    </row>
    <row r="913" spans="2:6">
      <c r="B913" s="127"/>
      <c r="C913" s="126"/>
      <c r="D913" s="127"/>
      <c r="E913" s="124"/>
      <c r="F913" s="128"/>
    </row>
    <row r="914" spans="2:6">
      <c r="B914" s="127"/>
      <c r="C914" s="126"/>
      <c r="D914" s="127"/>
      <c r="E914" s="124"/>
      <c r="F914" s="128"/>
    </row>
    <row r="915" spans="2:6">
      <c r="B915" s="127"/>
      <c r="C915" s="126"/>
      <c r="D915" s="127"/>
      <c r="E915" s="124"/>
      <c r="F915" s="128"/>
    </row>
    <row r="916" spans="2:6">
      <c r="B916" s="127"/>
      <c r="C916" s="126"/>
      <c r="D916" s="127"/>
      <c r="E916" s="124"/>
      <c r="F916" s="128"/>
    </row>
    <row r="917" spans="2:6">
      <c r="B917" s="127"/>
      <c r="C917" s="126"/>
      <c r="D917" s="127"/>
      <c r="E917" s="124"/>
      <c r="F917" s="128"/>
    </row>
    <row r="918" spans="2:6">
      <c r="B918" s="127"/>
      <c r="C918" s="126"/>
      <c r="D918" s="127"/>
      <c r="E918" s="124"/>
      <c r="F918" s="128"/>
    </row>
    <row r="919" spans="2:6">
      <c r="B919" s="127"/>
      <c r="C919" s="126"/>
      <c r="D919" s="127"/>
      <c r="E919" s="124"/>
      <c r="F919" s="128"/>
    </row>
    <row r="920" spans="2:6">
      <c r="B920" s="127"/>
      <c r="C920" s="126"/>
      <c r="D920" s="127"/>
      <c r="E920" s="124"/>
      <c r="F920" s="128"/>
    </row>
    <row r="921" spans="2:6">
      <c r="B921" s="127"/>
      <c r="C921" s="126"/>
      <c r="D921" s="127"/>
      <c r="E921" s="124"/>
      <c r="F921" s="128"/>
    </row>
    <row r="922" spans="2:6">
      <c r="B922" s="127"/>
      <c r="C922" s="126"/>
      <c r="D922" s="127"/>
      <c r="E922" s="124"/>
      <c r="F922" s="128"/>
    </row>
    <row r="923" spans="2:6">
      <c r="B923" s="127"/>
      <c r="C923" s="126"/>
      <c r="D923" s="127"/>
      <c r="E923" s="124"/>
      <c r="F923" s="128"/>
    </row>
    <row r="924" spans="2:6">
      <c r="B924" s="127"/>
      <c r="C924" s="126"/>
      <c r="D924" s="127"/>
      <c r="E924" s="124"/>
      <c r="F924" s="128"/>
    </row>
    <row r="925" spans="2:6">
      <c r="B925" s="127"/>
      <c r="C925" s="126"/>
      <c r="D925" s="127"/>
      <c r="E925" s="124"/>
      <c r="F925" s="128"/>
    </row>
    <row r="926" spans="2:6">
      <c r="B926" s="127"/>
      <c r="C926" s="126"/>
      <c r="D926" s="127"/>
      <c r="E926" s="124"/>
      <c r="F926" s="128"/>
    </row>
    <row r="927" spans="2:6">
      <c r="B927" s="127"/>
      <c r="C927" s="126"/>
      <c r="D927" s="127"/>
      <c r="E927" s="124"/>
      <c r="F927" s="128"/>
    </row>
    <row r="928" spans="2:6">
      <c r="B928" s="127"/>
      <c r="C928" s="126"/>
      <c r="D928" s="127"/>
      <c r="E928" s="124"/>
      <c r="F928" s="128"/>
    </row>
    <row r="929" spans="2:6">
      <c r="B929" s="127"/>
      <c r="C929" s="126"/>
      <c r="D929" s="127"/>
      <c r="E929" s="124"/>
      <c r="F929" s="128"/>
    </row>
    <row r="930" spans="2:6">
      <c r="B930" s="127"/>
      <c r="C930" s="126"/>
      <c r="D930" s="127"/>
      <c r="E930" s="124"/>
      <c r="F930" s="128"/>
    </row>
    <row r="931" spans="2:6">
      <c r="B931" s="127"/>
      <c r="C931" s="126"/>
      <c r="D931" s="127"/>
      <c r="E931" s="124"/>
      <c r="F931" s="128"/>
    </row>
    <row r="932" spans="2:6">
      <c r="B932" s="127"/>
      <c r="C932" s="126"/>
      <c r="D932" s="127"/>
      <c r="E932" s="124"/>
      <c r="F932" s="128"/>
    </row>
    <row r="933" spans="2:6">
      <c r="B933" s="127"/>
      <c r="C933" s="126"/>
      <c r="D933" s="127"/>
      <c r="E933" s="124"/>
      <c r="F933" s="128"/>
    </row>
    <row r="934" spans="2:6">
      <c r="B934" s="127"/>
      <c r="C934" s="126"/>
      <c r="D934" s="127"/>
      <c r="E934" s="124"/>
      <c r="F934" s="128"/>
    </row>
    <row r="935" spans="2:6">
      <c r="B935" s="127"/>
      <c r="C935" s="126"/>
      <c r="D935" s="127"/>
      <c r="E935" s="124"/>
      <c r="F935" s="128"/>
    </row>
    <row r="936" spans="2:6">
      <c r="B936" s="127"/>
      <c r="C936" s="126"/>
      <c r="D936" s="127"/>
      <c r="E936" s="124"/>
      <c r="F936" s="128"/>
    </row>
    <row r="937" spans="2:6">
      <c r="B937" s="127"/>
      <c r="C937" s="126"/>
      <c r="D937" s="127"/>
      <c r="E937" s="124"/>
      <c r="F937" s="128"/>
    </row>
    <row r="938" spans="2:6">
      <c r="B938" s="127"/>
      <c r="C938" s="126"/>
      <c r="D938" s="127"/>
      <c r="E938" s="124"/>
      <c r="F938" s="128"/>
    </row>
    <row r="939" spans="2:6">
      <c r="B939" s="127"/>
      <c r="C939" s="126"/>
      <c r="D939" s="127"/>
      <c r="E939" s="124"/>
      <c r="F939" s="128"/>
    </row>
    <row r="940" spans="2:6">
      <c r="B940" s="127"/>
      <c r="C940" s="126"/>
      <c r="D940" s="127"/>
      <c r="E940" s="124"/>
      <c r="F940" s="128"/>
    </row>
    <row r="941" spans="2:6">
      <c r="B941" s="127"/>
      <c r="C941" s="126"/>
      <c r="D941" s="127"/>
      <c r="E941" s="124"/>
      <c r="F941" s="128"/>
    </row>
    <row r="942" spans="2:6">
      <c r="B942" s="127"/>
      <c r="C942" s="126"/>
      <c r="D942" s="127"/>
      <c r="E942" s="124"/>
      <c r="F942" s="128"/>
    </row>
    <row r="943" spans="2:6">
      <c r="B943" s="127"/>
      <c r="C943" s="126"/>
      <c r="D943" s="127"/>
      <c r="E943" s="124"/>
      <c r="F943" s="128"/>
    </row>
    <row r="944" spans="2:6">
      <c r="B944" s="127"/>
      <c r="C944" s="126"/>
      <c r="D944" s="127"/>
      <c r="E944" s="124"/>
      <c r="F944" s="128"/>
    </row>
    <row r="945" spans="2:6">
      <c r="B945" s="127"/>
      <c r="C945" s="126"/>
      <c r="D945" s="127"/>
      <c r="E945" s="124"/>
      <c r="F945" s="128"/>
    </row>
    <row r="946" spans="2:6">
      <c r="B946" s="127"/>
      <c r="C946" s="126"/>
      <c r="D946" s="127"/>
      <c r="E946" s="124"/>
      <c r="F946" s="128"/>
    </row>
    <row r="947" spans="2:6">
      <c r="B947" s="127"/>
      <c r="C947" s="126"/>
      <c r="D947" s="127"/>
      <c r="E947" s="124"/>
      <c r="F947" s="128"/>
    </row>
    <row r="948" spans="2:6">
      <c r="B948" s="127"/>
      <c r="C948" s="126"/>
      <c r="D948" s="127"/>
      <c r="E948" s="124"/>
      <c r="F948" s="128"/>
    </row>
    <row r="949" spans="2:6">
      <c r="B949" s="127"/>
      <c r="C949" s="126"/>
      <c r="D949" s="127"/>
      <c r="E949" s="124"/>
      <c r="F949" s="128"/>
    </row>
    <row r="950" spans="2:6">
      <c r="B950" s="127"/>
      <c r="C950" s="126"/>
      <c r="D950" s="127"/>
      <c r="E950" s="124"/>
      <c r="F950" s="128"/>
    </row>
    <row r="951" spans="2:6">
      <c r="B951" s="127"/>
      <c r="C951" s="126"/>
      <c r="D951" s="127"/>
      <c r="E951" s="124"/>
      <c r="F951" s="128"/>
    </row>
    <row r="952" spans="2:6">
      <c r="B952" s="127"/>
      <c r="C952" s="126"/>
      <c r="D952" s="127"/>
      <c r="E952" s="124"/>
      <c r="F952" s="128"/>
    </row>
    <row r="953" spans="2:6">
      <c r="B953" s="127"/>
      <c r="C953" s="126"/>
      <c r="D953" s="127"/>
      <c r="E953" s="124"/>
      <c r="F953" s="128"/>
    </row>
    <row r="954" spans="2:6">
      <c r="B954" s="127"/>
      <c r="C954" s="126"/>
      <c r="D954" s="127"/>
      <c r="E954" s="124"/>
      <c r="F954" s="128"/>
    </row>
    <row r="955" spans="2:6">
      <c r="B955" s="127"/>
      <c r="C955" s="126"/>
      <c r="D955" s="127"/>
      <c r="E955" s="124"/>
      <c r="F955" s="128"/>
    </row>
    <row r="956" spans="2:6">
      <c r="B956" s="127"/>
      <c r="C956" s="126"/>
      <c r="D956" s="127"/>
      <c r="E956" s="124"/>
      <c r="F956" s="128"/>
    </row>
    <row r="957" spans="2:6">
      <c r="B957" s="127"/>
      <c r="C957" s="126"/>
      <c r="D957" s="127"/>
      <c r="E957" s="124"/>
      <c r="F957" s="128"/>
    </row>
    <row r="958" spans="2:6">
      <c r="B958" s="127"/>
      <c r="C958" s="126"/>
      <c r="D958" s="127"/>
      <c r="E958" s="124"/>
      <c r="F958" s="128"/>
    </row>
    <row r="959" spans="2:6">
      <c r="B959" s="127"/>
      <c r="C959" s="126"/>
      <c r="D959" s="127"/>
      <c r="E959" s="124"/>
      <c r="F959" s="128"/>
    </row>
    <row r="960" spans="2:6">
      <c r="B960" s="127"/>
      <c r="C960" s="126"/>
      <c r="D960" s="127"/>
      <c r="E960" s="124"/>
      <c r="F960" s="128"/>
    </row>
    <row r="961" spans="2:6">
      <c r="B961" s="127"/>
      <c r="C961" s="126"/>
      <c r="D961" s="127"/>
      <c r="E961" s="124"/>
      <c r="F961" s="128"/>
    </row>
    <row r="962" spans="2:6">
      <c r="B962" s="127"/>
      <c r="C962" s="126"/>
      <c r="D962" s="127"/>
      <c r="E962" s="124"/>
      <c r="F962" s="128"/>
    </row>
    <row r="963" spans="2:6">
      <c r="B963" s="127"/>
      <c r="C963" s="126"/>
      <c r="D963" s="127"/>
      <c r="E963" s="124"/>
      <c r="F963" s="128"/>
    </row>
    <row r="964" spans="2:6">
      <c r="B964" s="127"/>
      <c r="C964" s="126"/>
      <c r="D964" s="127"/>
      <c r="E964" s="124"/>
      <c r="F964" s="128"/>
    </row>
    <row r="965" spans="2:6">
      <c r="B965" s="127"/>
      <c r="C965" s="126"/>
      <c r="D965" s="127"/>
      <c r="E965" s="124"/>
      <c r="F965" s="128"/>
    </row>
    <row r="966" spans="2:6">
      <c r="B966" s="127"/>
      <c r="C966" s="126"/>
      <c r="D966" s="127"/>
      <c r="E966" s="124"/>
      <c r="F966" s="128"/>
    </row>
    <row r="967" spans="2:6">
      <c r="B967" s="127"/>
      <c r="C967" s="126"/>
      <c r="D967" s="127"/>
      <c r="E967" s="124"/>
      <c r="F967" s="128"/>
    </row>
    <row r="968" spans="2:6">
      <c r="B968" s="127"/>
      <c r="C968" s="126"/>
      <c r="D968" s="127"/>
      <c r="E968" s="124"/>
      <c r="F968" s="128"/>
    </row>
    <row r="969" spans="2:6">
      <c r="B969" s="127"/>
      <c r="C969" s="126"/>
      <c r="D969" s="127"/>
      <c r="E969" s="124"/>
      <c r="F969" s="128"/>
    </row>
    <row r="970" spans="2:6">
      <c r="B970" s="127"/>
      <c r="C970" s="126"/>
      <c r="D970" s="127"/>
      <c r="E970" s="124"/>
      <c r="F970" s="128"/>
    </row>
    <row r="971" spans="2:6">
      <c r="B971" s="127"/>
      <c r="C971" s="126"/>
      <c r="D971" s="127"/>
      <c r="E971" s="124"/>
      <c r="F971" s="128"/>
    </row>
    <row r="972" spans="2:6">
      <c r="B972" s="127"/>
      <c r="C972" s="126"/>
      <c r="D972" s="127"/>
      <c r="E972" s="124"/>
      <c r="F972" s="128"/>
    </row>
    <row r="973" spans="2:6">
      <c r="B973" s="127"/>
      <c r="C973" s="126"/>
      <c r="D973" s="127"/>
      <c r="E973" s="124"/>
      <c r="F973" s="128"/>
    </row>
    <row r="974" spans="2:6">
      <c r="B974" s="127"/>
      <c r="C974" s="126"/>
      <c r="D974" s="127"/>
      <c r="E974" s="124"/>
      <c r="F974" s="128"/>
    </row>
    <row r="975" spans="2:6">
      <c r="B975" s="127"/>
      <c r="C975" s="126"/>
      <c r="D975" s="127"/>
      <c r="E975" s="124"/>
      <c r="F975" s="128"/>
    </row>
    <row r="976" spans="2:6">
      <c r="B976" s="127"/>
      <c r="C976" s="126"/>
      <c r="D976" s="127"/>
      <c r="E976" s="124"/>
      <c r="F976" s="128"/>
    </row>
    <row r="977" spans="2:6">
      <c r="B977" s="127"/>
      <c r="C977" s="126"/>
      <c r="D977" s="127"/>
      <c r="E977" s="124"/>
      <c r="F977" s="128"/>
    </row>
    <row r="978" spans="2:6">
      <c r="B978" s="127"/>
      <c r="C978" s="126"/>
      <c r="D978" s="127"/>
      <c r="E978" s="124"/>
      <c r="F978" s="128"/>
    </row>
    <row r="979" spans="2:6">
      <c r="B979" s="127"/>
      <c r="C979" s="126"/>
      <c r="D979" s="127"/>
      <c r="E979" s="124"/>
      <c r="F979" s="128"/>
    </row>
    <row r="980" spans="2:6">
      <c r="B980" s="127"/>
      <c r="C980" s="126"/>
      <c r="D980" s="127"/>
      <c r="E980" s="124"/>
      <c r="F980" s="128"/>
    </row>
    <row r="981" spans="2:6">
      <c r="B981" s="127"/>
      <c r="C981" s="126"/>
      <c r="D981" s="127"/>
      <c r="E981" s="124"/>
      <c r="F981" s="128"/>
    </row>
    <row r="982" spans="2:6">
      <c r="B982" s="127"/>
      <c r="C982" s="126"/>
      <c r="D982" s="127"/>
      <c r="E982" s="124"/>
      <c r="F982" s="128"/>
    </row>
    <row r="983" spans="2:6">
      <c r="B983" s="127"/>
      <c r="C983" s="126"/>
      <c r="D983" s="127"/>
      <c r="E983" s="124"/>
      <c r="F983" s="128"/>
    </row>
    <row r="984" spans="2:6">
      <c r="B984" s="127"/>
      <c r="C984" s="126"/>
      <c r="D984" s="127"/>
      <c r="E984" s="124"/>
      <c r="F984" s="128"/>
    </row>
    <row r="985" spans="2:6">
      <c r="B985" s="127"/>
      <c r="C985" s="126"/>
      <c r="D985" s="127"/>
      <c r="E985" s="124"/>
      <c r="F985" s="128"/>
    </row>
    <row r="986" spans="2:6">
      <c r="B986" s="127"/>
      <c r="C986" s="126"/>
      <c r="D986" s="127"/>
      <c r="E986" s="124"/>
      <c r="F986" s="128"/>
    </row>
    <row r="987" spans="2:6">
      <c r="B987" s="127"/>
      <c r="C987" s="126"/>
      <c r="D987" s="127"/>
      <c r="E987" s="124"/>
      <c r="F987" s="128"/>
    </row>
    <row r="988" spans="2:6">
      <c r="B988" s="127"/>
      <c r="C988" s="126"/>
      <c r="D988" s="127"/>
      <c r="E988" s="124"/>
      <c r="F988" s="128"/>
    </row>
    <row r="989" spans="2:6">
      <c r="B989" s="127"/>
      <c r="C989" s="126"/>
      <c r="D989" s="127"/>
      <c r="E989" s="124"/>
      <c r="F989" s="128"/>
    </row>
    <row r="990" spans="2:6">
      <c r="B990" s="127"/>
      <c r="C990" s="126"/>
      <c r="D990" s="127"/>
      <c r="E990" s="124"/>
      <c r="F990" s="128"/>
    </row>
    <row r="991" spans="2:6">
      <c r="B991" s="127"/>
      <c r="C991" s="126"/>
      <c r="D991" s="127"/>
      <c r="E991" s="124"/>
      <c r="F991" s="128"/>
    </row>
    <row r="992" spans="2:6">
      <c r="B992" s="127"/>
      <c r="C992" s="126"/>
      <c r="D992" s="127"/>
      <c r="E992" s="124"/>
      <c r="F992" s="128"/>
    </row>
    <row r="993" spans="2:6">
      <c r="B993" s="127"/>
      <c r="C993" s="126"/>
      <c r="D993" s="127"/>
      <c r="E993" s="124"/>
      <c r="F993" s="128"/>
    </row>
    <row r="994" spans="2:6">
      <c r="B994" s="127"/>
      <c r="C994" s="126"/>
      <c r="D994" s="127"/>
      <c r="E994" s="124"/>
      <c r="F994" s="128"/>
    </row>
    <row r="995" spans="2:6">
      <c r="B995" s="127"/>
      <c r="C995" s="126"/>
      <c r="D995" s="127"/>
      <c r="E995" s="124"/>
      <c r="F995" s="128"/>
    </row>
    <row r="996" spans="2:6">
      <c r="B996" s="127"/>
      <c r="C996" s="126"/>
      <c r="D996" s="127"/>
      <c r="E996" s="124"/>
      <c r="F996" s="128"/>
    </row>
    <row r="997" spans="2:6">
      <c r="B997" s="127"/>
      <c r="C997" s="126"/>
      <c r="D997" s="127"/>
      <c r="E997" s="124"/>
      <c r="F997" s="128"/>
    </row>
    <row r="998" spans="2:6">
      <c r="B998" s="127"/>
      <c r="C998" s="126"/>
      <c r="D998" s="127"/>
      <c r="E998" s="124"/>
      <c r="F998" s="128"/>
    </row>
    <row r="999" spans="2:6">
      <c r="B999" s="127"/>
      <c r="C999" s="126"/>
      <c r="D999" s="127"/>
      <c r="E999" s="124"/>
      <c r="F999" s="128"/>
    </row>
    <row r="1000" spans="2:6">
      <c r="B1000" s="127"/>
      <c r="C1000" s="126"/>
      <c r="D1000" s="127"/>
      <c r="E1000" s="124"/>
      <c r="F1000" s="128"/>
    </row>
    <row r="1001" spans="2:6">
      <c r="B1001" s="127"/>
      <c r="C1001" s="126"/>
      <c r="D1001" s="127"/>
      <c r="E1001" s="124"/>
      <c r="F1001" s="128"/>
    </row>
    <row r="1002" spans="2:6">
      <c r="B1002" s="127"/>
      <c r="C1002" s="126"/>
      <c r="D1002" s="127"/>
      <c r="E1002" s="124"/>
      <c r="F1002" s="128"/>
    </row>
    <row r="1003" spans="2:6">
      <c r="B1003" s="127"/>
      <c r="C1003" s="126"/>
      <c r="D1003" s="127"/>
      <c r="E1003" s="124"/>
      <c r="F1003" s="128"/>
    </row>
    <row r="1004" spans="2:6">
      <c r="B1004" s="127"/>
      <c r="C1004" s="126"/>
      <c r="D1004" s="127"/>
      <c r="E1004" s="124"/>
      <c r="F1004" s="128"/>
    </row>
    <row r="1005" spans="2:6">
      <c r="B1005" s="127"/>
      <c r="C1005" s="126"/>
      <c r="D1005" s="127"/>
      <c r="E1005" s="124"/>
      <c r="F1005" s="128"/>
    </row>
    <row r="1006" spans="2:6">
      <c r="B1006" s="127"/>
      <c r="C1006" s="126"/>
      <c r="D1006" s="127"/>
      <c r="E1006" s="124"/>
      <c r="F1006" s="128"/>
    </row>
    <row r="1007" spans="2:6">
      <c r="B1007" s="127"/>
      <c r="C1007" s="126"/>
      <c r="D1007" s="127"/>
      <c r="E1007" s="124"/>
      <c r="F1007" s="128"/>
    </row>
    <row r="1008" spans="2:6">
      <c r="B1008" s="127"/>
      <c r="C1008" s="126"/>
      <c r="D1008" s="127"/>
      <c r="E1008" s="124"/>
      <c r="F1008" s="128"/>
    </row>
    <row r="1009" spans="2:6">
      <c r="B1009" s="127"/>
      <c r="C1009" s="126"/>
      <c r="D1009" s="127"/>
      <c r="E1009" s="124"/>
      <c r="F1009" s="128"/>
    </row>
    <row r="1010" spans="2:6">
      <c r="B1010" s="127"/>
      <c r="C1010" s="126"/>
      <c r="D1010" s="127"/>
      <c r="E1010" s="124"/>
      <c r="F1010" s="128"/>
    </row>
    <row r="1011" spans="2:6">
      <c r="B1011" s="127"/>
      <c r="C1011" s="126"/>
      <c r="D1011" s="127"/>
      <c r="E1011" s="124"/>
      <c r="F1011" s="128"/>
    </row>
    <row r="1012" spans="2:6">
      <c r="B1012" s="127"/>
      <c r="C1012" s="126"/>
      <c r="D1012" s="127"/>
      <c r="E1012" s="124"/>
      <c r="F1012" s="128"/>
    </row>
    <row r="1013" spans="2:6">
      <c r="B1013" s="127"/>
      <c r="C1013" s="126"/>
      <c r="D1013" s="127"/>
      <c r="E1013" s="124"/>
      <c r="F1013" s="128"/>
    </row>
    <row r="1014" spans="2:6">
      <c r="B1014" s="127"/>
      <c r="C1014" s="126"/>
      <c r="D1014" s="127"/>
      <c r="E1014" s="124"/>
      <c r="F1014" s="128"/>
    </row>
    <row r="1015" spans="2:6">
      <c r="B1015" s="127"/>
      <c r="C1015" s="126"/>
      <c r="D1015" s="127"/>
      <c r="E1015" s="124"/>
      <c r="F1015" s="128"/>
    </row>
    <row r="1016" spans="2:6">
      <c r="B1016" s="127"/>
      <c r="C1016" s="126"/>
      <c r="D1016" s="127"/>
      <c r="E1016" s="124"/>
      <c r="F1016" s="128"/>
    </row>
    <row r="1017" spans="2:6">
      <c r="B1017" s="127"/>
      <c r="C1017" s="126"/>
      <c r="D1017" s="127"/>
      <c r="E1017" s="124"/>
      <c r="F1017" s="128"/>
    </row>
    <row r="1018" spans="2:6">
      <c r="B1018" s="127"/>
      <c r="C1018" s="126"/>
      <c r="D1018" s="127"/>
      <c r="E1018" s="124"/>
      <c r="F1018" s="128"/>
    </row>
    <row r="1019" spans="2:6">
      <c r="B1019" s="127"/>
      <c r="C1019" s="126"/>
      <c r="D1019" s="127"/>
      <c r="E1019" s="124"/>
      <c r="F1019" s="128"/>
    </row>
    <row r="1020" spans="2:6">
      <c r="B1020" s="127"/>
      <c r="C1020" s="126"/>
      <c r="D1020" s="127"/>
      <c r="E1020" s="124"/>
      <c r="F1020" s="128"/>
    </row>
    <row r="1021" spans="2:6">
      <c r="B1021" s="127"/>
      <c r="C1021" s="126"/>
      <c r="D1021" s="127"/>
      <c r="E1021" s="124"/>
      <c r="F1021" s="130"/>
    </row>
    <row r="1022" spans="2:6">
      <c r="B1022" s="127"/>
      <c r="C1022" s="126"/>
      <c r="D1022" s="127"/>
      <c r="E1022" s="124"/>
      <c r="F1022" s="130"/>
    </row>
    <row r="1023" spans="2:6">
      <c r="B1023" s="127"/>
      <c r="C1023" s="126"/>
      <c r="D1023" s="127"/>
      <c r="E1023" s="124"/>
      <c r="F1023" s="130"/>
    </row>
    <row r="1024" spans="2:6">
      <c r="B1024" s="127"/>
      <c r="C1024" s="126"/>
      <c r="D1024" s="127"/>
      <c r="E1024" s="124"/>
      <c r="F1024" s="128"/>
    </row>
    <row r="1025" spans="2:6">
      <c r="B1025" s="127"/>
      <c r="C1025" s="126"/>
      <c r="D1025" s="127"/>
      <c r="E1025" s="124"/>
      <c r="F1025" s="128"/>
    </row>
    <row r="1026" spans="2:6">
      <c r="B1026" s="127"/>
      <c r="C1026" s="126"/>
      <c r="D1026" s="127"/>
      <c r="E1026" s="124"/>
      <c r="F1026" s="128"/>
    </row>
    <row r="1027" spans="2:6">
      <c r="B1027" s="127"/>
      <c r="C1027" s="126"/>
      <c r="D1027" s="127"/>
      <c r="E1027" s="124"/>
      <c r="F1027" s="128"/>
    </row>
    <row r="1028" spans="2:6">
      <c r="B1028" s="127"/>
      <c r="C1028" s="126"/>
      <c r="D1028" s="127"/>
      <c r="E1028" s="124"/>
      <c r="F1028" s="128"/>
    </row>
    <row r="1029" spans="2:6">
      <c r="B1029" s="127"/>
      <c r="C1029" s="126"/>
      <c r="D1029" s="127"/>
      <c r="E1029" s="124"/>
      <c r="F1029" s="128"/>
    </row>
    <row r="1030" spans="2:6">
      <c r="B1030" s="127"/>
      <c r="C1030" s="126"/>
      <c r="D1030" s="127"/>
      <c r="E1030" s="124"/>
      <c r="F1030" s="128"/>
    </row>
    <row r="1031" spans="2:6">
      <c r="B1031" s="127"/>
      <c r="C1031" s="126"/>
      <c r="D1031" s="127"/>
      <c r="E1031" s="124"/>
      <c r="F1031" s="128"/>
    </row>
    <row r="1032" spans="2:6">
      <c r="B1032" s="127"/>
      <c r="C1032" s="126"/>
      <c r="D1032" s="127"/>
      <c r="E1032" s="124"/>
      <c r="F1032" s="128"/>
    </row>
    <row r="1033" spans="2:6">
      <c r="B1033" s="127"/>
      <c r="C1033" s="126"/>
      <c r="D1033" s="127"/>
      <c r="E1033" s="124"/>
      <c r="F1033" s="128"/>
    </row>
    <row r="1034" spans="2:6">
      <c r="B1034" s="127"/>
      <c r="C1034" s="126"/>
      <c r="D1034" s="127"/>
      <c r="E1034" s="124"/>
      <c r="F1034" s="128"/>
    </row>
    <row r="1035" spans="2:6">
      <c r="B1035" s="127"/>
      <c r="C1035" s="126"/>
      <c r="D1035" s="127"/>
      <c r="E1035" s="124"/>
      <c r="F1035" s="128"/>
    </row>
    <row r="1036" spans="2:6">
      <c r="B1036" s="127"/>
      <c r="C1036" s="126"/>
      <c r="D1036" s="127"/>
      <c r="E1036" s="124"/>
      <c r="F1036" s="128"/>
    </row>
    <row r="1037" spans="2:6">
      <c r="B1037" s="127"/>
      <c r="C1037" s="126"/>
      <c r="D1037" s="127"/>
      <c r="E1037" s="124"/>
      <c r="F1037" s="128"/>
    </row>
    <row r="1038" spans="2:6">
      <c r="B1038" s="127"/>
      <c r="C1038" s="126"/>
      <c r="D1038" s="127"/>
      <c r="E1038" s="124"/>
      <c r="F1038" s="128"/>
    </row>
    <row r="1039" spans="2:6">
      <c r="B1039" s="127"/>
      <c r="C1039" s="126"/>
      <c r="D1039" s="127"/>
      <c r="E1039" s="124"/>
      <c r="F1039" s="128"/>
    </row>
    <row r="1040" spans="2:6">
      <c r="B1040" s="127"/>
      <c r="C1040" s="126"/>
      <c r="D1040" s="127"/>
      <c r="E1040" s="124"/>
      <c r="F1040" s="128"/>
    </row>
    <row r="1041" spans="2:6">
      <c r="B1041" s="127"/>
      <c r="C1041" s="126"/>
      <c r="D1041" s="127"/>
      <c r="E1041" s="124"/>
      <c r="F1041" s="128"/>
    </row>
    <row r="1042" spans="2:6">
      <c r="B1042" s="127"/>
      <c r="C1042" s="126"/>
      <c r="D1042" s="127"/>
      <c r="E1042" s="124"/>
      <c r="F1042" s="128"/>
    </row>
    <row r="1043" spans="2:6">
      <c r="B1043" s="127"/>
      <c r="C1043" s="126"/>
      <c r="D1043" s="127"/>
      <c r="E1043" s="124"/>
      <c r="F1043" s="128"/>
    </row>
    <row r="1044" spans="2:6">
      <c r="B1044" s="127"/>
      <c r="C1044" s="126"/>
      <c r="D1044" s="127"/>
      <c r="E1044" s="124"/>
      <c r="F1044" s="128"/>
    </row>
    <row r="1045" spans="2:6">
      <c r="B1045" s="127"/>
      <c r="C1045" s="126"/>
      <c r="D1045" s="127"/>
      <c r="E1045" s="124"/>
      <c r="F1045" s="128"/>
    </row>
    <row r="1046" spans="2:6">
      <c r="B1046" s="127"/>
      <c r="C1046" s="126"/>
      <c r="D1046" s="127"/>
      <c r="E1046" s="124"/>
      <c r="F1046" s="128"/>
    </row>
    <row r="1047" spans="2:6">
      <c r="B1047" s="127"/>
      <c r="C1047" s="126"/>
      <c r="D1047" s="127"/>
      <c r="E1047" s="124"/>
      <c r="F1047" s="128"/>
    </row>
    <row r="1048" spans="2:6">
      <c r="B1048" s="127"/>
      <c r="C1048" s="126"/>
      <c r="D1048" s="127"/>
      <c r="E1048" s="124"/>
      <c r="F1048" s="128"/>
    </row>
    <row r="1049" spans="2:6">
      <c r="B1049" s="127"/>
      <c r="C1049" s="126"/>
      <c r="D1049" s="127"/>
      <c r="E1049" s="124"/>
      <c r="F1049" s="128"/>
    </row>
    <row r="1050" spans="2:6">
      <c r="B1050" s="127"/>
      <c r="C1050" s="126"/>
      <c r="D1050" s="127"/>
      <c r="E1050" s="124"/>
      <c r="F1050" s="128"/>
    </row>
    <row r="1051" spans="2:6">
      <c r="B1051" s="127"/>
      <c r="C1051" s="126"/>
      <c r="D1051" s="127"/>
      <c r="E1051" s="124"/>
      <c r="F1051" s="128"/>
    </row>
    <row r="1052" spans="2:6">
      <c r="B1052" s="127"/>
      <c r="C1052" s="126"/>
      <c r="D1052" s="127"/>
      <c r="E1052" s="124"/>
      <c r="F1052" s="128"/>
    </row>
    <row r="1053" spans="2:6">
      <c r="B1053" s="127"/>
      <c r="C1053" s="126"/>
      <c r="D1053" s="127"/>
      <c r="E1053" s="124"/>
      <c r="F1053" s="128"/>
    </row>
    <row r="1054" spans="2:6">
      <c r="B1054" s="127"/>
      <c r="C1054" s="126"/>
      <c r="D1054" s="127"/>
      <c r="E1054" s="124"/>
      <c r="F1054" s="128"/>
    </row>
    <row r="1055" spans="2:6">
      <c r="B1055" s="127"/>
      <c r="C1055" s="126"/>
      <c r="D1055" s="127"/>
      <c r="E1055" s="124"/>
      <c r="F1055" s="128"/>
    </row>
    <row r="1056" spans="2:6">
      <c r="B1056" s="127"/>
      <c r="C1056" s="126"/>
      <c r="D1056" s="127"/>
      <c r="E1056" s="124"/>
      <c r="F1056" s="128"/>
    </row>
    <row r="1057" spans="2:6">
      <c r="B1057" s="127"/>
      <c r="C1057" s="126"/>
      <c r="D1057" s="127"/>
      <c r="E1057" s="124"/>
      <c r="F1057" s="128"/>
    </row>
    <row r="1058" spans="2:6">
      <c r="B1058" s="127"/>
      <c r="C1058" s="126"/>
      <c r="D1058" s="127"/>
      <c r="E1058" s="124"/>
      <c r="F1058" s="128"/>
    </row>
    <row r="1059" spans="2:6">
      <c r="B1059" s="127"/>
      <c r="C1059" s="126"/>
      <c r="D1059" s="127"/>
      <c r="E1059" s="124"/>
      <c r="F1059" s="128"/>
    </row>
    <row r="1060" spans="2:6">
      <c r="B1060" s="127"/>
      <c r="C1060" s="126"/>
      <c r="D1060" s="127"/>
      <c r="E1060" s="124"/>
      <c r="F1060" s="128"/>
    </row>
    <row r="1061" spans="2:6">
      <c r="B1061" s="127"/>
      <c r="C1061" s="126"/>
      <c r="D1061" s="127"/>
      <c r="E1061" s="124"/>
      <c r="F1061" s="128"/>
    </row>
    <row r="1062" spans="2:6">
      <c r="B1062" s="127"/>
      <c r="C1062" s="126"/>
      <c r="D1062" s="127"/>
      <c r="E1062" s="124"/>
      <c r="F1062" s="128"/>
    </row>
    <row r="1063" spans="2:6">
      <c r="B1063" s="127"/>
      <c r="C1063" s="126"/>
      <c r="D1063" s="127"/>
      <c r="E1063" s="124"/>
      <c r="F1063" s="128"/>
    </row>
    <row r="1064" spans="2:6">
      <c r="B1064" s="127"/>
      <c r="C1064" s="126"/>
      <c r="D1064" s="127"/>
      <c r="E1064" s="124"/>
      <c r="F1064" s="128"/>
    </row>
    <row r="1065" spans="2:6">
      <c r="B1065" s="127"/>
      <c r="C1065" s="126"/>
      <c r="D1065" s="127"/>
      <c r="E1065" s="124"/>
      <c r="F1065" s="128"/>
    </row>
    <row r="1066" spans="2:6">
      <c r="B1066" s="127"/>
      <c r="C1066" s="126"/>
      <c r="D1066" s="127"/>
      <c r="E1066" s="124"/>
      <c r="F1066" s="128"/>
    </row>
    <row r="1067" spans="2:6">
      <c r="B1067" s="127"/>
      <c r="C1067" s="126"/>
      <c r="D1067" s="127"/>
      <c r="E1067" s="124"/>
      <c r="F1067" s="128"/>
    </row>
    <row r="1068" spans="2:6">
      <c r="B1068" s="127"/>
      <c r="C1068" s="126"/>
      <c r="D1068" s="127"/>
      <c r="E1068" s="124"/>
      <c r="F1068" s="128"/>
    </row>
    <row r="1069" spans="2:6">
      <c r="B1069" s="127"/>
      <c r="C1069" s="126"/>
      <c r="D1069" s="127"/>
      <c r="E1069" s="124"/>
      <c r="F1069" s="128"/>
    </row>
    <row r="1070" spans="2:6">
      <c r="B1070" s="127"/>
      <c r="C1070" s="126"/>
      <c r="D1070" s="127"/>
      <c r="E1070" s="124"/>
      <c r="F1070" s="128"/>
    </row>
    <row r="1071" spans="2:6">
      <c r="B1071" s="127"/>
      <c r="C1071" s="126"/>
      <c r="D1071" s="127"/>
      <c r="E1071" s="131"/>
      <c r="F1071" s="132"/>
    </row>
    <row r="1072" spans="2:6">
      <c r="B1072" s="127"/>
      <c r="C1072" s="126"/>
      <c r="D1072" s="127"/>
      <c r="E1072" s="124"/>
      <c r="F1072" s="132"/>
    </row>
    <row r="1073" spans="2:6">
      <c r="B1073" s="127"/>
      <c r="C1073" s="126"/>
      <c r="D1073" s="127"/>
      <c r="E1073" s="124"/>
      <c r="F1073" s="132"/>
    </row>
    <row r="1074" spans="2:6">
      <c r="B1074" s="127"/>
      <c r="C1074" s="126"/>
      <c r="D1074" s="127"/>
      <c r="E1074" s="124"/>
      <c r="F1074" s="132"/>
    </row>
    <row r="1075" spans="2:6">
      <c r="B1075" s="127"/>
      <c r="C1075" s="126"/>
      <c r="D1075" s="127"/>
      <c r="E1075" s="124"/>
      <c r="F1075" s="132"/>
    </row>
    <row r="1076" spans="2:6">
      <c r="B1076" s="127"/>
      <c r="C1076" s="126"/>
      <c r="D1076" s="127"/>
      <c r="E1076" s="124"/>
      <c r="F1076" s="132"/>
    </row>
    <row r="1077" spans="2:6">
      <c r="B1077" s="127"/>
      <c r="C1077" s="126"/>
      <c r="D1077" s="127"/>
      <c r="E1077" s="124"/>
      <c r="F1077" s="132"/>
    </row>
    <row r="1078" spans="2:6">
      <c r="B1078" s="127"/>
      <c r="C1078" s="126"/>
      <c r="D1078" s="127"/>
      <c r="E1078" s="124"/>
      <c r="F1078" s="132"/>
    </row>
    <row r="1079" spans="2:6">
      <c r="B1079" s="127"/>
      <c r="C1079" s="126"/>
      <c r="D1079" s="127"/>
      <c r="E1079" s="124"/>
      <c r="F1079" s="132"/>
    </row>
    <row r="1080" spans="2:6">
      <c r="B1080" s="127"/>
      <c r="C1080" s="126"/>
      <c r="D1080" s="127"/>
      <c r="E1080" s="124"/>
      <c r="F1080" s="132"/>
    </row>
    <row r="1081" spans="2:6">
      <c r="B1081" s="127"/>
      <c r="C1081" s="126"/>
      <c r="D1081" s="127"/>
      <c r="E1081" s="124"/>
      <c r="F1081" s="132"/>
    </row>
    <row r="1082" spans="2:6">
      <c r="B1082" s="127"/>
      <c r="C1082" s="126"/>
      <c r="D1082" s="127"/>
      <c r="E1082" s="124"/>
      <c r="F1082" s="132"/>
    </row>
    <row r="1083" spans="2:6">
      <c r="B1083" s="127"/>
      <c r="C1083" s="126"/>
      <c r="D1083" s="127"/>
      <c r="E1083" s="124"/>
      <c r="F1083" s="132"/>
    </row>
    <row r="1084" spans="2:6">
      <c r="B1084" s="127"/>
      <c r="C1084" s="126"/>
      <c r="D1084" s="127"/>
      <c r="E1084" s="124"/>
      <c r="F1084" s="132"/>
    </row>
    <row r="1085" spans="2:6">
      <c r="B1085" s="127"/>
      <c r="C1085" s="126"/>
      <c r="D1085" s="127"/>
      <c r="E1085" s="124"/>
      <c r="F1085" s="132"/>
    </row>
    <row r="1086" spans="2:6">
      <c r="B1086" s="127"/>
      <c r="C1086" s="126"/>
      <c r="D1086" s="127"/>
      <c r="E1086" s="124"/>
      <c r="F1086" s="132"/>
    </row>
    <row r="1087" spans="2:6">
      <c r="B1087" s="127"/>
      <c r="C1087" s="126"/>
      <c r="D1087" s="127"/>
      <c r="E1087" s="124"/>
      <c r="F1087" s="132"/>
    </row>
    <row r="1088" spans="2:6">
      <c r="B1088" s="127"/>
      <c r="C1088" s="126"/>
      <c r="D1088" s="127"/>
      <c r="E1088" s="124"/>
      <c r="F1088" s="132"/>
    </row>
    <row r="1089" spans="2:6">
      <c r="B1089" s="127"/>
      <c r="C1089" s="126"/>
      <c r="D1089" s="127"/>
      <c r="E1089" s="124"/>
      <c r="F1089" s="132"/>
    </row>
    <row r="1090" spans="2:6">
      <c r="B1090" s="127"/>
      <c r="C1090" s="126"/>
      <c r="D1090" s="127"/>
      <c r="E1090" s="124"/>
      <c r="F1090" s="132"/>
    </row>
    <row r="1091" spans="2:6">
      <c r="B1091" s="127"/>
      <c r="C1091" s="126"/>
      <c r="D1091" s="127"/>
      <c r="E1091" s="124"/>
      <c r="F1091" s="132"/>
    </row>
    <row r="1092" spans="2:6">
      <c r="B1092" s="127"/>
      <c r="C1092" s="126"/>
      <c r="D1092" s="127"/>
      <c r="E1092" s="124"/>
      <c r="F1092" s="132"/>
    </row>
    <row r="1093" spans="2:6">
      <c r="B1093" s="127"/>
      <c r="C1093" s="126"/>
      <c r="D1093" s="127"/>
      <c r="E1093" s="124"/>
      <c r="F1093" s="132"/>
    </row>
    <row r="1094" spans="2:6">
      <c r="B1094" s="127"/>
      <c r="C1094" s="126"/>
      <c r="D1094" s="127"/>
      <c r="E1094" s="124"/>
      <c r="F1094" s="132"/>
    </row>
    <row r="1095" spans="2:6">
      <c r="B1095" s="127"/>
      <c r="C1095" s="126"/>
      <c r="D1095" s="127"/>
      <c r="E1095" s="124"/>
      <c r="F1095" s="132"/>
    </row>
    <row r="1096" spans="2:6">
      <c r="B1096" s="127"/>
      <c r="C1096" s="126"/>
      <c r="D1096" s="127"/>
      <c r="E1096" s="124"/>
      <c r="F1096" s="132"/>
    </row>
    <row r="1097" spans="2:6">
      <c r="B1097" s="127"/>
      <c r="C1097" s="126"/>
      <c r="D1097" s="127"/>
      <c r="E1097" s="124"/>
      <c r="F1097" s="132"/>
    </row>
    <row r="1098" spans="2:6">
      <c r="B1098" s="127"/>
      <c r="C1098" s="126"/>
      <c r="D1098" s="127"/>
      <c r="E1098" s="124"/>
      <c r="F1098" s="132"/>
    </row>
    <row r="1099" spans="2:6">
      <c r="B1099" s="127"/>
      <c r="C1099" s="126"/>
      <c r="D1099" s="127"/>
      <c r="E1099" s="124"/>
      <c r="F1099" s="132"/>
    </row>
    <row r="1100" spans="2:6">
      <c r="B1100" s="127"/>
      <c r="C1100" s="126"/>
      <c r="D1100" s="127"/>
      <c r="E1100" s="124"/>
      <c r="F1100" s="132"/>
    </row>
    <row r="1101" spans="2:6">
      <c r="B1101" s="127"/>
      <c r="C1101" s="126"/>
      <c r="D1101" s="127"/>
      <c r="E1101" s="124"/>
      <c r="F1101" s="132"/>
    </row>
    <row r="1102" spans="2:6">
      <c r="B1102" s="127"/>
      <c r="C1102" s="126"/>
      <c r="D1102" s="127"/>
      <c r="E1102" s="124"/>
      <c r="F1102" s="132"/>
    </row>
    <row r="1103" spans="2:6">
      <c r="B1103" s="127"/>
      <c r="C1103" s="126"/>
      <c r="D1103" s="127"/>
      <c r="E1103" s="124"/>
      <c r="F1103" s="132"/>
    </row>
    <row r="1104" spans="2:6">
      <c r="B1104" s="127"/>
      <c r="C1104" s="126"/>
      <c r="D1104" s="127"/>
      <c r="E1104" s="124"/>
      <c r="F1104" s="132"/>
    </row>
    <row r="1105" spans="2:6">
      <c r="B1105" s="127"/>
      <c r="C1105" s="126"/>
      <c r="D1105" s="127"/>
      <c r="E1105" s="124"/>
      <c r="F1105" s="132"/>
    </row>
    <row r="1106" spans="2:6">
      <c r="B1106" s="127"/>
      <c r="C1106" s="126"/>
      <c r="D1106" s="127"/>
      <c r="E1106" s="124"/>
      <c r="F1106" s="132"/>
    </row>
    <row r="1107" spans="2:6">
      <c r="B1107" s="127"/>
      <c r="C1107" s="126"/>
      <c r="D1107" s="127"/>
      <c r="E1107" s="124"/>
      <c r="F1107" s="132"/>
    </row>
    <row r="1108" spans="2:6">
      <c r="B1108" s="127"/>
      <c r="C1108" s="126"/>
      <c r="D1108" s="127"/>
      <c r="E1108" s="124"/>
      <c r="F1108" s="132"/>
    </row>
    <row r="1109" spans="2:6">
      <c r="B1109" s="127"/>
      <c r="C1109" s="126"/>
      <c r="D1109" s="127"/>
      <c r="E1109" s="124"/>
      <c r="F1109" s="132"/>
    </row>
    <row r="1110" spans="2:6">
      <c r="B1110" s="127"/>
      <c r="C1110" s="126"/>
      <c r="D1110" s="127"/>
      <c r="E1110" s="124"/>
      <c r="F1110" s="132"/>
    </row>
    <row r="1111" spans="2:6">
      <c r="B1111" s="127"/>
      <c r="C1111" s="126"/>
      <c r="D1111" s="127"/>
      <c r="E1111" s="124"/>
      <c r="F1111" s="132"/>
    </row>
    <row r="1112" spans="2:6">
      <c r="B1112" s="127"/>
      <c r="C1112" s="126"/>
      <c r="D1112" s="127"/>
      <c r="E1112" s="124"/>
      <c r="F1112" s="132"/>
    </row>
    <row r="1113" spans="2:6">
      <c r="B1113" s="127"/>
      <c r="C1113" s="126"/>
      <c r="D1113" s="127"/>
      <c r="E1113" s="124"/>
      <c r="F1113" s="132"/>
    </row>
    <row r="1114" spans="2:6">
      <c r="B1114" s="127"/>
      <c r="C1114" s="126"/>
      <c r="D1114" s="127"/>
      <c r="E1114" s="124"/>
      <c r="F1114" s="132"/>
    </row>
    <row r="1115" spans="2:6">
      <c r="B1115" s="127"/>
      <c r="C1115" s="126"/>
      <c r="D1115" s="127"/>
      <c r="E1115" s="124"/>
      <c r="F1115" s="132"/>
    </row>
    <row r="1116" spans="2:6">
      <c r="B1116" s="127"/>
      <c r="C1116" s="126"/>
      <c r="D1116" s="127"/>
      <c r="E1116" s="124"/>
      <c r="F1116" s="132"/>
    </row>
    <row r="1117" spans="2:6">
      <c r="B1117" s="127"/>
      <c r="C1117" s="126"/>
      <c r="D1117" s="127"/>
      <c r="E1117" s="124"/>
      <c r="F1117" s="132"/>
    </row>
    <row r="1118" spans="2:6">
      <c r="B1118" s="127"/>
      <c r="C1118" s="126"/>
      <c r="D1118" s="127"/>
      <c r="E1118" s="124"/>
      <c r="F1118" s="132"/>
    </row>
    <row r="1119" spans="2:6">
      <c r="B1119" s="127"/>
      <c r="C1119" s="126"/>
      <c r="D1119" s="127"/>
      <c r="E1119" s="124"/>
      <c r="F1119" s="132"/>
    </row>
    <row r="1120" spans="2:6">
      <c r="B1120" s="127"/>
      <c r="C1120" s="126"/>
      <c r="D1120" s="127"/>
      <c r="E1120" s="124"/>
      <c r="F1120" s="132"/>
    </row>
    <row r="1121" spans="2:6">
      <c r="B1121" s="127"/>
      <c r="C1121" s="126"/>
      <c r="D1121" s="127"/>
      <c r="E1121" s="124"/>
      <c r="F1121" s="132"/>
    </row>
    <row r="1122" spans="2:6">
      <c r="B1122" s="127"/>
      <c r="C1122" s="126"/>
      <c r="D1122" s="127"/>
      <c r="E1122" s="124"/>
      <c r="F1122" s="132"/>
    </row>
    <row r="1123" spans="2:6">
      <c r="B1123" s="127"/>
      <c r="C1123" s="126"/>
      <c r="D1123" s="127"/>
      <c r="E1123" s="124"/>
      <c r="F1123" s="132"/>
    </row>
    <row r="1124" spans="2:6">
      <c r="B1124" s="127"/>
      <c r="C1124" s="126"/>
      <c r="D1124" s="127"/>
      <c r="E1124" s="124"/>
      <c r="F1124" s="132"/>
    </row>
    <row r="1125" spans="2:6">
      <c r="B1125" s="127"/>
      <c r="C1125" s="126"/>
      <c r="D1125" s="127"/>
      <c r="E1125" s="124"/>
      <c r="F1125" s="132"/>
    </row>
    <row r="1126" spans="2:6">
      <c r="B1126" s="127"/>
      <c r="C1126" s="126"/>
      <c r="D1126" s="127"/>
      <c r="E1126" s="124"/>
      <c r="F1126" s="132"/>
    </row>
    <row r="1127" spans="2:6">
      <c r="B1127" s="127"/>
      <c r="C1127" s="126"/>
      <c r="D1127" s="127"/>
      <c r="E1127" s="124"/>
      <c r="F1127" s="132"/>
    </row>
    <row r="1128" spans="2:6">
      <c r="B1128" s="127"/>
      <c r="C1128" s="126"/>
      <c r="D1128" s="127"/>
      <c r="E1128" s="124"/>
      <c r="F1128" s="132"/>
    </row>
    <row r="1129" spans="2:6">
      <c r="B1129" s="127"/>
      <c r="C1129" s="126"/>
      <c r="D1129" s="127"/>
      <c r="E1129" s="124"/>
      <c r="F1129" s="132"/>
    </row>
    <row r="1130" spans="2:6">
      <c r="B1130" s="127"/>
      <c r="C1130" s="126"/>
      <c r="D1130" s="127"/>
      <c r="E1130" s="124"/>
      <c r="F1130" s="132"/>
    </row>
    <row r="1131" spans="2:6">
      <c r="B1131" s="127"/>
      <c r="C1131" s="126"/>
      <c r="D1131" s="127"/>
      <c r="E1131" s="124"/>
      <c r="F1131" s="132"/>
    </row>
    <row r="1132" spans="2:6">
      <c r="B1132" s="127"/>
      <c r="C1132" s="126"/>
      <c r="D1132" s="127"/>
      <c r="E1132" s="124"/>
      <c r="F1132" s="132"/>
    </row>
    <row r="1133" spans="2:6">
      <c r="B1133" s="127"/>
      <c r="C1133" s="126"/>
      <c r="D1133" s="127"/>
      <c r="E1133" s="124"/>
      <c r="F1133" s="132"/>
    </row>
    <row r="1134" spans="2:6">
      <c r="B1134" s="127"/>
      <c r="C1134" s="126"/>
      <c r="D1134" s="127"/>
      <c r="E1134" s="124"/>
      <c r="F1134" s="132"/>
    </row>
    <row r="1135" spans="2:6">
      <c r="B1135" s="127"/>
      <c r="C1135" s="126"/>
      <c r="D1135" s="127"/>
      <c r="E1135" s="124"/>
      <c r="F1135" s="132"/>
    </row>
    <row r="1136" spans="2:6">
      <c r="B1136" s="127"/>
      <c r="C1136" s="126"/>
      <c r="D1136" s="127"/>
      <c r="E1136" s="124"/>
      <c r="F1136" s="132"/>
    </row>
    <row r="1137" spans="2:6">
      <c r="B1137" s="127"/>
      <c r="C1137" s="126"/>
      <c r="D1137" s="127"/>
      <c r="E1137" s="124"/>
      <c r="F1137" s="132"/>
    </row>
    <row r="1138" spans="2:6">
      <c r="B1138" s="127"/>
      <c r="C1138" s="126"/>
      <c r="D1138" s="127"/>
      <c r="E1138" s="124"/>
      <c r="F1138" s="132"/>
    </row>
    <row r="1139" spans="2:6">
      <c r="B1139" s="127"/>
      <c r="C1139" s="126"/>
      <c r="D1139" s="127"/>
      <c r="E1139" s="124"/>
      <c r="F1139" s="132"/>
    </row>
    <row r="1140" spans="2:6">
      <c r="B1140" s="127"/>
      <c r="C1140" s="126"/>
      <c r="D1140" s="127"/>
      <c r="E1140" s="124"/>
      <c r="F1140" s="132"/>
    </row>
    <row r="1141" spans="2:6">
      <c r="B1141" s="127"/>
      <c r="C1141" s="126"/>
      <c r="D1141" s="127"/>
      <c r="E1141" s="124"/>
      <c r="F1141" s="132"/>
    </row>
    <row r="1142" spans="2:6">
      <c r="B1142" s="127"/>
      <c r="C1142" s="126"/>
      <c r="D1142" s="127"/>
      <c r="E1142" s="124"/>
      <c r="F1142" s="132"/>
    </row>
    <row r="1143" spans="2:6">
      <c r="B1143" s="127"/>
      <c r="C1143" s="126"/>
      <c r="D1143" s="127"/>
      <c r="E1143" s="124"/>
      <c r="F1143" s="132"/>
    </row>
    <row r="1144" spans="2:6">
      <c r="B1144" s="127"/>
      <c r="C1144" s="126"/>
      <c r="D1144" s="127"/>
      <c r="E1144" s="124"/>
      <c r="F1144" s="132"/>
    </row>
    <row r="1145" spans="2:6">
      <c r="B1145" s="127"/>
      <c r="C1145" s="126"/>
      <c r="D1145" s="127"/>
      <c r="E1145" s="124"/>
      <c r="F1145" s="132"/>
    </row>
    <row r="1146" spans="2:6">
      <c r="B1146" s="127"/>
      <c r="C1146" s="126"/>
      <c r="D1146" s="127"/>
      <c r="E1146" s="124"/>
      <c r="F1146" s="132"/>
    </row>
    <row r="1147" spans="2:6">
      <c r="B1147" s="127"/>
      <c r="C1147" s="126"/>
      <c r="D1147" s="127"/>
      <c r="E1147" s="124"/>
      <c r="F1147" s="132"/>
    </row>
    <row r="1148" spans="2:6">
      <c r="B1148" s="127"/>
      <c r="C1148" s="126"/>
      <c r="D1148" s="127"/>
      <c r="E1148" s="124"/>
      <c r="F1148" s="132"/>
    </row>
    <row r="1149" spans="2:6">
      <c r="B1149" s="127"/>
      <c r="C1149" s="126"/>
      <c r="D1149" s="127"/>
      <c r="E1149" s="124"/>
      <c r="F1149" s="132"/>
    </row>
    <row r="1150" spans="2:6">
      <c r="B1150" s="127"/>
      <c r="C1150" s="126"/>
      <c r="D1150" s="127"/>
      <c r="E1150" s="124"/>
      <c r="F1150" s="132"/>
    </row>
    <row r="1151" spans="2:6">
      <c r="B1151" s="127"/>
      <c r="C1151" s="126"/>
      <c r="D1151" s="127"/>
      <c r="E1151" s="124"/>
      <c r="F1151" s="132"/>
    </row>
    <row r="1152" spans="2:6">
      <c r="B1152" s="127"/>
      <c r="C1152" s="126"/>
      <c r="D1152" s="127"/>
      <c r="E1152" s="124"/>
      <c r="F1152" s="132"/>
    </row>
    <row r="1153" spans="2:6">
      <c r="B1153" s="127"/>
      <c r="C1153" s="126"/>
      <c r="D1153" s="127"/>
      <c r="E1153" s="124"/>
      <c r="F1153" s="132"/>
    </row>
    <row r="1154" spans="2:6">
      <c r="B1154" s="127"/>
      <c r="C1154" s="126"/>
      <c r="D1154" s="127"/>
      <c r="E1154" s="124"/>
      <c r="F1154" s="132"/>
    </row>
    <row r="1155" spans="2:6">
      <c r="B1155" s="127"/>
      <c r="C1155" s="126"/>
      <c r="D1155" s="127"/>
      <c r="E1155" s="124"/>
      <c r="F1155" s="132"/>
    </row>
    <row r="1156" spans="2:6">
      <c r="B1156" s="127"/>
      <c r="C1156" s="126"/>
      <c r="D1156" s="127"/>
      <c r="E1156" s="124"/>
      <c r="F1156" s="132"/>
    </row>
    <row r="1157" spans="2:6">
      <c r="B1157" s="127"/>
      <c r="C1157" s="126"/>
      <c r="D1157" s="127"/>
      <c r="E1157" s="124"/>
      <c r="F1157" s="132"/>
    </row>
    <row r="1158" spans="2:6">
      <c r="B1158" s="127"/>
      <c r="C1158" s="126"/>
      <c r="D1158" s="127"/>
      <c r="E1158" s="124"/>
      <c r="F1158" s="132"/>
    </row>
    <row r="1159" spans="2:6">
      <c r="B1159" s="127"/>
      <c r="C1159" s="126"/>
      <c r="D1159" s="127"/>
      <c r="E1159" s="124"/>
      <c r="F1159" s="132"/>
    </row>
    <row r="1160" spans="2:6">
      <c r="B1160" s="127"/>
      <c r="C1160" s="126"/>
      <c r="D1160" s="127"/>
      <c r="E1160" s="124"/>
      <c r="F1160" s="132"/>
    </row>
    <row r="1161" spans="2:6">
      <c r="B1161" s="127"/>
      <c r="C1161" s="126"/>
      <c r="D1161" s="127"/>
      <c r="E1161" s="124"/>
      <c r="F1161" s="132"/>
    </row>
    <row r="1162" spans="2:6">
      <c r="B1162" s="127"/>
      <c r="C1162" s="126"/>
      <c r="D1162" s="127"/>
      <c r="E1162" s="124"/>
      <c r="F1162" s="132"/>
    </row>
    <row r="1163" spans="2:6">
      <c r="B1163" s="127"/>
      <c r="C1163" s="126"/>
      <c r="D1163" s="127"/>
      <c r="E1163" s="124"/>
      <c r="F1163" s="132"/>
    </row>
    <row r="1164" spans="2:6">
      <c r="B1164" s="127"/>
      <c r="C1164" s="126"/>
      <c r="D1164" s="127"/>
      <c r="E1164" s="124"/>
      <c r="F1164" s="132"/>
    </row>
    <row r="1165" spans="2:6">
      <c r="B1165" s="127"/>
      <c r="C1165" s="126"/>
      <c r="D1165" s="127"/>
      <c r="E1165" s="124"/>
      <c r="F1165" s="132"/>
    </row>
    <row r="1166" spans="2:6">
      <c r="B1166" s="127"/>
      <c r="C1166" s="126"/>
      <c r="D1166" s="127"/>
      <c r="E1166" s="124"/>
      <c r="F1166" s="132"/>
    </row>
    <row r="1167" spans="2:6">
      <c r="B1167" s="127"/>
      <c r="C1167" s="126"/>
      <c r="D1167" s="127"/>
      <c r="E1167" s="124"/>
      <c r="F1167" s="132"/>
    </row>
    <row r="1168" spans="2:6">
      <c r="B1168" s="127"/>
      <c r="C1168" s="126"/>
      <c r="D1168" s="127"/>
      <c r="E1168" s="124"/>
      <c r="F1168" s="132"/>
    </row>
    <row r="1169" spans="2:6">
      <c r="B1169" s="127"/>
      <c r="C1169" s="126"/>
      <c r="D1169" s="127"/>
      <c r="E1169" s="124"/>
      <c r="F1169" s="132"/>
    </row>
    <row r="1170" spans="2:6">
      <c r="B1170" s="127"/>
      <c r="C1170" s="126"/>
      <c r="D1170" s="127"/>
      <c r="E1170" s="124"/>
      <c r="F1170" s="132"/>
    </row>
    <row r="1171" spans="2:6">
      <c r="B1171" s="127"/>
      <c r="C1171" s="126"/>
      <c r="D1171" s="127"/>
      <c r="E1171" s="124"/>
      <c r="F1171" s="132"/>
    </row>
    <row r="1172" spans="2:6">
      <c r="B1172" s="127"/>
      <c r="C1172" s="126"/>
      <c r="D1172" s="127"/>
      <c r="E1172" s="124"/>
      <c r="F1172" s="132"/>
    </row>
    <row r="1173" spans="2:6">
      <c r="B1173" s="127"/>
      <c r="C1173" s="126"/>
      <c r="D1173" s="127"/>
      <c r="E1173" s="124"/>
      <c r="F1173" s="132"/>
    </row>
    <row r="1174" spans="2:6">
      <c r="B1174" s="127"/>
      <c r="C1174" s="126"/>
      <c r="D1174" s="127"/>
      <c r="E1174" s="124"/>
      <c r="F1174" s="132"/>
    </row>
    <row r="1175" spans="2:6">
      <c r="B1175" s="127"/>
      <c r="C1175" s="126"/>
      <c r="D1175" s="127"/>
      <c r="E1175" s="124"/>
      <c r="F1175" s="132"/>
    </row>
    <row r="1176" spans="2:6">
      <c r="B1176" s="127"/>
      <c r="C1176" s="126"/>
      <c r="D1176" s="127"/>
      <c r="E1176" s="124"/>
      <c r="F1176" s="132"/>
    </row>
    <row r="1177" spans="2:6">
      <c r="B1177" s="127"/>
      <c r="C1177" s="126"/>
      <c r="D1177" s="127"/>
      <c r="E1177" s="124"/>
      <c r="F1177" s="132"/>
    </row>
    <row r="1178" spans="2:6">
      <c r="B1178" s="127"/>
      <c r="C1178" s="126"/>
      <c r="D1178" s="127"/>
      <c r="E1178" s="124"/>
      <c r="F1178" s="132"/>
    </row>
    <row r="1179" spans="2:6">
      <c r="B1179" s="127"/>
      <c r="C1179" s="126"/>
      <c r="D1179" s="127"/>
      <c r="E1179" s="124"/>
      <c r="F1179" s="132"/>
    </row>
    <row r="1180" spans="2:6">
      <c r="B1180" s="127"/>
      <c r="C1180" s="126"/>
      <c r="D1180" s="127"/>
      <c r="E1180" s="124"/>
      <c r="F1180" s="132"/>
    </row>
    <row r="1181" spans="2:6">
      <c r="B1181" s="127"/>
      <c r="C1181" s="126"/>
      <c r="D1181" s="127"/>
      <c r="E1181" s="124"/>
      <c r="F1181" s="132"/>
    </row>
    <row r="1182" spans="2:6">
      <c r="B1182" s="127"/>
      <c r="C1182" s="126"/>
      <c r="D1182" s="127"/>
      <c r="E1182" s="124"/>
      <c r="F1182" s="132"/>
    </row>
    <row r="1183" spans="2:6">
      <c r="B1183" s="127"/>
      <c r="C1183" s="126"/>
      <c r="D1183" s="127"/>
      <c r="E1183" s="124"/>
      <c r="F1183" s="132"/>
    </row>
    <row r="1184" spans="2:6">
      <c r="B1184" s="127"/>
      <c r="C1184" s="126"/>
      <c r="D1184" s="127"/>
      <c r="E1184" s="124"/>
      <c r="F1184" s="132"/>
    </row>
    <row r="1185" spans="2:6">
      <c r="B1185" s="127"/>
      <c r="C1185" s="126"/>
      <c r="D1185" s="127"/>
      <c r="E1185" s="124"/>
      <c r="F1185" s="132"/>
    </row>
    <row r="1186" spans="2:6">
      <c r="B1186" s="127"/>
      <c r="C1186" s="126"/>
      <c r="D1186" s="127"/>
      <c r="E1186" s="124"/>
      <c r="F1186" s="132"/>
    </row>
    <row r="1187" spans="2:6">
      <c r="B1187" s="127"/>
      <c r="C1187" s="126"/>
      <c r="D1187" s="127"/>
      <c r="E1187" s="124"/>
      <c r="F1187" s="132"/>
    </row>
    <row r="1188" spans="2:6">
      <c r="B1188" s="127"/>
      <c r="C1188" s="126"/>
      <c r="D1188" s="127"/>
      <c r="E1188" s="124"/>
      <c r="F1188" s="132"/>
    </row>
    <row r="1189" spans="2:6">
      <c r="B1189" s="127"/>
      <c r="C1189" s="126"/>
      <c r="D1189" s="127"/>
      <c r="E1189" s="124"/>
      <c r="F1189" s="132"/>
    </row>
    <row r="1190" spans="2:6">
      <c r="B1190" s="127"/>
      <c r="C1190" s="126"/>
      <c r="D1190" s="127"/>
      <c r="E1190" s="124"/>
      <c r="F1190" s="132"/>
    </row>
    <row r="1191" spans="2:6">
      <c r="B1191" s="127"/>
      <c r="C1191" s="126"/>
      <c r="D1191" s="127"/>
      <c r="E1191" s="124"/>
      <c r="F1191" s="132"/>
    </row>
    <row r="1192" spans="2:6">
      <c r="B1192" s="127"/>
      <c r="C1192" s="126"/>
      <c r="D1192" s="127"/>
      <c r="E1192" s="124"/>
      <c r="F1192" s="132"/>
    </row>
    <row r="1193" spans="2:6">
      <c r="B1193" s="127"/>
      <c r="C1193" s="126"/>
      <c r="D1193" s="127"/>
      <c r="E1193" s="124"/>
      <c r="F1193" s="132"/>
    </row>
    <row r="1194" spans="2:6">
      <c r="B1194" s="127"/>
      <c r="C1194" s="126"/>
      <c r="D1194" s="127"/>
      <c r="E1194" s="124"/>
      <c r="F1194" s="132"/>
    </row>
    <row r="1195" spans="2:6">
      <c r="B1195" s="127"/>
      <c r="C1195" s="126"/>
      <c r="D1195" s="127"/>
      <c r="E1195" s="124"/>
      <c r="F1195" s="132"/>
    </row>
    <row r="1196" spans="2:6">
      <c r="B1196" s="127"/>
      <c r="C1196" s="126"/>
      <c r="D1196" s="127"/>
      <c r="E1196" s="124"/>
      <c r="F1196" s="128"/>
    </row>
    <row r="1197" spans="2:6">
      <c r="B1197" s="127"/>
      <c r="C1197" s="126"/>
      <c r="D1197" s="127"/>
      <c r="E1197" s="124"/>
      <c r="F1197" s="128"/>
    </row>
    <row r="1198" spans="2:6">
      <c r="C1198" s="133"/>
      <c r="D1198" s="133"/>
      <c r="E1198" s="134"/>
      <c r="F1198" s="135"/>
    </row>
    <row r="1199" spans="2:6">
      <c r="C1199" s="133"/>
      <c r="D1199" s="133"/>
      <c r="E1199" s="134"/>
      <c r="F1199" s="135"/>
    </row>
    <row r="1200" spans="2:6">
      <c r="C1200" s="133"/>
      <c r="D1200" s="133"/>
      <c r="E1200" s="134"/>
      <c r="F1200" s="135"/>
    </row>
    <row r="1201" spans="5:6">
      <c r="E1201" s="134"/>
      <c r="F1201" s="135"/>
    </row>
    <row r="1202" spans="5:6">
      <c r="E1202" s="134"/>
      <c r="F1202" s="135"/>
    </row>
  </sheetData>
  <sortState xmlns:xlrd2="http://schemas.microsoft.com/office/spreadsheetml/2017/richdata2" ref="B2:M927">
    <sortCondition ref="C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1:P28"/>
  <sheetViews>
    <sheetView topLeftCell="C1" workbookViewId="0">
      <selection activeCell="P28" sqref="P28"/>
    </sheetView>
  </sheetViews>
  <sheetFormatPr baseColWidth="10" defaultRowHeight="15"/>
  <cols>
    <col min="2" max="2" width="38.28515625" customWidth="1"/>
    <col min="6" max="15" width="6.28515625" customWidth="1"/>
    <col min="16" max="16" width="13.7109375" customWidth="1"/>
  </cols>
  <sheetData>
    <row r="1" spans="2:16">
      <c r="F1">
        <v>2011</v>
      </c>
      <c r="G1">
        <v>2012</v>
      </c>
      <c r="H1">
        <v>2013</v>
      </c>
      <c r="I1">
        <v>2014</v>
      </c>
      <c r="J1">
        <v>2015</v>
      </c>
      <c r="K1">
        <v>2016</v>
      </c>
      <c r="L1">
        <v>2017</v>
      </c>
      <c r="M1">
        <v>2018</v>
      </c>
      <c r="N1">
        <v>2019</v>
      </c>
      <c r="O1">
        <v>2020</v>
      </c>
      <c r="P1">
        <v>2021</v>
      </c>
    </row>
    <row r="2" spans="2:16">
      <c r="G2">
        <v>2.44</v>
      </c>
      <c r="H2">
        <v>1.94</v>
      </c>
      <c r="I2">
        <v>3.66</v>
      </c>
      <c r="J2">
        <v>6.77</v>
      </c>
      <c r="K2">
        <v>5.75</v>
      </c>
      <c r="L2">
        <v>4.09</v>
      </c>
      <c r="M2">
        <v>3.18</v>
      </c>
      <c r="N2">
        <v>3.8</v>
      </c>
      <c r="O2">
        <v>1.61</v>
      </c>
    </row>
    <row r="3" spans="2:16">
      <c r="B3" s="394" t="s">
        <v>4669</v>
      </c>
      <c r="C3" s="395" t="s">
        <v>3</v>
      </c>
      <c r="D3" s="396">
        <v>3</v>
      </c>
      <c r="E3">
        <v>188000</v>
      </c>
      <c r="G3">
        <f>1+(G2/100)</f>
        <v>1.0244</v>
      </c>
      <c r="H3">
        <f t="shared" ref="H3:O3" si="0">1+(H2/100)</f>
        <v>1.0194000000000001</v>
      </c>
      <c r="I3">
        <f t="shared" si="0"/>
        <v>1.0366</v>
      </c>
      <c r="J3">
        <f t="shared" si="0"/>
        <v>1.0677000000000001</v>
      </c>
      <c r="K3">
        <f t="shared" si="0"/>
        <v>1.0575000000000001</v>
      </c>
      <c r="L3">
        <f t="shared" si="0"/>
        <v>1.0408999999999999</v>
      </c>
      <c r="M3">
        <f t="shared" si="0"/>
        <v>1.0318000000000001</v>
      </c>
      <c r="N3">
        <f t="shared" si="0"/>
        <v>1.038</v>
      </c>
      <c r="O3">
        <f t="shared" si="0"/>
        <v>1.0161</v>
      </c>
      <c r="P3" s="397">
        <f>E3*$O$3*$N$3*$M$3*$L$3*$K$3*$J$3*$I$3*$H$3*$G$3</f>
        <v>260286.23924800893</v>
      </c>
    </row>
    <row r="4" spans="2:16">
      <c r="B4" s="394" t="s">
        <v>4670</v>
      </c>
      <c r="C4" s="395" t="s">
        <v>3</v>
      </c>
      <c r="D4" s="396">
        <v>4</v>
      </c>
      <c r="E4">
        <v>237000</v>
      </c>
      <c r="P4" s="397">
        <f t="shared" ref="P4:P24" si="1">E4*$O$3*$N$3*$M$3*$L$3*$K$3*$J$3*$I$3*$H$3*$G$3</f>
        <v>328126.80160520278</v>
      </c>
    </row>
    <row r="5" spans="2:16">
      <c r="B5" s="394" t="s">
        <v>4671</v>
      </c>
      <c r="C5" s="395" t="s">
        <v>3</v>
      </c>
      <c r="D5" s="396">
        <v>11</v>
      </c>
      <c r="E5">
        <v>517000</v>
      </c>
      <c r="P5" s="397">
        <f t="shared" si="1"/>
        <v>715787.15793202457</v>
      </c>
    </row>
    <row r="6" spans="2:16">
      <c r="B6" s="394" t="s">
        <v>4672</v>
      </c>
      <c r="C6" s="395" t="s">
        <v>3</v>
      </c>
      <c r="D6" s="396">
        <v>62</v>
      </c>
      <c r="E6">
        <v>499900</v>
      </c>
      <c r="P6" s="397">
        <f t="shared" si="1"/>
        <v>692112.18617063668</v>
      </c>
    </row>
    <row r="7" spans="2:16">
      <c r="B7" s="394" t="s">
        <v>4673</v>
      </c>
      <c r="C7" s="395" t="s">
        <v>3</v>
      </c>
      <c r="D7" s="396">
        <v>7</v>
      </c>
      <c r="E7">
        <v>1040000</v>
      </c>
      <c r="P7" s="397">
        <f t="shared" si="1"/>
        <v>1439881.3234996244</v>
      </c>
    </row>
    <row r="8" spans="2:16">
      <c r="B8" s="394" t="s">
        <v>4674</v>
      </c>
      <c r="C8" s="395" t="s">
        <v>3</v>
      </c>
      <c r="D8" s="396">
        <v>1870</v>
      </c>
      <c r="E8">
        <v>296600</v>
      </c>
      <c r="P8" s="397">
        <f t="shared" si="1"/>
        <v>410643.07745191205</v>
      </c>
    </row>
    <row r="9" spans="2:16">
      <c r="B9" s="394" t="s">
        <v>4675</v>
      </c>
      <c r="C9" s="395" t="s">
        <v>3</v>
      </c>
      <c r="D9" s="396">
        <v>206</v>
      </c>
      <c r="E9">
        <v>316000</v>
      </c>
      <c r="P9" s="397">
        <f t="shared" si="1"/>
        <v>437502.40214027034</v>
      </c>
    </row>
    <row r="10" spans="2:16">
      <c r="B10" s="394" t="s">
        <v>4676</v>
      </c>
      <c r="C10" s="395" t="s">
        <v>3</v>
      </c>
      <c r="D10" s="396">
        <v>78</v>
      </c>
      <c r="E10">
        <v>360000</v>
      </c>
      <c r="P10" s="397">
        <f t="shared" si="1"/>
        <v>498420.45813448523</v>
      </c>
    </row>
    <row r="11" spans="2:16">
      <c r="B11" s="394" t="s">
        <v>4677</v>
      </c>
      <c r="C11" s="395" t="s">
        <v>3</v>
      </c>
      <c r="D11" s="396">
        <v>1</v>
      </c>
      <c r="E11">
        <v>402000</v>
      </c>
      <c r="P11" s="397">
        <f t="shared" si="1"/>
        <v>556569.51158350857</v>
      </c>
    </row>
    <row r="12" spans="2:16">
      <c r="B12" s="394" t="s">
        <v>4678</v>
      </c>
      <c r="C12" s="395" t="s">
        <v>3</v>
      </c>
      <c r="D12" s="396">
        <v>166</v>
      </c>
      <c r="E12">
        <v>609000</v>
      </c>
      <c r="P12" s="397">
        <f t="shared" si="1"/>
        <v>843161.27501083759</v>
      </c>
    </row>
    <row r="13" spans="2:16">
      <c r="B13" s="394" t="s">
        <v>4679</v>
      </c>
      <c r="C13" s="395" t="s">
        <v>3</v>
      </c>
      <c r="D13" s="396">
        <v>3</v>
      </c>
      <c r="E13">
        <v>650000</v>
      </c>
      <c r="P13" s="397">
        <f t="shared" si="1"/>
        <v>899925.82718726492</v>
      </c>
    </row>
    <row r="14" spans="2:16">
      <c r="B14" s="394" t="s">
        <v>4680</v>
      </c>
      <c r="C14" s="395" t="s">
        <v>3</v>
      </c>
      <c r="D14" s="396">
        <v>46</v>
      </c>
      <c r="E14">
        <v>598000</v>
      </c>
      <c r="P14" s="397">
        <f t="shared" si="1"/>
        <v>827931.76101228409</v>
      </c>
    </row>
    <row r="15" spans="2:16">
      <c r="B15" s="394" t="s">
        <v>4681</v>
      </c>
      <c r="C15" s="395" t="s">
        <v>3</v>
      </c>
      <c r="D15" s="396">
        <v>165</v>
      </c>
      <c r="E15">
        <v>189000</v>
      </c>
      <c r="P15" s="397">
        <f t="shared" si="1"/>
        <v>261670.74052060477</v>
      </c>
    </row>
    <row r="16" spans="2:16">
      <c r="B16" s="394" t="s">
        <v>4682</v>
      </c>
      <c r="C16" s="395" t="s">
        <v>3</v>
      </c>
      <c r="D16" s="396">
        <v>3</v>
      </c>
      <c r="E16">
        <v>250000</v>
      </c>
      <c r="P16" s="397">
        <f t="shared" si="1"/>
        <v>346125.31814894808</v>
      </c>
    </row>
    <row r="17" spans="2:16">
      <c r="B17" s="394" t="s">
        <v>4683</v>
      </c>
      <c r="C17" s="395" t="s">
        <v>3</v>
      </c>
      <c r="D17" s="396">
        <v>1</v>
      </c>
      <c r="E17">
        <v>265200</v>
      </c>
      <c r="P17" s="397">
        <f t="shared" si="1"/>
        <v>367169.73749240406</v>
      </c>
    </row>
    <row r="18" spans="2:16">
      <c r="B18" s="394" t="s">
        <v>4684</v>
      </c>
      <c r="C18" s="395" t="s">
        <v>3</v>
      </c>
      <c r="D18" s="396">
        <v>10</v>
      </c>
      <c r="E18">
        <v>317000</v>
      </c>
      <c r="P18" s="397">
        <f t="shared" si="1"/>
        <v>438886.90341286629</v>
      </c>
    </row>
    <row r="19" spans="2:16">
      <c r="B19" s="394" t="s">
        <v>4685</v>
      </c>
      <c r="C19" s="395" t="s">
        <v>3</v>
      </c>
      <c r="D19" s="396">
        <v>2</v>
      </c>
      <c r="E19">
        <v>135200</v>
      </c>
      <c r="P19" s="397">
        <f t="shared" si="1"/>
        <v>187184.57205495116</v>
      </c>
    </row>
    <row r="20" spans="2:16">
      <c r="B20" s="394" t="s">
        <v>4686</v>
      </c>
      <c r="C20" s="395" t="s">
        <v>3</v>
      </c>
      <c r="D20" s="396">
        <v>6</v>
      </c>
      <c r="E20">
        <v>156200</v>
      </c>
      <c r="P20" s="397">
        <f t="shared" si="1"/>
        <v>216259.09877946277</v>
      </c>
    </row>
    <row r="21" spans="2:16">
      <c r="B21" s="394" t="s">
        <v>4687</v>
      </c>
      <c r="C21" s="395" t="s">
        <v>3</v>
      </c>
      <c r="D21" s="396">
        <v>9</v>
      </c>
      <c r="E21">
        <v>168900</v>
      </c>
      <c r="P21" s="397">
        <f t="shared" si="1"/>
        <v>233842.26494142937</v>
      </c>
    </row>
    <row r="22" spans="2:16">
      <c r="B22" s="382" t="s">
        <v>4730</v>
      </c>
      <c r="C22" s="395" t="s">
        <v>3</v>
      </c>
      <c r="D22" s="396">
        <v>9</v>
      </c>
      <c r="E22">
        <v>283000</v>
      </c>
      <c r="P22" s="397">
        <f t="shared" si="1"/>
        <v>391813.86014460918</v>
      </c>
    </row>
    <row r="23" spans="2:16">
      <c r="B23" s="382" t="s">
        <v>4731</v>
      </c>
      <c r="C23" s="395" t="s">
        <v>3</v>
      </c>
      <c r="D23" s="396">
        <v>9</v>
      </c>
      <c r="E23">
        <v>364000</v>
      </c>
      <c r="P23" s="397">
        <f t="shared" si="1"/>
        <v>503958.46322486852</v>
      </c>
    </row>
    <row r="24" spans="2:16">
      <c r="B24" s="394" t="s">
        <v>4732</v>
      </c>
      <c r="C24" s="395" t="s">
        <v>3</v>
      </c>
      <c r="D24" s="396">
        <v>9</v>
      </c>
      <c r="E24">
        <v>414000</v>
      </c>
      <c r="P24" s="397">
        <f t="shared" si="1"/>
        <v>573183.52685465815</v>
      </c>
    </row>
    <row r="25" spans="2:16">
      <c r="B25" s="394" t="s">
        <v>4787</v>
      </c>
      <c r="C25" s="395" t="s">
        <v>3</v>
      </c>
      <c r="D25" s="396">
        <v>9</v>
      </c>
      <c r="E25">
        <v>394000</v>
      </c>
      <c r="P25" s="397">
        <f t="shared" ref="P25" si="2">E25*$O$3*$N$3*$M$3*$L$3*$K$3*$J$3*$I$3*$H$3*$G$3</f>
        <v>545493.50140274223</v>
      </c>
    </row>
    <row r="26" spans="2:16">
      <c r="B26" s="394" t="s">
        <v>4794</v>
      </c>
      <c r="C26" s="395" t="s">
        <v>3</v>
      </c>
      <c r="D26" s="396"/>
      <c r="E26">
        <v>210000</v>
      </c>
      <c r="P26" s="397">
        <f t="shared" ref="P26" si="3">E26*$O$3*$N$3*$M$3*$L$3*$K$3*$J$3*$I$3*$H$3*$G$3</f>
        <v>290745.26724511635</v>
      </c>
    </row>
    <row r="27" spans="2:16">
      <c r="B27" s="394" t="s">
        <v>4796</v>
      </c>
      <c r="C27" s="395" t="s">
        <v>3</v>
      </c>
      <c r="D27" s="396"/>
      <c r="E27">
        <v>351000</v>
      </c>
      <c r="P27" s="397">
        <f t="shared" ref="P27:P28" si="4">E27*$O$3*$N$3*$M$3*$L$3*$K$3*$J$3*$I$3*$H$3*$G$3</f>
        <v>485959.94668112311</v>
      </c>
    </row>
    <row r="28" spans="2:16">
      <c r="B28" s="403" t="s">
        <v>4826</v>
      </c>
      <c r="C28" s="395" t="s">
        <v>3</v>
      </c>
      <c r="E28">
        <v>168000</v>
      </c>
      <c r="P28" s="397">
        <f t="shared" si="4"/>
        <v>232596.21379609313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tabColor theme="7" tint="0.39997558519241921"/>
  </sheetPr>
  <dimension ref="A1:V47"/>
  <sheetViews>
    <sheetView showGridLines="0" workbookViewId="0">
      <selection activeCell="A11" sqref="A11"/>
    </sheetView>
  </sheetViews>
  <sheetFormatPr baseColWidth="10" defaultColWidth="42.28515625" defaultRowHeight="14.25"/>
  <cols>
    <col min="1" max="1" width="42.28515625" style="4"/>
    <col min="2" max="2" width="23.42578125" style="4" bestFit="1" customWidth="1"/>
    <col min="3" max="3" width="13.28515625" style="4" customWidth="1"/>
    <col min="4" max="6" width="7.140625" style="4" bestFit="1" customWidth="1"/>
    <col min="7" max="9" width="11.5703125" style="4" bestFit="1" customWidth="1"/>
    <col min="10" max="10" width="13.28515625" style="4" bestFit="1" customWidth="1"/>
    <col min="11" max="14" width="11.5703125" style="4" bestFit="1" customWidth="1"/>
    <col min="15" max="16" width="7.140625" style="4" bestFit="1" customWidth="1"/>
    <col min="17" max="18" width="11.5703125" style="4" bestFit="1" customWidth="1"/>
    <col min="19" max="19" width="11" style="4" bestFit="1" customWidth="1"/>
    <col min="20" max="20" width="11.5703125" style="4" bestFit="1" customWidth="1"/>
    <col min="21" max="21" width="10.5703125" style="4" customWidth="1"/>
    <col min="22" max="22" width="14.5703125" style="4" customWidth="1"/>
    <col min="23" max="23" width="10.5703125" style="4" customWidth="1"/>
    <col min="24" max="24" width="14.28515625" style="4" customWidth="1"/>
    <col min="25" max="25" width="12.42578125" style="4" customWidth="1"/>
    <col min="26" max="16384" width="42.28515625" style="4"/>
  </cols>
  <sheetData>
    <row r="1" spans="1:22">
      <c r="A1" s="3"/>
      <c r="C1" s="4">
        <v>1.1000000000000001</v>
      </c>
      <c r="E1" s="3"/>
      <c r="F1" s="3"/>
      <c r="G1" s="3"/>
      <c r="H1" s="3"/>
    </row>
    <row r="2" spans="1:22" ht="45">
      <c r="A2" s="3"/>
      <c r="B2" s="58" t="s">
        <v>4183</v>
      </c>
      <c r="C2" s="58" t="s">
        <v>4165</v>
      </c>
      <c r="D2" s="58" t="s">
        <v>4166</v>
      </c>
      <c r="E2" s="58" t="s">
        <v>4167</v>
      </c>
      <c r="F2" s="58" t="s">
        <v>4168</v>
      </c>
      <c r="G2" s="58" t="s">
        <v>4169</v>
      </c>
      <c r="H2" s="58" t="s">
        <v>4170</v>
      </c>
      <c r="I2" s="58" t="s">
        <v>4171</v>
      </c>
      <c r="J2" s="58" t="s">
        <v>4172</v>
      </c>
      <c r="K2" s="58" t="s">
        <v>4173</v>
      </c>
      <c r="L2" s="58" t="s">
        <v>4174</v>
      </c>
      <c r="M2" s="58" t="s">
        <v>4175</v>
      </c>
      <c r="N2" s="58" t="s">
        <v>4176</v>
      </c>
      <c r="O2" s="58" t="s">
        <v>4177</v>
      </c>
      <c r="P2" s="58" t="s">
        <v>4178</v>
      </c>
      <c r="Q2" s="58" t="s">
        <v>4179</v>
      </c>
      <c r="R2" s="58" t="s">
        <v>4180</v>
      </c>
      <c r="S2" s="58" t="s">
        <v>4181</v>
      </c>
      <c r="T2" s="58" t="s">
        <v>4182</v>
      </c>
    </row>
    <row r="3" spans="1:22">
      <c r="A3" s="468" t="s">
        <v>8</v>
      </c>
      <c r="B3" s="60" t="s">
        <v>8</v>
      </c>
      <c r="C3" s="11" t="s">
        <v>8</v>
      </c>
      <c r="D3" s="11"/>
      <c r="E3" s="11"/>
      <c r="F3" s="11"/>
      <c r="G3" s="11"/>
      <c r="H3" s="11"/>
      <c r="I3" s="11"/>
      <c r="J3" s="11"/>
      <c r="K3" s="11"/>
      <c r="L3" s="11"/>
      <c r="M3" s="11"/>
      <c r="N3" s="11"/>
      <c r="O3" s="11"/>
      <c r="P3" s="11"/>
      <c r="Q3" s="11"/>
      <c r="R3" s="11"/>
      <c r="S3" s="11"/>
      <c r="T3" s="11"/>
    </row>
    <row r="4" spans="1:22">
      <c r="A4" s="468">
        <v>1000000</v>
      </c>
      <c r="B4" s="59" t="s">
        <v>4184</v>
      </c>
      <c r="C4" s="57">
        <f>A4*$C$1</f>
        <v>1100000</v>
      </c>
      <c r="D4" s="57">
        <v>0</v>
      </c>
      <c r="E4" s="57">
        <v>0</v>
      </c>
      <c r="F4" s="57">
        <v>0</v>
      </c>
      <c r="G4" s="57">
        <f>+IF(C4&gt;1562484,0,106454)</f>
        <v>106454</v>
      </c>
      <c r="H4" s="57">
        <f>+C4*0.04</f>
        <v>44000</v>
      </c>
      <c r="I4" s="57">
        <f>+C4*0.085</f>
        <v>93500</v>
      </c>
      <c r="J4" s="57">
        <f>0.12*C4+C4*0.0696</f>
        <v>208560</v>
      </c>
      <c r="K4" s="57">
        <f>+C4*0.02</f>
        <v>22000</v>
      </c>
      <c r="L4" s="57">
        <f>+C4*0.03</f>
        <v>33000</v>
      </c>
      <c r="M4" s="57">
        <f>'Presupuesto EPP'!$F$11*30</f>
        <v>324623.86833333335</v>
      </c>
      <c r="N4" s="57">
        <f>+SUM(C4:G4)*0.0833</f>
        <v>100497.6182</v>
      </c>
      <c r="O4" s="57">
        <v>0</v>
      </c>
      <c r="P4" s="57">
        <v>0</v>
      </c>
      <c r="Q4" s="57">
        <f>+C4*0.0417</f>
        <v>45870</v>
      </c>
      <c r="R4" s="57">
        <f>+SUM(C4:G4)*0.0833+SUM(C4:G4)*0.0833*0.01</f>
        <v>101502.594382</v>
      </c>
      <c r="S4" s="57">
        <f>+ROUND(SUM(C4:R4)/(8*30),0)</f>
        <v>9083</v>
      </c>
      <c r="T4" s="57">
        <f>+ROUND(S4*8,0)</f>
        <v>72664</v>
      </c>
      <c r="V4" s="57"/>
    </row>
    <row r="5" spans="1:22">
      <c r="A5" s="468">
        <v>1000000</v>
      </c>
      <c r="B5" s="59" t="s">
        <v>4185</v>
      </c>
      <c r="C5" s="57">
        <f t="shared" ref="C5:C21" si="0">A5*$C$1</f>
        <v>1100000</v>
      </c>
      <c r="D5" s="57">
        <v>0</v>
      </c>
      <c r="E5" s="57">
        <v>0</v>
      </c>
      <c r="F5" s="57">
        <v>0</v>
      </c>
      <c r="G5" s="57">
        <f t="shared" ref="G5:G21" si="1">+IF(C5&gt;1562484,0,106454)</f>
        <v>106454</v>
      </c>
      <c r="H5" s="57">
        <f t="shared" ref="H5:H21" si="2">+C5*0.04</f>
        <v>44000</v>
      </c>
      <c r="I5" s="57">
        <f t="shared" ref="I5:I21" si="3">+C5*0.085</f>
        <v>93500</v>
      </c>
      <c r="J5" s="57">
        <f t="shared" ref="J5:J21" si="4">0.12*C5+C5*0.0696</f>
        <v>208560</v>
      </c>
      <c r="K5" s="57">
        <f t="shared" ref="K5:K21" si="5">+C5*0.02</f>
        <v>22000</v>
      </c>
      <c r="L5" s="57">
        <f t="shared" ref="L5:L21" si="6">+C5*0.03</f>
        <v>33000</v>
      </c>
      <c r="M5" s="57">
        <f>'Presupuesto EPP'!$F$11*30</f>
        <v>324623.86833333335</v>
      </c>
      <c r="N5" s="57">
        <f t="shared" ref="N5:N21" si="7">+SUM(C5:G5)*0.0833</f>
        <v>100497.6182</v>
      </c>
      <c r="O5" s="57">
        <v>0</v>
      </c>
      <c r="P5" s="57">
        <v>0</v>
      </c>
      <c r="Q5" s="57">
        <f t="shared" ref="Q5:Q21" si="8">+C5*0.0417</f>
        <v>45870</v>
      </c>
      <c r="R5" s="57">
        <f t="shared" ref="R5:R21" si="9">+SUM(C5:G5)*0.0833+SUM(C5:G5)*0.0833*0.01</f>
        <v>101502.594382</v>
      </c>
      <c r="S5" s="57">
        <f t="shared" ref="S5:S21" si="10">+ROUND(SUM(C5:R5)/(8*30),0)</f>
        <v>9083</v>
      </c>
      <c r="T5" s="57">
        <f t="shared" ref="T5:T21" si="11">+ROUND(S5*8,0)</f>
        <v>72664</v>
      </c>
      <c r="V5" s="57"/>
    </row>
    <row r="6" spans="1:22">
      <c r="A6" s="468">
        <v>1000000</v>
      </c>
      <c r="B6" s="59" t="s">
        <v>4186</v>
      </c>
      <c r="C6" s="57">
        <f t="shared" si="0"/>
        <v>1100000</v>
      </c>
      <c r="D6" s="57">
        <v>0</v>
      </c>
      <c r="E6" s="57">
        <v>0</v>
      </c>
      <c r="F6" s="57">
        <v>0</v>
      </c>
      <c r="G6" s="57">
        <f t="shared" si="1"/>
        <v>106454</v>
      </c>
      <c r="H6" s="57">
        <f t="shared" si="2"/>
        <v>44000</v>
      </c>
      <c r="I6" s="57">
        <f t="shared" si="3"/>
        <v>93500</v>
      </c>
      <c r="J6" s="57">
        <f t="shared" si="4"/>
        <v>208560</v>
      </c>
      <c r="K6" s="57">
        <f t="shared" si="5"/>
        <v>22000</v>
      </c>
      <c r="L6" s="57">
        <f t="shared" si="6"/>
        <v>33000</v>
      </c>
      <c r="M6" s="57">
        <f>'Presupuesto EPP'!$F$11*30</f>
        <v>324623.86833333335</v>
      </c>
      <c r="N6" s="57">
        <f t="shared" si="7"/>
        <v>100497.6182</v>
      </c>
      <c r="O6" s="57">
        <v>0</v>
      </c>
      <c r="P6" s="57">
        <v>0</v>
      </c>
      <c r="Q6" s="57">
        <f t="shared" si="8"/>
        <v>45870</v>
      </c>
      <c r="R6" s="57">
        <f t="shared" si="9"/>
        <v>101502.594382</v>
      </c>
      <c r="S6" s="57">
        <f t="shared" si="10"/>
        <v>9083</v>
      </c>
      <c r="T6" s="57">
        <f t="shared" si="11"/>
        <v>72664</v>
      </c>
      <c r="V6" s="57"/>
    </row>
    <row r="7" spans="1:22">
      <c r="A7" s="468">
        <v>1000000</v>
      </c>
      <c r="B7" s="59" t="s">
        <v>4187</v>
      </c>
      <c r="C7" s="57">
        <f t="shared" si="0"/>
        <v>1100000</v>
      </c>
      <c r="D7" s="57">
        <v>0</v>
      </c>
      <c r="E7" s="57">
        <v>0</v>
      </c>
      <c r="F7" s="57">
        <v>0</v>
      </c>
      <c r="G7" s="57">
        <f t="shared" si="1"/>
        <v>106454</v>
      </c>
      <c r="H7" s="57">
        <f t="shared" si="2"/>
        <v>44000</v>
      </c>
      <c r="I7" s="57">
        <f t="shared" si="3"/>
        <v>93500</v>
      </c>
      <c r="J7" s="57">
        <f t="shared" si="4"/>
        <v>208560</v>
      </c>
      <c r="K7" s="57">
        <f t="shared" si="5"/>
        <v>22000</v>
      </c>
      <c r="L7" s="57">
        <f t="shared" si="6"/>
        <v>33000</v>
      </c>
      <c r="M7" s="57">
        <f>'Presupuesto EPP'!$F$11*30</f>
        <v>324623.86833333335</v>
      </c>
      <c r="N7" s="57">
        <f t="shared" si="7"/>
        <v>100497.6182</v>
      </c>
      <c r="O7" s="57">
        <v>0</v>
      </c>
      <c r="P7" s="57">
        <v>0</v>
      </c>
      <c r="Q7" s="57">
        <f t="shared" si="8"/>
        <v>45870</v>
      </c>
      <c r="R7" s="57">
        <f t="shared" si="9"/>
        <v>101502.594382</v>
      </c>
      <c r="S7" s="57">
        <f t="shared" si="10"/>
        <v>9083</v>
      </c>
      <c r="T7" s="57">
        <f t="shared" si="11"/>
        <v>72664</v>
      </c>
      <c r="V7" s="57"/>
    </row>
    <row r="8" spans="1:22">
      <c r="A8" s="468">
        <v>1000000</v>
      </c>
      <c r="B8" s="59" t="s">
        <v>4188</v>
      </c>
      <c r="C8" s="57">
        <f t="shared" si="0"/>
        <v>1100000</v>
      </c>
      <c r="D8" s="57">
        <v>0</v>
      </c>
      <c r="E8" s="57">
        <v>0</v>
      </c>
      <c r="F8" s="57">
        <v>0</v>
      </c>
      <c r="G8" s="57">
        <f t="shared" si="1"/>
        <v>106454</v>
      </c>
      <c r="H8" s="57">
        <f t="shared" si="2"/>
        <v>44000</v>
      </c>
      <c r="I8" s="57">
        <f t="shared" si="3"/>
        <v>93500</v>
      </c>
      <c r="J8" s="57">
        <f t="shared" si="4"/>
        <v>208560</v>
      </c>
      <c r="K8" s="57">
        <f t="shared" si="5"/>
        <v>22000</v>
      </c>
      <c r="L8" s="57">
        <f t="shared" si="6"/>
        <v>33000</v>
      </c>
      <c r="M8" s="57">
        <f>'Presupuesto EPP'!$F$11*30</f>
        <v>324623.86833333335</v>
      </c>
      <c r="N8" s="57">
        <f t="shared" si="7"/>
        <v>100497.6182</v>
      </c>
      <c r="O8" s="57">
        <v>0</v>
      </c>
      <c r="P8" s="57">
        <v>0</v>
      </c>
      <c r="Q8" s="57">
        <f t="shared" si="8"/>
        <v>45870</v>
      </c>
      <c r="R8" s="57">
        <f t="shared" si="9"/>
        <v>101502.594382</v>
      </c>
      <c r="S8" s="57">
        <f t="shared" si="10"/>
        <v>9083</v>
      </c>
      <c r="T8" s="57">
        <f t="shared" si="11"/>
        <v>72664</v>
      </c>
      <c r="V8" s="57"/>
    </row>
    <row r="9" spans="1:22">
      <c r="A9" s="468">
        <v>1000000</v>
      </c>
      <c r="B9" s="59" t="s">
        <v>4189</v>
      </c>
      <c r="C9" s="57">
        <f t="shared" si="0"/>
        <v>1100000</v>
      </c>
      <c r="D9" s="57">
        <v>0</v>
      </c>
      <c r="E9" s="57">
        <v>0</v>
      </c>
      <c r="F9" s="57">
        <v>0</v>
      </c>
      <c r="G9" s="57">
        <f t="shared" si="1"/>
        <v>106454</v>
      </c>
      <c r="H9" s="57">
        <f t="shared" si="2"/>
        <v>44000</v>
      </c>
      <c r="I9" s="57">
        <f t="shared" si="3"/>
        <v>93500</v>
      </c>
      <c r="J9" s="57">
        <f t="shared" si="4"/>
        <v>208560</v>
      </c>
      <c r="K9" s="57">
        <f t="shared" si="5"/>
        <v>22000</v>
      </c>
      <c r="L9" s="57">
        <f t="shared" si="6"/>
        <v>33000</v>
      </c>
      <c r="M9" s="57">
        <f>'Presupuesto EPP'!$F$11*30</f>
        <v>324623.86833333335</v>
      </c>
      <c r="N9" s="57">
        <f t="shared" si="7"/>
        <v>100497.6182</v>
      </c>
      <c r="O9" s="57">
        <v>0</v>
      </c>
      <c r="P9" s="57">
        <v>0</v>
      </c>
      <c r="Q9" s="57">
        <f t="shared" si="8"/>
        <v>45870</v>
      </c>
      <c r="R9" s="57">
        <f t="shared" si="9"/>
        <v>101502.594382</v>
      </c>
      <c r="S9" s="57">
        <f t="shared" si="10"/>
        <v>9083</v>
      </c>
      <c r="T9" s="57">
        <f t="shared" si="11"/>
        <v>72664</v>
      </c>
      <c r="V9" s="57"/>
    </row>
    <row r="10" spans="1:22">
      <c r="A10" s="468">
        <v>1000000</v>
      </c>
      <c r="B10" s="59" t="s">
        <v>4190</v>
      </c>
      <c r="C10" s="57">
        <f t="shared" si="0"/>
        <v>1100000</v>
      </c>
      <c r="D10" s="57">
        <v>0</v>
      </c>
      <c r="E10" s="57">
        <v>0</v>
      </c>
      <c r="F10" s="57">
        <v>0</v>
      </c>
      <c r="G10" s="57">
        <f t="shared" si="1"/>
        <v>106454</v>
      </c>
      <c r="H10" s="57">
        <f t="shared" si="2"/>
        <v>44000</v>
      </c>
      <c r="I10" s="57">
        <f t="shared" si="3"/>
        <v>93500</v>
      </c>
      <c r="J10" s="57">
        <f t="shared" si="4"/>
        <v>208560</v>
      </c>
      <c r="K10" s="57">
        <f t="shared" si="5"/>
        <v>22000</v>
      </c>
      <c r="L10" s="57">
        <f t="shared" si="6"/>
        <v>33000</v>
      </c>
      <c r="M10" s="57">
        <f>'Presupuesto EPP'!$F$11*30</f>
        <v>324623.86833333335</v>
      </c>
      <c r="N10" s="57">
        <f t="shared" si="7"/>
        <v>100497.6182</v>
      </c>
      <c r="O10" s="57">
        <v>0</v>
      </c>
      <c r="P10" s="57">
        <v>0</v>
      </c>
      <c r="Q10" s="57">
        <f t="shared" si="8"/>
        <v>45870</v>
      </c>
      <c r="R10" s="57">
        <f t="shared" si="9"/>
        <v>101502.594382</v>
      </c>
      <c r="S10" s="57">
        <f t="shared" si="10"/>
        <v>9083</v>
      </c>
      <c r="T10" s="57">
        <f t="shared" si="11"/>
        <v>72664</v>
      </c>
      <c r="V10" s="57"/>
    </row>
    <row r="11" spans="1:22">
      <c r="A11" s="468">
        <v>1000000</v>
      </c>
      <c r="B11" s="59" t="s">
        <v>4191</v>
      </c>
      <c r="C11" s="57">
        <f t="shared" si="0"/>
        <v>1100000</v>
      </c>
      <c r="D11" s="57">
        <v>0</v>
      </c>
      <c r="E11" s="57">
        <v>0</v>
      </c>
      <c r="F11" s="57">
        <v>0</v>
      </c>
      <c r="G11" s="57">
        <f t="shared" si="1"/>
        <v>106454</v>
      </c>
      <c r="H11" s="57">
        <f t="shared" si="2"/>
        <v>44000</v>
      </c>
      <c r="I11" s="57">
        <f t="shared" si="3"/>
        <v>93500</v>
      </c>
      <c r="J11" s="57">
        <f t="shared" si="4"/>
        <v>208560</v>
      </c>
      <c r="K11" s="57">
        <f t="shared" si="5"/>
        <v>22000</v>
      </c>
      <c r="L11" s="57">
        <f t="shared" si="6"/>
        <v>33000</v>
      </c>
      <c r="M11" s="57">
        <f>'Presupuesto EPP'!$F$11*30</f>
        <v>324623.86833333335</v>
      </c>
      <c r="N11" s="57">
        <f t="shared" si="7"/>
        <v>100497.6182</v>
      </c>
      <c r="O11" s="57">
        <v>0</v>
      </c>
      <c r="P11" s="57">
        <v>0</v>
      </c>
      <c r="Q11" s="57">
        <f t="shared" si="8"/>
        <v>45870</v>
      </c>
      <c r="R11" s="57">
        <f t="shared" si="9"/>
        <v>101502.594382</v>
      </c>
      <c r="S11" s="57">
        <f t="shared" si="10"/>
        <v>9083</v>
      </c>
      <c r="T11" s="57">
        <f t="shared" si="11"/>
        <v>72664</v>
      </c>
      <c r="V11" s="57"/>
    </row>
    <row r="12" spans="1:22">
      <c r="A12" s="468">
        <v>2500000</v>
      </c>
      <c r="B12" s="59" t="s">
        <v>1884</v>
      </c>
      <c r="C12" s="57">
        <f t="shared" si="0"/>
        <v>2750000</v>
      </c>
      <c r="D12" s="57">
        <v>0</v>
      </c>
      <c r="E12" s="57">
        <v>0</v>
      </c>
      <c r="F12" s="57">
        <v>0</v>
      </c>
      <c r="G12" s="57">
        <f t="shared" si="1"/>
        <v>0</v>
      </c>
      <c r="H12" s="57">
        <f t="shared" si="2"/>
        <v>110000</v>
      </c>
      <c r="I12" s="57">
        <f t="shared" si="3"/>
        <v>233750.00000000003</v>
      </c>
      <c r="J12" s="57">
        <f t="shared" si="4"/>
        <v>521400</v>
      </c>
      <c r="K12" s="57">
        <f t="shared" si="5"/>
        <v>55000</v>
      </c>
      <c r="L12" s="57">
        <f t="shared" si="6"/>
        <v>82500</v>
      </c>
      <c r="M12" s="57">
        <f>'Presupuesto EPP'!$F$11*30</f>
        <v>324623.86833333335</v>
      </c>
      <c r="N12" s="57">
        <f t="shared" si="7"/>
        <v>229075</v>
      </c>
      <c r="O12" s="57">
        <v>0</v>
      </c>
      <c r="P12" s="57">
        <v>0</v>
      </c>
      <c r="Q12" s="57">
        <f t="shared" si="8"/>
        <v>114675</v>
      </c>
      <c r="R12" s="57">
        <f t="shared" si="9"/>
        <v>231365.75</v>
      </c>
      <c r="S12" s="57">
        <f t="shared" si="10"/>
        <v>19385</v>
      </c>
      <c r="T12" s="57">
        <f t="shared" si="11"/>
        <v>155080</v>
      </c>
      <c r="V12" s="57"/>
    </row>
    <row r="13" spans="1:22">
      <c r="A13" s="468">
        <v>1400000</v>
      </c>
      <c r="B13" s="59" t="s">
        <v>4192</v>
      </c>
      <c r="C13" s="57">
        <f t="shared" si="0"/>
        <v>1540000.0000000002</v>
      </c>
      <c r="D13" s="57">
        <v>0</v>
      </c>
      <c r="E13" s="57">
        <v>0</v>
      </c>
      <c r="F13" s="57">
        <v>0</v>
      </c>
      <c r="G13" s="57">
        <f t="shared" si="1"/>
        <v>106454</v>
      </c>
      <c r="H13" s="57">
        <f t="shared" si="2"/>
        <v>61600.000000000007</v>
      </c>
      <c r="I13" s="57">
        <f t="shared" si="3"/>
        <v>130900.00000000003</v>
      </c>
      <c r="J13" s="57">
        <f t="shared" si="4"/>
        <v>291984.00000000006</v>
      </c>
      <c r="K13" s="57">
        <f t="shared" si="5"/>
        <v>30800.000000000004</v>
      </c>
      <c r="L13" s="57">
        <f t="shared" si="6"/>
        <v>46200.000000000007</v>
      </c>
      <c r="M13" s="57">
        <f>'Presupuesto EPP'!$F$11*30</f>
        <v>324623.86833333335</v>
      </c>
      <c r="N13" s="57">
        <f t="shared" si="7"/>
        <v>137149.61820000003</v>
      </c>
      <c r="O13" s="57">
        <v>0</v>
      </c>
      <c r="P13" s="57">
        <v>0</v>
      </c>
      <c r="Q13" s="57">
        <f t="shared" si="8"/>
        <v>64218.000000000015</v>
      </c>
      <c r="R13" s="57">
        <f t="shared" si="9"/>
        <v>138521.11438200003</v>
      </c>
      <c r="S13" s="57">
        <f t="shared" si="10"/>
        <v>11969</v>
      </c>
      <c r="T13" s="57">
        <f t="shared" si="11"/>
        <v>95752</v>
      </c>
      <c r="V13" s="57"/>
    </row>
    <row r="14" spans="1:22">
      <c r="A14" s="468">
        <v>5000000</v>
      </c>
      <c r="B14" s="59" t="s">
        <v>4193</v>
      </c>
      <c r="C14" s="57">
        <f t="shared" si="0"/>
        <v>5500000</v>
      </c>
      <c r="D14" s="57">
        <v>0</v>
      </c>
      <c r="E14" s="57">
        <v>0</v>
      </c>
      <c r="F14" s="57">
        <v>0</v>
      </c>
      <c r="G14" s="57">
        <f t="shared" si="1"/>
        <v>0</v>
      </c>
      <c r="H14" s="57">
        <f t="shared" si="2"/>
        <v>220000</v>
      </c>
      <c r="I14" s="57">
        <f t="shared" si="3"/>
        <v>467500.00000000006</v>
      </c>
      <c r="J14" s="57">
        <f t="shared" si="4"/>
        <v>1042800</v>
      </c>
      <c r="K14" s="57">
        <f t="shared" si="5"/>
        <v>110000</v>
      </c>
      <c r="L14" s="57">
        <f t="shared" si="6"/>
        <v>165000</v>
      </c>
      <c r="M14" s="57">
        <f>'Presupuesto EPP'!$F$11*30</f>
        <v>324623.86833333335</v>
      </c>
      <c r="N14" s="57">
        <f t="shared" si="7"/>
        <v>458150</v>
      </c>
      <c r="O14" s="57">
        <v>0</v>
      </c>
      <c r="P14" s="57">
        <v>0</v>
      </c>
      <c r="Q14" s="57">
        <f t="shared" si="8"/>
        <v>229350</v>
      </c>
      <c r="R14" s="57">
        <f t="shared" si="9"/>
        <v>462731.5</v>
      </c>
      <c r="S14" s="57">
        <f t="shared" si="10"/>
        <v>37417</v>
      </c>
      <c r="T14" s="57">
        <f t="shared" si="11"/>
        <v>299336</v>
      </c>
      <c r="V14" s="57"/>
    </row>
    <row r="15" spans="1:22">
      <c r="A15" s="468">
        <v>0</v>
      </c>
      <c r="B15" s="59" t="s">
        <v>4194</v>
      </c>
      <c r="C15" s="57">
        <f t="shared" si="0"/>
        <v>0</v>
      </c>
      <c r="D15" s="57">
        <v>0</v>
      </c>
      <c r="E15" s="57">
        <v>0</v>
      </c>
      <c r="F15" s="57">
        <v>0</v>
      </c>
      <c r="G15" s="57">
        <f t="shared" si="1"/>
        <v>106454</v>
      </c>
      <c r="H15" s="57">
        <f t="shared" si="2"/>
        <v>0</v>
      </c>
      <c r="I15" s="57">
        <f t="shared" si="3"/>
        <v>0</v>
      </c>
      <c r="J15" s="57">
        <f t="shared" si="4"/>
        <v>0</v>
      </c>
      <c r="K15" s="57">
        <f t="shared" si="5"/>
        <v>0</v>
      </c>
      <c r="L15" s="57">
        <f t="shared" si="6"/>
        <v>0</v>
      </c>
      <c r="M15" s="57">
        <f>'Presupuesto EPP'!$F$11*30</f>
        <v>324623.86833333335</v>
      </c>
      <c r="N15" s="57">
        <f t="shared" si="7"/>
        <v>8867.6182000000008</v>
      </c>
      <c r="O15" s="57">
        <v>0</v>
      </c>
      <c r="P15" s="57">
        <v>0</v>
      </c>
      <c r="Q15" s="57">
        <f t="shared" si="8"/>
        <v>0</v>
      </c>
      <c r="R15" s="57">
        <f t="shared" si="9"/>
        <v>8956.294382</v>
      </c>
      <c r="S15" s="57">
        <f t="shared" si="10"/>
        <v>1870</v>
      </c>
      <c r="T15" s="57">
        <f t="shared" si="11"/>
        <v>14960</v>
      </c>
      <c r="V15" s="57"/>
    </row>
    <row r="16" spans="1:22">
      <c r="A16" s="468">
        <v>0</v>
      </c>
      <c r="B16" s="59" t="s">
        <v>4195</v>
      </c>
      <c r="C16" s="57">
        <f t="shared" si="0"/>
        <v>0</v>
      </c>
      <c r="D16" s="57">
        <v>0</v>
      </c>
      <c r="E16" s="57">
        <v>0</v>
      </c>
      <c r="F16" s="57">
        <v>0</v>
      </c>
      <c r="G16" s="57">
        <f t="shared" si="1"/>
        <v>106454</v>
      </c>
      <c r="H16" s="57">
        <f t="shared" si="2"/>
        <v>0</v>
      </c>
      <c r="I16" s="57">
        <f t="shared" si="3"/>
        <v>0</v>
      </c>
      <c r="J16" s="57">
        <f t="shared" si="4"/>
        <v>0</v>
      </c>
      <c r="K16" s="57">
        <f t="shared" si="5"/>
        <v>0</v>
      </c>
      <c r="L16" s="57">
        <f t="shared" si="6"/>
        <v>0</v>
      </c>
      <c r="M16" s="57">
        <f>'Presupuesto EPP'!$F$11*30</f>
        <v>324623.86833333335</v>
      </c>
      <c r="N16" s="57">
        <f t="shared" si="7"/>
        <v>8867.6182000000008</v>
      </c>
      <c r="O16" s="57">
        <v>0</v>
      </c>
      <c r="P16" s="57">
        <v>0</v>
      </c>
      <c r="Q16" s="57">
        <f t="shared" si="8"/>
        <v>0</v>
      </c>
      <c r="R16" s="57">
        <f t="shared" si="9"/>
        <v>8956.294382</v>
      </c>
      <c r="S16" s="57">
        <f t="shared" si="10"/>
        <v>1870</v>
      </c>
      <c r="T16" s="57">
        <f t="shared" si="11"/>
        <v>14960</v>
      </c>
      <c r="V16" s="57"/>
    </row>
    <row r="17" spans="1:22">
      <c r="A17" s="468">
        <v>2700000</v>
      </c>
      <c r="B17" s="59" t="s">
        <v>4196</v>
      </c>
      <c r="C17" s="57">
        <f t="shared" si="0"/>
        <v>2970000.0000000005</v>
      </c>
      <c r="D17" s="57">
        <v>0</v>
      </c>
      <c r="E17" s="57">
        <v>0</v>
      </c>
      <c r="F17" s="57">
        <v>0</v>
      </c>
      <c r="G17" s="57">
        <f t="shared" si="1"/>
        <v>0</v>
      </c>
      <c r="H17" s="57">
        <f t="shared" si="2"/>
        <v>118800.00000000001</v>
      </c>
      <c r="I17" s="57">
        <f t="shared" si="3"/>
        <v>252450.00000000006</v>
      </c>
      <c r="J17" s="57">
        <f t="shared" si="4"/>
        <v>563112.00000000012</v>
      </c>
      <c r="K17" s="57">
        <f t="shared" si="5"/>
        <v>59400.000000000007</v>
      </c>
      <c r="L17" s="57">
        <f t="shared" si="6"/>
        <v>89100.000000000015</v>
      </c>
      <c r="M17" s="57">
        <f>'Presupuesto EPP'!$F$11*30</f>
        <v>324623.86833333335</v>
      </c>
      <c r="N17" s="57">
        <f t="shared" si="7"/>
        <v>247401.00000000003</v>
      </c>
      <c r="O17" s="57">
        <v>0</v>
      </c>
      <c r="P17" s="57">
        <v>0</v>
      </c>
      <c r="Q17" s="57">
        <f t="shared" si="8"/>
        <v>123849.00000000003</v>
      </c>
      <c r="R17" s="57">
        <f t="shared" si="9"/>
        <v>249875.01000000004</v>
      </c>
      <c r="S17" s="57">
        <f t="shared" si="10"/>
        <v>20828</v>
      </c>
      <c r="T17" s="57">
        <f t="shared" si="11"/>
        <v>166624</v>
      </c>
      <c r="V17" s="57"/>
    </row>
    <row r="18" spans="1:22">
      <c r="A18" s="468">
        <v>1900000</v>
      </c>
      <c r="B18" s="59" t="s">
        <v>4197</v>
      </c>
      <c r="C18" s="57">
        <f t="shared" si="0"/>
        <v>2090000.0000000002</v>
      </c>
      <c r="D18" s="57">
        <v>0</v>
      </c>
      <c r="E18" s="57">
        <v>0</v>
      </c>
      <c r="F18" s="57">
        <v>0</v>
      </c>
      <c r="G18" s="57">
        <f t="shared" si="1"/>
        <v>0</v>
      </c>
      <c r="H18" s="57">
        <f t="shared" si="2"/>
        <v>83600.000000000015</v>
      </c>
      <c r="I18" s="57">
        <f t="shared" si="3"/>
        <v>177650.00000000003</v>
      </c>
      <c r="J18" s="57">
        <f t="shared" si="4"/>
        <v>396264</v>
      </c>
      <c r="K18" s="57">
        <f t="shared" si="5"/>
        <v>41800.000000000007</v>
      </c>
      <c r="L18" s="57">
        <f t="shared" si="6"/>
        <v>62700.000000000007</v>
      </c>
      <c r="M18" s="57">
        <f>'Presupuesto EPP'!$F$11*30</f>
        <v>324623.86833333335</v>
      </c>
      <c r="N18" s="57">
        <f t="shared" si="7"/>
        <v>174097.00000000003</v>
      </c>
      <c r="O18" s="57">
        <v>0</v>
      </c>
      <c r="P18" s="57">
        <v>0</v>
      </c>
      <c r="Q18" s="57">
        <f t="shared" si="8"/>
        <v>87153.000000000015</v>
      </c>
      <c r="R18" s="57">
        <f t="shared" si="9"/>
        <v>175837.97000000003</v>
      </c>
      <c r="S18" s="57">
        <f t="shared" si="10"/>
        <v>15057</v>
      </c>
      <c r="T18" s="57">
        <f t="shared" si="11"/>
        <v>120456</v>
      </c>
      <c r="V18" s="57"/>
    </row>
    <row r="19" spans="1:22">
      <c r="A19" s="468">
        <v>1700000</v>
      </c>
      <c r="B19" s="59" t="s">
        <v>4198</v>
      </c>
      <c r="C19" s="57">
        <f t="shared" si="0"/>
        <v>1870000.0000000002</v>
      </c>
      <c r="D19" s="57">
        <v>0</v>
      </c>
      <c r="E19" s="57">
        <v>0</v>
      </c>
      <c r="F19" s="57">
        <v>0</v>
      </c>
      <c r="G19" s="57">
        <f t="shared" si="1"/>
        <v>0</v>
      </c>
      <c r="H19" s="57">
        <f t="shared" si="2"/>
        <v>74800.000000000015</v>
      </c>
      <c r="I19" s="57">
        <f t="shared" si="3"/>
        <v>158950.00000000003</v>
      </c>
      <c r="J19" s="57">
        <f t="shared" si="4"/>
        <v>354552</v>
      </c>
      <c r="K19" s="57">
        <f t="shared" si="5"/>
        <v>37400.000000000007</v>
      </c>
      <c r="L19" s="57">
        <f t="shared" si="6"/>
        <v>56100.000000000007</v>
      </c>
      <c r="M19" s="57">
        <f>'Presupuesto EPP'!$F$11*30</f>
        <v>324623.86833333335</v>
      </c>
      <c r="N19" s="57">
        <f t="shared" si="7"/>
        <v>155771.00000000003</v>
      </c>
      <c r="O19" s="57">
        <v>0</v>
      </c>
      <c r="P19" s="57">
        <v>0</v>
      </c>
      <c r="Q19" s="57">
        <f t="shared" si="8"/>
        <v>77979.000000000015</v>
      </c>
      <c r="R19" s="57">
        <f t="shared" si="9"/>
        <v>157328.71000000002</v>
      </c>
      <c r="S19" s="57">
        <f t="shared" si="10"/>
        <v>13615</v>
      </c>
      <c r="T19" s="57">
        <f t="shared" si="11"/>
        <v>108920</v>
      </c>
      <c r="V19" s="57"/>
    </row>
    <row r="20" spans="1:22">
      <c r="A20" s="468">
        <v>1700000</v>
      </c>
      <c r="B20" s="59" t="s">
        <v>4136</v>
      </c>
      <c r="C20" s="57">
        <f t="shared" si="0"/>
        <v>1870000.0000000002</v>
      </c>
      <c r="D20" s="57">
        <v>0</v>
      </c>
      <c r="E20" s="57">
        <v>0</v>
      </c>
      <c r="F20" s="57">
        <v>0</v>
      </c>
      <c r="G20" s="57">
        <f t="shared" si="1"/>
        <v>0</v>
      </c>
      <c r="H20" s="57">
        <f t="shared" si="2"/>
        <v>74800.000000000015</v>
      </c>
      <c r="I20" s="57">
        <f t="shared" si="3"/>
        <v>158950.00000000003</v>
      </c>
      <c r="J20" s="57">
        <f t="shared" si="4"/>
        <v>354552</v>
      </c>
      <c r="K20" s="57">
        <f t="shared" si="5"/>
        <v>37400.000000000007</v>
      </c>
      <c r="L20" s="57">
        <f t="shared" si="6"/>
        <v>56100.000000000007</v>
      </c>
      <c r="M20" s="57">
        <f>'Presupuesto EPP'!$F$11*30</f>
        <v>324623.86833333335</v>
      </c>
      <c r="N20" s="57">
        <f t="shared" si="7"/>
        <v>155771.00000000003</v>
      </c>
      <c r="O20" s="57">
        <v>0</v>
      </c>
      <c r="P20" s="57">
        <v>0</v>
      </c>
      <c r="Q20" s="57">
        <f t="shared" si="8"/>
        <v>77979.000000000015</v>
      </c>
      <c r="R20" s="57">
        <f t="shared" si="9"/>
        <v>157328.71000000002</v>
      </c>
      <c r="S20" s="57">
        <f t="shared" si="10"/>
        <v>13615</v>
      </c>
      <c r="T20" s="57">
        <f t="shared" si="11"/>
        <v>108920</v>
      </c>
      <c r="V20" s="57"/>
    </row>
    <row r="21" spans="1:22">
      <c r="A21" s="468">
        <v>908526</v>
      </c>
      <c r="B21" s="59" t="s">
        <v>4217</v>
      </c>
      <c r="C21" s="57">
        <f t="shared" si="0"/>
        <v>999378.60000000009</v>
      </c>
      <c r="D21" s="57">
        <v>0</v>
      </c>
      <c r="E21" s="57">
        <v>0</v>
      </c>
      <c r="F21" s="57">
        <v>0</v>
      </c>
      <c r="G21" s="57">
        <f t="shared" si="1"/>
        <v>106454</v>
      </c>
      <c r="H21" s="57">
        <f t="shared" si="2"/>
        <v>39975.144000000008</v>
      </c>
      <c r="I21" s="57">
        <f t="shared" si="3"/>
        <v>84947.181000000011</v>
      </c>
      <c r="J21" s="57">
        <f t="shared" si="4"/>
        <v>189482.18255999999</v>
      </c>
      <c r="K21" s="57">
        <f t="shared" si="5"/>
        <v>19987.572000000004</v>
      </c>
      <c r="L21" s="57">
        <f t="shared" si="6"/>
        <v>29981.358</v>
      </c>
      <c r="M21" s="57">
        <f>'Presupuesto EPP'!$F$11*30</f>
        <v>324623.86833333335</v>
      </c>
      <c r="N21" s="57">
        <f t="shared" si="7"/>
        <v>92115.855580000003</v>
      </c>
      <c r="O21" s="57">
        <v>0</v>
      </c>
      <c r="P21" s="57">
        <v>0</v>
      </c>
      <c r="Q21" s="57">
        <f t="shared" si="8"/>
        <v>41674.087620000006</v>
      </c>
      <c r="R21" s="57">
        <f t="shared" si="9"/>
        <v>93037.014135799996</v>
      </c>
      <c r="S21" s="57">
        <f t="shared" si="10"/>
        <v>8424</v>
      </c>
      <c r="T21" s="57">
        <f t="shared" si="11"/>
        <v>67392</v>
      </c>
      <c r="V21" s="57"/>
    </row>
    <row r="22" spans="1:22">
      <c r="A22" s="3"/>
      <c r="B22" s="3"/>
      <c r="C22" s="3"/>
      <c r="D22" s="3"/>
      <c r="E22" s="3"/>
      <c r="F22" s="3"/>
      <c r="G22" s="3"/>
      <c r="H22" s="3"/>
    </row>
    <row r="23" spans="1:22">
      <c r="A23" s="3"/>
      <c r="B23" s="3"/>
      <c r="C23" s="3"/>
      <c r="D23" s="3"/>
      <c r="E23" s="3"/>
      <c r="F23" s="3"/>
      <c r="G23" s="3"/>
      <c r="H23" s="3"/>
    </row>
    <row r="24" spans="1:22">
      <c r="A24" s="3"/>
      <c r="B24" s="3"/>
      <c r="C24" s="3"/>
      <c r="D24" s="3"/>
      <c r="E24" s="3"/>
      <c r="F24" s="3"/>
      <c r="G24" s="3"/>
      <c r="H24" s="3"/>
    </row>
    <row r="25" spans="1:22">
      <c r="A25" s="3"/>
      <c r="B25" s="3"/>
      <c r="C25" s="3"/>
      <c r="D25" s="3"/>
      <c r="E25" s="3"/>
      <c r="F25" s="3"/>
      <c r="G25" s="3"/>
      <c r="H25" s="3"/>
    </row>
    <row r="26" spans="1:22">
      <c r="A26" s="3"/>
      <c r="B26" s="3"/>
      <c r="C26" s="3"/>
      <c r="D26" s="3"/>
      <c r="E26" s="3"/>
      <c r="F26" s="3"/>
      <c r="G26" s="3"/>
      <c r="H26" s="3"/>
    </row>
    <row r="27" spans="1:22">
      <c r="A27" s="3"/>
      <c r="B27" s="3"/>
      <c r="C27" s="3"/>
      <c r="D27" s="3"/>
      <c r="E27" s="3"/>
      <c r="F27" s="3"/>
      <c r="G27" s="3"/>
      <c r="H27" s="3"/>
    </row>
    <row r="28" spans="1:22">
      <c r="A28" s="3"/>
      <c r="B28" s="3"/>
      <c r="C28" s="3"/>
      <c r="D28" s="3"/>
      <c r="E28" s="3"/>
      <c r="F28" s="3"/>
      <c r="G28" s="3"/>
      <c r="H28" s="3"/>
    </row>
    <row r="29" spans="1:22">
      <c r="A29" s="3"/>
      <c r="B29" s="3"/>
      <c r="C29" s="3"/>
      <c r="D29" s="3"/>
      <c r="E29" s="3"/>
      <c r="F29" s="3"/>
      <c r="G29" s="3"/>
      <c r="H29" s="3"/>
    </row>
    <row r="30" spans="1:22">
      <c r="A30" s="3"/>
      <c r="B30" s="3"/>
      <c r="C30" s="3"/>
      <c r="D30" s="3"/>
      <c r="E30" s="3"/>
      <c r="F30" s="3"/>
      <c r="G30" s="3"/>
      <c r="H30" s="3"/>
    </row>
    <row r="31" spans="1:22">
      <c r="A31" s="3"/>
      <c r="B31" s="3"/>
      <c r="C31" s="3"/>
      <c r="D31" s="3"/>
      <c r="E31" s="3"/>
      <c r="F31" s="3"/>
      <c r="G31" s="3"/>
      <c r="H31" s="3"/>
    </row>
    <row r="32" spans="1:22">
      <c r="A32" s="3"/>
      <c r="B32" s="3"/>
      <c r="C32" s="3"/>
      <c r="D32" s="3"/>
      <c r="E32" s="3"/>
      <c r="F32" s="3"/>
      <c r="G32" s="3"/>
      <c r="H32" s="3"/>
    </row>
    <row r="33" spans="1:8">
      <c r="A33" s="3"/>
      <c r="B33" s="3"/>
      <c r="C33" s="3"/>
      <c r="D33" s="3"/>
      <c r="E33" s="3"/>
      <c r="F33" s="3"/>
      <c r="G33" s="3"/>
      <c r="H33" s="3"/>
    </row>
    <row r="34" spans="1:8">
      <c r="A34" s="3"/>
      <c r="B34" s="3"/>
      <c r="C34" s="3"/>
      <c r="D34" s="3"/>
      <c r="E34" s="3"/>
      <c r="F34" s="3"/>
      <c r="G34" s="3"/>
      <c r="H34" s="3"/>
    </row>
    <row r="35" spans="1:8">
      <c r="A35" s="3"/>
      <c r="B35" s="3"/>
      <c r="C35" s="3"/>
      <c r="D35" s="3"/>
      <c r="E35" s="3"/>
      <c r="F35" s="3"/>
      <c r="G35" s="3"/>
      <c r="H35" s="3"/>
    </row>
    <row r="36" spans="1:8">
      <c r="A36" s="3"/>
      <c r="B36" s="3"/>
      <c r="C36" s="3"/>
      <c r="D36" s="3"/>
      <c r="E36" s="3"/>
      <c r="F36" s="3"/>
      <c r="G36" s="3"/>
      <c r="H36" s="3"/>
    </row>
    <row r="37" spans="1:8">
      <c r="A37" s="3"/>
      <c r="B37" s="3"/>
      <c r="C37" s="3"/>
      <c r="D37" s="3"/>
      <c r="E37" s="3"/>
      <c r="F37" s="3"/>
      <c r="G37" s="3"/>
      <c r="H37" s="3"/>
    </row>
    <row r="38" spans="1:8">
      <c r="A38" s="3"/>
      <c r="B38" s="3"/>
      <c r="C38" s="3"/>
      <c r="D38" s="3"/>
      <c r="E38" s="3"/>
      <c r="F38" s="3"/>
      <c r="G38" s="3"/>
      <c r="H38" s="3"/>
    </row>
    <row r="39" spans="1:8">
      <c r="A39" s="3"/>
      <c r="B39" s="3"/>
      <c r="C39" s="3"/>
      <c r="D39" s="3"/>
      <c r="E39" s="3"/>
      <c r="F39" s="3"/>
      <c r="G39" s="3"/>
      <c r="H39" s="3"/>
    </row>
    <row r="40" spans="1:8">
      <c r="A40" s="3"/>
      <c r="B40" s="3"/>
      <c r="C40" s="3"/>
      <c r="D40" s="3"/>
      <c r="E40" s="3"/>
      <c r="F40" s="3"/>
      <c r="G40" s="3"/>
      <c r="H40" s="3"/>
    </row>
    <row r="41" spans="1:8">
      <c r="A41" s="3"/>
      <c r="B41" s="3"/>
      <c r="C41" s="3"/>
      <c r="D41" s="3"/>
      <c r="E41" s="3"/>
      <c r="F41" s="3"/>
      <c r="G41" s="3"/>
      <c r="H41" s="3"/>
    </row>
    <row r="42" spans="1:8">
      <c r="A42" s="3"/>
      <c r="B42" s="3"/>
      <c r="C42" s="3"/>
      <c r="D42" s="3"/>
      <c r="E42" s="3"/>
      <c r="F42" s="3"/>
      <c r="G42" s="3"/>
      <c r="H42" s="3"/>
    </row>
    <row r="43" spans="1:8">
      <c r="A43" s="3"/>
      <c r="B43" s="3"/>
      <c r="C43" s="3"/>
      <c r="D43" s="3"/>
      <c r="E43" s="3"/>
      <c r="F43" s="3"/>
      <c r="G43" s="3"/>
      <c r="H43" s="3"/>
    </row>
    <row r="44" spans="1:8">
      <c r="A44" s="3"/>
      <c r="B44" s="3"/>
      <c r="C44" s="3"/>
      <c r="D44" s="3"/>
      <c r="E44" s="3"/>
      <c r="F44" s="3"/>
      <c r="G44" s="3"/>
      <c r="H44" s="3"/>
    </row>
    <row r="45" spans="1:8">
      <c r="A45" s="3"/>
      <c r="B45" s="3"/>
      <c r="C45" s="3"/>
      <c r="D45" s="3"/>
      <c r="E45" s="3"/>
      <c r="F45" s="3"/>
      <c r="G45" s="3"/>
      <c r="H45" s="3"/>
    </row>
    <row r="46" spans="1:8">
      <c r="A46" s="3"/>
      <c r="E46" s="3"/>
      <c r="F46" s="3"/>
      <c r="G46" s="3"/>
      <c r="H46" s="3"/>
    </row>
    <row r="47" spans="1:8">
      <c r="A47" s="3"/>
      <c r="E47" s="3"/>
      <c r="F47" s="3"/>
      <c r="G47" s="3"/>
      <c r="H47" s="3"/>
    </row>
  </sheetData>
  <conditionalFormatting sqref="B4:B21">
    <cfRule type="cellIs" dxfId="141" priority="2" stopIfTrue="1" operator="greaterThan">
      <formula>0</formula>
    </cfRule>
  </conditionalFormatting>
  <conditionalFormatting sqref="B6:B13">
    <cfRule type="duplicateValues" dxfId="140" priority="1"/>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
    <tabColor rgb="FF92D050"/>
  </sheetPr>
  <dimension ref="A1:I104"/>
  <sheetViews>
    <sheetView showGridLines="0" topLeftCell="A31" workbookViewId="0">
      <selection activeCell="B50" sqref="B50"/>
    </sheetView>
  </sheetViews>
  <sheetFormatPr baseColWidth="10" defaultRowHeight="15"/>
  <cols>
    <col min="1" max="1" width="5.140625" bestFit="1" customWidth="1"/>
    <col min="2" max="2" width="48.42578125" customWidth="1"/>
    <col min="3" max="3" width="5" style="5" bestFit="1" customWidth="1"/>
    <col min="4" max="4" width="14.85546875" customWidth="1"/>
    <col min="5" max="5" width="19.140625" customWidth="1"/>
    <col min="6" max="6" width="14.5703125" bestFit="1" customWidth="1"/>
    <col min="7" max="7" width="12" bestFit="1" customWidth="1"/>
    <col min="8" max="9" width="13" bestFit="1" customWidth="1"/>
  </cols>
  <sheetData>
    <row r="1" spans="1:8">
      <c r="A1" s="9" t="s">
        <v>3929</v>
      </c>
      <c r="B1" s="9" t="s">
        <v>3891</v>
      </c>
      <c r="C1" s="9" t="s">
        <v>3930</v>
      </c>
      <c r="D1" s="9" t="s">
        <v>3952</v>
      </c>
      <c r="E1" s="9" t="s">
        <v>3931</v>
      </c>
    </row>
    <row r="2" spans="1:8">
      <c r="A2" s="6"/>
      <c r="B2" s="6" t="s">
        <v>8</v>
      </c>
      <c r="C2" s="6"/>
      <c r="D2" s="6"/>
      <c r="E2" s="8">
        <v>0</v>
      </c>
    </row>
    <row r="3" spans="1:8">
      <c r="A3" s="10">
        <v>1</v>
      </c>
      <c r="B3" t="s">
        <v>3898</v>
      </c>
      <c r="C3" s="6" t="s">
        <v>3899</v>
      </c>
      <c r="D3" s="61">
        <f>+E3*0.025</f>
        <v>747.5</v>
      </c>
      <c r="E3" s="61">
        <v>29900</v>
      </c>
    </row>
    <row r="4" spans="1:8">
      <c r="A4" s="10">
        <f>A3+1</f>
        <v>2</v>
      </c>
      <c r="B4" s="1" t="s">
        <v>4163</v>
      </c>
      <c r="C4" s="6"/>
      <c r="D4" s="61">
        <f>E4*0.025</f>
        <v>50000</v>
      </c>
      <c r="E4" s="61">
        <v>2000000</v>
      </c>
    </row>
    <row r="5" spans="1:8">
      <c r="A5" s="10">
        <f t="shared" ref="A5:A68" si="0">A4+1</f>
        <v>3</v>
      </c>
      <c r="B5" s="1" t="s">
        <v>3949</v>
      </c>
      <c r="C5" s="6" t="s">
        <v>3907</v>
      </c>
      <c r="D5" s="61">
        <f>+E5*0.025</f>
        <v>120000</v>
      </c>
      <c r="E5" s="61">
        <v>4800000</v>
      </c>
    </row>
    <row r="6" spans="1:8">
      <c r="A6" s="10">
        <f t="shared" si="0"/>
        <v>4</v>
      </c>
      <c r="B6" s="1" t="s">
        <v>3915</v>
      </c>
      <c r="C6" s="6" t="s">
        <v>3901</v>
      </c>
      <c r="D6" s="61">
        <f>+E6*0.025</f>
        <v>64050</v>
      </c>
      <c r="E6" s="61">
        <v>2562000</v>
      </c>
    </row>
    <row r="7" spans="1:8">
      <c r="A7" s="10">
        <f t="shared" si="0"/>
        <v>5</v>
      </c>
      <c r="B7" s="1" t="s">
        <v>4154</v>
      </c>
      <c r="C7" s="6" t="s">
        <v>3901</v>
      </c>
      <c r="D7" s="61">
        <f>+E7*0.025</f>
        <v>6752</v>
      </c>
      <c r="E7" s="61">
        <f>6752/0.025</f>
        <v>270080</v>
      </c>
    </row>
    <row r="8" spans="1:8">
      <c r="A8" s="10">
        <f t="shared" si="0"/>
        <v>6</v>
      </c>
      <c r="B8" s="1" t="s">
        <v>3900</v>
      </c>
      <c r="C8" s="6" t="s">
        <v>3901</v>
      </c>
      <c r="D8" s="61">
        <f>+E8*0.025</f>
        <v>6500</v>
      </c>
      <c r="E8" s="61">
        <v>260000</v>
      </c>
      <c r="H8" s="7"/>
    </row>
    <row r="9" spans="1:8">
      <c r="A9" s="10">
        <f t="shared" si="0"/>
        <v>7</v>
      </c>
      <c r="B9" s="1" t="s">
        <v>4134</v>
      </c>
      <c r="C9" s="6" t="s">
        <v>3899</v>
      </c>
      <c r="D9" s="61">
        <f>E9*0.025</f>
        <v>96.714999999999975</v>
      </c>
      <c r="E9" s="61">
        <v>3868.599999999999</v>
      </c>
      <c r="H9" s="7"/>
    </row>
    <row r="10" spans="1:8">
      <c r="A10" s="10">
        <f t="shared" si="0"/>
        <v>8</v>
      </c>
      <c r="B10" s="1" t="s">
        <v>4146</v>
      </c>
      <c r="C10" s="6" t="s">
        <v>3899</v>
      </c>
      <c r="D10" s="61">
        <v>1625</v>
      </c>
      <c r="E10" s="61" t="s">
        <v>8</v>
      </c>
      <c r="H10" s="7"/>
    </row>
    <row r="11" spans="1:8">
      <c r="A11" s="10">
        <f t="shared" si="0"/>
        <v>9</v>
      </c>
      <c r="B11" s="1" t="s">
        <v>4106</v>
      </c>
      <c r="C11" s="6" t="s">
        <v>3899</v>
      </c>
      <c r="D11" s="61">
        <f>E11*0.025</f>
        <v>433.54999999999995</v>
      </c>
      <c r="E11" s="61">
        <v>17341.999999999996</v>
      </c>
      <c r="H11" s="7"/>
    </row>
    <row r="12" spans="1:8">
      <c r="A12" s="10">
        <f t="shared" si="0"/>
        <v>10</v>
      </c>
      <c r="B12" s="1" t="s">
        <v>3946</v>
      </c>
      <c r="C12" s="6" t="s">
        <v>3899</v>
      </c>
      <c r="D12" s="61">
        <f>+E12*0.025</f>
        <v>14130</v>
      </c>
      <c r="E12" s="61">
        <v>565200</v>
      </c>
      <c r="H12" s="7"/>
    </row>
    <row r="13" spans="1:8">
      <c r="A13" s="10">
        <f t="shared" si="0"/>
        <v>11</v>
      </c>
      <c r="B13" s="1" t="s">
        <v>3942</v>
      </c>
      <c r="C13" s="6" t="s">
        <v>3907</v>
      </c>
      <c r="D13" s="61">
        <f>+E13*0.025</f>
        <v>7247.5</v>
      </c>
      <c r="E13" s="61">
        <v>289900</v>
      </c>
      <c r="H13" s="7"/>
    </row>
    <row r="14" spans="1:8">
      <c r="A14" s="10">
        <f t="shared" si="0"/>
        <v>12</v>
      </c>
      <c r="B14" s="1" t="s">
        <v>4200</v>
      </c>
      <c r="C14" s="6"/>
      <c r="D14" s="61">
        <f>E14*0.025</f>
        <v>7500</v>
      </c>
      <c r="E14" s="61">
        <v>300000</v>
      </c>
    </row>
    <row r="15" spans="1:8">
      <c r="A15" s="10">
        <f t="shared" si="0"/>
        <v>13</v>
      </c>
      <c r="B15" s="1" t="s">
        <v>3892</v>
      </c>
      <c r="C15" s="6" t="s">
        <v>4102</v>
      </c>
      <c r="D15" s="61">
        <v>174000</v>
      </c>
      <c r="E15" s="61">
        <v>0</v>
      </c>
      <c r="H15" s="7"/>
    </row>
    <row r="16" spans="1:8">
      <c r="A16" s="10">
        <f t="shared" si="0"/>
        <v>14</v>
      </c>
      <c r="B16" s="1" t="s">
        <v>3893</v>
      </c>
      <c r="C16" s="6" t="s">
        <v>4102</v>
      </c>
      <c r="D16" s="61">
        <v>255199.99999999997</v>
      </c>
      <c r="E16" s="61">
        <v>0</v>
      </c>
      <c r="H16" s="7"/>
    </row>
    <row r="17" spans="1:8">
      <c r="A17" s="10">
        <f t="shared" si="0"/>
        <v>15</v>
      </c>
      <c r="B17" s="1" t="s">
        <v>3928</v>
      </c>
      <c r="C17" s="6" t="s">
        <v>4102</v>
      </c>
      <c r="D17" s="61">
        <v>160000</v>
      </c>
      <c r="E17" s="61">
        <v>0</v>
      </c>
      <c r="H17" s="7"/>
    </row>
    <row r="18" spans="1:8">
      <c r="A18" s="10">
        <f t="shared" si="0"/>
        <v>16</v>
      </c>
      <c r="B18" s="1" t="s">
        <v>4135</v>
      </c>
      <c r="C18" s="6" t="s">
        <v>3899</v>
      </c>
      <c r="D18" s="61">
        <f t="shared" ref="D18:D28" si="1">+E18*0.025</f>
        <v>2500</v>
      </c>
      <c r="E18" s="61">
        <v>100000</v>
      </c>
      <c r="H18" s="7"/>
    </row>
    <row r="19" spans="1:8">
      <c r="A19" s="10">
        <f t="shared" si="0"/>
        <v>17</v>
      </c>
      <c r="B19" s="1" t="s">
        <v>3934</v>
      </c>
      <c r="C19" s="6" t="s">
        <v>3899</v>
      </c>
      <c r="D19" s="61">
        <f t="shared" si="1"/>
        <v>310.5</v>
      </c>
      <c r="E19" s="61">
        <v>12420</v>
      </c>
    </row>
    <row r="20" spans="1:8">
      <c r="A20" s="10">
        <f t="shared" si="0"/>
        <v>18</v>
      </c>
      <c r="B20" s="1" t="s">
        <v>3935</v>
      </c>
      <c r="C20" s="6" t="s">
        <v>3899</v>
      </c>
      <c r="D20" s="61">
        <f t="shared" si="1"/>
        <v>594.65</v>
      </c>
      <c r="E20" s="61">
        <v>23785.999999999996</v>
      </c>
    </row>
    <row r="21" spans="1:8">
      <c r="A21" s="10">
        <f t="shared" si="0"/>
        <v>19</v>
      </c>
      <c r="B21" s="1" t="s">
        <v>3933</v>
      </c>
      <c r="C21" s="6" t="s">
        <v>3899</v>
      </c>
      <c r="D21" s="61">
        <f t="shared" si="1"/>
        <v>997.5</v>
      </c>
      <c r="E21" s="61">
        <v>39900</v>
      </c>
    </row>
    <row r="22" spans="1:8">
      <c r="A22" s="10">
        <f t="shared" si="0"/>
        <v>20</v>
      </c>
      <c r="B22" s="1" t="s">
        <v>3937</v>
      </c>
      <c r="C22" s="6" t="s">
        <v>3899</v>
      </c>
      <c r="D22" s="61">
        <f t="shared" si="1"/>
        <v>23750</v>
      </c>
      <c r="E22" s="61">
        <v>950000</v>
      </c>
    </row>
    <row r="23" spans="1:8">
      <c r="A23" s="10">
        <f t="shared" si="0"/>
        <v>21</v>
      </c>
      <c r="B23" s="1" t="s">
        <v>3916</v>
      </c>
      <c r="C23" s="6" t="s">
        <v>3899</v>
      </c>
      <c r="D23" s="61">
        <f t="shared" si="1"/>
        <v>122.5</v>
      </c>
      <c r="E23" s="61">
        <v>4900</v>
      </c>
    </row>
    <row r="24" spans="1:8">
      <c r="A24" s="10">
        <f t="shared" si="0"/>
        <v>22</v>
      </c>
      <c r="B24" s="1" t="s">
        <v>3948</v>
      </c>
      <c r="C24" s="6" t="s">
        <v>3899</v>
      </c>
      <c r="D24" s="61">
        <f t="shared" si="1"/>
        <v>997.5</v>
      </c>
      <c r="E24" s="61">
        <v>39900</v>
      </c>
    </row>
    <row r="25" spans="1:8">
      <c r="A25" s="10">
        <f t="shared" si="0"/>
        <v>23</v>
      </c>
      <c r="B25" s="1" t="s">
        <v>4129</v>
      </c>
      <c r="C25" s="6" t="s">
        <v>3901</v>
      </c>
      <c r="D25" s="61">
        <f t="shared" si="1"/>
        <v>178.52500000000001</v>
      </c>
      <c r="E25" s="61">
        <v>7141</v>
      </c>
    </row>
    <row r="26" spans="1:8">
      <c r="A26" s="10">
        <f t="shared" si="0"/>
        <v>24</v>
      </c>
      <c r="B26" s="1" t="s">
        <v>3945</v>
      </c>
      <c r="C26" s="6" t="s">
        <v>3901</v>
      </c>
      <c r="D26" s="61">
        <f t="shared" si="1"/>
        <v>1122.5</v>
      </c>
      <c r="E26" s="61">
        <v>44900</v>
      </c>
    </row>
    <row r="27" spans="1:8">
      <c r="A27" s="10">
        <f t="shared" si="0"/>
        <v>25</v>
      </c>
      <c r="B27" s="1" t="s">
        <v>3936</v>
      </c>
      <c r="C27" s="6" t="s">
        <v>3899</v>
      </c>
      <c r="D27" s="61">
        <f t="shared" si="1"/>
        <v>2122.5</v>
      </c>
      <c r="E27" s="61">
        <v>84900</v>
      </c>
    </row>
    <row r="28" spans="1:8">
      <c r="A28" s="10">
        <f t="shared" si="0"/>
        <v>26</v>
      </c>
      <c r="B28" s="1" t="s">
        <v>4131</v>
      </c>
      <c r="C28" s="6" t="s">
        <v>3901</v>
      </c>
      <c r="D28" s="61">
        <f t="shared" si="1"/>
        <v>1197.5</v>
      </c>
      <c r="E28" s="61">
        <v>47900</v>
      </c>
    </row>
    <row r="29" spans="1:8">
      <c r="A29" s="10">
        <f t="shared" si="0"/>
        <v>27</v>
      </c>
      <c r="B29" s="1" t="s">
        <v>4152</v>
      </c>
      <c r="C29" s="6" t="s">
        <v>3899</v>
      </c>
      <c r="D29" s="61">
        <v>35000</v>
      </c>
      <c r="E29" s="61" t="s">
        <v>8</v>
      </c>
    </row>
    <row r="30" spans="1:8">
      <c r="A30" s="10">
        <f t="shared" si="0"/>
        <v>28</v>
      </c>
      <c r="B30" s="1" t="s">
        <v>4130</v>
      </c>
      <c r="C30" s="6" t="s">
        <v>3901</v>
      </c>
      <c r="D30" s="61">
        <f>+E30*0.025</f>
        <v>1022.5</v>
      </c>
      <c r="E30" s="61">
        <v>40900</v>
      </c>
    </row>
    <row r="31" spans="1:8">
      <c r="A31" s="10">
        <f t="shared" si="0"/>
        <v>29</v>
      </c>
      <c r="B31" s="1" t="s">
        <v>3938</v>
      </c>
      <c r="C31" s="6" t="s">
        <v>3899</v>
      </c>
      <c r="D31" s="61">
        <f>+E31*0.025</f>
        <v>8890</v>
      </c>
      <c r="E31" s="61">
        <v>355600</v>
      </c>
    </row>
    <row r="32" spans="1:8">
      <c r="A32" s="10">
        <f t="shared" si="0"/>
        <v>30</v>
      </c>
      <c r="B32" s="1" t="s">
        <v>3939</v>
      </c>
      <c r="C32" s="6" t="s">
        <v>3899</v>
      </c>
      <c r="D32" s="61">
        <f>+E32*0.025</f>
        <v>797.5</v>
      </c>
      <c r="E32" s="61">
        <v>31900</v>
      </c>
    </row>
    <row r="33" spans="1:9">
      <c r="A33" s="10">
        <f t="shared" si="0"/>
        <v>31</v>
      </c>
      <c r="B33" s="1" t="s">
        <v>4143</v>
      </c>
      <c r="C33" s="6" t="s">
        <v>3899</v>
      </c>
      <c r="D33" s="61">
        <v>50000</v>
      </c>
      <c r="E33" s="61" t="s">
        <v>8</v>
      </c>
    </row>
    <row r="34" spans="1:9">
      <c r="A34" s="10">
        <f t="shared" si="0"/>
        <v>32</v>
      </c>
      <c r="B34" s="1" t="s">
        <v>4199</v>
      </c>
      <c r="C34" s="6" t="s">
        <v>3899</v>
      </c>
      <c r="D34" s="61">
        <f t="shared" ref="D34:D43" si="2">+E34*0.025</f>
        <v>625</v>
      </c>
      <c r="E34" s="61">
        <v>25000</v>
      </c>
    </row>
    <row r="35" spans="1:9">
      <c r="A35" s="10">
        <f t="shared" si="0"/>
        <v>33</v>
      </c>
      <c r="B35" s="1" t="s">
        <v>3902</v>
      </c>
      <c r="C35" s="6" t="s">
        <v>3899</v>
      </c>
      <c r="D35" s="61">
        <f t="shared" si="2"/>
        <v>1875</v>
      </c>
      <c r="E35" s="61">
        <v>75000</v>
      </c>
    </row>
    <row r="36" spans="1:9">
      <c r="A36" s="10">
        <f t="shared" si="0"/>
        <v>34</v>
      </c>
      <c r="B36" s="1" t="s">
        <v>4155</v>
      </c>
      <c r="C36" s="6" t="s">
        <v>3899</v>
      </c>
      <c r="D36" s="61">
        <f t="shared" si="2"/>
        <v>1200000</v>
      </c>
      <c r="E36" s="61">
        <f>1200000/0.025</f>
        <v>48000000</v>
      </c>
      <c r="F36" s="55">
        <v>1200000</v>
      </c>
      <c r="G36">
        <v>150000</v>
      </c>
      <c r="I36" s="7"/>
    </row>
    <row r="37" spans="1:9">
      <c r="A37" s="10">
        <f t="shared" si="0"/>
        <v>35</v>
      </c>
      <c r="B37" s="1" t="s">
        <v>4156</v>
      </c>
      <c r="C37" s="6" t="s">
        <v>3899</v>
      </c>
      <c r="D37" s="61">
        <f t="shared" si="2"/>
        <v>1800000</v>
      </c>
      <c r="E37" s="61">
        <f>1800000/0.025</f>
        <v>72000000</v>
      </c>
      <c r="F37" s="55">
        <v>1800000</v>
      </c>
    </row>
    <row r="38" spans="1:9">
      <c r="A38" s="10">
        <f t="shared" si="0"/>
        <v>36</v>
      </c>
      <c r="B38" s="1" t="s">
        <v>4157</v>
      </c>
      <c r="C38" s="6" t="s">
        <v>3899</v>
      </c>
      <c r="D38" s="61">
        <f t="shared" si="2"/>
        <v>960000</v>
      </c>
      <c r="E38" s="61">
        <f>960000/0.025</f>
        <v>38400000</v>
      </c>
      <c r="F38" s="55">
        <v>960000</v>
      </c>
    </row>
    <row r="39" spans="1:9">
      <c r="A39" s="10">
        <f t="shared" si="0"/>
        <v>37</v>
      </c>
      <c r="B39" s="1" t="s">
        <v>3904</v>
      </c>
      <c r="C39" s="6" t="s">
        <v>3899</v>
      </c>
      <c r="D39" s="61">
        <f t="shared" si="2"/>
        <v>26672.5</v>
      </c>
      <c r="E39" s="61">
        <v>1066900</v>
      </c>
    </row>
    <row r="40" spans="1:9">
      <c r="A40" s="10">
        <f t="shared" si="0"/>
        <v>38</v>
      </c>
      <c r="B40" s="1" t="s">
        <v>3903</v>
      </c>
      <c r="C40" s="6" t="s">
        <v>3899</v>
      </c>
      <c r="D40" s="61">
        <f t="shared" si="2"/>
        <v>7747.5</v>
      </c>
      <c r="E40" s="61">
        <v>309900</v>
      </c>
    </row>
    <row r="41" spans="1:9">
      <c r="A41" s="10">
        <f t="shared" si="0"/>
        <v>39</v>
      </c>
      <c r="B41" s="1" t="s">
        <v>3947</v>
      </c>
      <c r="C41" s="6" t="s">
        <v>3899</v>
      </c>
      <c r="D41" s="61">
        <f t="shared" si="2"/>
        <v>272.5</v>
      </c>
      <c r="E41" s="61">
        <v>10900</v>
      </c>
    </row>
    <row r="42" spans="1:9">
      <c r="A42" s="10">
        <f t="shared" si="0"/>
        <v>40</v>
      </c>
      <c r="B42" s="1" t="s">
        <v>4105</v>
      </c>
      <c r="C42" s="6" t="s">
        <v>3899</v>
      </c>
      <c r="D42" s="61">
        <f t="shared" si="2"/>
        <v>200.09999999999997</v>
      </c>
      <c r="E42" s="61">
        <v>8003.9999999999982</v>
      </c>
    </row>
    <row r="43" spans="1:9">
      <c r="A43" s="10">
        <f t="shared" si="0"/>
        <v>41</v>
      </c>
      <c r="B43" s="1" t="s">
        <v>3953</v>
      </c>
      <c r="C43" s="6" t="s">
        <v>3907</v>
      </c>
      <c r="D43" s="61">
        <f t="shared" si="2"/>
        <v>5022.5</v>
      </c>
      <c r="E43" s="61">
        <v>200900</v>
      </c>
    </row>
    <row r="44" spans="1:9">
      <c r="A44" s="10">
        <f t="shared" si="0"/>
        <v>42</v>
      </c>
      <c r="B44" s="1" t="s">
        <v>4205</v>
      </c>
      <c r="C44" s="6"/>
      <c r="D44" s="61">
        <f>E44*0.025</f>
        <v>904</v>
      </c>
      <c r="E44" s="61">
        <f>H44</f>
        <v>36160</v>
      </c>
      <c r="F44" s="56">
        <v>113</v>
      </c>
      <c r="G44" s="62">
        <f>F44*8</f>
        <v>904</v>
      </c>
      <c r="H44" s="62">
        <f>G44/0.025</f>
        <v>36160</v>
      </c>
    </row>
    <row r="45" spans="1:9">
      <c r="A45" s="10">
        <f t="shared" si="0"/>
        <v>43</v>
      </c>
      <c r="B45" s="64" t="s">
        <v>4206</v>
      </c>
      <c r="C45" s="6"/>
      <c r="D45" s="61">
        <f>E45*0.025</f>
        <v>5944</v>
      </c>
      <c r="E45" s="61">
        <f>H45</f>
        <v>237760</v>
      </c>
      <c r="F45" s="56">
        <v>743</v>
      </c>
      <c r="G45" s="62">
        <f>F45*8</f>
        <v>5944</v>
      </c>
      <c r="H45" s="62">
        <f>G45/0.025</f>
        <v>237760</v>
      </c>
    </row>
    <row r="46" spans="1:9">
      <c r="A46" s="10">
        <f t="shared" si="0"/>
        <v>44</v>
      </c>
      <c r="B46" s="65" t="s">
        <v>4207</v>
      </c>
      <c r="C46" s="6"/>
      <c r="D46" s="61">
        <f>E46*0.025</f>
        <v>4456</v>
      </c>
      <c r="E46" s="61">
        <f>H46</f>
        <v>178240</v>
      </c>
      <c r="F46" s="56">
        <v>557</v>
      </c>
      <c r="G46" s="62">
        <f>F46*8</f>
        <v>4456</v>
      </c>
      <c r="H46" s="62">
        <f>G46/0.025</f>
        <v>178240</v>
      </c>
    </row>
    <row r="47" spans="1:9">
      <c r="A47" s="10">
        <f t="shared" si="0"/>
        <v>45</v>
      </c>
      <c r="B47" s="1" t="s">
        <v>4208</v>
      </c>
      <c r="C47" s="6"/>
      <c r="D47" s="61">
        <f>E47*0.025</f>
        <v>8916</v>
      </c>
      <c r="E47" s="61">
        <f>H47</f>
        <v>356640</v>
      </c>
      <c r="F47" s="56">
        <v>1114.5</v>
      </c>
      <c r="G47" s="62">
        <f>F47*8</f>
        <v>8916</v>
      </c>
      <c r="H47" s="62">
        <f>G47/0.025</f>
        <v>356640</v>
      </c>
    </row>
    <row r="48" spans="1:9">
      <c r="A48" s="10">
        <f t="shared" si="0"/>
        <v>46</v>
      </c>
      <c r="B48" s="1" t="s">
        <v>4201</v>
      </c>
      <c r="C48" s="6"/>
      <c r="D48" s="61">
        <f>E48*0.025</f>
        <v>86664</v>
      </c>
      <c r="E48" s="61">
        <f>H48</f>
        <v>3466560</v>
      </c>
      <c r="F48" s="56">
        <v>10833</v>
      </c>
      <c r="G48" s="62">
        <f>F48*8</f>
        <v>86664</v>
      </c>
      <c r="H48" s="62">
        <f>G48/0.025</f>
        <v>3466560</v>
      </c>
    </row>
    <row r="49" spans="1:8">
      <c r="A49" s="10">
        <f t="shared" si="0"/>
        <v>47</v>
      </c>
      <c r="B49" s="1" t="s">
        <v>3951</v>
      </c>
      <c r="C49" s="6" t="s">
        <v>3899</v>
      </c>
      <c r="D49" s="61">
        <f>+E49*0.025</f>
        <v>30000</v>
      </c>
      <c r="E49" s="61">
        <v>1200000</v>
      </c>
    </row>
    <row r="50" spans="1:8">
      <c r="A50" s="10">
        <f t="shared" si="0"/>
        <v>48</v>
      </c>
      <c r="B50" s="1" t="s">
        <v>3894</v>
      </c>
      <c r="C50" s="6" t="s">
        <v>4102</v>
      </c>
      <c r="D50" s="61">
        <v>960000</v>
      </c>
      <c r="E50" s="61">
        <v>0</v>
      </c>
    </row>
    <row r="51" spans="1:8">
      <c r="A51" s="10">
        <f t="shared" si="0"/>
        <v>49</v>
      </c>
      <c r="B51" s="1" t="s">
        <v>3895</v>
      </c>
      <c r="C51" s="6" t="s">
        <v>4102</v>
      </c>
      <c r="D51" s="61">
        <v>960000</v>
      </c>
      <c r="E51" s="61">
        <v>0</v>
      </c>
    </row>
    <row r="52" spans="1:8">
      <c r="A52" s="10">
        <f t="shared" si="0"/>
        <v>50</v>
      </c>
      <c r="B52" s="1" t="s">
        <v>4162</v>
      </c>
      <c r="C52" s="6" t="s">
        <v>3899</v>
      </c>
      <c r="D52" s="61">
        <f t="shared" ref="D52:D57" si="3">+E52*0.025</f>
        <v>20000</v>
      </c>
      <c r="E52" s="61">
        <v>800000</v>
      </c>
    </row>
    <row r="53" spans="1:8">
      <c r="A53" s="10">
        <f t="shared" si="0"/>
        <v>51</v>
      </c>
      <c r="B53" s="1" t="s">
        <v>4153</v>
      </c>
      <c r="C53" s="6"/>
      <c r="D53" s="61">
        <f t="shared" si="3"/>
        <v>1075</v>
      </c>
      <c r="E53" s="61">
        <v>43000</v>
      </c>
    </row>
    <row r="54" spans="1:8">
      <c r="A54" s="10">
        <f t="shared" si="0"/>
        <v>52</v>
      </c>
      <c r="B54" s="66" t="s">
        <v>4158</v>
      </c>
      <c r="C54" s="6" t="s">
        <v>3899</v>
      </c>
      <c r="D54" s="61">
        <f t="shared" si="3"/>
        <v>5000</v>
      </c>
      <c r="E54" s="61">
        <f>5000/0.025</f>
        <v>200000</v>
      </c>
    </row>
    <row r="55" spans="1:8">
      <c r="A55" s="10">
        <f t="shared" si="0"/>
        <v>53</v>
      </c>
      <c r="B55" s="1" t="s">
        <v>4103</v>
      </c>
      <c r="C55" s="6" t="s">
        <v>3899</v>
      </c>
      <c r="D55" s="61">
        <f t="shared" si="3"/>
        <v>125</v>
      </c>
      <c r="E55" s="61">
        <v>5000</v>
      </c>
    </row>
    <row r="56" spans="1:8">
      <c r="A56" s="10">
        <f t="shared" si="0"/>
        <v>54</v>
      </c>
      <c r="B56" s="1" t="s">
        <v>3940</v>
      </c>
      <c r="C56" s="6" t="s">
        <v>3899</v>
      </c>
      <c r="D56" s="61">
        <f t="shared" si="3"/>
        <v>297.5</v>
      </c>
      <c r="E56" s="61">
        <v>11900</v>
      </c>
    </row>
    <row r="57" spans="1:8">
      <c r="A57" s="10">
        <f t="shared" si="0"/>
        <v>55</v>
      </c>
      <c r="B57" s="1" t="s">
        <v>3943</v>
      </c>
      <c r="C57" s="6" t="s">
        <v>3899</v>
      </c>
      <c r="D57" s="61">
        <f t="shared" si="3"/>
        <v>4997.5</v>
      </c>
      <c r="E57" s="61">
        <v>199900</v>
      </c>
    </row>
    <row r="58" spans="1:8">
      <c r="A58" s="10">
        <f t="shared" si="0"/>
        <v>56</v>
      </c>
      <c r="B58" s="1" t="s">
        <v>4164</v>
      </c>
      <c r="C58" s="6"/>
      <c r="D58" s="61">
        <f>E58*0.025</f>
        <v>25000</v>
      </c>
      <c r="E58" s="61">
        <v>1000000</v>
      </c>
    </row>
    <row r="59" spans="1:8">
      <c r="A59" s="10">
        <f t="shared" si="0"/>
        <v>57</v>
      </c>
      <c r="B59" s="1" t="s">
        <v>4140</v>
      </c>
      <c r="C59" s="6" t="s">
        <v>3899</v>
      </c>
      <c r="D59" s="61">
        <v>272.5</v>
      </c>
      <c r="E59" s="61">
        <v>0</v>
      </c>
    </row>
    <row r="60" spans="1:8">
      <c r="A60" s="10">
        <f t="shared" si="0"/>
        <v>58</v>
      </c>
      <c r="B60" s="1" t="s">
        <v>4141</v>
      </c>
      <c r="C60" s="6" t="s">
        <v>3899</v>
      </c>
      <c r="D60" s="61">
        <v>272.5</v>
      </c>
      <c r="E60" s="61">
        <v>0</v>
      </c>
    </row>
    <row r="61" spans="1:8">
      <c r="A61" s="10">
        <f t="shared" si="0"/>
        <v>59</v>
      </c>
      <c r="B61" s="1" t="s">
        <v>3905</v>
      </c>
      <c r="C61" s="6" t="s">
        <v>3899</v>
      </c>
      <c r="D61" s="61">
        <f>+E61*0.025</f>
        <v>2372.5</v>
      </c>
      <c r="E61" s="61">
        <v>94900</v>
      </c>
    </row>
    <row r="62" spans="1:8">
      <c r="A62" s="10">
        <f t="shared" si="0"/>
        <v>60</v>
      </c>
      <c r="B62" s="1" t="s">
        <v>4204</v>
      </c>
      <c r="C62" s="6"/>
      <c r="D62" s="61">
        <f>E62*0.025</f>
        <v>5000</v>
      </c>
      <c r="E62" s="61">
        <v>200000</v>
      </c>
      <c r="F62" s="56"/>
      <c r="G62" s="62">
        <f>F62*8</f>
        <v>0</v>
      </c>
      <c r="H62" s="62">
        <f>G62/0.025</f>
        <v>0</v>
      </c>
    </row>
    <row r="63" spans="1:8">
      <c r="A63" s="10">
        <f t="shared" si="0"/>
        <v>61</v>
      </c>
      <c r="B63" s="1" t="s">
        <v>4132</v>
      </c>
      <c r="C63" s="6" t="s">
        <v>3899</v>
      </c>
      <c r="D63" s="61">
        <f>+E63*0.025</f>
        <v>50</v>
      </c>
      <c r="E63" s="61">
        <f>2000</f>
        <v>2000</v>
      </c>
    </row>
    <row r="64" spans="1:8">
      <c r="A64" s="10">
        <f t="shared" si="0"/>
        <v>62</v>
      </c>
      <c r="B64" s="1" t="s">
        <v>3920</v>
      </c>
      <c r="C64" s="6" t="s">
        <v>3899</v>
      </c>
      <c r="D64" s="61">
        <f>+E64*0.025</f>
        <v>45000</v>
      </c>
      <c r="E64" s="61">
        <v>1800000</v>
      </c>
    </row>
    <row r="65" spans="1:8">
      <c r="A65" s="10">
        <f t="shared" si="0"/>
        <v>63</v>
      </c>
      <c r="B65" s="1" t="s">
        <v>3906</v>
      </c>
      <c r="C65" s="6" t="s">
        <v>3899</v>
      </c>
      <c r="D65" s="61">
        <f>+E65*0.025</f>
        <v>497.5</v>
      </c>
      <c r="E65" s="61">
        <v>19900</v>
      </c>
    </row>
    <row r="66" spans="1:8">
      <c r="A66" s="10">
        <f t="shared" si="0"/>
        <v>64</v>
      </c>
      <c r="B66" s="1" t="s">
        <v>4145</v>
      </c>
      <c r="C66" s="6" t="s">
        <v>3899</v>
      </c>
      <c r="D66" s="61">
        <f>E66*0.025</f>
        <v>130000</v>
      </c>
      <c r="E66" s="61">
        <v>5200000</v>
      </c>
    </row>
    <row r="67" spans="1:8">
      <c r="A67" s="10">
        <f t="shared" si="0"/>
        <v>65</v>
      </c>
      <c r="B67" s="1" t="s">
        <v>3944</v>
      </c>
      <c r="C67" s="6" t="s">
        <v>3907</v>
      </c>
      <c r="D67" s="61">
        <f>+E67*0.025</f>
        <v>56250</v>
      </c>
      <c r="E67" s="61">
        <v>2250000</v>
      </c>
      <c r="F67">
        <v>75000</v>
      </c>
    </row>
    <row r="68" spans="1:8">
      <c r="A68" s="10">
        <f t="shared" si="0"/>
        <v>66</v>
      </c>
      <c r="B68" s="1" t="s">
        <v>3932</v>
      </c>
      <c r="C68" s="6" t="s">
        <v>3899</v>
      </c>
      <c r="D68" s="61">
        <f>+E68*0.025</f>
        <v>497.5</v>
      </c>
      <c r="E68" s="61">
        <v>19900</v>
      </c>
    </row>
    <row r="69" spans="1:8">
      <c r="A69" s="10">
        <f t="shared" ref="A69:A104" si="4">A68+1</f>
        <v>67</v>
      </c>
      <c r="B69" s="1" t="s">
        <v>4142</v>
      </c>
      <c r="C69" s="6" t="s">
        <v>3907</v>
      </c>
      <c r="D69" s="61">
        <v>75000</v>
      </c>
      <c r="E69" s="61" t="s">
        <v>8</v>
      </c>
    </row>
    <row r="70" spans="1:8">
      <c r="A70" s="10">
        <f t="shared" si="4"/>
        <v>68</v>
      </c>
      <c r="B70" s="1" t="s">
        <v>3950</v>
      </c>
      <c r="C70" s="6" t="s">
        <v>3907</v>
      </c>
      <c r="D70" s="61">
        <f>+E70*0.025</f>
        <v>7080</v>
      </c>
      <c r="E70" s="61">
        <v>283200</v>
      </c>
    </row>
    <row r="71" spans="1:8">
      <c r="A71" s="10">
        <f t="shared" si="4"/>
        <v>69</v>
      </c>
      <c r="B71" s="1" t="s">
        <v>4138</v>
      </c>
      <c r="C71" s="6" t="s">
        <v>3899</v>
      </c>
      <c r="D71" s="61">
        <f>+E71*0.025</f>
        <v>1697.5</v>
      </c>
      <c r="E71" s="61">
        <v>67900</v>
      </c>
    </row>
    <row r="72" spans="1:8">
      <c r="A72" s="10">
        <f t="shared" si="4"/>
        <v>70</v>
      </c>
      <c r="B72" s="1" t="s">
        <v>4137</v>
      </c>
      <c r="C72" s="6" t="s">
        <v>3899</v>
      </c>
      <c r="D72" s="61">
        <v>722</v>
      </c>
      <c r="E72" s="61"/>
    </row>
    <row r="73" spans="1:8">
      <c r="A73" s="10">
        <f t="shared" si="4"/>
        <v>71</v>
      </c>
      <c r="B73" s="1" t="s">
        <v>4159</v>
      </c>
      <c r="C73" s="6" t="s">
        <v>3899</v>
      </c>
      <c r="D73" s="61">
        <f>+E73*0.025</f>
        <v>55000</v>
      </c>
      <c r="E73" s="61">
        <f>55000/0.025</f>
        <v>2200000</v>
      </c>
      <c r="F73">
        <v>55000</v>
      </c>
    </row>
    <row r="74" spans="1:8">
      <c r="A74" s="10">
        <f t="shared" si="4"/>
        <v>72</v>
      </c>
      <c r="B74" s="1" t="s">
        <v>3921</v>
      </c>
      <c r="C74" s="6" t="s">
        <v>3899</v>
      </c>
      <c r="D74" s="61">
        <f>+E74*0.025</f>
        <v>222.5</v>
      </c>
      <c r="E74" s="61">
        <v>8900</v>
      </c>
    </row>
    <row r="75" spans="1:8">
      <c r="A75" s="10">
        <f t="shared" si="4"/>
        <v>73</v>
      </c>
      <c r="B75" s="1" t="s">
        <v>3917</v>
      </c>
      <c r="C75" s="6" t="s">
        <v>3899</v>
      </c>
      <c r="D75" s="61">
        <f>+E75*0.025</f>
        <v>347.5</v>
      </c>
      <c r="E75" s="61">
        <v>13900</v>
      </c>
    </row>
    <row r="76" spans="1:8">
      <c r="A76" s="10">
        <f t="shared" si="4"/>
        <v>74</v>
      </c>
      <c r="B76" s="1" t="s">
        <v>4202</v>
      </c>
      <c r="C76" s="6"/>
      <c r="D76" s="61">
        <f>E76*0.025</f>
        <v>4504</v>
      </c>
      <c r="E76" s="61">
        <f>H76</f>
        <v>180160</v>
      </c>
      <c r="F76" s="56">
        <v>563</v>
      </c>
      <c r="G76" s="62">
        <f>F76*8</f>
        <v>4504</v>
      </c>
      <c r="H76" s="62">
        <f>G76/0.025</f>
        <v>180160</v>
      </c>
    </row>
    <row r="77" spans="1:8" ht="30">
      <c r="A77" s="10">
        <f t="shared" si="4"/>
        <v>75</v>
      </c>
      <c r="B77" s="63" t="s">
        <v>4203</v>
      </c>
      <c r="C77" s="6"/>
      <c r="D77" s="61">
        <f>E77*0.025</f>
        <v>76666.666666666672</v>
      </c>
      <c r="E77" s="61">
        <f>H77</f>
        <v>3066666.6666666665</v>
      </c>
      <c r="F77" s="56">
        <v>9583.3333333333339</v>
      </c>
      <c r="G77" s="62">
        <f>F77*8</f>
        <v>76666.666666666672</v>
      </c>
      <c r="H77" s="62">
        <f>G77/0.025</f>
        <v>3066666.6666666665</v>
      </c>
    </row>
    <row r="78" spans="1:8">
      <c r="A78" s="10">
        <f t="shared" si="4"/>
        <v>76</v>
      </c>
      <c r="B78" s="1" t="s">
        <v>4107</v>
      </c>
      <c r="C78" s="6" t="s">
        <v>3899</v>
      </c>
      <c r="D78" s="61">
        <f t="shared" ref="D78:D85" si="5">+E78*0.025</f>
        <v>1003.375</v>
      </c>
      <c r="E78" s="61">
        <v>40135</v>
      </c>
    </row>
    <row r="79" spans="1:8">
      <c r="A79" s="10">
        <f t="shared" si="4"/>
        <v>77</v>
      </c>
      <c r="B79" s="1" t="s">
        <v>3927</v>
      </c>
      <c r="C79" s="6" t="s">
        <v>3899</v>
      </c>
      <c r="D79" s="61">
        <f t="shared" si="5"/>
        <v>287.5</v>
      </c>
      <c r="E79" s="61">
        <v>11500</v>
      </c>
    </row>
    <row r="80" spans="1:8">
      <c r="A80" s="10">
        <f t="shared" si="4"/>
        <v>78</v>
      </c>
      <c r="B80" s="1" t="s">
        <v>4148</v>
      </c>
      <c r="C80" s="6" t="s">
        <v>3899</v>
      </c>
      <c r="D80" s="61">
        <f t="shared" si="5"/>
        <v>1000</v>
      </c>
      <c r="E80" s="61">
        <v>40000</v>
      </c>
    </row>
    <row r="81" spans="1:5">
      <c r="A81" s="10">
        <f t="shared" si="4"/>
        <v>79</v>
      </c>
      <c r="B81" s="1" t="s">
        <v>4139</v>
      </c>
      <c r="C81" s="6" t="s">
        <v>3899</v>
      </c>
      <c r="D81" s="61">
        <f t="shared" si="5"/>
        <v>272.5</v>
      </c>
      <c r="E81" s="61">
        <v>10900</v>
      </c>
    </row>
    <row r="82" spans="1:5">
      <c r="A82" s="10">
        <f t="shared" si="4"/>
        <v>80</v>
      </c>
      <c r="B82" s="1" t="s">
        <v>3923</v>
      </c>
      <c r="C82" s="6" t="s">
        <v>3907</v>
      </c>
      <c r="D82" s="61">
        <f t="shared" si="5"/>
        <v>42500</v>
      </c>
      <c r="E82" s="61">
        <v>1700000</v>
      </c>
    </row>
    <row r="83" spans="1:5">
      <c r="A83" s="10">
        <f t="shared" si="4"/>
        <v>81</v>
      </c>
      <c r="B83" s="1" t="s">
        <v>3926</v>
      </c>
      <c r="C83" s="6" t="s">
        <v>3899</v>
      </c>
      <c r="D83" s="61">
        <f t="shared" si="5"/>
        <v>522.5</v>
      </c>
      <c r="E83" s="61">
        <v>20900</v>
      </c>
    </row>
    <row r="84" spans="1:5">
      <c r="A84" s="10">
        <f t="shared" si="4"/>
        <v>82</v>
      </c>
      <c r="B84" s="1" t="s">
        <v>3908</v>
      </c>
      <c r="C84" s="6" t="s">
        <v>3907</v>
      </c>
      <c r="D84" s="61">
        <f t="shared" si="5"/>
        <v>4320</v>
      </c>
      <c r="E84" s="61">
        <v>172800</v>
      </c>
    </row>
    <row r="85" spans="1:5">
      <c r="A85" s="10">
        <f t="shared" si="4"/>
        <v>83</v>
      </c>
      <c r="B85" s="1" t="s">
        <v>3909</v>
      </c>
      <c r="C85" s="6" t="s">
        <v>3907</v>
      </c>
      <c r="D85" s="61">
        <f t="shared" si="5"/>
        <v>5000</v>
      </c>
      <c r="E85" s="61">
        <v>200000</v>
      </c>
    </row>
    <row r="86" spans="1:5">
      <c r="A86" s="10">
        <f t="shared" si="4"/>
        <v>84</v>
      </c>
      <c r="B86" s="1" t="s">
        <v>4149</v>
      </c>
      <c r="C86" s="6" t="s">
        <v>3899</v>
      </c>
      <c r="D86" s="61">
        <v>1625</v>
      </c>
      <c r="E86" s="61" t="s">
        <v>8</v>
      </c>
    </row>
    <row r="87" spans="1:5">
      <c r="A87" s="10">
        <f t="shared" si="4"/>
        <v>85</v>
      </c>
      <c r="B87" s="1" t="s">
        <v>4144</v>
      </c>
      <c r="C87" s="6" t="s">
        <v>3899</v>
      </c>
      <c r="D87" s="61">
        <v>75000</v>
      </c>
      <c r="E87" s="61" t="s">
        <v>8</v>
      </c>
    </row>
    <row r="88" spans="1:5">
      <c r="A88" s="10">
        <f t="shared" si="4"/>
        <v>86</v>
      </c>
      <c r="B88" s="1" t="s">
        <v>3910</v>
      </c>
      <c r="C88" s="6" t="s">
        <v>3907</v>
      </c>
      <c r="D88" s="61">
        <f>+E88*0.025</f>
        <v>12000</v>
      </c>
      <c r="E88" s="61">
        <v>480000</v>
      </c>
    </row>
    <row r="89" spans="1:5">
      <c r="A89" s="10">
        <f t="shared" si="4"/>
        <v>87</v>
      </c>
      <c r="B89" s="1" t="s">
        <v>3911</v>
      </c>
      <c r="C89" s="6" t="s">
        <v>3901</v>
      </c>
      <c r="D89" s="61">
        <f>+E89*0.025</f>
        <v>8500</v>
      </c>
      <c r="E89" s="61">
        <v>340000</v>
      </c>
    </row>
    <row r="90" spans="1:5">
      <c r="A90" s="10">
        <f t="shared" si="4"/>
        <v>88</v>
      </c>
      <c r="B90" s="1" t="s">
        <v>3912</v>
      </c>
      <c r="C90" s="6" t="s">
        <v>3899</v>
      </c>
      <c r="D90" s="61">
        <f>+E90*0.025</f>
        <v>5000</v>
      </c>
      <c r="E90" s="61">
        <v>200000</v>
      </c>
    </row>
    <row r="91" spans="1:5">
      <c r="A91" s="10">
        <f t="shared" si="4"/>
        <v>89</v>
      </c>
      <c r="B91" s="1" t="s">
        <v>3922</v>
      </c>
      <c r="C91" s="6" t="s">
        <v>3899</v>
      </c>
      <c r="D91" s="61">
        <f>+E91*0.025</f>
        <v>1622.5</v>
      </c>
      <c r="E91" s="61">
        <v>64900</v>
      </c>
    </row>
    <row r="92" spans="1:5">
      <c r="A92" s="10">
        <f t="shared" si="4"/>
        <v>90</v>
      </c>
      <c r="B92" s="1" t="s">
        <v>3897</v>
      </c>
      <c r="C92" s="6" t="s">
        <v>4102</v>
      </c>
      <c r="D92" s="61">
        <v>788800</v>
      </c>
      <c r="E92" s="61">
        <v>0</v>
      </c>
    </row>
    <row r="93" spans="1:5">
      <c r="A93" s="10">
        <f t="shared" si="4"/>
        <v>91</v>
      </c>
      <c r="B93" s="1" t="s">
        <v>4108</v>
      </c>
      <c r="C93" s="6" t="s">
        <v>3899</v>
      </c>
      <c r="D93" s="61">
        <f>E93*0.025</f>
        <v>233.44999999999996</v>
      </c>
      <c r="E93" s="61">
        <v>9337.9999999999982</v>
      </c>
    </row>
    <row r="94" spans="1:5">
      <c r="A94" s="10">
        <f t="shared" si="4"/>
        <v>92</v>
      </c>
      <c r="B94" s="1" t="s">
        <v>3913</v>
      </c>
      <c r="C94" s="6" t="s">
        <v>3899</v>
      </c>
      <c r="D94" s="61">
        <f t="shared" ref="D94:D100" si="6">+E94*0.025</f>
        <v>16250</v>
      </c>
      <c r="E94" s="61">
        <v>650000</v>
      </c>
    </row>
    <row r="95" spans="1:5">
      <c r="A95" s="10">
        <f t="shared" si="4"/>
        <v>93</v>
      </c>
      <c r="B95" s="1" t="s">
        <v>4161</v>
      </c>
      <c r="C95" s="6" t="s">
        <v>3907</v>
      </c>
      <c r="D95" s="61">
        <f t="shared" si="6"/>
        <v>3256.125</v>
      </c>
      <c r="E95" s="61">
        <v>130245</v>
      </c>
    </row>
    <row r="96" spans="1:5">
      <c r="A96" s="10">
        <f t="shared" si="4"/>
        <v>94</v>
      </c>
      <c r="B96" s="1" t="s">
        <v>4160</v>
      </c>
      <c r="C96" s="6" t="s">
        <v>3899</v>
      </c>
      <c r="D96" s="61">
        <f t="shared" si="6"/>
        <v>70000</v>
      </c>
      <c r="E96" s="61">
        <f>70000/0.025</f>
        <v>2800000</v>
      </c>
    </row>
    <row r="97" spans="1:5">
      <c r="A97" s="10">
        <f t="shared" si="4"/>
        <v>95</v>
      </c>
      <c r="B97" s="1" t="s">
        <v>4133</v>
      </c>
      <c r="C97" s="6" t="s">
        <v>3899</v>
      </c>
      <c r="D97" s="61">
        <f t="shared" si="6"/>
        <v>750</v>
      </c>
      <c r="E97" s="61">
        <v>30000</v>
      </c>
    </row>
    <row r="98" spans="1:5">
      <c r="A98" s="10">
        <f t="shared" si="4"/>
        <v>96</v>
      </c>
      <c r="B98" s="1" t="s">
        <v>3914</v>
      </c>
      <c r="C98" s="6" t="s">
        <v>3899</v>
      </c>
      <c r="D98" s="61">
        <f t="shared" si="6"/>
        <v>6250</v>
      </c>
      <c r="E98" s="61">
        <v>250000</v>
      </c>
    </row>
    <row r="99" spans="1:5">
      <c r="A99" s="10">
        <f t="shared" si="4"/>
        <v>97</v>
      </c>
      <c r="B99" s="1" t="s">
        <v>3941</v>
      </c>
      <c r="C99" s="6" t="s">
        <v>3899</v>
      </c>
      <c r="D99" s="61">
        <f t="shared" si="6"/>
        <v>12500</v>
      </c>
      <c r="E99" s="61">
        <v>500000</v>
      </c>
    </row>
    <row r="100" spans="1:5">
      <c r="A100" s="10">
        <f t="shared" si="4"/>
        <v>98</v>
      </c>
      <c r="B100" s="1" t="s">
        <v>3918</v>
      </c>
      <c r="C100" s="6" t="s">
        <v>3899</v>
      </c>
      <c r="D100" s="61">
        <f t="shared" si="6"/>
        <v>21375</v>
      </c>
      <c r="E100" s="61">
        <v>855000</v>
      </c>
    </row>
    <row r="101" spans="1:5">
      <c r="A101" s="10">
        <f t="shared" si="4"/>
        <v>99</v>
      </c>
      <c r="B101" s="1" t="s">
        <v>4151</v>
      </c>
      <c r="C101" s="6" t="s">
        <v>3899</v>
      </c>
      <c r="D101" s="61">
        <v>20000</v>
      </c>
      <c r="E101" s="61">
        <v>0</v>
      </c>
    </row>
    <row r="102" spans="1:5">
      <c r="A102" s="10">
        <f t="shared" si="4"/>
        <v>100</v>
      </c>
      <c r="B102" s="1" t="s">
        <v>4147</v>
      </c>
      <c r="C102" s="6" t="s">
        <v>3899</v>
      </c>
      <c r="D102" s="61">
        <v>68000</v>
      </c>
      <c r="E102" s="61">
        <v>0</v>
      </c>
    </row>
    <row r="103" spans="1:5">
      <c r="A103" s="10">
        <f t="shared" si="4"/>
        <v>101</v>
      </c>
      <c r="B103" s="1" t="s">
        <v>3896</v>
      </c>
      <c r="C103" s="6" t="s">
        <v>4102</v>
      </c>
      <c r="D103" s="61">
        <v>300000</v>
      </c>
      <c r="E103" s="61">
        <v>0</v>
      </c>
    </row>
    <row r="104" spans="1:5">
      <c r="A104" s="10">
        <f t="shared" si="4"/>
        <v>102</v>
      </c>
      <c r="B104" s="1" t="s">
        <v>3919</v>
      </c>
      <c r="C104" s="6" t="s">
        <v>3907</v>
      </c>
      <c r="D104" s="61">
        <f>+E104*0.025</f>
        <v>7837.5</v>
      </c>
      <c r="E104" s="61">
        <v>313500</v>
      </c>
    </row>
  </sheetData>
  <sortState xmlns:xlrd2="http://schemas.microsoft.com/office/spreadsheetml/2017/richdata2" ref="B3:I104">
    <sortCondition ref="B3"/>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6"/>
  <dimension ref="A1:I80"/>
  <sheetViews>
    <sheetView zoomScale="77" zoomScaleNormal="77" workbookViewId="0">
      <pane xSplit="1" ySplit="14" topLeftCell="B15" activePane="bottomRight" state="frozen"/>
      <selection activeCell="A1696" sqref="A1696:G1696"/>
      <selection pane="topRight" activeCell="A1696" sqref="A1696:G1696"/>
      <selection pane="bottomLeft" activeCell="A1696" sqref="A1696:G1696"/>
      <selection pane="bottomRight" activeCell="A1696" sqref="A1696:G1696"/>
    </sheetView>
  </sheetViews>
  <sheetFormatPr baseColWidth="10" defaultRowHeight="15"/>
  <cols>
    <col min="1" max="1" width="38.28515625" customWidth="1"/>
    <col min="2" max="2" width="55.28515625" customWidth="1"/>
    <col min="3" max="3" width="33.28515625" customWidth="1"/>
    <col min="4" max="4" width="8.42578125" customWidth="1"/>
    <col min="5" max="5" width="22.7109375" customWidth="1"/>
    <col min="6" max="6" width="24.42578125" customWidth="1"/>
    <col min="7" max="7" width="43.7109375" customWidth="1"/>
    <col min="9" max="9" width="3.42578125" customWidth="1"/>
  </cols>
  <sheetData>
    <row r="1" spans="1:9" ht="15.75" thickBot="1">
      <c r="A1" s="594" t="s">
        <v>4250</v>
      </c>
      <c r="B1" s="595"/>
      <c r="C1" s="247" t="s">
        <v>4251</v>
      </c>
      <c r="D1" s="247"/>
      <c r="E1" s="247" t="s">
        <v>4252</v>
      </c>
      <c r="F1" s="247" t="s">
        <v>4253</v>
      </c>
      <c r="G1" s="247" t="s">
        <v>4254</v>
      </c>
    </row>
    <row r="2" spans="1:9">
      <c r="A2" s="247" t="s">
        <v>4255</v>
      </c>
      <c r="B2" s="248"/>
      <c r="C2" s="249" t="s">
        <v>4256</v>
      </c>
      <c r="D2" s="249"/>
      <c r="E2" s="250">
        <f>+G24</f>
        <v>55405.21</v>
      </c>
      <c r="F2" s="250">
        <f>+E2/30</f>
        <v>1846.8403333333333</v>
      </c>
      <c r="G2" s="251">
        <f>+E2*B12</f>
        <v>387836.47</v>
      </c>
    </row>
    <row r="3" spans="1:9">
      <c r="A3" s="249" t="s">
        <v>4257</v>
      </c>
      <c r="B3" s="252"/>
      <c r="C3" s="249" t="s">
        <v>4258</v>
      </c>
      <c r="D3" s="249"/>
      <c r="E3" s="250">
        <f>+G36</f>
        <v>0</v>
      </c>
      <c r="F3" s="250">
        <f t="shared" ref="F3:F10" si="0">+E3/30</f>
        <v>0</v>
      </c>
      <c r="G3" s="251">
        <f>+E3/B12</f>
        <v>0</v>
      </c>
    </row>
    <row r="4" spans="1:9">
      <c r="A4" s="249" t="s">
        <v>4259</v>
      </c>
      <c r="B4" s="252"/>
      <c r="C4" s="249" t="s">
        <v>4260</v>
      </c>
      <c r="D4" s="249"/>
      <c r="E4" s="250">
        <f>+G43</f>
        <v>80126.666666666672</v>
      </c>
      <c r="F4" s="250">
        <f t="shared" si="0"/>
        <v>2670.8888888888891</v>
      </c>
      <c r="G4" s="251">
        <f>+E4*B12</f>
        <v>560886.66666666674</v>
      </c>
    </row>
    <row r="5" spans="1:9">
      <c r="A5" s="249" t="s">
        <v>4261</v>
      </c>
      <c r="B5" s="252"/>
      <c r="C5" s="249" t="s">
        <v>4262</v>
      </c>
      <c r="D5" s="249"/>
      <c r="E5" s="250">
        <f>+G50</f>
        <v>19337.5</v>
      </c>
      <c r="F5" s="250">
        <f t="shared" si="0"/>
        <v>644.58333333333337</v>
      </c>
      <c r="G5" s="253">
        <f>+E5/B12</f>
        <v>2762.5</v>
      </c>
    </row>
    <row r="6" spans="1:9">
      <c r="A6" s="249" t="s">
        <v>4263</v>
      </c>
      <c r="B6" s="252"/>
      <c r="C6" s="249" t="s">
        <v>4264</v>
      </c>
      <c r="D6" s="249"/>
      <c r="E6" s="250">
        <f>+G55</f>
        <v>0</v>
      </c>
      <c r="F6" s="250">
        <f t="shared" si="0"/>
        <v>0</v>
      </c>
      <c r="G6" s="251">
        <f>+E6/B12</f>
        <v>0</v>
      </c>
    </row>
    <row r="7" spans="1:9">
      <c r="A7" s="249" t="s">
        <v>4265</v>
      </c>
      <c r="B7" s="252"/>
      <c r="C7" s="249" t="s">
        <v>4266</v>
      </c>
      <c r="D7" s="249"/>
      <c r="E7" s="250">
        <f>+G61</f>
        <v>65629.491666666669</v>
      </c>
      <c r="F7" s="250">
        <f t="shared" si="0"/>
        <v>2187.6497222222224</v>
      </c>
      <c r="G7" s="251">
        <f>+E7/B12</f>
        <v>9375.6416666666664</v>
      </c>
    </row>
    <row r="8" spans="1:9">
      <c r="A8" s="249" t="s">
        <v>4267</v>
      </c>
      <c r="B8" s="254">
        <f>+G12</f>
        <v>2927208.8350000004</v>
      </c>
      <c r="C8" s="249" t="s">
        <v>4268</v>
      </c>
      <c r="D8" s="249"/>
      <c r="E8" s="250">
        <f>+G66</f>
        <v>0</v>
      </c>
      <c r="F8" s="250">
        <f t="shared" si="0"/>
        <v>0</v>
      </c>
      <c r="G8" s="253">
        <f>+E8/B12</f>
        <v>0</v>
      </c>
    </row>
    <row r="9" spans="1:9">
      <c r="A9" s="249" t="s">
        <v>4269</v>
      </c>
      <c r="B9" s="255"/>
      <c r="C9" s="249" t="s">
        <v>4270</v>
      </c>
      <c r="D9" s="249"/>
      <c r="E9" s="250">
        <f>+G71</f>
        <v>0</v>
      </c>
      <c r="F9" s="250">
        <f t="shared" si="0"/>
        <v>0</v>
      </c>
      <c r="G9" s="251">
        <f>+E9/B12</f>
        <v>0</v>
      </c>
    </row>
    <row r="10" spans="1:9">
      <c r="A10" s="249" t="s">
        <v>4271</v>
      </c>
      <c r="B10" s="255"/>
      <c r="C10" s="249" t="s">
        <v>4272</v>
      </c>
      <c r="D10" s="249"/>
      <c r="E10" s="250">
        <f>+G78</f>
        <v>104125</v>
      </c>
      <c r="F10" s="250">
        <f t="shared" si="0"/>
        <v>3470.8333333333335</v>
      </c>
      <c r="G10" s="251">
        <f>+E10/B12</f>
        <v>14875</v>
      </c>
    </row>
    <row r="11" spans="1:9" ht="15.75" thickBot="1">
      <c r="A11" s="249" t="s">
        <v>4273</v>
      </c>
      <c r="B11" s="255"/>
      <c r="C11" s="256" t="s">
        <v>4274</v>
      </c>
      <c r="D11" s="256"/>
      <c r="E11" s="257">
        <f>+G80</f>
        <v>324623.86833333335</v>
      </c>
      <c r="F11" s="257">
        <f>SUM(F2:F10)</f>
        <v>10820.795611111111</v>
      </c>
      <c r="G11" s="258">
        <f>SUM(G2:G10)</f>
        <v>975736.27833333344</v>
      </c>
    </row>
    <row r="12" spans="1:9" ht="18.75">
      <c r="A12" s="249" t="s">
        <v>4275</v>
      </c>
      <c r="B12" s="259">
        <v>7</v>
      </c>
      <c r="C12" s="596" t="s">
        <v>4276</v>
      </c>
      <c r="D12" s="597"/>
      <c r="E12" s="597"/>
      <c r="F12" s="598"/>
      <c r="G12" s="602">
        <f>+G11*B13</f>
        <v>2927208.8350000004</v>
      </c>
    </row>
    <row r="13" spans="1:9" ht="19.5" thickBot="1">
      <c r="A13" s="256" t="s">
        <v>4277</v>
      </c>
      <c r="B13" s="260">
        <v>3</v>
      </c>
      <c r="C13" s="599"/>
      <c r="D13" s="600"/>
      <c r="E13" s="600"/>
      <c r="F13" s="601"/>
      <c r="G13" s="603"/>
    </row>
    <row r="14" spans="1:9" ht="30" customHeight="1" thickBot="1">
      <c r="A14" s="261" t="s">
        <v>4223</v>
      </c>
      <c r="B14" s="261" t="s">
        <v>4278</v>
      </c>
      <c r="C14" s="261" t="s">
        <v>4279</v>
      </c>
      <c r="D14" s="261"/>
      <c r="E14" s="261" t="s">
        <v>4098</v>
      </c>
      <c r="F14" s="261" t="s">
        <v>4280</v>
      </c>
      <c r="G14" s="261" t="s">
        <v>4281</v>
      </c>
    </row>
    <row r="16" spans="1:9">
      <c r="A16" s="592" t="s">
        <v>4282</v>
      </c>
      <c r="B16" s="262" t="s">
        <v>4283</v>
      </c>
      <c r="C16" s="263" t="s">
        <v>4284</v>
      </c>
      <c r="D16" s="263" t="s">
        <v>4285</v>
      </c>
      <c r="E16" s="264">
        <f t="shared" ref="E16:E23" si="1">IF((ISBLANK(D16)),0,I16)</f>
        <v>15708</v>
      </c>
      <c r="F16" s="265">
        <f>+E16*1.19</f>
        <v>18692.52</v>
      </c>
      <c r="G16" s="265">
        <f>+F16/12</f>
        <v>1557.71</v>
      </c>
      <c r="I16" s="266">
        <v>15708</v>
      </c>
    </row>
    <row r="17" spans="1:9">
      <c r="A17" s="592"/>
      <c r="B17" s="1" t="s">
        <v>4286</v>
      </c>
      <c r="C17" s="267">
        <v>2</v>
      </c>
      <c r="D17" s="267" t="s">
        <v>4285</v>
      </c>
      <c r="E17" s="264">
        <f t="shared" si="1"/>
        <v>4500</v>
      </c>
      <c r="F17" s="268">
        <f t="shared" ref="F17:F24" si="2">+E17*1.19</f>
        <v>5355</v>
      </c>
      <c r="G17" s="268">
        <f>+F17*C17</f>
        <v>10710</v>
      </c>
      <c r="I17" s="266">
        <v>4500</v>
      </c>
    </row>
    <row r="18" spans="1:9">
      <c r="A18" s="592"/>
      <c r="B18" s="1" t="s">
        <v>4287</v>
      </c>
      <c r="C18" s="267">
        <v>2</v>
      </c>
      <c r="D18" s="267" t="s">
        <v>4285</v>
      </c>
      <c r="E18" s="264">
        <f t="shared" si="1"/>
        <v>4500</v>
      </c>
      <c r="F18" s="268">
        <f t="shared" si="2"/>
        <v>5355</v>
      </c>
      <c r="G18" s="268">
        <f t="shared" ref="G18:G20" si="3">+F18*C18</f>
        <v>10710</v>
      </c>
      <c r="I18" s="266">
        <v>4500</v>
      </c>
    </row>
    <row r="19" spans="1:9">
      <c r="A19" s="592"/>
      <c r="B19" s="1" t="s">
        <v>4288</v>
      </c>
      <c r="C19" s="267">
        <v>1</v>
      </c>
      <c r="D19" s="267" t="s">
        <v>4285</v>
      </c>
      <c r="E19" s="264">
        <f t="shared" si="1"/>
        <v>2000</v>
      </c>
      <c r="F19" s="268">
        <f t="shared" si="2"/>
        <v>2380</v>
      </c>
      <c r="G19" s="268">
        <f t="shared" si="3"/>
        <v>2380</v>
      </c>
      <c r="I19" s="266">
        <v>2000</v>
      </c>
    </row>
    <row r="20" spans="1:9">
      <c r="A20" s="592"/>
      <c r="B20" s="1" t="s">
        <v>4289</v>
      </c>
      <c r="C20" s="267">
        <v>5</v>
      </c>
      <c r="D20" s="267" t="s">
        <v>4285</v>
      </c>
      <c r="E20" s="264">
        <f t="shared" si="1"/>
        <v>1150</v>
      </c>
      <c r="F20" s="268">
        <f t="shared" si="2"/>
        <v>1368.5</v>
      </c>
      <c r="G20" s="268">
        <f t="shared" si="3"/>
        <v>6842.5</v>
      </c>
      <c r="I20" s="266">
        <v>1150</v>
      </c>
    </row>
    <row r="21" spans="1:9">
      <c r="A21" s="592"/>
      <c r="B21" s="262" t="s">
        <v>4290</v>
      </c>
      <c r="C21" s="263" t="s">
        <v>4291</v>
      </c>
      <c r="D21" s="263"/>
      <c r="E21" s="264">
        <f t="shared" si="1"/>
        <v>0</v>
      </c>
      <c r="F21" s="265">
        <f t="shared" si="2"/>
        <v>0</v>
      </c>
      <c r="G21" s="265">
        <f>+F21/3</f>
        <v>0</v>
      </c>
      <c r="I21" s="266">
        <v>7200</v>
      </c>
    </row>
    <row r="22" spans="1:9">
      <c r="A22" s="592"/>
      <c r="B22" s="1" t="s">
        <v>4292</v>
      </c>
      <c r="C22" s="267">
        <v>2</v>
      </c>
      <c r="D22" s="267" t="s">
        <v>4285</v>
      </c>
      <c r="E22" s="264">
        <f t="shared" si="1"/>
        <v>6000</v>
      </c>
      <c r="F22" s="268">
        <f t="shared" si="2"/>
        <v>7140</v>
      </c>
      <c r="G22" s="268">
        <f>+F22*C22</f>
        <v>14280</v>
      </c>
      <c r="I22" s="266">
        <v>6000</v>
      </c>
    </row>
    <row r="23" spans="1:9">
      <c r="A23" s="592"/>
      <c r="B23" s="1" t="s">
        <v>4293</v>
      </c>
      <c r="C23" s="267">
        <v>1</v>
      </c>
      <c r="D23" s="267" t="s">
        <v>4285</v>
      </c>
      <c r="E23" s="264">
        <f t="shared" si="1"/>
        <v>7500</v>
      </c>
      <c r="F23" s="268">
        <f t="shared" si="2"/>
        <v>8925</v>
      </c>
      <c r="G23" s="268">
        <f>+F23*C23</f>
        <v>8925</v>
      </c>
      <c r="I23" s="266">
        <v>7500</v>
      </c>
    </row>
    <row r="24" spans="1:9">
      <c r="A24" s="592"/>
      <c r="B24" s="593" t="s">
        <v>4294</v>
      </c>
      <c r="C24" s="593"/>
      <c r="D24" s="269"/>
      <c r="E24" s="270">
        <f>SUM(E16:E23)</f>
        <v>41358</v>
      </c>
      <c r="F24" s="270">
        <f t="shared" si="2"/>
        <v>49216.02</v>
      </c>
      <c r="G24" s="271">
        <f>SUM(G16:G23)</f>
        <v>55405.21</v>
      </c>
      <c r="I24" s="266">
        <v>48558</v>
      </c>
    </row>
    <row r="25" spans="1:9">
      <c r="C25" s="272"/>
      <c r="D25" s="272"/>
      <c r="E25" s="195"/>
      <c r="F25" s="195"/>
      <c r="G25" s="195"/>
      <c r="I25" s="266"/>
    </row>
    <row r="26" spans="1:9">
      <c r="A26" s="592" t="s">
        <v>4295</v>
      </c>
      <c r="B26" s="273" t="s">
        <v>4296</v>
      </c>
      <c r="C26" s="274" t="s">
        <v>4284</v>
      </c>
      <c r="D26" s="274"/>
      <c r="E26" s="264">
        <f t="shared" ref="E26:E35" si="4">IF((ISBLANK(D26)),0,I26)</f>
        <v>0</v>
      </c>
      <c r="F26" s="275">
        <f>+E26*1.19</f>
        <v>0</v>
      </c>
      <c r="G26" s="268">
        <f>+F26/12</f>
        <v>0</v>
      </c>
      <c r="I26" s="266">
        <v>34000</v>
      </c>
    </row>
    <row r="27" spans="1:9">
      <c r="A27" s="592"/>
      <c r="B27" s="276" t="s">
        <v>4297</v>
      </c>
      <c r="C27" s="267">
        <v>2</v>
      </c>
      <c r="D27" s="267"/>
      <c r="E27" s="264">
        <f t="shared" si="4"/>
        <v>0</v>
      </c>
      <c r="F27" s="268">
        <f t="shared" ref="F27:F36" si="5">+E27*1.19</f>
        <v>0</v>
      </c>
      <c r="G27" s="268">
        <f>+F27*C27</f>
        <v>0</v>
      </c>
      <c r="I27" s="266">
        <v>26000</v>
      </c>
    </row>
    <row r="28" spans="1:9">
      <c r="A28" s="592"/>
      <c r="B28" s="273" t="s">
        <v>4298</v>
      </c>
      <c r="C28" s="274" t="s">
        <v>4299</v>
      </c>
      <c r="D28" s="274"/>
      <c r="E28" s="264">
        <f t="shared" si="4"/>
        <v>0</v>
      </c>
      <c r="F28" s="275">
        <f t="shared" si="5"/>
        <v>0</v>
      </c>
      <c r="G28" s="268">
        <f>+F28/2</f>
        <v>0</v>
      </c>
      <c r="I28" s="266">
        <v>6500</v>
      </c>
    </row>
    <row r="29" spans="1:9">
      <c r="A29" s="592"/>
      <c r="B29" s="273" t="s">
        <v>4300</v>
      </c>
      <c r="C29" s="274" t="s">
        <v>4291</v>
      </c>
      <c r="D29" s="274"/>
      <c r="E29" s="264">
        <f t="shared" si="4"/>
        <v>0</v>
      </c>
      <c r="F29" s="275">
        <f t="shared" si="5"/>
        <v>0</v>
      </c>
      <c r="G29" s="268">
        <f>+F29/3</f>
        <v>0</v>
      </c>
      <c r="I29" s="266">
        <v>20196</v>
      </c>
    </row>
    <row r="30" spans="1:9">
      <c r="A30" s="592"/>
      <c r="B30" s="273" t="s">
        <v>4301</v>
      </c>
      <c r="C30" s="274" t="s">
        <v>4284</v>
      </c>
      <c r="D30" s="274"/>
      <c r="E30" s="264">
        <f t="shared" si="4"/>
        <v>0</v>
      </c>
      <c r="F30" s="275">
        <f t="shared" si="5"/>
        <v>0</v>
      </c>
      <c r="G30" s="268">
        <f>+F30/12</f>
        <v>0</v>
      </c>
      <c r="I30" s="266">
        <v>23000</v>
      </c>
    </row>
    <row r="31" spans="1:9">
      <c r="A31" s="592"/>
      <c r="B31" s="273" t="s">
        <v>4302</v>
      </c>
      <c r="C31" s="274" t="s">
        <v>4284</v>
      </c>
      <c r="D31" s="274"/>
      <c r="E31" s="264">
        <f t="shared" si="4"/>
        <v>0</v>
      </c>
      <c r="F31" s="275">
        <f t="shared" si="5"/>
        <v>0</v>
      </c>
      <c r="G31" s="268">
        <f>+F31/12</f>
        <v>0</v>
      </c>
      <c r="I31" s="266">
        <v>15000</v>
      </c>
    </row>
    <row r="32" spans="1:9">
      <c r="A32" s="592"/>
      <c r="B32" s="273" t="s">
        <v>4303</v>
      </c>
      <c r="C32" s="274" t="s">
        <v>4284</v>
      </c>
      <c r="D32" s="274"/>
      <c r="E32" s="264">
        <f t="shared" si="4"/>
        <v>0</v>
      </c>
      <c r="F32" s="275">
        <f t="shared" si="5"/>
        <v>0</v>
      </c>
      <c r="G32" s="268">
        <f>+F32/12</f>
        <v>0</v>
      </c>
      <c r="I32" s="266">
        <v>50490</v>
      </c>
    </row>
    <row r="33" spans="1:9">
      <c r="A33" s="592"/>
      <c r="B33" s="273" t="s">
        <v>4304</v>
      </c>
      <c r="C33" s="274" t="s">
        <v>4305</v>
      </c>
      <c r="D33" s="277"/>
      <c r="E33" s="264">
        <f t="shared" si="4"/>
        <v>0</v>
      </c>
      <c r="F33" s="278">
        <f t="shared" si="5"/>
        <v>0</v>
      </c>
      <c r="G33" s="279">
        <f>+F33/6</f>
        <v>0</v>
      </c>
      <c r="I33" s="266">
        <v>17952</v>
      </c>
    </row>
    <row r="34" spans="1:9">
      <c r="A34" s="592"/>
      <c r="B34" s="273" t="s">
        <v>4306</v>
      </c>
      <c r="C34" s="274" t="s">
        <v>4284</v>
      </c>
      <c r="D34" s="277"/>
      <c r="E34" s="264">
        <f t="shared" si="4"/>
        <v>0</v>
      </c>
      <c r="F34" s="278">
        <f t="shared" si="5"/>
        <v>0</v>
      </c>
      <c r="G34" s="279">
        <f>+F34/12</f>
        <v>0</v>
      </c>
      <c r="I34" s="266">
        <v>18513</v>
      </c>
    </row>
    <row r="35" spans="1:9">
      <c r="A35" s="592"/>
      <c r="B35" s="273" t="s">
        <v>4307</v>
      </c>
      <c r="C35" s="274" t="s">
        <v>4284</v>
      </c>
      <c r="D35" s="277"/>
      <c r="E35" s="264">
        <f t="shared" si="4"/>
        <v>0</v>
      </c>
      <c r="F35" s="278">
        <f t="shared" si="5"/>
        <v>0</v>
      </c>
      <c r="G35" s="279">
        <f>+F35/12</f>
        <v>0</v>
      </c>
      <c r="I35" s="266">
        <v>40000</v>
      </c>
    </row>
    <row r="36" spans="1:9">
      <c r="A36" s="592"/>
      <c r="B36" s="593" t="s">
        <v>4308</v>
      </c>
      <c r="C36" s="593"/>
      <c r="D36" s="269"/>
      <c r="E36" s="270">
        <f>SUM(E26:E35)</f>
        <v>0</v>
      </c>
      <c r="F36" s="270">
        <f t="shared" si="5"/>
        <v>0</v>
      </c>
      <c r="G36" s="271">
        <f>SUM(G26:G33)</f>
        <v>0</v>
      </c>
      <c r="I36" s="266">
        <v>251651</v>
      </c>
    </row>
    <row r="37" spans="1:9">
      <c r="C37" s="272"/>
      <c r="D37" s="272"/>
      <c r="E37" s="195"/>
      <c r="F37" s="195"/>
      <c r="G37" s="195"/>
      <c r="I37" s="266"/>
    </row>
    <row r="38" spans="1:9">
      <c r="A38" s="586" t="s">
        <v>4309</v>
      </c>
      <c r="B38" s="280" t="s">
        <v>4310</v>
      </c>
      <c r="C38" s="274" t="s">
        <v>4311</v>
      </c>
      <c r="D38" s="274" t="s">
        <v>4285</v>
      </c>
      <c r="E38" s="264">
        <f>IF((ISBLANK(D38)),0,I38)</f>
        <v>28000</v>
      </c>
      <c r="F38" s="275">
        <f>+E38*1.19</f>
        <v>33320</v>
      </c>
      <c r="G38" s="268">
        <f>+F38/3</f>
        <v>11106.666666666666</v>
      </c>
      <c r="I38" s="266">
        <v>28000</v>
      </c>
    </row>
    <row r="39" spans="1:9">
      <c r="A39" s="587"/>
      <c r="B39" s="280" t="s">
        <v>4312</v>
      </c>
      <c r="C39" s="274" t="s">
        <v>4311</v>
      </c>
      <c r="D39" s="274" t="s">
        <v>4285</v>
      </c>
      <c r="E39" s="264">
        <f>IF((ISBLANK(D39)),0,I39)</f>
        <v>32000</v>
      </c>
      <c r="F39" s="275">
        <f>+E39*1.19</f>
        <v>38080</v>
      </c>
      <c r="G39" s="268">
        <f>+F39/3</f>
        <v>12693.333333333334</v>
      </c>
      <c r="I39" s="266">
        <v>32000</v>
      </c>
    </row>
    <row r="40" spans="1:9">
      <c r="A40" s="587"/>
      <c r="B40" s="280" t="s">
        <v>4313</v>
      </c>
      <c r="C40" s="274" t="s">
        <v>4311</v>
      </c>
      <c r="D40" s="274" t="s">
        <v>4285</v>
      </c>
      <c r="E40" s="264">
        <f>IF((ISBLANK(D40)),0,I40)</f>
        <v>26000</v>
      </c>
      <c r="F40" s="275">
        <f t="shared" ref="F40:F42" si="6">+E40*1.19</f>
        <v>30940</v>
      </c>
      <c r="G40" s="268">
        <f t="shared" ref="G40:G42" si="7">+F40/3</f>
        <v>10313.333333333334</v>
      </c>
      <c r="I40" s="266">
        <v>26000</v>
      </c>
    </row>
    <row r="41" spans="1:9">
      <c r="A41" s="587"/>
      <c r="B41" s="280" t="s">
        <v>4314</v>
      </c>
      <c r="C41" s="274" t="s">
        <v>4311</v>
      </c>
      <c r="D41" s="274" t="s">
        <v>4285</v>
      </c>
      <c r="E41" s="264">
        <f>IF((ISBLANK(D41)),0,I41)</f>
        <v>26000</v>
      </c>
      <c r="F41" s="275">
        <f t="shared" si="6"/>
        <v>30940</v>
      </c>
      <c r="G41" s="268">
        <f t="shared" si="7"/>
        <v>10313.333333333334</v>
      </c>
      <c r="I41" s="266">
        <v>26000</v>
      </c>
    </row>
    <row r="42" spans="1:9">
      <c r="A42" s="587"/>
      <c r="B42" s="280" t="s">
        <v>4315</v>
      </c>
      <c r="C42" s="274" t="s">
        <v>4316</v>
      </c>
      <c r="D42" s="274" t="s">
        <v>4285</v>
      </c>
      <c r="E42" s="264">
        <f>IF((ISBLANK(D42)),0,I42)</f>
        <v>90000</v>
      </c>
      <c r="F42" s="275">
        <f t="shared" si="6"/>
        <v>107100</v>
      </c>
      <c r="G42" s="268">
        <f t="shared" si="7"/>
        <v>35700</v>
      </c>
      <c r="I42" s="266">
        <v>90000</v>
      </c>
    </row>
    <row r="43" spans="1:9">
      <c r="A43" s="588"/>
      <c r="B43" s="589" t="s">
        <v>4317</v>
      </c>
      <c r="C43" s="590"/>
      <c r="D43" s="281"/>
      <c r="E43" s="270">
        <f>SUM(E38:E42)</f>
        <v>202000</v>
      </c>
      <c r="F43" s="270">
        <f>SUM(F38:F42)</f>
        <v>240380</v>
      </c>
      <c r="G43" s="271">
        <f>SUM(G38:G42)</f>
        <v>80126.666666666672</v>
      </c>
      <c r="I43" s="266">
        <v>202000</v>
      </c>
    </row>
    <row r="44" spans="1:9">
      <c r="A44" s="1"/>
      <c r="B44" s="1"/>
      <c r="C44" s="267"/>
      <c r="D44" s="267"/>
      <c r="E44" s="282"/>
      <c r="F44" s="282"/>
      <c r="G44" s="268"/>
      <c r="I44" s="266"/>
    </row>
    <row r="45" spans="1:9">
      <c r="A45" s="586" t="s">
        <v>4318</v>
      </c>
      <c r="B45" s="280" t="s">
        <v>4319</v>
      </c>
      <c r="C45" s="274" t="s">
        <v>4320</v>
      </c>
      <c r="D45" s="274" t="s">
        <v>4285</v>
      </c>
      <c r="E45" s="264">
        <f>IF((ISBLANK(D45)),0,I45)</f>
        <v>140000</v>
      </c>
      <c r="F45" s="275">
        <f>+E45*1.19</f>
        <v>166600</v>
      </c>
      <c r="G45" s="268">
        <f>+F45/12</f>
        <v>13883.333333333334</v>
      </c>
      <c r="I45" s="266">
        <v>140000</v>
      </c>
    </row>
    <row r="46" spans="1:9">
      <c r="A46" s="587"/>
      <c r="B46" s="283" t="s">
        <v>4321</v>
      </c>
      <c r="C46" s="284">
        <v>1</v>
      </c>
      <c r="D46" s="284"/>
      <c r="E46" s="264">
        <f>IF((ISBLANK(D46)),0,I46)</f>
        <v>0</v>
      </c>
      <c r="F46" s="285">
        <f t="shared" ref="F46:F50" si="8">+E46*1.19</f>
        <v>0</v>
      </c>
      <c r="G46" s="268">
        <f>+F46*C46</f>
        <v>0</v>
      </c>
      <c r="I46" s="266">
        <v>55000</v>
      </c>
    </row>
    <row r="47" spans="1:9">
      <c r="A47" s="587"/>
      <c r="B47" s="280" t="s">
        <v>4322</v>
      </c>
      <c r="C47" s="274" t="s">
        <v>4320</v>
      </c>
      <c r="D47" s="274" t="s">
        <v>4285</v>
      </c>
      <c r="E47" s="264">
        <f>IF((ISBLANK(D47)),0,I47)</f>
        <v>55000</v>
      </c>
      <c r="F47" s="285">
        <f t="shared" si="8"/>
        <v>65450</v>
      </c>
      <c r="G47" s="268">
        <f>+F47/12</f>
        <v>5454.166666666667</v>
      </c>
      <c r="I47" s="266">
        <v>55000</v>
      </c>
    </row>
    <row r="48" spans="1:9">
      <c r="A48" s="587"/>
      <c r="B48" s="1" t="s">
        <v>4323</v>
      </c>
      <c r="C48" s="267">
        <v>1</v>
      </c>
      <c r="D48" s="267"/>
      <c r="E48" s="264">
        <f>IF((ISBLANK(D48)),0,I48)</f>
        <v>0</v>
      </c>
      <c r="F48" s="268">
        <f t="shared" si="8"/>
        <v>0</v>
      </c>
      <c r="G48" s="268">
        <f>+F48*C48</f>
        <v>0</v>
      </c>
      <c r="I48" s="266">
        <v>30000</v>
      </c>
    </row>
    <row r="49" spans="1:9">
      <c r="A49" s="587"/>
      <c r="B49" s="1" t="s">
        <v>4324</v>
      </c>
      <c r="C49" s="267">
        <v>1</v>
      </c>
      <c r="D49" s="267"/>
      <c r="E49" s="264">
        <f>IF((ISBLANK(D49)),0,I49)</f>
        <v>0</v>
      </c>
      <c r="F49" s="268">
        <f t="shared" si="8"/>
        <v>0</v>
      </c>
      <c r="G49" s="268">
        <f>+F49*C49</f>
        <v>0</v>
      </c>
      <c r="I49" s="266">
        <v>41500</v>
      </c>
    </row>
    <row r="50" spans="1:9">
      <c r="A50" s="588"/>
      <c r="B50" s="589" t="s">
        <v>4325</v>
      </c>
      <c r="C50" s="590"/>
      <c r="D50" s="281"/>
      <c r="E50" s="270">
        <f>SUM(E45:E49)</f>
        <v>195000</v>
      </c>
      <c r="F50" s="270">
        <f t="shared" si="8"/>
        <v>232050</v>
      </c>
      <c r="G50" s="271">
        <f>SUM(G45:G49)</f>
        <v>19337.5</v>
      </c>
      <c r="I50" s="266">
        <v>321500</v>
      </c>
    </row>
    <row r="51" spans="1:9">
      <c r="A51" s="1"/>
      <c r="B51" s="1"/>
      <c r="C51" s="267"/>
      <c r="D51" s="267"/>
      <c r="E51" s="282"/>
      <c r="F51" s="282"/>
      <c r="G51" s="268"/>
      <c r="I51" s="266"/>
    </row>
    <row r="52" spans="1:9">
      <c r="A52" s="586" t="s">
        <v>4326</v>
      </c>
      <c r="B52" s="280" t="s">
        <v>4327</v>
      </c>
      <c r="C52" s="274" t="s">
        <v>4320</v>
      </c>
      <c r="D52" s="274"/>
      <c r="E52" s="264">
        <f>IF((ISBLANK(D52)),0,I52)</f>
        <v>0</v>
      </c>
      <c r="F52" s="268">
        <f>+E52*1.19</f>
        <v>0</v>
      </c>
      <c r="G52" s="268">
        <f>+F52/12</f>
        <v>0</v>
      </c>
      <c r="I52" s="266">
        <v>180000</v>
      </c>
    </row>
    <row r="53" spans="1:9">
      <c r="A53" s="587"/>
      <c r="B53" s="280" t="s">
        <v>4328</v>
      </c>
      <c r="C53" s="274" t="s">
        <v>4320</v>
      </c>
      <c r="D53" s="274"/>
      <c r="E53" s="264">
        <f>IF((ISBLANK(D53)),0,I53)</f>
        <v>0</v>
      </c>
      <c r="F53" s="268">
        <f t="shared" ref="F53:F55" si="9">+E53*1.19</f>
        <v>0</v>
      </c>
      <c r="G53" s="268">
        <f t="shared" ref="G53:G54" si="10">+F53/12</f>
        <v>0</v>
      </c>
      <c r="I53" s="266">
        <v>500000</v>
      </c>
    </row>
    <row r="54" spans="1:9">
      <c r="A54" s="587"/>
      <c r="B54" s="280" t="s">
        <v>4329</v>
      </c>
      <c r="C54" s="274" t="s">
        <v>4320</v>
      </c>
      <c r="D54" s="274"/>
      <c r="E54" s="264">
        <f>IF((ISBLANK(D54)),0,I54)</f>
        <v>0</v>
      </c>
      <c r="F54" s="268">
        <f t="shared" si="9"/>
        <v>0</v>
      </c>
      <c r="G54" s="268">
        <f t="shared" si="10"/>
        <v>0</v>
      </c>
      <c r="I54" s="266">
        <v>150000</v>
      </c>
    </row>
    <row r="55" spans="1:9">
      <c r="A55" s="588"/>
      <c r="B55" s="589" t="s">
        <v>4330</v>
      </c>
      <c r="C55" s="590"/>
      <c r="D55" s="281"/>
      <c r="E55" s="270">
        <f>SUM(E52:E54)</f>
        <v>0</v>
      </c>
      <c r="F55" s="270">
        <f t="shared" si="9"/>
        <v>0</v>
      </c>
      <c r="G55" s="271">
        <f>SUM(G52:G54)</f>
        <v>0</v>
      </c>
      <c r="I55" s="266">
        <v>830000</v>
      </c>
    </row>
    <row r="56" spans="1:9">
      <c r="A56" s="1"/>
      <c r="B56" s="1"/>
      <c r="C56" s="267"/>
      <c r="D56" s="267"/>
      <c r="E56" s="282"/>
      <c r="F56" s="282"/>
      <c r="G56" s="268"/>
      <c r="I56" s="266"/>
    </row>
    <row r="57" spans="1:9">
      <c r="A57" s="586" t="s">
        <v>4331</v>
      </c>
      <c r="B57" s="280" t="s">
        <v>4332</v>
      </c>
      <c r="C57" s="274" t="s">
        <v>4284</v>
      </c>
      <c r="D57" s="274" t="s">
        <v>4616</v>
      </c>
      <c r="E57" s="264">
        <f>IF((ISBLANK(D57)),0,I57)</f>
        <v>264000</v>
      </c>
      <c r="F57" s="268">
        <f>+E57*1.19</f>
        <v>314160</v>
      </c>
      <c r="G57" s="268">
        <f>+F57/12</f>
        <v>26180</v>
      </c>
      <c r="I57" s="266">
        <v>264000</v>
      </c>
    </row>
    <row r="58" spans="1:9">
      <c r="A58" s="587"/>
      <c r="B58" s="280" t="s">
        <v>4333</v>
      </c>
      <c r="C58" s="274" t="s">
        <v>4284</v>
      </c>
      <c r="D58" s="274" t="s">
        <v>4616</v>
      </c>
      <c r="E58" s="264">
        <f>IF((ISBLANK(D58)),0,I58)</f>
        <v>180000</v>
      </c>
      <c r="F58" s="268">
        <f t="shared" ref="F58:F61" si="11">+E58*1.19</f>
        <v>214200</v>
      </c>
      <c r="G58" s="268">
        <f t="shared" ref="G58:G60" si="12">+F58/12</f>
        <v>17850</v>
      </c>
      <c r="I58" s="266">
        <v>180000</v>
      </c>
    </row>
    <row r="59" spans="1:9">
      <c r="A59" s="587"/>
      <c r="B59" s="280" t="s">
        <v>4334</v>
      </c>
      <c r="C59" s="274" t="s">
        <v>4284</v>
      </c>
      <c r="D59" s="274" t="s">
        <v>4616</v>
      </c>
      <c r="E59" s="264">
        <f>IF((ISBLANK(D59)),0,I59)</f>
        <v>117810</v>
      </c>
      <c r="F59" s="268">
        <f t="shared" si="11"/>
        <v>140193.9</v>
      </c>
      <c r="G59" s="268">
        <f t="shared" si="12"/>
        <v>11682.824999999999</v>
      </c>
      <c r="I59" s="266">
        <v>117810</v>
      </c>
    </row>
    <row r="60" spans="1:9">
      <c r="A60" s="587"/>
      <c r="B60" s="280" t="s">
        <v>4335</v>
      </c>
      <c r="C60" s="274" t="s">
        <v>4284</v>
      </c>
      <c r="D60" s="274" t="s">
        <v>4616</v>
      </c>
      <c r="E60" s="264">
        <f>IF((ISBLANK(D60)),0,I60)</f>
        <v>100000</v>
      </c>
      <c r="F60" s="268">
        <f t="shared" si="11"/>
        <v>119000</v>
      </c>
      <c r="G60" s="268">
        <f t="shared" si="12"/>
        <v>9916.6666666666661</v>
      </c>
      <c r="I60" s="266">
        <v>100000</v>
      </c>
    </row>
    <row r="61" spans="1:9">
      <c r="A61" s="588"/>
      <c r="B61" s="589" t="s">
        <v>4336</v>
      </c>
      <c r="C61" s="590"/>
      <c r="D61" s="281"/>
      <c r="E61" s="270">
        <f>SUM(E57:E60)</f>
        <v>661810</v>
      </c>
      <c r="F61" s="270">
        <f t="shared" si="11"/>
        <v>787553.89999999991</v>
      </c>
      <c r="G61" s="271">
        <f>SUM(G57:G60)</f>
        <v>65629.491666666669</v>
      </c>
      <c r="I61" s="266">
        <v>661810</v>
      </c>
    </row>
    <row r="62" spans="1:9">
      <c r="A62" s="1"/>
      <c r="B62" s="1"/>
      <c r="C62" s="267"/>
      <c r="D62" s="267"/>
      <c r="E62" s="6"/>
      <c r="F62" s="6"/>
      <c r="G62" s="6"/>
      <c r="I62" s="266"/>
    </row>
    <row r="63" spans="1:9">
      <c r="A63" s="586" t="s">
        <v>4337</v>
      </c>
      <c r="B63" s="280" t="s">
        <v>4338</v>
      </c>
      <c r="C63" s="274" t="s">
        <v>4284</v>
      </c>
      <c r="D63" s="274"/>
      <c r="E63" s="264">
        <f>IF((ISBLANK(D63)),0,I63)</f>
        <v>0</v>
      </c>
      <c r="F63" s="268">
        <f>+E63*1.19</f>
        <v>0</v>
      </c>
      <c r="G63" s="268">
        <f>+F63/12</f>
        <v>0</v>
      </c>
      <c r="I63" s="266">
        <v>200000</v>
      </c>
    </row>
    <row r="64" spans="1:9">
      <c r="A64" s="587"/>
      <c r="B64" s="280" t="s">
        <v>4339</v>
      </c>
      <c r="C64" s="274" t="s">
        <v>4284</v>
      </c>
      <c r="D64" s="274"/>
      <c r="E64" s="264">
        <f>IF((ISBLANK(D64)),0,I64)</f>
        <v>0</v>
      </c>
      <c r="F64" s="268">
        <f>+E64*1.19</f>
        <v>0</v>
      </c>
      <c r="G64" s="268">
        <f t="shared" ref="G64:G65" si="13">+F64/12</f>
        <v>0</v>
      </c>
      <c r="I64" s="266">
        <v>20000</v>
      </c>
    </row>
    <row r="65" spans="1:9">
      <c r="A65" s="587"/>
      <c r="B65" s="280" t="s">
        <v>4340</v>
      </c>
      <c r="C65" s="274" t="s">
        <v>4284</v>
      </c>
      <c r="D65" s="274"/>
      <c r="E65" s="264">
        <f>IF((ISBLANK(D65)),0,I65)</f>
        <v>0</v>
      </c>
      <c r="F65" s="268">
        <f t="shared" ref="F65" si="14">+E65*1.19</f>
        <v>0</v>
      </c>
      <c r="G65" s="268">
        <f t="shared" si="13"/>
        <v>0</v>
      </c>
      <c r="I65" s="266">
        <v>100000</v>
      </c>
    </row>
    <row r="66" spans="1:9">
      <c r="A66" s="588"/>
      <c r="B66" s="589" t="s">
        <v>4341</v>
      </c>
      <c r="C66" s="590"/>
      <c r="D66" s="281"/>
      <c r="E66" s="270">
        <f>SUM(E63:E65)</f>
        <v>0</v>
      </c>
      <c r="F66" s="270">
        <f>SUM(F63:F65)</f>
        <v>0</v>
      </c>
      <c r="G66" s="271">
        <f>SUM(G63:G65)</f>
        <v>0</v>
      </c>
      <c r="I66" s="266">
        <v>320000</v>
      </c>
    </row>
    <row r="67" spans="1:9">
      <c r="A67" s="1"/>
      <c r="B67" s="1"/>
      <c r="C67" s="6"/>
      <c r="D67" s="6"/>
      <c r="E67" s="268"/>
      <c r="F67" s="268"/>
      <c r="G67" s="268"/>
      <c r="I67" s="266"/>
    </row>
    <row r="68" spans="1:9">
      <c r="A68" s="586" t="s">
        <v>4342</v>
      </c>
      <c r="B68" s="280" t="s">
        <v>4343</v>
      </c>
      <c r="C68" s="286" t="s">
        <v>4284</v>
      </c>
      <c r="D68" s="286"/>
      <c r="E68" s="264">
        <f>IF((ISBLANK(D68)),0,I68)</f>
        <v>0</v>
      </c>
      <c r="F68" s="268">
        <f>+E68*1.19</f>
        <v>0</v>
      </c>
      <c r="G68" s="268">
        <f>+F68/12</f>
        <v>0</v>
      </c>
      <c r="I68" s="266">
        <v>200000</v>
      </c>
    </row>
    <row r="69" spans="1:9">
      <c r="A69" s="587"/>
      <c r="B69" s="280" t="s">
        <v>4344</v>
      </c>
      <c r="C69" s="286" t="s">
        <v>4284</v>
      </c>
      <c r="D69" s="286"/>
      <c r="E69" s="264">
        <f>IF((ISBLANK(D69)),0,I69)</f>
        <v>0</v>
      </c>
      <c r="F69" s="268">
        <f t="shared" ref="F69:F71" si="15">+E69*1.19</f>
        <v>0</v>
      </c>
      <c r="G69" s="268">
        <f t="shared" ref="G69:G70" si="16">+F69/12</f>
        <v>0</v>
      </c>
      <c r="I69" s="266">
        <v>200000</v>
      </c>
    </row>
    <row r="70" spans="1:9">
      <c r="A70" s="587"/>
      <c r="B70" s="280" t="s">
        <v>4345</v>
      </c>
      <c r="C70" s="286" t="s">
        <v>4284</v>
      </c>
      <c r="D70" s="286"/>
      <c r="E70" s="264">
        <f>IF((ISBLANK(D70)),0,I70)</f>
        <v>0</v>
      </c>
      <c r="F70" s="268">
        <f t="shared" si="15"/>
        <v>0</v>
      </c>
      <c r="G70" s="268">
        <f t="shared" si="16"/>
        <v>0</v>
      </c>
      <c r="I70" s="266">
        <v>200000</v>
      </c>
    </row>
    <row r="71" spans="1:9">
      <c r="A71" s="588"/>
      <c r="B71" s="589" t="s">
        <v>4346</v>
      </c>
      <c r="C71" s="590"/>
      <c r="D71" s="281"/>
      <c r="E71" s="270">
        <f>SUM(E68:E70)</f>
        <v>0</v>
      </c>
      <c r="F71" s="270">
        <f t="shared" si="15"/>
        <v>0</v>
      </c>
      <c r="G71" s="264">
        <f>SUM(G68:G70)</f>
        <v>0</v>
      </c>
      <c r="I71" s="266">
        <v>600000</v>
      </c>
    </row>
    <row r="72" spans="1:9">
      <c r="A72" s="1"/>
      <c r="B72" s="1"/>
      <c r="C72" s="6"/>
      <c r="D72" s="6"/>
      <c r="E72" s="268"/>
      <c r="F72" s="268"/>
      <c r="G72" s="268"/>
      <c r="I72" s="266"/>
    </row>
    <row r="73" spans="1:9">
      <c r="A73" s="586" t="s">
        <v>4347</v>
      </c>
      <c r="B73" s="280" t="s">
        <v>4348</v>
      </c>
      <c r="C73" s="286" t="s">
        <v>4349</v>
      </c>
      <c r="D73" s="286" t="s">
        <v>4285</v>
      </c>
      <c r="E73" s="264">
        <f>IF((ISBLANK(D73)),0,I73)</f>
        <v>3000000</v>
      </c>
      <c r="F73" s="268">
        <f>+E73*1.19</f>
        <v>3570000</v>
      </c>
      <c r="G73" s="268">
        <f>+F73/36</f>
        <v>99166.666666666672</v>
      </c>
      <c r="I73" s="266">
        <v>3000000</v>
      </c>
    </row>
    <row r="74" spans="1:9">
      <c r="A74" s="587"/>
      <c r="B74" s="280" t="s">
        <v>4350</v>
      </c>
      <c r="C74" s="286" t="s">
        <v>4284</v>
      </c>
      <c r="D74" s="286"/>
      <c r="E74" s="264">
        <f>IF((ISBLANK(D74)),0,I74)</f>
        <v>0</v>
      </c>
      <c r="F74" s="268">
        <f t="shared" ref="F74:F77" si="17">+E74*1.19</f>
        <v>0</v>
      </c>
      <c r="G74" s="268">
        <f t="shared" ref="G74:G77" si="18">+F74/12</f>
        <v>0</v>
      </c>
      <c r="I74" s="266">
        <v>120000</v>
      </c>
    </row>
    <row r="75" spans="1:9">
      <c r="A75" s="587"/>
      <c r="B75" s="280" t="s">
        <v>4351</v>
      </c>
      <c r="C75" s="286" t="s">
        <v>4284</v>
      </c>
      <c r="D75" s="286"/>
      <c r="E75" s="264">
        <f>IF((ISBLANK(D75)),0,I75)</f>
        <v>0</v>
      </c>
      <c r="F75" s="268">
        <f t="shared" si="17"/>
        <v>0</v>
      </c>
      <c r="G75" s="268">
        <f t="shared" si="18"/>
        <v>0</v>
      </c>
      <c r="I75" s="266">
        <v>100000</v>
      </c>
    </row>
    <row r="76" spans="1:9">
      <c r="A76" s="587"/>
      <c r="B76" s="280" t="s">
        <v>4352</v>
      </c>
      <c r="C76" s="286" t="s">
        <v>4284</v>
      </c>
      <c r="D76" s="286" t="s">
        <v>4285</v>
      </c>
      <c r="E76" s="264">
        <f>IF((ISBLANK(D76)),0,I76)</f>
        <v>50000</v>
      </c>
      <c r="F76" s="268">
        <f t="shared" si="17"/>
        <v>59500</v>
      </c>
      <c r="G76" s="268">
        <f t="shared" si="18"/>
        <v>4958.333333333333</v>
      </c>
      <c r="I76" s="266">
        <v>50000</v>
      </c>
    </row>
    <row r="77" spans="1:9">
      <c r="A77" s="587"/>
      <c r="B77" s="280" t="s">
        <v>4353</v>
      </c>
      <c r="C77" s="286" t="s">
        <v>4284</v>
      </c>
      <c r="D77" s="286"/>
      <c r="E77" s="264">
        <f>IF((ISBLANK(D77)),0,I77)</f>
        <v>0</v>
      </c>
      <c r="F77" s="268">
        <f t="shared" si="17"/>
        <v>0</v>
      </c>
      <c r="G77" s="268">
        <f t="shared" si="18"/>
        <v>0</v>
      </c>
      <c r="I77" s="266">
        <v>100000</v>
      </c>
    </row>
    <row r="78" spans="1:9">
      <c r="A78" s="588"/>
      <c r="B78" s="589" t="s">
        <v>4354</v>
      </c>
      <c r="C78" s="590"/>
      <c r="D78" s="281"/>
      <c r="E78" s="270">
        <f>SUM(E73:E77)</f>
        <v>3050000</v>
      </c>
      <c r="F78" s="270">
        <f>SUM(F73:F77)</f>
        <v>3629500</v>
      </c>
      <c r="G78" s="264">
        <f>SUM(G73:G77)</f>
        <v>104125</v>
      </c>
      <c r="I78" s="266">
        <v>3370000</v>
      </c>
    </row>
    <row r="80" spans="1:9">
      <c r="A80" s="591" t="s">
        <v>4355</v>
      </c>
      <c r="B80" s="591"/>
      <c r="C80" s="591"/>
      <c r="D80" s="591"/>
      <c r="E80" s="591"/>
      <c r="F80" s="591"/>
      <c r="G80" s="271">
        <f>+SUM(G24,G36,G43,G50,G55,G61,G66,G71,G78)</f>
        <v>324623.86833333335</v>
      </c>
    </row>
  </sheetData>
  <mergeCells count="22">
    <mergeCell ref="A26:A36"/>
    <mergeCell ref="B36:C36"/>
    <mergeCell ref="A1:B1"/>
    <mergeCell ref="C12:F13"/>
    <mergeCell ref="G12:G13"/>
    <mergeCell ref="A16:A24"/>
    <mergeCell ref="B24:C24"/>
    <mergeCell ref="A38:A43"/>
    <mergeCell ref="B43:C43"/>
    <mergeCell ref="A45:A50"/>
    <mergeCell ref="B50:C50"/>
    <mergeCell ref="A52:A55"/>
    <mergeCell ref="B55:C55"/>
    <mergeCell ref="A73:A78"/>
    <mergeCell ref="B78:C78"/>
    <mergeCell ref="A80:F80"/>
    <mergeCell ref="A57:A61"/>
    <mergeCell ref="B61:C61"/>
    <mergeCell ref="A63:A66"/>
    <mergeCell ref="B66:C66"/>
    <mergeCell ref="A68:A71"/>
    <mergeCell ref="B71:C71"/>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7"/>
  <dimension ref="B2:U20"/>
  <sheetViews>
    <sheetView topLeftCell="A4" workbookViewId="0">
      <selection activeCell="A1696" sqref="A1696:G1696"/>
    </sheetView>
  </sheetViews>
  <sheetFormatPr baseColWidth="10" defaultRowHeight="15"/>
  <cols>
    <col min="1" max="1" width="2.42578125" customWidth="1"/>
    <col min="2" max="2" width="18.140625" bestFit="1" customWidth="1"/>
    <col min="6" max="6" width="13.28515625" customWidth="1"/>
    <col min="8" max="10" width="12" customWidth="1"/>
    <col min="11" max="13" width="10.85546875" customWidth="1"/>
    <col min="17" max="17" width="19" customWidth="1"/>
  </cols>
  <sheetData>
    <row r="2" spans="2:21" ht="15" customHeight="1">
      <c r="B2" s="609" t="s">
        <v>4356</v>
      </c>
      <c r="C2" s="609"/>
      <c r="D2" s="609"/>
      <c r="E2" s="609"/>
      <c r="F2" s="609"/>
      <c r="G2" s="609"/>
      <c r="H2" s="609"/>
      <c r="I2" s="609"/>
      <c r="J2" s="609"/>
      <c r="K2" s="609"/>
      <c r="L2" s="609"/>
      <c r="M2" s="609"/>
      <c r="N2" s="609"/>
      <c r="O2" s="609"/>
      <c r="P2" s="609"/>
      <c r="Q2" s="609"/>
      <c r="R2" s="609"/>
      <c r="S2" s="609"/>
      <c r="T2" s="609"/>
      <c r="U2" s="609"/>
    </row>
    <row r="3" spans="2:21" ht="15" customHeight="1">
      <c r="B3" s="609"/>
      <c r="C3" s="609"/>
      <c r="D3" s="609"/>
      <c r="E3" s="609"/>
      <c r="F3" s="609"/>
      <c r="G3" s="609"/>
      <c r="H3" s="609"/>
      <c r="I3" s="609"/>
      <c r="J3" s="609"/>
      <c r="K3" s="609"/>
      <c r="L3" s="609"/>
      <c r="M3" s="609"/>
      <c r="N3" s="609"/>
      <c r="O3" s="609"/>
      <c r="P3" s="609"/>
      <c r="Q3" s="609"/>
      <c r="R3" s="609"/>
      <c r="S3" s="609"/>
      <c r="T3" s="609"/>
      <c r="U3" s="609"/>
    </row>
    <row r="4" spans="2:21" ht="60">
      <c r="B4" s="610" t="s">
        <v>4357</v>
      </c>
      <c r="C4" s="610" t="s">
        <v>4358</v>
      </c>
      <c r="D4" s="610" t="s">
        <v>4359</v>
      </c>
      <c r="E4" s="612" t="s">
        <v>4360</v>
      </c>
      <c r="F4" s="612" t="s">
        <v>4361</v>
      </c>
      <c r="G4" s="614" t="s">
        <v>4360</v>
      </c>
      <c r="H4" s="287" t="s">
        <v>4362</v>
      </c>
      <c r="I4" s="614" t="s">
        <v>4361</v>
      </c>
      <c r="J4" s="616" t="s">
        <v>4360</v>
      </c>
      <c r="K4" s="288" t="s">
        <v>4363</v>
      </c>
      <c r="L4" s="616" t="s">
        <v>4361</v>
      </c>
      <c r="M4" s="618" t="s">
        <v>4360</v>
      </c>
      <c r="N4" s="289" t="s">
        <v>4364</v>
      </c>
      <c r="O4" s="618" t="s">
        <v>4365</v>
      </c>
      <c r="P4" s="620" t="s">
        <v>4360</v>
      </c>
      <c r="Q4" s="290" t="s">
        <v>4366</v>
      </c>
      <c r="R4" s="620" t="s">
        <v>4361</v>
      </c>
      <c r="S4" s="607" t="s">
        <v>4360</v>
      </c>
      <c r="T4" s="291" t="s">
        <v>4367</v>
      </c>
      <c r="U4" s="607" t="s">
        <v>4368</v>
      </c>
    </row>
    <row r="5" spans="2:21">
      <c r="B5" s="611"/>
      <c r="C5" s="611"/>
      <c r="D5" s="611"/>
      <c r="E5" s="613"/>
      <c r="F5" s="613"/>
      <c r="G5" s="615"/>
      <c r="H5" s="292">
        <v>0.35</v>
      </c>
      <c r="I5" s="615"/>
      <c r="J5" s="617"/>
      <c r="K5" s="293">
        <v>1.25</v>
      </c>
      <c r="L5" s="617"/>
      <c r="M5" s="619"/>
      <c r="N5" s="294">
        <v>1.75</v>
      </c>
      <c r="O5" s="619"/>
      <c r="P5" s="621"/>
      <c r="Q5" s="295">
        <v>2.1</v>
      </c>
      <c r="R5" s="621"/>
      <c r="S5" s="608"/>
      <c r="T5" s="296">
        <v>2.5</v>
      </c>
      <c r="U5" s="608"/>
    </row>
    <row r="6" spans="2:21">
      <c r="B6" s="1" t="s">
        <v>4369</v>
      </c>
      <c r="C6" s="268">
        <f>2000000*1.47</f>
        <v>2940000</v>
      </c>
      <c r="D6" s="268">
        <f t="shared" ref="D6:D10" si="0">+(C6/30)/8</f>
        <v>12250</v>
      </c>
      <c r="E6" s="268">
        <v>48</v>
      </c>
      <c r="F6" s="297">
        <f>E6*D6</f>
        <v>588000</v>
      </c>
      <c r="G6" s="268"/>
      <c r="H6" s="268">
        <f>+D6*$H$5</f>
        <v>4287.5</v>
      </c>
      <c r="I6" s="268">
        <f>+G6*H6</f>
        <v>0</v>
      </c>
      <c r="J6" s="268"/>
      <c r="K6" s="268">
        <f>+D6*$K$5</f>
        <v>15312.5</v>
      </c>
      <c r="L6" s="268">
        <f>+K6*J6</f>
        <v>0</v>
      </c>
      <c r="M6" s="268">
        <v>16</v>
      </c>
      <c r="N6" s="268">
        <f>+D6*$N$5</f>
        <v>21437.5</v>
      </c>
      <c r="O6" s="268">
        <f>+N6*M6</f>
        <v>343000</v>
      </c>
      <c r="P6" s="268"/>
      <c r="Q6" s="268">
        <f>+D6*$Q$5</f>
        <v>25725</v>
      </c>
      <c r="R6" s="268">
        <f>+Q6*P6</f>
        <v>0</v>
      </c>
      <c r="S6" s="268"/>
      <c r="T6" s="268">
        <f>+D6*$T$5</f>
        <v>30625</v>
      </c>
      <c r="U6" s="268">
        <f>+T6*S6</f>
        <v>0</v>
      </c>
    </row>
    <row r="7" spans="2:21" ht="16.5" customHeight="1">
      <c r="B7" s="1" t="s">
        <v>4370</v>
      </c>
      <c r="C7" s="268">
        <f>1400000*1.47</f>
        <v>2058000</v>
      </c>
      <c r="D7" s="268">
        <f t="shared" si="0"/>
        <v>8575</v>
      </c>
      <c r="E7" s="268">
        <f>8*4*6</f>
        <v>192</v>
      </c>
      <c r="F7" s="297">
        <f t="shared" ref="F7:F10" si="1">E7*D7</f>
        <v>1646400</v>
      </c>
      <c r="G7" s="268"/>
      <c r="H7" s="268">
        <f>+D7*$H$5</f>
        <v>3001.25</v>
      </c>
      <c r="I7" s="268">
        <f>+G7*H7</f>
        <v>0</v>
      </c>
      <c r="J7" s="268"/>
      <c r="K7" s="268">
        <f>+D7*$K$5</f>
        <v>10718.75</v>
      </c>
      <c r="L7" s="268">
        <f>+K7*J7</f>
        <v>0</v>
      </c>
      <c r="M7" s="268">
        <f>8*4*2</f>
        <v>64</v>
      </c>
      <c r="N7" s="268">
        <f>+D7*$N$5</f>
        <v>15006.25</v>
      </c>
      <c r="O7" s="268">
        <f>+N7*M7</f>
        <v>960400</v>
      </c>
      <c r="P7" s="268"/>
      <c r="Q7" s="268">
        <f>+D7*$Q$5</f>
        <v>18007.5</v>
      </c>
      <c r="R7" s="268">
        <f>+Q7*P7</f>
        <v>0</v>
      </c>
      <c r="S7" s="268"/>
      <c r="T7" s="268">
        <f>+D7*$T$5</f>
        <v>21437.5</v>
      </c>
      <c r="U7" s="268">
        <f>+T7*S7</f>
        <v>0</v>
      </c>
    </row>
    <row r="8" spans="2:21" ht="16.5" customHeight="1">
      <c r="B8" s="1" t="s">
        <v>4371</v>
      </c>
      <c r="C8" s="268">
        <f>980000*1.47</f>
        <v>1440600</v>
      </c>
      <c r="D8" s="268">
        <f t="shared" si="0"/>
        <v>6002.5</v>
      </c>
      <c r="E8" s="268"/>
      <c r="F8" s="297">
        <f t="shared" si="1"/>
        <v>0</v>
      </c>
      <c r="G8" s="268"/>
      <c r="H8" s="268">
        <f>+D8*$H$5</f>
        <v>2100.875</v>
      </c>
      <c r="I8" s="268">
        <f>+G8*H8</f>
        <v>0</v>
      </c>
      <c r="J8" s="268"/>
      <c r="K8" s="268">
        <f>+D8*$K$5</f>
        <v>7503.125</v>
      </c>
      <c r="L8" s="268">
        <f t="shared" ref="L8:L10" si="2">+K8*J8</f>
        <v>0</v>
      </c>
      <c r="M8" s="268"/>
      <c r="N8" s="268">
        <f>+D8*$N$5</f>
        <v>10504.375</v>
      </c>
      <c r="O8" s="268">
        <f t="shared" ref="O8:O10" si="3">+N8*M8</f>
        <v>0</v>
      </c>
      <c r="P8" s="268"/>
      <c r="Q8" s="268">
        <f>+D8*$Q$5</f>
        <v>12605.25</v>
      </c>
      <c r="R8" s="268">
        <f t="shared" ref="R8:R10" si="4">+Q8*P8</f>
        <v>0</v>
      </c>
      <c r="S8" s="268"/>
      <c r="T8" s="268">
        <f>+D8*$T$5</f>
        <v>15006.25</v>
      </c>
      <c r="U8" s="268">
        <f t="shared" ref="U8:U10" si="5">+T8*S8</f>
        <v>0</v>
      </c>
    </row>
    <row r="9" spans="2:21" ht="15.75" customHeight="1">
      <c r="B9" s="1" t="s">
        <v>4372</v>
      </c>
      <c r="C9" s="268">
        <f>800000*1.47</f>
        <v>1176000</v>
      </c>
      <c r="D9" s="268">
        <f t="shared" si="0"/>
        <v>4900</v>
      </c>
      <c r="E9" s="268"/>
      <c r="F9" s="297">
        <f t="shared" si="1"/>
        <v>0</v>
      </c>
      <c r="G9" s="268"/>
      <c r="H9" s="268">
        <f>+D9*$H$5</f>
        <v>1715</v>
      </c>
      <c r="I9" s="268">
        <f>+G9*H9</f>
        <v>0</v>
      </c>
      <c r="J9" s="268"/>
      <c r="K9" s="268">
        <f>+D9*$K$5</f>
        <v>6125</v>
      </c>
      <c r="L9" s="268">
        <f t="shared" si="2"/>
        <v>0</v>
      </c>
      <c r="M9" s="268"/>
      <c r="N9" s="268">
        <f>+D9*$N$5</f>
        <v>8575</v>
      </c>
      <c r="O9" s="268">
        <f t="shared" si="3"/>
        <v>0</v>
      </c>
      <c r="P9" s="268"/>
      <c r="Q9" s="268">
        <f>+D9*$Q$5</f>
        <v>10290</v>
      </c>
      <c r="R9" s="268">
        <f t="shared" si="4"/>
        <v>0</v>
      </c>
      <c r="S9" s="268"/>
      <c r="T9" s="268">
        <f>+D9*$T$5</f>
        <v>12250</v>
      </c>
      <c r="U9" s="268">
        <f t="shared" si="5"/>
        <v>0</v>
      </c>
    </row>
    <row r="10" spans="2:21" ht="16.5" customHeight="1">
      <c r="B10" s="1" t="s">
        <v>4217</v>
      </c>
      <c r="C10" s="268">
        <f>800000*1.47</f>
        <v>1176000</v>
      </c>
      <c r="D10" s="268">
        <f t="shared" si="0"/>
        <v>4900</v>
      </c>
      <c r="E10" s="268">
        <f>8*6</f>
        <v>48</v>
      </c>
      <c r="F10" s="297">
        <f t="shared" si="1"/>
        <v>235200</v>
      </c>
      <c r="G10" s="268"/>
      <c r="H10" s="268">
        <f>+D10*$H$5</f>
        <v>1715</v>
      </c>
      <c r="I10" s="268">
        <f>+G10*H10</f>
        <v>0</v>
      </c>
      <c r="J10" s="268"/>
      <c r="K10" s="268">
        <f>+D10*$K$5</f>
        <v>6125</v>
      </c>
      <c r="L10" s="268">
        <f t="shared" si="2"/>
        <v>0</v>
      </c>
      <c r="M10" s="268">
        <f>8*2</f>
        <v>16</v>
      </c>
      <c r="N10" s="268">
        <f>+D10*$N$5</f>
        <v>8575</v>
      </c>
      <c r="O10" s="268">
        <f t="shared" si="3"/>
        <v>137200</v>
      </c>
      <c r="P10" s="268"/>
      <c r="Q10" s="268">
        <f>+D10*$Q$5</f>
        <v>10290</v>
      </c>
      <c r="R10" s="268">
        <f t="shared" si="4"/>
        <v>0</v>
      </c>
      <c r="S10" s="268"/>
      <c r="T10" s="268">
        <f>+D10*$T$5</f>
        <v>12250</v>
      </c>
      <c r="U10" s="268">
        <f t="shared" si="5"/>
        <v>0</v>
      </c>
    </row>
    <row r="11" spans="2:21">
      <c r="C11" s="195"/>
      <c r="F11" s="298">
        <f>SUM(F6:F10)</f>
        <v>2469600</v>
      </c>
      <c r="I11" s="299">
        <f>SUM(I6:I10)</f>
        <v>0</v>
      </c>
      <c r="L11" s="300">
        <f>SUM(L6:L10)</f>
        <v>0</v>
      </c>
      <c r="O11" s="301">
        <f>SUM(O6:O10)</f>
        <v>1440600</v>
      </c>
      <c r="R11" s="302">
        <f>SUM(R6:R10)</f>
        <v>0</v>
      </c>
      <c r="U11" s="303">
        <f>SUM(U6:U10)</f>
        <v>0</v>
      </c>
    </row>
    <row r="12" spans="2:21">
      <c r="C12" s="195"/>
      <c r="F12" s="304"/>
    </row>
    <row r="13" spans="2:21">
      <c r="C13" s="195"/>
    </row>
    <row r="14" spans="2:21">
      <c r="B14" s="605" t="s">
        <v>4362</v>
      </c>
      <c r="C14" s="604" t="s">
        <v>4373</v>
      </c>
      <c r="D14" s="604"/>
      <c r="E14" s="604"/>
      <c r="F14" s="604"/>
      <c r="G14" s="604"/>
      <c r="H14" s="604"/>
      <c r="I14" s="604"/>
      <c r="J14" s="604"/>
      <c r="K14" s="604"/>
      <c r="L14" s="604"/>
    </row>
    <row r="15" spans="2:21">
      <c r="B15" s="605"/>
      <c r="C15" s="604"/>
      <c r="D15" s="604"/>
      <c r="E15" s="604"/>
      <c r="F15" s="604"/>
      <c r="G15" s="604"/>
      <c r="H15" s="604"/>
      <c r="I15" s="604"/>
      <c r="J15" s="604"/>
      <c r="K15" s="604"/>
      <c r="L15" s="604"/>
      <c r="Q15" s="139"/>
    </row>
    <row r="16" spans="2:21">
      <c r="B16" s="606" t="s">
        <v>4363</v>
      </c>
      <c r="C16" s="604" t="s">
        <v>4374</v>
      </c>
      <c r="D16" s="604"/>
      <c r="E16" s="604"/>
      <c r="F16" s="604"/>
      <c r="G16" s="604"/>
      <c r="H16" s="604"/>
      <c r="I16" s="604"/>
      <c r="J16" s="604"/>
      <c r="K16" s="604"/>
      <c r="L16" s="604"/>
    </row>
    <row r="17" spans="2:12">
      <c r="B17" s="606"/>
      <c r="C17" s="604"/>
      <c r="D17" s="604"/>
      <c r="E17" s="604"/>
      <c r="F17" s="604"/>
      <c r="G17" s="604"/>
      <c r="H17" s="604"/>
      <c r="I17" s="604"/>
      <c r="J17" s="604"/>
      <c r="K17" s="604"/>
      <c r="L17" s="604"/>
    </row>
    <row r="18" spans="2:12">
      <c r="B18" s="289" t="s">
        <v>4375</v>
      </c>
      <c r="C18" s="604" t="s">
        <v>4376</v>
      </c>
      <c r="D18" s="604"/>
      <c r="E18" s="604"/>
      <c r="F18" s="604"/>
      <c r="G18" s="604"/>
      <c r="H18" s="604"/>
      <c r="I18" s="604"/>
      <c r="J18" s="604"/>
      <c r="K18" s="604"/>
      <c r="L18" s="604"/>
    </row>
    <row r="19" spans="2:12" ht="83.25" customHeight="1">
      <c r="B19" s="290" t="s">
        <v>4377</v>
      </c>
      <c r="C19" s="604" t="s">
        <v>4378</v>
      </c>
      <c r="D19" s="604"/>
      <c r="E19" s="604"/>
      <c r="F19" s="604"/>
      <c r="G19" s="604"/>
      <c r="H19" s="604"/>
      <c r="I19" s="604"/>
      <c r="J19" s="604"/>
      <c r="K19" s="604"/>
      <c r="L19" s="604"/>
    </row>
    <row r="20" spans="2:12" ht="76.5" customHeight="1">
      <c r="B20" s="291" t="s">
        <v>4367</v>
      </c>
      <c r="C20" s="604" t="s">
        <v>4379</v>
      </c>
      <c r="D20" s="604"/>
      <c r="E20" s="604"/>
      <c r="F20" s="604"/>
      <c r="G20" s="604"/>
      <c r="H20" s="604"/>
      <c r="I20" s="604"/>
      <c r="J20" s="604"/>
      <c r="K20" s="604"/>
      <c r="L20" s="604"/>
    </row>
  </sheetData>
  <mergeCells count="23">
    <mergeCell ref="U4:U5"/>
    <mergeCell ref="B2:U3"/>
    <mergeCell ref="B4:B5"/>
    <mergeCell ref="C4:C5"/>
    <mergeCell ref="D4:D5"/>
    <mergeCell ref="E4:E5"/>
    <mergeCell ref="F4:F5"/>
    <mergeCell ref="G4:G5"/>
    <mergeCell ref="I4:I5"/>
    <mergeCell ref="J4:J5"/>
    <mergeCell ref="L4:L5"/>
    <mergeCell ref="M4:M5"/>
    <mergeCell ref="O4:O5"/>
    <mergeCell ref="P4:P5"/>
    <mergeCell ref="R4:R5"/>
    <mergeCell ref="S4:S5"/>
    <mergeCell ref="C20:L20"/>
    <mergeCell ref="B14:B15"/>
    <mergeCell ref="C14:L15"/>
    <mergeCell ref="B16:B17"/>
    <mergeCell ref="C16:L17"/>
    <mergeCell ref="C18:L18"/>
    <mergeCell ref="C19:L19"/>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BF2F1-67EF-4260-A08C-0BA0E6AAAECC}">
  <sheetPr>
    <tabColor theme="1"/>
  </sheetPr>
  <dimension ref="A1:L51"/>
  <sheetViews>
    <sheetView zoomScale="90" zoomScaleNormal="90" workbookViewId="0">
      <selection activeCell="B29" sqref="B29"/>
    </sheetView>
  </sheetViews>
  <sheetFormatPr baseColWidth="10" defaultRowHeight="14.25"/>
  <cols>
    <col min="1" max="1" width="23.5703125" style="416" bestFit="1" customWidth="1"/>
    <col min="2" max="2" width="20.42578125" style="416" customWidth="1"/>
    <col min="3" max="3" width="29.5703125" style="416" customWidth="1"/>
    <col min="4" max="4" width="23.5703125" style="416" customWidth="1"/>
    <col min="5" max="5" width="27.140625" style="416" customWidth="1"/>
    <col min="6" max="6" width="23.85546875" style="416" customWidth="1"/>
    <col min="7" max="8" width="15" style="416" customWidth="1"/>
    <col min="9" max="10" width="11.42578125" style="416"/>
    <col min="11" max="11" width="27.5703125" style="416" bestFit="1" customWidth="1"/>
    <col min="12" max="12" width="31" style="416" bestFit="1" customWidth="1"/>
    <col min="13" max="16384" width="11.42578125" style="416"/>
  </cols>
  <sheetData>
    <row r="1" spans="1:12">
      <c r="A1" s="414" t="s">
        <v>4854</v>
      </c>
      <c r="B1" s="415" t="s">
        <v>4846</v>
      </c>
      <c r="C1" s="415" t="s">
        <v>4847</v>
      </c>
      <c r="D1" s="415" t="s">
        <v>4848</v>
      </c>
      <c r="E1" s="415" t="s">
        <v>4849</v>
      </c>
      <c r="F1" s="415" t="s">
        <v>4850</v>
      </c>
      <c r="G1" s="414"/>
      <c r="H1" s="414"/>
      <c r="I1" s="414"/>
      <c r="J1" s="414"/>
      <c r="K1" s="414" t="s">
        <v>4855</v>
      </c>
      <c r="L1" s="414" t="s">
        <v>4856</v>
      </c>
    </row>
    <row r="2" spans="1:12">
      <c r="A2" s="416" t="s">
        <v>4857</v>
      </c>
      <c r="B2" s="417">
        <v>0.1</v>
      </c>
      <c r="C2" s="417">
        <v>0.15</v>
      </c>
      <c r="D2" s="418">
        <v>0.01</v>
      </c>
      <c r="E2" s="417">
        <v>0.08</v>
      </c>
      <c r="F2" s="419">
        <v>0.03</v>
      </c>
      <c r="K2" s="416" t="s">
        <v>4858</v>
      </c>
      <c r="L2" s="416" t="s">
        <v>4859</v>
      </c>
    </row>
    <row r="3" spans="1:12">
      <c r="A3" s="416" t="s">
        <v>4860</v>
      </c>
      <c r="B3" s="417">
        <v>0.1</v>
      </c>
      <c r="C3" s="417">
        <v>0.1</v>
      </c>
      <c r="D3" s="418">
        <v>0.01</v>
      </c>
      <c r="E3" s="417">
        <v>0</v>
      </c>
      <c r="F3" s="418">
        <v>0.03</v>
      </c>
      <c r="K3" s="416" t="s">
        <v>4861</v>
      </c>
      <c r="L3" s="416" t="s">
        <v>4862</v>
      </c>
    </row>
    <row r="4" spans="1:12">
      <c r="A4" s="416" t="s">
        <v>4863</v>
      </c>
      <c r="B4" s="417">
        <v>7.0000000000000007E-2</v>
      </c>
      <c r="C4" s="417">
        <v>0.1</v>
      </c>
      <c r="D4" s="418">
        <v>0.01</v>
      </c>
      <c r="E4" s="420">
        <v>0</v>
      </c>
      <c r="F4" s="419">
        <v>0.03</v>
      </c>
      <c r="K4" s="416" t="s">
        <v>4864</v>
      </c>
      <c r="L4" s="416" t="s">
        <v>4865</v>
      </c>
    </row>
    <row r="5" spans="1:12">
      <c r="A5" s="416" t="s">
        <v>4866</v>
      </c>
      <c r="B5" s="417">
        <v>0.1</v>
      </c>
      <c r="C5" s="417">
        <v>0.1</v>
      </c>
      <c r="D5" s="418">
        <v>0.01</v>
      </c>
      <c r="E5" s="420">
        <v>0</v>
      </c>
      <c r="F5" s="419">
        <v>0.03</v>
      </c>
      <c r="K5" s="416" t="s">
        <v>4867</v>
      </c>
    </row>
    <row r="6" spans="1:12">
      <c r="A6" s="416" t="s">
        <v>4868</v>
      </c>
      <c r="B6" s="417">
        <v>7.0000000000000007E-2</v>
      </c>
      <c r="C6" s="417">
        <v>7.0000000000000007E-2</v>
      </c>
      <c r="D6" s="418">
        <v>0.01</v>
      </c>
      <c r="E6" s="420">
        <v>0</v>
      </c>
      <c r="F6" s="419">
        <v>0.03</v>
      </c>
      <c r="K6" s="416" t="s">
        <v>4869</v>
      </c>
    </row>
    <row r="7" spans="1:12">
      <c r="A7" s="416" t="s">
        <v>4870</v>
      </c>
      <c r="B7" s="417">
        <v>0.1</v>
      </c>
      <c r="C7" s="417">
        <v>0.1</v>
      </c>
      <c r="D7" s="418">
        <v>0.01</v>
      </c>
      <c r="E7" s="420">
        <v>0</v>
      </c>
      <c r="F7" s="419">
        <v>0.03</v>
      </c>
      <c r="K7" s="416" t="s">
        <v>4871</v>
      </c>
    </row>
    <row r="8" spans="1:12">
      <c r="A8" s="416" t="s">
        <v>4872</v>
      </c>
      <c r="B8" s="417">
        <v>7.0000000000000007E-2</v>
      </c>
      <c r="C8" s="417">
        <v>0.1</v>
      </c>
      <c r="D8" s="418">
        <v>0.01</v>
      </c>
      <c r="E8" s="420">
        <v>0</v>
      </c>
      <c r="F8" s="419">
        <v>0.03</v>
      </c>
      <c r="K8" s="416" t="s">
        <v>4873</v>
      </c>
    </row>
    <row r="9" spans="1:12">
      <c r="A9" s="416" t="s">
        <v>4874</v>
      </c>
      <c r="B9" s="417">
        <v>0.1</v>
      </c>
      <c r="C9" s="417">
        <v>0.1</v>
      </c>
      <c r="D9" s="418">
        <v>0.01</v>
      </c>
      <c r="E9" s="420">
        <v>0</v>
      </c>
      <c r="F9" s="419">
        <v>0.03</v>
      </c>
    </row>
    <row r="10" spans="1:12">
      <c r="A10" s="416" t="s">
        <v>4875</v>
      </c>
      <c r="B10" s="417">
        <v>0.1</v>
      </c>
      <c r="C10" s="417">
        <v>0.1</v>
      </c>
      <c r="D10" s="418">
        <v>0.01</v>
      </c>
      <c r="E10" s="417">
        <v>0</v>
      </c>
      <c r="F10" s="419">
        <v>0.03</v>
      </c>
    </row>
    <row r="11" spans="1:12">
      <c r="A11" s="416" t="s">
        <v>4876</v>
      </c>
      <c r="B11" s="417">
        <v>0.1</v>
      </c>
      <c r="C11" s="417">
        <v>0.15</v>
      </c>
      <c r="D11" s="418">
        <v>0.01</v>
      </c>
      <c r="E11" s="417">
        <v>0.08</v>
      </c>
      <c r="F11" s="419">
        <v>0.03</v>
      </c>
    </row>
    <row r="12" spans="1:12">
      <c r="A12" s="416" t="s">
        <v>4877</v>
      </c>
      <c r="B12" s="417">
        <v>7.0000000000000007E-2</v>
      </c>
      <c r="C12" s="417">
        <v>7.0000000000000007E-2</v>
      </c>
      <c r="D12" s="418">
        <v>0.01</v>
      </c>
      <c r="E12" s="417">
        <v>0</v>
      </c>
      <c r="F12" s="419">
        <v>0.03</v>
      </c>
    </row>
    <row r="13" spans="1:12">
      <c r="A13" s="416" t="s">
        <v>4831</v>
      </c>
      <c r="B13" s="408"/>
      <c r="C13" s="408"/>
      <c r="D13" s="408"/>
      <c r="E13" s="408"/>
      <c r="F13" s="408"/>
    </row>
    <row r="14" spans="1:12">
      <c r="A14" s="416" t="s">
        <v>4832</v>
      </c>
      <c r="B14" s="408"/>
      <c r="C14" s="408"/>
      <c r="D14" s="408"/>
      <c r="E14" s="408"/>
      <c r="F14" s="408"/>
    </row>
    <row r="15" spans="1:12">
      <c r="A15" s="416" t="s">
        <v>4878</v>
      </c>
      <c r="B15" s="417">
        <v>0.1</v>
      </c>
      <c r="C15" s="417">
        <v>0.15</v>
      </c>
      <c r="D15" s="418">
        <v>0.01</v>
      </c>
      <c r="E15" s="417">
        <v>0</v>
      </c>
      <c r="F15" s="419">
        <v>0.03</v>
      </c>
    </row>
    <row r="16" spans="1:12">
      <c r="A16" s="416" t="s">
        <v>4879</v>
      </c>
      <c r="B16" s="417">
        <v>0.1</v>
      </c>
      <c r="C16" s="417">
        <v>0.15</v>
      </c>
      <c r="D16" s="418">
        <v>0.01</v>
      </c>
      <c r="E16" s="417">
        <v>0.08</v>
      </c>
      <c r="F16" s="419">
        <v>0.03</v>
      </c>
    </row>
    <row r="17" spans="1:7">
      <c r="A17" s="416" t="s">
        <v>4880</v>
      </c>
      <c r="B17" s="417">
        <v>7.0000000000000007E-2</v>
      </c>
      <c r="C17" s="417">
        <v>0.1</v>
      </c>
      <c r="D17" s="418">
        <v>0.01</v>
      </c>
      <c r="E17" s="417">
        <v>0</v>
      </c>
      <c r="F17" s="419">
        <v>0.03</v>
      </c>
    </row>
    <row r="18" spans="1:7">
      <c r="A18" s="416" t="s">
        <v>4881</v>
      </c>
      <c r="B18" s="417">
        <v>0.08</v>
      </c>
      <c r="C18" s="417">
        <v>0.1</v>
      </c>
      <c r="D18" s="418">
        <v>0.01</v>
      </c>
      <c r="E18" s="417">
        <v>0</v>
      </c>
      <c r="F18" s="419">
        <v>0.03</v>
      </c>
    </row>
    <row r="19" spans="1:7">
      <c r="A19" s="416" t="s">
        <v>4882</v>
      </c>
      <c r="B19" s="417">
        <v>0.1</v>
      </c>
      <c r="C19" s="417">
        <v>0.1</v>
      </c>
      <c r="D19" s="418">
        <v>0.01</v>
      </c>
      <c r="E19" s="417">
        <v>0</v>
      </c>
      <c r="F19" s="419">
        <v>0.03</v>
      </c>
    </row>
    <row r="20" spans="1:7">
      <c r="A20" s="416" t="s">
        <v>4883</v>
      </c>
      <c r="B20" s="417">
        <v>0.1</v>
      </c>
      <c r="C20" s="417">
        <v>0.15</v>
      </c>
      <c r="D20" s="418">
        <v>0.01</v>
      </c>
      <c r="E20" s="417">
        <v>0.08</v>
      </c>
      <c r="F20" s="419">
        <v>0.03</v>
      </c>
    </row>
    <row r="21" spans="1:7">
      <c r="A21" s="416" t="s">
        <v>4884</v>
      </c>
      <c r="B21" s="408"/>
      <c r="C21" s="408"/>
      <c r="D21" s="408"/>
      <c r="E21" s="408"/>
      <c r="F21" s="408"/>
    </row>
    <row r="22" spans="1:7">
      <c r="A22" s="416" t="s">
        <v>4885</v>
      </c>
      <c r="B22" s="417">
        <v>0.1</v>
      </c>
      <c r="C22" s="417">
        <v>0.1</v>
      </c>
      <c r="D22" s="418">
        <v>0.01</v>
      </c>
      <c r="E22" s="417">
        <v>0</v>
      </c>
      <c r="F22" s="419">
        <v>0.03</v>
      </c>
    </row>
    <row r="23" spans="1:7">
      <c r="A23" s="416" t="s">
        <v>4886</v>
      </c>
      <c r="B23" s="417">
        <v>7.0000000000000007E-2</v>
      </c>
      <c r="C23" s="417">
        <v>0.1</v>
      </c>
      <c r="D23" s="418">
        <v>0.01</v>
      </c>
      <c r="E23" s="417">
        <v>0</v>
      </c>
      <c r="F23" s="419">
        <v>0.03</v>
      </c>
    </row>
    <row r="24" spans="1:7">
      <c r="A24" s="416" t="s">
        <v>4887</v>
      </c>
      <c r="B24" s="408"/>
      <c r="C24" s="408"/>
      <c r="D24" s="408"/>
      <c r="E24" s="408"/>
      <c r="F24" s="408"/>
    </row>
    <row r="25" spans="1:7">
      <c r="A25" s="416" t="s">
        <v>4888</v>
      </c>
      <c r="B25" s="417">
        <v>0.02</v>
      </c>
      <c r="C25" s="417">
        <v>0.03</v>
      </c>
      <c r="D25" s="417">
        <v>0.01</v>
      </c>
      <c r="E25" s="417">
        <v>0.02</v>
      </c>
      <c r="F25" s="417">
        <v>0.02</v>
      </c>
      <c r="G25" s="421"/>
    </row>
    <row r="26" spans="1:7">
      <c r="A26" s="416" t="s">
        <v>4889</v>
      </c>
      <c r="B26" s="417">
        <v>0.08</v>
      </c>
      <c r="C26" s="417">
        <v>0.08</v>
      </c>
      <c r="D26" s="418">
        <v>0.01</v>
      </c>
      <c r="E26" s="417">
        <v>0</v>
      </c>
      <c r="F26" s="419">
        <v>0.03</v>
      </c>
    </row>
    <row r="27" spans="1:7">
      <c r="A27" s="416" t="s">
        <v>4409</v>
      </c>
      <c r="B27" s="408"/>
      <c r="C27" s="408"/>
      <c r="D27" s="408"/>
      <c r="E27" s="408"/>
      <c r="F27" s="408"/>
    </row>
    <row r="28" spans="1:7">
      <c r="A28" s="416" t="s">
        <v>4890</v>
      </c>
      <c r="B28" s="417">
        <v>5.3999999999999999E-2</v>
      </c>
      <c r="C28" s="417">
        <v>0.15</v>
      </c>
      <c r="D28" s="417">
        <v>0.05</v>
      </c>
      <c r="E28" s="417">
        <v>0.03</v>
      </c>
      <c r="F28" s="417">
        <v>3.3000000000000002E-2</v>
      </c>
    </row>
    <row r="29" spans="1:7">
      <c r="A29" s="416" t="s">
        <v>4780</v>
      </c>
      <c r="B29" s="408"/>
      <c r="C29" s="408"/>
      <c r="D29" s="408"/>
      <c r="E29" s="408"/>
      <c r="F29" s="408"/>
    </row>
    <row r="30" spans="1:7">
      <c r="A30" s="416" t="s">
        <v>4891</v>
      </c>
      <c r="B30" s="417">
        <v>7.0000000000000007E-2</v>
      </c>
      <c r="C30" s="417">
        <v>0.15</v>
      </c>
      <c r="D30" s="418">
        <v>0.01</v>
      </c>
      <c r="E30" s="420">
        <v>0.08</v>
      </c>
      <c r="F30" s="419">
        <v>0.03</v>
      </c>
    </row>
    <row r="31" spans="1:7">
      <c r="A31" s="416" t="s">
        <v>4892</v>
      </c>
      <c r="B31" s="417">
        <v>0.1</v>
      </c>
      <c r="C31" s="417">
        <v>0.15</v>
      </c>
      <c r="D31" s="418">
        <v>0.01</v>
      </c>
      <c r="E31" s="417">
        <v>0</v>
      </c>
      <c r="F31" s="419">
        <v>0.03</v>
      </c>
    </row>
    <row r="32" spans="1:7">
      <c r="A32" s="416" t="s">
        <v>4792</v>
      </c>
      <c r="B32" s="417">
        <v>0.1</v>
      </c>
      <c r="C32" s="417">
        <v>0.1</v>
      </c>
      <c r="D32" s="418">
        <v>0.01</v>
      </c>
      <c r="E32" s="417">
        <v>0</v>
      </c>
      <c r="F32" s="419">
        <v>0.03</v>
      </c>
    </row>
    <row r="33" spans="1:6">
      <c r="A33" s="416" t="s">
        <v>4893</v>
      </c>
      <c r="B33" s="417">
        <v>0.1</v>
      </c>
      <c r="C33" s="417">
        <v>0.15</v>
      </c>
      <c r="D33" s="418">
        <v>0.01</v>
      </c>
      <c r="E33" s="417">
        <v>0</v>
      </c>
      <c r="F33" s="419">
        <v>0.03</v>
      </c>
    </row>
    <row r="34" spans="1:6">
      <c r="A34" s="416" t="s">
        <v>4742</v>
      </c>
      <c r="B34" s="417">
        <v>0.1</v>
      </c>
      <c r="C34" s="417">
        <v>0.1</v>
      </c>
      <c r="D34" s="418">
        <v>0.01</v>
      </c>
      <c r="E34" s="417">
        <v>0</v>
      </c>
      <c r="F34" s="419">
        <v>0.03</v>
      </c>
    </row>
    <row r="35" spans="1:6">
      <c r="A35" s="416" t="s">
        <v>4894</v>
      </c>
      <c r="B35" s="417">
        <v>0.05</v>
      </c>
      <c r="C35" s="417">
        <v>0.1</v>
      </c>
      <c r="D35" s="418">
        <v>0.01</v>
      </c>
      <c r="E35" s="417">
        <v>0</v>
      </c>
      <c r="F35" s="419">
        <v>0.03</v>
      </c>
    </row>
    <row r="36" spans="1:6">
      <c r="A36" s="416" t="s">
        <v>4895</v>
      </c>
      <c r="B36" s="417">
        <v>0.1</v>
      </c>
      <c r="C36" s="417">
        <v>0.1</v>
      </c>
      <c r="D36" s="418">
        <v>0.01</v>
      </c>
      <c r="E36" s="417">
        <v>0</v>
      </c>
      <c r="F36" s="419">
        <v>0.03</v>
      </c>
    </row>
    <row r="37" spans="1:6">
      <c r="A37" s="416" t="s">
        <v>4896</v>
      </c>
      <c r="B37" s="417">
        <v>7.0000000000000007E-2</v>
      </c>
      <c r="C37" s="417">
        <v>0.09</v>
      </c>
      <c r="D37" s="418">
        <v>0.01</v>
      </c>
      <c r="E37" s="417">
        <v>0</v>
      </c>
      <c r="F37" s="419">
        <v>0.03</v>
      </c>
    </row>
    <row r="38" spans="1:6">
      <c r="A38" s="416" t="s">
        <v>4897</v>
      </c>
    </row>
    <row r="39" spans="1:6">
      <c r="A39" s="416" t="s">
        <v>4898</v>
      </c>
      <c r="B39" s="417">
        <v>0.1</v>
      </c>
      <c r="C39" s="417">
        <v>0.1</v>
      </c>
      <c r="D39" s="418">
        <v>0.01</v>
      </c>
      <c r="E39" s="417">
        <v>0</v>
      </c>
      <c r="F39" s="419">
        <v>0.03</v>
      </c>
    </row>
    <row r="40" spans="1:6">
      <c r="A40" s="416" t="s">
        <v>4899</v>
      </c>
    </row>
    <row r="41" spans="1:6">
      <c r="A41" s="416" t="s">
        <v>4845</v>
      </c>
    </row>
    <row r="42" spans="1:6">
      <c r="A42" s="416" t="s">
        <v>4900</v>
      </c>
      <c r="B42" s="417">
        <v>0.05</v>
      </c>
      <c r="C42" s="417">
        <v>0.1</v>
      </c>
      <c r="D42" s="418">
        <v>0.01</v>
      </c>
      <c r="E42" s="417">
        <v>0</v>
      </c>
      <c r="F42" s="419">
        <v>0.03</v>
      </c>
    </row>
    <row r="43" spans="1:6">
      <c r="A43" s="416" t="s">
        <v>4901</v>
      </c>
      <c r="B43" s="417">
        <v>0.1</v>
      </c>
      <c r="C43" s="417">
        <v>0.1</v>
      </c>
      <c r="D43" s="418">
        <v>0.01</v>
      </c>
      <c r="E43" s="417">
        <v>0</v>
      </c>
      <c r="F43" s="419">
        <v>0.03</v>
      </c>
    </row>
    <row r="44" spans="1:6">
      <c r="A44" s="416" t="s">
        <v>4902</v>
      </c>
    </row>
    <row r="45" spans="1:6">
      <c r="A45" s="416" t="s">
        <v>4903</v>
      </c>
      <c r="B45" s="417">
        <v>0.1</v>
      </c>
      <c r="C45" s="417">
        <v>0.15</v>
      </c>
      <c r="D45" s="418">
        <v>0.01</v>
      </c>
      <c r="E45" s="417">
        <v>0</v>
      </c>
      <c r="F45" s="419">
        <v>0.03</v>
      </c>
    </row>
    <row r="46" spans="1:6">
      <c r="A46" s="416" t="s">
        <v>4904</v>
      </c>
      <c r="B46" s="417">
        <v>7.0000000000000007E-2</v>
      </c>
      <c r="C46" s="417">
        <v>0.1</v>
      </c>
      <c r="D46" s="418">
        <v>0.01</v>
      </c>
      <c r="E46" s="417">
        <v>0</v>
      </c>
      <c r="F46" s="419">
        <v>0.03</v>
      </c>
    </row>
    <row r="47" spans="1:6">
      <c r="A47" s="416" t="s">
        <v>4905</v>
      </c>
      <c r="B47" s="417">
        <v>0.1</v>
      </c>
      <c r="C47" s="417">
        <v>0.1</v>
      </c>
      <c r="D47" s="418">
        <v>0.01</v>
      </c>
      <c r="E47" s="417">
        <v>0</v>
      </c>
      <c r="F47" s="419">
        <v>0.03</v>
      </c>
    </row>
    <row r="48" spans="1:6">
      <c r="A48" s="416" t="s">
        <v>4906</v>
      </c>
      <c r="B48" s="417">
        <v>0.1</v>
      </c>
      <c r="C48" s="417">
        <v>0.13</v>
      </c>
      <c r="D48" s="418">
        <v>0.01</v>
      </c>
      <c r="E48" s="417">
        <v>0</v>
      </c>
      <c r="F48" s="419">
        <v>0.03</v>
      </c>
    </row>
    <row r="49" spans="1:6">
      <c r="A49" s="416" t="s">
        <v>4907</v>
      </c>
    </row>
    <row r="50" spans="1:6">
      <c r="A50" s="416" t="s">
        <v>4908</v>
      </c>
    </row>
    <row r="51" spans="1:6">
      <c r="A51" s="416" t="s">
        <v>4909</v>
      </c>
      <c r="B51" s="417">
        <v>0.1</v>
      </c>
      <c r="C51" s="417">
        <v>0.1</v>
      </c>
      <c r="D51" s="418">
        <v>0.01</v>
      </c>
      <c r="E51" s="417">
        <v>0</v>
      </c>
      <c r="F51" s="419">
        <v>0.03</v>
      </c>
    </row>
  </sheetData>
  <sheetProtection algorithmName="SHA-512" hashValue="P0ZAx1AS+ivQLPFiyjKgib+kQZcw6cGWL2jvr59m5bbHZPtnFE4KlrAc0qlb4K+Gk8F31PplL216H5Nd9KSiFQ==" saltValue="M+4e9cHdklNKa9iszuu8dA==" spinCount="100000" sheet="1" formatCells="0" formatColumns="0" formatRows="0" insertColumns="0" insertRows="0" insertHyperlinks="0" deleteColumns="0" deleteRows="0" sort="0" autoFilter="0" pivotTables="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8"/>
  <dimension ref="B2:L18"/>
  <sheetViews>
    <sheetView workbookViewId="0">
      <selection activeCell="C4" sqref="C4"/>
    </sheetView>
  </sheetViews>
  <sheetFormatPr baseColWidth="10" defaultRowHeight="15"/>
  <cols>
    <col min="2" max="2" width="35.7109375" customWidth="1"/>
    <col min="3" max="3" width="38.85546875" customWidth="1"/>
    <col min="4" max="4" width="22.5703125" customWidth="1"/>
    <col min="5" max="5" width="26.85546875" customWidth="1"/>
    <col min="6" max="6" width="46.140625" customWidth="1"/>
    <col min="7" max="7" width="43.85546875" customWidth="1"/>
    <col min="8" max="8" width="17" customWidth="1"/>
    <col min="10" max="10" width="14.85546875" customWidth="1"/>
  </cols>
  <sheetData>
    <row r="2" spans="2:12">
      <c r="B2" s="310" t="s">
        <v>4408</v>
      </c>
      <c r="C2" s="310" t="s">
        <v>4410</v>
      </c>
      <c r="D2" s="310" t="s">
        <v>4380</v>
      </c>
      <c r="E2" s="310" t="s">
        <v>4381</v>
      </c>
      <c r="F2" s="310" t="s">
        <v>4382</v>
      </c>
      <c r="G2" s="310" t="s">
        <v>4385</v>
      </c>
      <c r="H2" s="622" t="s">
        <v>4395</v>
      </c>
      <c r="I2" s="622"/>
      <c r="J2" s="622" t="s">
        <v>4396</v>
      </c>
      <c r="K2" s="622"/>
      <c r="L2" s="310" t="s">
        <v>4397</v>
      </c>
    </row>
    <row r="3" spans="2:12">
      <c r="B3" s="310" t="s">
        <v>4409</v>
      </c>
      <c r="C3" s="310" t="s">
        <v>8</v>
      </c>
      <c r="D3" s="311"/>
      <c r="E3" s="310"/>
      <c r="F3" s="312"/>
      <c r="G3" s="310" t="s">
        <v>4383</v>
      </c>
      <c r="H3" s="310" t="s">
        <v>4398</v>
      </c>
      <c r="I3" s="313">
        <v>0.11</v>
      </c>
      <c r="J3" s="310" t="s">
        <v>4403</v>
      </c>
      <c r="K3" s="310">
        <f>10/1000</f>
        <v>0.01</v>
      </c>
      <c r="L3" s="313">
        <v>0.15</v>
      </c>
    </row>
    <row r="4" spans="2:12">
      <c r="B4" s="310" t="s">
        <v>4742</v>
      </c>
      <c r="C4" s="310" t="s">
        <v>4411</v>
      </c>
      <c r="D4" s="311"/>
      <c r="E4" s="310"/>
      <c r="F4" s="312"/>
      <c r="G4" s="310" t="s">
        <v>4387</v>
      </c>
      <c r="H4" s="310" t="s">
        <v>4399</v>
      </c>
      <c r="I4" s="313">
        <v>0.04</v>
      </c>
      <c r="J4" s="310" t="s">
        <v>4404</v>
      </c>
      <c r="K4" s="310">
        <f>8/1000</f>
        <v>8.0000000000000002E-3</v>
      </c>
      <c r="L4" s="310"/>
    </row>
    <row r="5" spans="2:12">
      <c r="B5" s="310" t="s">
        <v>4777</v>
      </c>
      <c r="C5" s="310" t="s">
        <v>4743</v>
      </c>
      <c r="D5" s="311"/>
      <c r="E5" s="310"/>
      <c r="F5" s="312"/>
      <c r="G5" s="310" t="s">
        <v>4386</v>
      </c>
      <c r="H5" s="310" t="s">
        <v>4400</v>
      </c>
      <c r="I5" s="313">
        <v>0.04</v>
      </c>
      <c r="J5" s="310"/>
      <c r="K5" s="310"/>
      <c r="L5" s="310"/>
    </row>
    <row r="6" spans="2:12">
      <c r="B6" s="310" t="s">
        <v>4779</v>
      </c>
      <c r="C6" s="310" t="s">
        <v>4912</v>
      </c>
      <c r="D6" s="311"/>
      <c r="E6" s="310"/>
      <c r="F6" s="312"/>
      <c r="G6" s="310" t="s">
        <v>4384</v>
      </c>
      <c r="H6" s="310" t="s">
        <v>4401</v>
      </c>
      <c r="I6" s="314">
        <v>2.5000000000000001E-2</v>
      </c>
      <c r="J6" s="310"/>
      <c r="K6" s="310"/>
      <c r="L6" s="310"/>
    </row>
    <row r="7" spans="2:12">
      <c r="B7" s="310" t="s">
        <v>4780</v>
      </c>
      <c r="C7" s="310" t="s">
        <v>4743</v>
      </c>
      <c r="D7" s="311"/>
      <c r="E7" s="310"/>
      <c r="F7" s="312"/>
      <c r="G7" s="310" t="s">
        <v>4388</v>
      </c>
      <c r="H7" s="310" t="s">
        <v>4402</v>
      </c>
      <c r="I7" s="313">
        <v>0.02</v>
      </c>
      <c r="J7" s="310"/>
      <c r="K7" s="310"/>
      <c r="L7" s="310"/>
    </row>
    <row r="8" spans="2:12">
      <c r="B8" s="310" t="s">
        <v>4792</v>
      </c>
      <c r="C8" s="310" t="s">
        <v>4743</v>
      </c>
      <c r="D8" s="311"/>
      <c r="E8" s="310"/>
      <c r="F8" s="312"/>
      <c r="G8" s="310" t="s">
        <v>4389</v>
      </c>
      <c r="H8" s="310"/>
      <c r="I8" s="310"/>
      <c r="J8" s="310"/>
      <c r="K8" s="310"/>
      <c r="L8" s="310"/>
    </row>
    <row r="9" spans="2:12">
      <c r="B9" s="310" t="s">
        <v>4799</v>
      </c>
      <c r="C9" s="310" t="s">
        <v>4800</v>
      </c>
      <c r="D9" s="311"/>
      <c r="E9" s="310"/>
      <c r="F9" s="312"/>
      <c r="G9" s="310" t="s">
        <v>4390</v>
      </c>
      <c r="H9" s="310"/>
      <c r="I9" s="310"/>
      <c r="J9" s="310"/>
      <c r="K9" s="310"/>
      <c r="L9" s="310"/>
    </row>
    <row r="10" spans="2:12">
      <c r="B10" s="310" t="s">
        <v>4802</v>
      </c>
      <c r="C10" s="310" t="s">
        <v>4411</v>
      </c>
      <c r="D10" s="311"/>
      <c r="E10" s="310"/>
      <c r="F10" s="312"/>
      <c r="G10" s="310"/>
      <c r="H10" s="310"/>
      <c r="I10" s="310"/>
      <c r="J10" s="310"/>
      <c r="K10" s="310"/>
      <c r="L10" s="310"/>
    </row>
    <row r="11" spans="2:12">
      <c r="B11" s="310" t="s">
        <v>4831</v>
      </c>
      <c r="C11" s="310" t="s">
        <v>4411</v>
      </c>
      <c r="D11" s="311"/>
      <c r="E11" s="310"/>
      <c r="F11" s="312"/>
      <c r="G11" s="310"/>
      <c r="H11" s="310"/>
      <c r="I11" s="310"/>
      <c r="J11" s="310"/>
      <c r="K11" s="310"/>
      <c r="L11" s="310"/>
    </row>
    <row r="12" spans="2:12">
      <c r="B12" s="310" t="s">
        <v>4832</v>
      </c>
      <c r="C12" s="310" t="s">
        <v>4411</v>
      </c>
      <c r="D12" s="311"/>
      <c r="E12" s="310"/>
      <c r="F12" s="312"/>
      <c r="G12" s="310"/>
      <c r="H12" s="310"/>
      <c r="I12" s="310"/>
      <c r="J12" s="310"/>
      <c r="K12" s="310"/>
      <c r="L12" s="310"/>
    </row>
    <row r="13" spans="2:12">
      <c r="B13" s="310" t="s">
        <v>4845</v>
      </c>
      <c r="C13" s="310" t="s">
        <v>4411</v>
      </c>
      <c r="D13" s="311"/>
      <c r="E13" s="310"/>
      <c r="F13" s="312"/>
      <c r="G13" s="310"/>
      <c r="H13" s="310"/>
      <c r="I13" s="310"/>
      <c r="J13" s="310"/>
      <c r="K13" s="310"/>
      <c r="L13" s="310"/>
    </row>
    <row r="14" spans="2:12">
      <c r="B14" s="310"/>
      <c r="C14" s="310"/>
      <c r="D14" s="311"/>
      <c r="E14" s="310"/>
      <c r="F14" s="312"/>
      <c r="G14" s="310"/>
      <c r="H14" s="310"/>
      <c r="I14" s="310"/>
      <c r="J14" s="310"/>
      <c r="K14" s="310"/>
      <c r="L14" s="310"/>
    </row>
    <row r="15" spans="2:12">
      <c r="B15" s="310"/>
      <c r="C15" s="310"/>
      <c r="D15" s="311"/>
      <c r="E15" s="310"/>
      <c r="F15" s="312"/>
      <c r="G15" s="310"/>
      <c r="H15" s="310"/>
      <c r="I15" s="310"/>
      <c r="J15" s="310"/>
      <c r="K15" s="310"/>
      <c r="L15" s="310"/>
    </row>
    <row r="16" spans="2:12">
      <c r="B16" s="310"/>
      <c r="C16" s="310"/>
      <c r="D16" s="311"/>
      <c r="E16" s="310"/>
      <c r="F16" s="312"/>
      <c r="G16" s="310"/>
      <c r="H16" s="310"/>
      <c r="I16" s="310"/>
      <c r="J16" s="310"/>
      <c r="K16" s="310"/>
      <c r="L16" s="310"/>
    </row>
    <row r="17" spans="2:6">
      <c r="B17" s="358"/>
      <c r="C17" s="358"/>
      <c r="D17" s="359"/>
      <c r="F17" s="360"/>
    </row>
    <row r="18" spans="2:6">
      <c r="B18" s="358"/>
      <c r="C18" s="358"/>
      <c r="D18" s="359"/>
      <c r="F18" s="360"/>
    </row>
  </sheetData>
  <mergeCells count="2">
    <mergeCell ref="H2:I2"/>
    <mergeCell ref="J2:K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D4:I16"/>
  <sheetViews>
    <sheetView workbookViewId="0">
      <selection activeCell="E22" sqref="E22"/>
    </sheetView>
  </sheetViews>
  <sheetFormatPr baseColWidth="10" defaultRowHeight="15"/>
  <sheetData>
    <row r="4" spans="4:9">
      <c r="D4" s="399" t="s">
        <v>4762</v>
      </c>
      <c r="E4" s="400"/>
      <c r="F4" s="400"/>
      <c r="G4" s="400"/>
      <c r="H4" s="400"/>
      <c r="I4" s="401"/>
    </row>
    <row r="5" spans="4:9">
      <c r="D5" s="399" t="s">
        <v>4763</v>
      </c>
      <c r="E5" s="400"/>
      <c r="F5" s="400"/>
      <c r="G5" s="400"/>
      <c r="H5" s="400"/>
      <c r="I5" s="401"/>
    </row>
    <row r="6" spans="4:9">
      <c r="D6" s="399" t="s">
        <v>4764</v>
      </c>
      <c r="E6" s="400"/>
      <c r="F6" s="400"/>
      <c r="G6" s="400"/>
      <c r="H6" s="400"/>
      <c r="I6" s="401"/>
    </row>
    <row r="7" spans="4:9">
      <c r="D7" s="399" t="s">
        <v>4765</v>
      </c>
      <c r="E7" s="400"/>
      <c r="F7" s="400"/>
      <c r="G7" s="400"/>
      <c r="H7" s="400"/>
      <c r="I7" s="401"/>
    </row>
    <row r="8" spans="4:9">
      <c r="D8" s="399" t="s">
        <v>4766</v>
      </c>
      <c r="E8" s="400" t="s">
        <v>4766</v>
      </c>
      <c r="F8" s="400" t="s">
        <v>4766</v>
      </c>
      <c r="G8" s="400" t="s">
        <v>4766</v>
      </c>
      <c r="H8" s="400" t="s">
        <v>4766</v>
      </c>
      <c r="I8" s="401" t="s">
        <v>4766</v>
      </c>
    </row>
    <row r="9" spans="4:9">
      <c r="D9" s="399" t="s">
        <v>4767</v>
      </c>
      <c r="E9" s="400" t="s">
        <v>4767</v>
      </c>
      <c r="F9" s="400" t="s">
        <v>4767</v>
      </c>
      <c r="G9" s="400" t="s">
        <v>4767</v>
      </c>
      <c r="H9" s="400" t="s">
        <v>4767</v>
      </c>
      <c r="I9" s="401" t="s">
        <v>4767</v>
      </c>
    </row>
    <row r="10" spans="4:9">
      <c r="D10" s="399" t="s">
        <v>4768</v>
      </c>
      <c r="E10" s="400" t="s">
        <v>4768</v>
      </c>
      <c r="F10" s="400" t="s">
        <v>4768</v>
      </c>
      <c r="G10" s="400" t="s">
        <v>4768</v>
      </c>
      <c r="H10" s="400" t="s">
        <v>4768</v>
      </c>
      <c r="I10" s="401" t="s">
        <v>4768</v>
      </c>
    </row>
    <row r="11" spans="4:9">
      <c r="D11" s="399" t="s">
        <v>4769</v>
      </c>
      <c r="E11" s="400" t="s">
        <v>4769</v>
      </c>
      <c r="F11" s="400" t="s">
        <v>4769</v>
      </c>
      <c r="G11" s="400" t="s">
        <v>4769</v>
      </c>
      <c r="H11" s="400" t="s">
        <v>4769</v>
      </c>
      <c r="I11" s="401" t="s">
        <v>4769</v>
      </c>
    </row>
    <row r="12" spans="4:9">
      <c r="D12" s="399" t="s">
        <v>4770</v>
      </c>
      <c r="E12" s="400" t="s">
        <v>4770</v>
      </c>
      <c r="F12" s="400" t="s">
        <v>4770</v>
      </c>
      <c r="G12" s="400" t="s">
        <v>4770</v>
      </c>
      <c r="H12" s="400" t="s">
        <v>4770</v>
      </c>
      <c r="I12" s="401" t="s">
        <v>4770</v>
      </c>
    </row>
    <row r="13" spans="4:9">
      <c r="D13" s="399" t="s">
        <v>4771</v>
      </c>
      <c r="E13" s="400" t="s">
        <v>4771</v>
      </c>
      <c r="F13" s="400" t="s">
        <v>4771</v>
      </c>
      <c r="G13" s="400" t="s">
        <v>4771</v>
      </c>
      <c r="H13" s="400" t="s">
        <v>4771</v>
      </c>
      <c r="I13" s="401" t="s">
        <v>4771</v>
      </c>
    </row>
    <row r="14" spans="4:9">
      <c r="D14" s="399" t="s">
        <v>4772</v>
      </c>
      <c r="E14" s="400" t="s">
        <v>4772</v>
      </c>
      <c r="F14" s="400" t="s">
        <v>4772</v>
      </c>
      <c r="G14" s="400" t="s">
        <v>4772</v>
      </c>
      <c r="H14" s="400" t="s">
        <v>4772</v>
      </c>
      <c r="I14" s="401" t="s">
        <v>4772</v>
      </c>
    </row>
    <row r="15" spans="4:9">
      <c r="D15" s="399" t="s">
        <v>4773</v>
      </c>
      <c r="E15" s="400" t="s">
        <v>4773</v>
      </c>
      <c r="F15" s="400" t="s">
        <v>4773</v>
      </c>
      <c r="G15" s="400" t="s">
        <v>4773</v>
      </c>
      <c r="H15" s="400" t="s">
        <v>4773</v>
      </c>
      <c r="I15" s="401" t="s">
        <v>4773</v>
      </c>
    </row>
    <row r="16" spans="4:9">
      <c r="D16" s="399" t="s">
        <v>4774</v>
      </c>
      <c r="E16" s="400" t="s">
        <v>4774</v>
      </c>
      <c r="F16" s="400" t="s">
        <v>4774</v>
      </c>
      <c r="G16" s="400" t="s">
        <v>4774</v>
      </c>
      <c r="H16" s="400" t="s">
        <v>4774</v>
      </c>
      <c r="I16" s="401" t="s">
        <v>4774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81">
    <tabColor rgb="FFFF0000"/>
  </sheetPr>
  <dimension ref="B1:J1434"/>
  <sheetViews>
    <sheetView showGridLines="0" topLeftCell="A229" workbookViewId="0">
      <selection activeCell="C724" sqref="C724"/>
    </sheetView>
  </sheetViews>
  <sheetFormatPr baseColWidth="10" defaultColWidth="11.42578125" defaultRowHeight="15"/>
  <cols>
    <col min="1" max="2" width="11.42578125" style="14"/>
    <col min="3" max="3" width="72.28515625" style="14" customWidth="1"/>
    <col min="4" max="4" width="12" style="14" customWidth="1"/>
    <col min="5" max="5" width="9.5703125" style="14" customWidth="1"/>
    <col min="6" max="6" width="17.7109375" style="14" customWidth="1"/>
    <col min="7" max="7" width="12" style="14" hidden="1" customWidth="1"/>
    <col min="8" max="10" width="11.42578125" style="14" hidden="1" customWidth="1"/>
    <col min="11" max="11" width="11.42578125" style="14" customWidth="1"/>
    <col min="12" max="16384" width="11.42578125" style="14"/>
  </cols>
  <sheetData>
    <row r="1" spans="2:6">
      <c r="B1" s="13" t="s">
        <v>6</v>
      </c>
      <c r="C1" s="13" t="s">
        <v>7</v>
      </c>
      <c r="D1" s="13" t="s">
        <v>6</v>
      </c>
      <c r="E1" s="13" t="s">
        <v>0</v>
      </c>
      <c r="F1" s="13" t="s">
        <v>2</v>
      </c>
    </row>
    <row r="2" spans="2:6">
      <c r="B2" s="13"/>
      <c r="C2" s="15" t="s">
        <v>8</v>
      </c>
      <c r="D2" s="15"/>
      <c r="E2" s="16" t="s">
        <v>8</v>
      </c>
      <c r="F2" s="17">
        <v>0</v>
      </c>
    </row>
    <row r="3" spans="2:6">
      <c r="B3" s="13" t="s">
        <v>9</v>
      </c>
      <c r="C3" s="18" t="s">
        <v>10</v>
      </c>
      <c r="D3" s="13" t="s">
        <v>11</v>
      </c>
      <c r="E3" s="19" t="s">
        <v>12</v>
      </c>
      <c r="F3" s="20">
        <v>18400</v>
      </c>
    </row>
    <row r="4" spans="2:6">
      <c r="B4" s="13" t="s">
        <v>13</v>
      </c>
      <c r="C4" s="18" t="s">
        <v>14</v>
      </c>
      <c r="D4" s="13" t="s">
        <v>15</v>
      </c>
      <c r="E4" s="19" t="s">
        <v>12</v>
      </c>
      <c r="F4" s="20">
        <v>27000</v>
      </c>
    </row>
    <row r="5" spans="2:6">
      <c r="B5" s="13" t="s">
        <v>16</v>
      </c>
      <c r="C5" s="18" t="s">
        <v>17</v>
      </c>
      <c r="D5" s="13" t="s">
        <v>18</v>
      </c>
      <c r="E5" s="19" t="s">
        <v>12</v>
      </c>
      <c r="F5" s="20">
        <v>36000</v>
      </c>
    </row>
    <row r="6" spans="2:6">
      <c r="B6" s="13" t="s">
        <v>19</v>
      </c>
      <c r="C6" s="21" t="s">
        <v>20</v>
      </c>
      <c r="D6" s="13" t="s">
        <v>21</v>
      </c>
      <c r="E6" s="19" t="s">
        <v>12</v>
      </c>
      <c r="F6" s="22">
        <v>2200</v>
      </c>
    </row>
    <row r="7" spans="2:6">
      <c r="B7" s="13" t="s">
        <v>22</v>
      </c>
      <c r="C7" s="23" t="s">
        <v>23</v>
      </c>
      <c r="D7" s="13" t="s">
        <v>24</v>
      </c>
      <c r="E7" s="24" t="s">
        <v>12</v>
      </c>
      <c r="F7" s="25">
        <v>45000</v>
      </c>
    </row>
    <row r="8" spans="2:6">
      <c r="B8" s="13" t="s">
        <v>25</v>
      </c>
      <c r="C8" s="23" t="s">
        <v>26</v>
      </c>
      <c r="D8" s="13" t="s">
        <v>27</v>
      </c>
      <c r="E8" s="24" t="s">
        <v>12</v>
      </c>
      <c r="F8" s="25">
        <v>2450</v>
      </c>
    </row>
    <row r="9" spans="2:6">
      <c r="B9" s="13" t="s">
        <v>28</v>
      </c>
      <c r="C9" s="23" t="s">
        <v>29</v>
      </c>
      <c r="D9" s="13" t="s">
        <v>30</v>
      </c>
      <c r="E9" s="24" t="s">
        <v>12</v>
      </c>
      <c r="F9" s="25">
        <v>300000</v>
      </c>
    </row>
    <row r="10" spans="2:6">
      <c r="B10" s="13" t="s">
        <v>31</v>
      </c>
      <c r="C10" s="23" t="s">
        <v>32</v>
      </c>
      <c r="D10" s="13" t="s">
        <v>33</v>
      </c>
      <c r="E10" s="24" t="s">
        <v>12</v>
      </c>
      <c r="F10" s="25">
        <v>235000</v>
      </c>
    </row>
    <row r="11" spans="2:6">
      <c r="B11" s="13" t="s">
        <v>34</v>
      </c>
      <c r="C11" s="23" t="s">
        <v>35</v>
      </c>
      <c r="D11" s="13" t="s">
        <v>36</v>
      </c>
      <c r="E11" s="24" t="s">
        <v>12</v>
      </c>
      <c r="F11" s="25">
        <v>120000</v>
      </c>
    </row>
    <row r="12" spans="2:6">
      <c r="B12" s="13" t="s">
        <v>37</v>
      </c>
      <c r="C12" s="23" t="s">
        <v>38</v>
      </c>
      <c r="D12" s="13" t="s">
        <v>39</v>
      </c>
      <c r="E12" s="24" t="s">
        <v>12</v>
      </c>
      <c r="F12" s="25">
        <v>330000</v>
      </c>
    </row>
    <row r="13" spans="2:6">
      <c r="B13" s="13" t="s">
        <v>40</v>
      </c>
      <c r="C13" s="23" t="s">
        <v>41</v>
      </c>
      <c r="D13" s="13" t="s">
        <v>42</v>
      </c>
      <c r="E13" s="24" t="s">
        <v>12</v>
      </c>
      <c r="F13" s="25">
        <v>175000</v>
      </c>
    </row>
    <row r="14" spans="2:6">
      <c r="B14" s="13" t="s">
        <v>43</v>
      </c>
      <c r="C14" s="23" t="s">
        <v>44</v>
      </c>
      <c r="D14" s="13" t="s">
        <v>45</v>
      </c>
      <c r="E14" s="24" t="s">
        <v>46</v>
      </c>
      <c r="F14" s="25">
        <v>140000</v>
      </c>
    </row>
    <row r="15" spans="2:6">
      <c r="B15" s="13" t="s">
        <v>47</v>
      </c>
      <c r="C15" s="23" t="s">
        <v>48</v>
      </c>
      <c r="D15" s="13" t="s">
        <v>49</v>
      </c>
      <c r="E15" s="24" t="s">
        <v>12</v>
      </c>
      <c r="F15" s="25">
        <v>2181.2639999999997</v>
      </c>
    </row>
    <row r="16" spans="2:6">
      <c r="B16" s="13" t="s">
        <v>50</v>
      </c>
      <c r="C16" s="23" t="s">
        <v>51</v>
      </c>
      <c r="D16" s="13" t="s">
        <v>52</v>
      </c>
      <c r="E16" s="24" t="s">
        <v>12</v>
      </c>
      <c r="F16" s="25">
        <v>788.56799999999987</v>
      </c>
    </row>
    <row r="17" spans="2:6">
      <c r="B17" s="13" t="s">
        <v>53</v>
      </c>
      <c r="C17" s="23" t="s">
        <v>54</v>
      </c>
      <c r="D17" s="13" t="s">
        <v>55</v>
      </c>
      <c r="E17" s="24" t="s">
        <v>12</v>
      </c>
      <c r="F17" s="25">
        <v>788.56799999999987</v>
      </c>
    </row>
    <row r="18" spans="2:6">
      <c r="B18" s="13" t="s">
        <v>56</v>
      </c>
      <c r="C18" s="23" t="s">
        <v>57</v>
      </c>
      <c r="D18" s="13" t="s">
        <v>58</v>
      </c>
      <c r="E18" s="24" t="s">
        <v>12</v>
      </c>
      <c r="F18" s="25">
        <v>3334.5359999999996</v>
      </c>
    </row>
    <row r="19" spans="2:6">
      <c r="B19" s="13" t="s">
        <v>59</v>
      </c>
      <c r="C19" s="23" t="s">
        <v>60</v>
      </c>
      <c r="D19" s="13" t="s">
        <v>61</v>
      </c>
      <c r="E19" s="24" t="s">
        <v>12</v>
      </c>
      <c r="F19" s="25">
        <v>11415.096</v>
      </c>
    </row>
    <row r="20" spans="2:6">
      <c r="B20" s="13" t="s">
        <v>62</v>
      </c>
      <c r="C20" s="23" t="s">
        <v>63</v>
      </c>
      <c r="D20" s="13" t="s">
        <v>64</v>
      </c>
      <c r="E20" s="24" t="s">
        <v>12</v>
      </c>
      <c r="F20" s="25">
        <v>800</v>
      </c>
    </row>
    <row r="21" spans="2:6">
      <c r="B21" s="13" t="s">
        <v>65</v>
      </c>
      <c r="C21" s="23" t="s">
        <v>66</v>
      </c>
      <c r="D21" s="13" t="s">
        <v>67</v>
      </c>
      <c r="E21" s="24" t="s">
        <v>12</v>
      </c>
      <c r="F21" s="25">
        <v>441</v>
      </c>
    </row>
    <row r="22" spans="2:6">
      <c r="B22" s="13" t="s">
        <v>68</v>
      </c>
      <c r="C22" s="23" t="s">
        <v>69</v>
      </c>
      <c r="D22" s="13" t="s">
        <v>70</v>
      </c>
      <c r="E22" s="24">
        <v>0</v>
      </c>
      <c r="F22" s="25">
        <v>20625.96</v>
      </c>
    </row>
    <row r="23" spans="2:6">
      <c r="B23" s="13" t="s">
        <v>71</v>
      </c>
      <c r="C23" s="23" t="s">
        <v>72</v>
      </c>
      <c r="D23" s="13" t="s">
        <v>73</v>
      </c>
      <c r="E23" s="24" t="s">
        <v>12</v>
      </c>
      <c r="F23" s="25">
        <v>2443.8879999999995</v>
      </c>
    </row>
    <row r="24" spans="2:6">
      <c r="B24" s="13" t="s">
        <v>74</v>
      </c>
      <c r="C24" s="23" t="s">
        <v>75</v>
      </c>
      <c r="D24" s="13" t="s">
        <v>76</v>
      </c>
      <c r="E24" s="24" t="s">
        <v>12</v>
      </c>
      <c r="F24" s="25">
        <v>2086.3759999999997</v>
      </c>
    </row>
    <row r="25" spans="2:6">
      <c r="B25" s="13" t="s">
        <v>77</v>
      </c>
      <c r="C25" s="23" t="s">
        <v>78</v>
      </c>
      <c r="D25" s="13" t="s">
        <v>79</v>
      </c>
      <c r="E25" s="24" t="s">
        <v>12</v>
      </c>
      <c r="F25" s="25">
        <v>851.09199999999987</v>
      </c>
    </row>
    <row r="26" spans="2:6">
      <c r="B26" s="13" t="s">
        <v>80</v>
      </c>
      <c r="C26" s="23" t="s">
        <v>81</v>
      </c>
      <c r="D26" s="13" t="s">
        <v>82</v>
      </c>
      <c r="E26" s="24" t="s">
        <v>12</v>
      </c>
      <c r="F26" s="25">
        <v>346.83999999999992</v>
      </c>
    </row>
    <row r="27" spans="2:6">
      <c r="B27" s="13" t="s">
        <v>83</v>
      </c>
      <c r="C27" s="23" t="s">
        <v>84</v>
      </c>
      <c r="D27" s="13" t="s">
        <v>85</v>
      </c>
      <c r="E27" s="24" t="s">
        <v>12</v>
      </c>
      <c r="F27" s="25">
        <v>3544.4379999999996</v>
      </c>
    </row>
    <row r="28" spans="2:6">
      <c r="B28" s="13" t="s">
        <v>86</v>
      </c>
      <c r="C28" s="23" t="s">
        <v>87</v>
      </c>
      <c r="D28" s="13" t="s">
        <v>88</v>
      </c>
      <c r="E28" s="24" t="s">
        <v>12</v>
      </c>
      <c r="F28" s="25">
        <v>12232.779999999997</v>
      </c>
    </row>
    <row r="29" spans="2:6">
      <c r="B29" s="13" t="s">
        <v>89</v>
      </c>
      <c r="C29" s="23" t="s">
        <v>90</v>
      </c>
      <c r="D29" s="13" t="s">
        <v>91</v>
      </c>
      <c r="E29" s="24" t="s">
        <v>12</v>
      </c>
      <c r="F29" s="25">
        <v>461.56399999999991</v>
      </c>
    </row>
    <row r="30" spans="2:6">
      <c r="B30" s="13" t="s">
        <v>92</v>
      </c>
      <c r="C30" s="23" t="s">
        <v>93</v>
      </c>
      <c r="D30" s="13" t="s">
        <v>94</v>
      </c>
      <c r="E30" s="24" t="s">
        <v>12</v>
      </c>
      <c r="F30" s="25">
        <v>16816.056</v>
      </c>
    </row>
    <row r="31" spans="2:6">
      <c r="B31" s="13" t="s">
        <v>95</v>
      </c>
      <c r="C31" s="23" t="s">
        <v>96</v>
      </c>
      <c r="D31" s="13" t="s">
        <v>97</v>
      </c>
      <c r="E31" s="24" t="s">
        <v>98</v>
      </c>
      <c r="F31" s="25">
        <v>35</v>
      </c>
    </row>
    <row r="32" spans="2:6">
      <c r="B32" s="13" t="s">
        <v>99</v>
      </c>
      <c r="C32" s="23" t="s">
        <v>100</v>
      </c>
      <c r="D32" s="13" t="s">
        <v>101</v>
      </c>
      <c r="E32" s="24" t="s">
        <v>12</v>
      </c>
      <c r="F32" s="25">
        <v>6750</v>
      </c>
    </row>
    <row r="33" spans="2:6">
      <c r="B33" s="13" t="s">
        <v>102</v>
      </c>
      <c r="C33" s="23" t="s">
        <v>103</v>
      </c>
      <c r="D33" s="13" t="s">
        <v>104</v>
      </c>
      <c r="E33" s="24" t="s">
        <v>12</v>
      </c>
      <c r="F33" s="25">
        <v>55000</v>
      </c>
    </row>
    <row r="34" spans="2:6">
      <c r="B34" s="13" t="s">
        <v>105</v>
      </c>
      <c r="C34" s="23" t="s">
        <v>106</v>
      </c>
      <c r="D34" s="13" t="s">
        <v>107</v>
      </c>
      <c r="E34" s="24" t="s">
        <v>12</v>
      </c>
      <c r="F34" s="25">
        <v>49500.000000000007</v>
      </c>
    </row>
    <row r="35" spans="2:6">
      <c r="B35" s="13" t="s">
        <v>108</v>
      </c>
      <c r="C35" s="23" t="s">
        <v>109</v>
      </c>
      <c r="D35" s="13" t="s">
        <v>110</v>
      </c>
      <c r="E35" s="24" t="s">
        <v>12</v>
      </c>
      <c r="F35" s="25">
        <v>46200.000000000007</v>
      </c>
    </row>
    <row r="36" spans="2:6">
      <c r="B36" s="13" t="s">
        <v>111</v>
      </c>
      <c r="C36" s="23" t="s">
        <v>112</v>
      </c>
      <c r="D36" s="13" t="s">
        <v>113</v>
      </c>
      <c r="E36" s="24" t="s">
        <v>12</v>
      </c>
      <c r="F36" s="25">
        <v>55000.000000000007</v>
      </c>
    </row>
    <row r="37" spans="2:6">
      <c r="B37" s="13" t="s">
        <v>114</v>
      </c>
      <c r="C37" s="23" t="s">
        <v>115</v>
      </c>
      <c r="D37" s="13" t="s">
        <v>116</v>
      </c>
      <c r="E37" s="24" t="s">
        <v>12</v>
      </c>
      <c r="F37" s="25">
        <v>33000</v>
      </c>
    </row>
    <row r="38" spans="2:6">
      <c r="B38" s="13" t="s">
        <v>117</v>
      </c>
      <c r="C38" s="23" t="s">
        <v>118</v>
      </c>
      <c r="D38" s="13" t="s">
        <v>119</v>
      </c>
      <c r="E38" s="24" t="s">
        <v>12</v>
      </c>
      <c r="F38" s="25">
        <v>60000</v>
      </c>
    </row>
    <row r="39" spans="2:6">
      <c r="B39" s="13" t="s">
        <v>120</v>
      </c>
      <c r="C39" s="23" t="s">
        <v>121</v>
      </c>
      <c r="D39" s="13" t="s">
        <v>122</v>
      </c>
      <c r="E39" s="24" t="s">
        <v>12</v>
      </c>
      <c r="F39" s="25">
        <v>66000</v>
      </c>
    </row>
    <row r="40" spans="2:6">
      <c r="B40" s="13" t="s">
        <v>123</v>
      </c>
      <c r="C40" s="23" t="s">
        <v>124</v>
      </c>
      <c r="D40" s="13" t="s">
        <v>125</v>
      </c>
      <c r="E40" s="24" t="s">
        <v>12</v>
      </c>
      <c r="F40" s="25">
        <v>66001</v>
      </c>
    </row>
    <row r="41" spans="2:6">
      <c r="B41" s="13" t="s">
        <v>126</v>
      </c>
      <c r="C41" s="23" t="s">
        <v>127</v>
      </c>
      <c r="D41" s="13" t="s">
        <v>128</v>
      </c>
      <c r="E41" s="24" t="s">
        <v>12</v>
      </c>
      <c r="F41" s="25">
        <v>44000</v>
      </c>
    </row>
    <row r="42" spans="2:6" ht="16.5">
      <c r="B42" s="13" t="s">
        <v>129</v>
      </c>
      <c r="C42" s="26" t="s">
        <v>130</v>
      </c>
      <c r="D42" s="13" t="s">
        <v>131</v>
      </c>
      <c r="E42" s="24" t="s">
        <v>12</v>
      </c>
      <c r="F42" s="27">
        <v>1150</v>
      </c>
    </row>
    <row r="43" spans="2:6" ht="16.5">
      <c r="B43" s="13" t="s">
        <v>132</v>
      </c>
      <c r="C43" s="26" t="s">
        <v>133</v>
      </c>
      <c r="D43" s="13" t="s">
        <v>134</v>
      </c>
      <c r="E43" s="24" t="s">
        <v>12</v>
      </c>
      <c r="F43" s="27">
        <v>1500</v>
      </c>
    </row>
    <row r="44" spans="2:6" ht="16.5">
      <c r="B44" s="13" t="s">
        <v>135</v>
      </c>
      <c r="C44" s="26" t="s">
        <v>136</v>
      </c>
      <c r="D44" s="13" t="s">
        <v>137</v>
      </c>
      <c r="E44" s="24" t="s">
        <v>12</v>
      </c>
      <c r="F44" s="27">
        <v>1050</v>
      </c>
    </row>
    <row r="45" spans="2:6" ht="16.5">
      <c r="B45" s="13" t="s">
        <v>138</v>
      </c>
      <c r="C45" s="26" t="s">
        <v>139</v>
      </c>
      <c r="D45" s="13" t="s">
        <v>140</v>
      </c>
      <c r="E45" s="24" t="s">
        <v>12</v>
      </c>
      <c r="F45" s="27">
        <v>3000</v>
      </c>
    </row>
    <row r="46" spans="2:6">
      <c r="B46" s="13" t="s">
        <v>141</v>
      </c>
      <c r="C46" s="23" t="s">
        <v>142</v>
      </c>
      <c r="D46" s="13" t="s">
        <v>143</v>
      </c>
      <c r="E46" s="24" t="s">
        <v>12</v>
      </c>
      <c r="F46" s="25">
        <v>7800</v>
      </c>
    </row>
    <row r="47" spans="2:6">
      <c r="B47" s="13" t="s">
        <v>144</v>
      </c>
      <c r="C47" s="23" t="s">
        <v>145</v>
      </c>
      <c r="D47" s="13" t="s">
        <v>146</v>
      </c>
      <c r="E47" s="28" t="s">
        <v>12</v>
      </c>
      <c r="F47" s="25">
        <v>9500</v>
      </c>
    </row>
    <row r="48" spans="2:6">
      <c r="B48" s="13" t="s">
        <v>147</v>
      </c>
      <c r="C48" s="29" t="s">
        <v>148</v>
      </c>
      <c r="D48" s="13" t="s">
        <v>149</v>
      </c>
      <c r="E48" s="24" t="s">
        <v>12</v>
      </c>
      <c r="F48" s="25">
        <v>49500.000000000007</v>
      </c>
    </row>
    <row r="49" spans="2:6">
      <c r="B49" s="13" t="s">
        <v>150</v>
      </c>
      <c r="C49" s="29" t="s">
        <v>151</v>
      </c>
      <c r="D49" s="13" t="s">
        <v>152</v>
      </c>
      <c r="E49" s="28" t="s">
        <v>12</v>
      </c>
      <c r="F49" s="25">
        <v>52800.000000000007</v>
      </c>
    </row>
    <row r="50" spans="2:6">
      <c r="B50" s="13" t="s">
        <v>153</v>
      </c>
      <c r="C50" s="29" t="s">
        <v>154</v>
      </c>
      <c r="D50" s="13" t="s">
        <v>155</v>
      </c>
      <c r="E50" s="24" t="s">
        <v>12</v>
      </c>
      <c r="F50" s="25">
        <v>2864.4</v>
      </c>
    </row>
    <row r="51" spans="2:6">
      <c r="B51" s="13" t="s">
        <v>156</v>
      </c>
      <c r="C51" s="23" t="s">
        <v>157</v>
      </c>
      <c r="D51" s="13" t="s">
        <v>158</v>
      </c>
      <c r="E51" s="24" t="s">
        <v>159</v>
      </c>
      <c r="F51" s="25">
        <v>25000</v>
      </c>
    </row>
    <row r="52" spans="2:6">
      <c r="B52" s="13" t="s">
        <v>160</v>
      </c>
      <c r="C52" s="29" t="s">
        <v>161</v>
      </c>
      <c r="D52" s="13" t="s">
        <v>162</v>
      </c>
      <c r="E52" s="24" t="s">
        <v>163</v>
      </c>
      <c r="F52" s="25">
        <v>1627.2619199999999</v>
      </c>
    </row>
    <row r="53" spans="2:6">
      <c r="B53" s="13" t="s">
        <v>164</v>
      </c>
      <c r="C53" s="29" t="s">
        <v>165</v>
      </c>
      <c r="D53" s="13" t="s">
        <v>166</v>
      </c>
      <c r="E53" s="24" t="s">
        <v>163</v>
      </c>
      <c r="F53" s="25">
        <v>1000.0475999999999</v>
      </c>
    </row>
    <row r="54" spans="2:6">
      <c r="B54" s="13" t="s">
        <v>167</v>
      </c>
      <c r="C54" s="30" t="s">
        <v>168</v>
      </c>
      <c r="D54" s="13" t="s">
        <v>169</v>
      </c>
      <c r="E54" s="24" t="s">
        <v>170</v>
      </c>
      <c r="F54" s="25">
        <v>1627.2619199999997</v>
      </c>
    </row>
    <row r="55" spans="2:6">
      <c r="B55" s="13" t="s">
        <v>171</v>
      </c>
      <c r="C55" s="30" t="s">
        <v>172</v>
      </c>
      <c r="D55" s="13" t="s">
        <v>173</v>
      </c>
      <c r="E55" s="24" t="s">
        <v>170</v>
      </c>
      <c r="F55" s="25">
        <v>1000.0476</v>
      </c>
    </row>
    <row r="56" spans="2:6">
      <c r="B56" s="13" t="s">
        <v>174</v>
      </c>
      <c r="C56" s="29" t="s">
        <v>175</v>
      </c>
      <c r="D56" s="13" t="s">
        <v>176</v>
      </c>
      <c r="E56" s="24" t="s">
        <v>163</v>
      </c>
      <c r="F56" s="25">
        <v>1712.7028799999998</v>
      </c>
    </row>
    <row r="57" spans="2:6">
      <c r="B57" s="13" t="s">
        <v>177</v>
      </c>
      <c r="C57" s="29" t="s">
        <v>178</v>
      </c>
      <c r="D57" s="13" t="s">
        <v>179</v>
      </c>
      <c r="E57" s="24" t="s">
        <v>163</v>
      </c>
      <c r="F57" s="25">
        <v>1052.4772799999998</v>
      </c>
    </row>
    <row r="58" spans="2:6">
      <c r="B58" s="13" t="s">
        <v>180</v>
      </c>
      <c r="C58" s="29" t="s">
        <v>181</v>
      </c>
      <c r="D58" s="13" t="s">
        <v>182</v>
      </c>
      <c r="E58" s="24" t="s">
        <v>163</v>
      </c>
      <c r="F58" s="25">
        <v>736.92827999999997</v>
      </c>
    </row>
    <row r="59" spans="2:6">
      <c r="B59" s="13" t="s">
        <v>183</v>
      </c>
      <c r="C59" s="29" t="s">
        <v>184</v>
      </c>
      <c r="D59" s="13" t="s">
        <v>185</v>
      </c>
      <c r="E59" s="24" t="s">
        <v>163</v>
      </c>
      <c r="F59" s="25">
        <v>2500</v>
      </c>
    </row>
    <row r="60" spans="2:6">
      <c r="B60" s="13" t="s">
        <v>186</v>
      </c>
      <c r="C60" s="29" t="s">
        <v>187</v>
      </c>
      <c r="D60" s="13" t="s">
        <v>188</v>
      </c>
      <c r="E60" s="24" t="s">
        <v>170</v>
      </c>
      <c r="F60" s="25">
        <v>1627.2928223999997</v>
      </c>
    </row>
    <row r="61" spans="2:6">
      <c r="B61" s="13" t="s">
        <v>189</v>
      </c>
      <c r="C61" s="29" t="s">
        <v>190</v>
      </c>
      <c r="D61" s="13" t="s">
        <v>191</v>
      </c>
      <c r="E61" s="24" t="s">
        <v>170</v>
      </c>
      <c r="F61" s="25">
        <v>1627.2928223999997</v>
      </c>
    </row>
    <row r="62" spans="2:6">
      <c r="B62" s="13" t="s">
        <v>192</v>
      </c>
      <c r="C62" s="29" t="s">
        <v>193</v>
      </c>
      <c r="D62" s="13" t="s">
        <v>194</v>
      </c>
      <c r="E62" s="24" t="s">
        <v>170</v>
      </c>
      <c r="F62" s="25">
        <v>1627.2928223999997</v>
      </c>
    </row>
    <row r="63" spans="2:6">
      <c r="B63" s="13" t="s">
        <v>195</v>
      </c>
      <c r="C63" s="29" t="s">
        <v>196</v>
      </c>
      <c r="D63" s="13" t="s">
        <v>197</v>
      </c>
      <c r="E63" s="24" t="s">
        <v>170</v>
      </c>
      <c r="F63" s="25">
        <v>1627.2928223999997</v>
      </c>
    </row>
    <row r="64" spans="2:6">
      <c r="B64" s="13" t="s">
        <v>198</v>
      </c>
      <c r="C64" s="29" t="s">
        <v>199</v>
      </c>
      <c r="D64" s="13" t="s">
        <v>200</v>
      </c>
      <c r="E64" s="24" t="s">
        <v>170</v>
      </c>
      <c r="F64" s="25">
        <v>1627.2928223999997</v>
      </c>
    </row>
    <row r="65" spans="2:6">
      <c r="B65" s="13" t="s">
        <v>201</v>
      </c>
      <c r="C65" s="29" t="s">
        <v>202</v>
      </c>
      <c r="D65" s="13" t="s">
        <v>203</v>
      </c>
      <c r="E65" s="24" t="s">
        <v>170</v>
      </c>
      <c r="F65" s="25">
        <v>999.99173439999993</v>
      </c>
    </row>
    <row r="66" spans="2:6">
      <c r="B66" s="13" t="s">
        <v>204</v>
      </c>
      <c r="C66" s="29" t="s">
        <v>205</v>
      </c>
      <c r="D66" s="13" t="s">
        <v>206</v>
      </c>
      <c r="E66" s="24" t="s">
        <v>170</v>
      </c>
      <c r="F66" s="25">
        <v>999.99173439999993</v>
      </c>
    </row>
    <row r="67" spans="2:6">
      <c r="B67" s="13" t="s">
        <v>207</v>
      </c>
      <c r="C67" s="29" t="s">
        <v>208</v>
      </c>
      <c r="D67" s="13" t="s">
        <v>209</v>
      </c>
      <c r="E67" s="24" t="s">
        <v>170</v>
      </c>
      <c r="F67" s="25">
        <v>999.99173439999993</v>
      </c>
    </row>
    <row r="68" spans="2:6">
      <c r="B68" s="13" t="s">
        <v>210</v>
      </c>
      <c r="C68" s="29" t="s">
        <v>211</v>
      </c>
      <c r="D68" s="13" t="s">
        <v>212</v>
      </c>
      <c r="E68" s="24" t="s">
        <v>170</v>
      </c>
      <c r="F68" s="25">
        <v>999.99173439999993</v>
      </c>
    </row>
    <row r="69" spans="2:6">
      <c r="B69" s="13" t="s">
        <v>213</v>
      </c>
      <c r="C69" s="29" t="s">
        <v>214</v>
      </c>
      <c r="D69" s="13" t="s">
        <v>215</v>
      </c>
      <c r="E69" s="24" t="s">
        <v>170</v>
      </c>
      <c r="F69" s="25">
        <v>999.99173439999993</v>
      </c>
    </row>
    <row r="70" spans="2:6">
      <c r="B70" s="13" t="s">
        <v>216</v>
      </c>
      <c r="C70" s="29" t="s">
        <v>217</v>
      </c>
      <c r="D70" s="13" t="s">
        <v>218</v>
      </c>
      <c r="E70" s="24" t="s">
        <v>170</v>
      </c>
      <c r="F70" s="25">
        <v>999.99173439999993</v>
      </c>
    </row>
    <row r="71" spans="2:6">
      <c r="B71" s="13" t="s">
        <v>219</v>
      </c>
      <c r="C71" s="29" t="s">
        <v>220</v>
      </c>
      <c r="D71" s="13" t="s">
        <v>221</v>
      </c>
      <c r="E71" s="24" t="s">
        <v>170</v>
      </c>
      <c r="F71" s="25">
        <v>736.92827999999997</v>
      </c>
    </row>
    <row r="72" spans="2:6">
      <c r="B72" s="13" t="s">
        <v>222</v>
      </c>
      <c r="C72" s="29" t="s">
        <v>223</v>
      </c>
      <c r="D72" s="13" t="s">
        <v>224</v>
      </c>
      <c r="E72" s="24" t="s">
        <v>170</v>
      </c>
      <c r="F72" s="25">
        <v>2586.6944863999997</v>
      </c>
    </row>
    <row r="73" spans="2:6">
      <c r="B73" s="13" t="s">
        <v>225</v>
      </c>
      <c r="C73" s="23" t="s">
        <v>226</v>
      </c>
      <c r="D73" s="13" t="s">
        <v>227</v>
      </c>
      <c r="E73" s="24" t="s">
        <v>12</v>
      </c>
      <c r="F73" s="25">
        <v>500</v>
      </c>
    </row>
    <row r="74" spans="2:6">
      <c r="B74" s="13" t="s">
        <v>228</v>
      </c>
      <c r="C74" s="29" t="s">
        <v>229</v>
      </c>
      <c r="D74" s="13" t="s">
        <v>230</v>
      </c>
      <c r="E74" s="24" t="s">
        <v>12</v>
      </c>
      <c r="F74" s="25">
        <v>129.92000000000002</v>
      </c>
    </row>
    <row r="75" spans="2:6">
      <c r="B75" s="13" t="s">
        <v>231</v>
      </c>
      <c r="C75" s="29" t="s">
        <v>232</v>
      </c>
      <c r="D75" s="13" t="s">
        <v>233</v>
      </c>
      <c r="E75" s="24" t="s">
        <v>12</v>
      </c>
      <c r="F75" s="25">
        <v>24.640000000000004</v>
      </c>
    </row>
    <row r="76" spans="2:6">
      <c r="B76" s="13" t="s">
        <v>234</v>
      </c>
      <c r="C76" s="29" t="s">
        <v>235</v>
      </c>
      <c r="D76" s="13" t="s">
        <v>236</v>
      </c>
      <c r="E76" s="24" t="s">
        <v>12</v>
      </c>
      <c r="F76" s="25">
        <v>67.2</v>
      </c>
    </row>
    <row r="77" spans="2:6">
      <c r="B77" s="13" t="s">
        <v>237</v>
      </c>
      <c r="C77" s="29" t="s">
        <v>238</v>
      </c>
      <c r="D77" s="13" t="s">
        <v>239</v>
      </c>
      <c r="E77" s="24" t="s">
        <v>12</v>
      </c>
      <c r="F77" s="25">
        <v>150</v>
      </c>
    </row>
    <row r="78" spans="2:6">
      <c r="B78" s="13" t="s">
        <v>240</v>
      </c>
      <c r="C78" s="23" t="s">
        <v>241</v>
      </c>
      <c r="D78" s="13" t="s">
        <v>242</v>
      </c>
      <c r="E78" s="24" t="s">
        <v>12</v>
      </c>
      <c r="F78" s="25">
        <v>22500</v>
      </c>
    </row>
    <row r="79" spans="2:6">
      <c r="B79" s="13" t="s">
        <v>243</v>
      </c>
      <c r="C79" s="23" t="s">
        <v>244</v>
      </c>
      <c r="D79" s="13" t="s">
        <v>245</v>
      </c>
      <c r="E79" s="24" t="s">
        <v>12</v>
      </c>
      <c r="F79" s="25">
        <v>87500</v>
      </c>
    </row>
    <row r="80" spans="2:6">
      <c r="B80" s="13" t="s">
        <v>246</v>
      </c>
      <c r="C80" s="31" t="s">
        <v>247</v>
      </c>
      <c r="D80" s="13" t="s">
        <v>248</v>
      </c>
      <c r="E80" s="24" t="s">
        <v>12</v>
      </c>
      <c r="F80" s="25">
        <v>891.00000000000011</v>
      </c>
    </row>
    <row r="81" spans="2:6">
      <c r="B81" s="13" t="s">
        <v>249</v>
      </c>
      <c r="C81" s="23" t="s">
        <v>250</v>
      </c>
      <c r="D81" s="13" t="s">
        <v>251</v>
      </c>
      <c r="E81" s="24" t="s">
        <v>12</v>
      </c>
      <c r="F81" s="25">
        <v>450</v>
      </c>
    </row>
    <row r="82" spans="2:6">
      <c r="B82" s="13" t="s">
        <v>252</v>
      </c>
      <c r="C82" s="31" t="s">
        <v>253</v>
      </c>
      <c r="D82" s="13" t="s">
        <v>254</v>
      </c>
      <c r="E82" s="24" t="s">
        <v>12</v>
      </c>
      <c r="F82" s="25">
        <v>150</v>
      </c>
    </row>
    <row r="83" spans="2:6">
      <c r="B83" s="13" t="s">
        <v>255</v>
      </c>
      <c r="C83" s="23" t="s">
        <v>256</v>
      </c>
      <c r="D83" s="13" t="s">
        <v>257</v>
      </c>
      <c r="E83" s="24" t="s">
        <v>12</v>
      </c>
      <c r="F83" s="25">
        <v>0</v>
      </c>
    </row>
    <row r="84" spans="2:6">
      <c r="B84" s="13" t="s">
        <v>258</v>
      </c>
      <c r="C84" s="23" t="s">
        <v>259</v>
      </c>
      <c r="D84" s="13" t="s">
        <v>260</v>
      </c>
      <c r="E84" s="24" t="s">
        <v>12</v>
      </c>
      <c r="F84" s="25">
        <v>0</v>
      </c>
    </row>
    <row r="85" spans="2:6">
      <c r="B85" s="13" t="s">
        <v>261</v>
      </c>
      <c r="C85" s="23" t="s">
        <v>262</v>
      </c>
      <c r="D85" s="13" t="s">
        <v>263</v>
      </c>
      <c r="E85" s="24" t="s">
        <v>12</v>
      </c>
      <c r="F85" s="25">
        <v>45000</v>
      </c>
    </row>
    <row r="86" spans="2:6">
      <c r="B86" s="13" t="s">
        <v>264</v>
      </c>
      <c r="C86" s="23" t="s">
        <v>265</v>
      </c>
      <c r="D86" s="13" t="s">
        <v>266</v>
      </c>
      <c r="E86" s="24" t="s">
        <v>12</v>
      </c>
      <c r="F86" s="25">
        <v>32000</v>
      </c>
    </row>
    <row r="87" spans="2:6">
      <c r="B87" s="13" t="s">
        <v>267</v>
      </c>
      <c r="C87" s="31" t="s">
        <v>268</v>
      </c>
      <c r="D87" s="13" t="s">
        <v>269</v>
      </c>
      <c r="E87" s="24" t="s">
        <v>12</v>
      </c>
      <c r="F87" s="25">
        <v>23316</v>
      </c>
    </row>
    <row r="88" spans="2:6">
      <c r="B88" s="13" t="s">
        <v>270</v>
      </c>
      <c r="C88" s="31" t="s">
        <v>271</v>
      </c>
      <c r="D88" s="13" t="s">
        <v>272</v>
      </c>
      <c r="E88" s="24" t="s">
        <v>12</v>
      </c>
      <c r="F88" s="25">
        <v>5500</v>
      </c>
    </row>
    <row r="89" spans="2:6">
      <c r="B89" s="13" t="s">
        <v>273</v>
      </c>
      <c r="C89" s="23" t="s">
        <v>274</v>
      </c>
      <c r="D89" s="13" t="s">
        <v>275</v>
      </c>
      <c r="E89" s="24" t="s">
        <v>12</v>
      </c>
      <c r="F89" s="25">
        <v>100</v>
      </c>
    </row>
    <row r="90" spans="2:6">
      <c r="B90" s="13" t="s">
        <v>276</v>
      </c>
      <c r="C90" s="29" t="s">
        <v>277</v>
      </c>
      <c r="D90" s="13" t="s">
        <v>278</v>
      </c>
      <c r="E90" s="24" t="s">
        <v>12</v>
      </c>
      <c r="F90" s="25">
        <v>1000</v>
      </c>
    </row>
    <row r="91" spans="2:6">
      <c r="B91" s="13" t="s">
        <v>279</v>
      </c>
      <c r="C91" s="29" t="s">
        <v>280</v>
      </c>
      <c r="D91" s="13" t="s">
        <v>281</v>
      </c>
      <c r="E91" s="24" t="s">
        <v>12</v>
      </c>
      <c r="F91" s="25">
        <v>1000</v>
      </c>
    </row>
    <row r="92" spans="2:6">
      <c r="B92" s="13" t="s">
        <v>282</v>
      </c>
      <c r="C92" s="32" t="s">
        <v>283</v>
      </c>
      <c r="D92" s="13" t="s">
        <v>284</v>
      </c>
      <c r="E92" s="24" t="s">
        <v>12</v>
      </c>
      <c r="F92" s="25">
        <v>1000</v>
      </c>
    </row>
    <row r="93" spans="2:6">
      <c r="B93" s="13" t="s">
        <v>285</v>
      </c>
      <c r="C93" s="29" t="s">
        <v>286</v>
      </c>
      <c r="D93" s="13" t="s">
        <v>287</v>
      </c>
      <c r="E93" s="24" t="s">
        <v>12</v>
      </c>
      <c r="F93" s="25">
        <v>300</v>
      </c>
    </row>
    <row r="94" spans="2:6">
      <c r="B94" s="13" t="s">
        <v>288</v>
      </c>
      <c r="C94" s="29" t="s">
        <v>289</v>
      </c>
      <c r="D94" s="13" t="s">
        <v>290</v>
      </c>
      <c r="E94" s="24" t="s">
        <v>12</v>
      </c>
      <c r="F94" s="25">
        <v>800.4</v>
      </c>
    </row>
    <row r="95" spans="2:6">
      <c r="B95" s="13" t="s">
        <v>291</v>
      </c>
      <c r="C95" s="23" t="s">
        <v>292</v>
      </c>
      <c r="D95" s="13" t="s">
        <v>293</v>
      </c>
      <c r="E95" s="24" t="s">
        <v>159</v>
      </c>
      <c r="F95" s="25">
        <v>15000</v>
      </c>
    </row>
    <row r="96" spans="2:6">
      <c r="B96" s="13" t="s">
        <v>294</v>
      </c>
      <c r="C96" s="23" t="s">
        <v>295</v>
      </c>
      <c r="D96" s="13" t="s">
        <v>296</v>
      </c>
      <c r="E96" s="24" t="s">
        <v>12</v>
      </c>
      <c r="F96" s="25">
        <v>118950</v>
      </c>
    </row>
    <row r="97" spans="2:6">
      <c r="B97" s="13" t="s">
        <v>297</v>
      </c>
      <c r="C97" s="30" t="s">
        <v>298</v>
      </c>
      <c r="D97" s="13" t="s">
        <v>299</v>
      </c>
      <c r="E97" s="24" t="s">
        <v>12</v>
      </c>
      <c r="F97" s="25">
        <v>303030</v>
      </c>
    </row>
    <row r="98" spans="2:6">
      <c r="B98" s="13" t="s">
        <v>300</v>
      </c>
      <c r="C98" s="30" t="s">
        <v>301</v>
      </c>
      <c r="D98" s="13" t="s">
        <v>302</v>
      </c>
      <c r="E98" s="24" t="s">
        <v>12</v>
      </c>
      <c r="F98" s="25">
        <v>303030</v>
      </c>
    </row>
    <row r="99" spans="2:6">
      <c r="B99" s="13" t="s">
        <v>303</v>
      </c>
      <c r="C99" s="30" t="s">
        <v>304</v>
      </c>
      <c r="D99" s="13" t="s">
        <v>305</v>
      </c>
      <c r="E99" s="24" t="s">
        <v>12</v>
      </c>
      <c r="F99" s="25">
        <v>311935</v>
      </c>
    </row>
    <row r="100" spans="2:6">
      <c r="B100" s="13" t="s">
        <v>306</v>
      </c>
      <c r="C100" s="30" t="s">
        <v>307</v>
      </c>
      <c r="D100" s="13" t="s">
        <v>308</v>
      </c>
      <c r="E100" s="24" t="s">
        <v>12</v>
      </c>
      <c r="F100" s="25">
        <v>311935</v>
      </c>
    </row>
    <row r="101" spans="2:6">
      <c r="B101" s="13" t="s">
        <v>309</v>
      </c>
      <c r="C101" s="30" t="s">
        <v>310</v>
      </c>
      <c r="D101" s="13" t="s">
        <v>311</v>
      </c>
      <c r="E101" s="24" t="s">
        <v>12</v>
      </c>
      <c r="F101" s="25">
        <v>311935</v>
      </c>
    </row>
    <row r="102" spans="2:6">
      <c r="B102" s="13" t="s">
        <v>312</v>
      </c>
      <c r="C102" s="30" t="s">
        <v>313</v>
      </c>
      <c r="D102" s="13" t="s">
        <v>314</v>
      </c>
      <c r="E102" s="24" t="s">
        <v>12</v>
      </c>
      <c r="F102" s="25">
        <v>311935</v>
      </c>
    </row>
    <row r="103" spans="2:6">
      <c r="B103" s="13" t="s">
        <v>315</v>
      </c>
      <c r="C103" s="30" t="s">
        <v>316</v>
      </c>
      <c r="D103" s="13" t="s">
        <v>317</v>
      </c>
      <c r="E103" s="24" t="s">
        <v>12</v>
      </c>
      <c r="F103" s="25">
        <v>311935</v>
      </c>
    </row>
    <row r="104" spans="2:6">
      <c r="B104" s="13" t="s">
        <v>318</v>
      </c>
      <c r="C104" s="30" t="s">
        <v>319</v>
      </c>
      <c r="D104" s="13" t="s">
        <v>320</v>
      </c>
      <c r="E104" s="24" t="s">
        <v>12</v>
      </c>
      <c r="F104" s="25">
        <v>359710</v>
      </c>
    </row>
    <row r="105" spans="2:6">
      <c r="B105" s="13" t="s">
        <v>321</v>
      </c>
      <c r="C105" s="30" t="s">
        <v>322</v>
      </c>
      <c r="D105" s="13" t="s">
        <v>323</v>
      </c>
      <c r="E105" s="24" t="s">
        <v>12</v>
      </c>
      <c r="F105" s="25">
        <v>386295</v>
      </c>
    </row>
    <row r="106" spans="2:6">
      <c r="B106" s="13" t="s">
        <v>324</v>
      </c>
      <c r="C106" s="30" t="s">
        <v>325</v>
      </c>
      <c r="D106" s="13" t="s">
        <v>326</v>
      </c>
      <c r="E106" s="24" t="s">
        <v>12</v>
      </c>
      <c r="F106" s="25">
        <v>431340</v>
      </c>
    </row>
    <row r="107" spans="2:6">
      <c r="B107" s="13" t="s">
        <v>327</v>
      </c>
      <c r="C107" s="30" t="s">
        <v>328</v>
      </c>
      <c r="D107" s="13" t="s">
        <v>329</v>
      </c>
      <c r="E107" s="24" t="s">
        <v>12</v>
      </c>
      <c r="F107" s="25">
        <v>532350</v>
      </c>
    </row>
    <row r="108" spans="2:6">
      <c r="B108" s="13" t="s">
        <v>330</v>
      </c>
      <c r="C108" s="30" t="s">
        <v>331</v>
      </c>
      <c r="D108" s="13" t="s">
        <v>332</v>
      </c>
      <c r="E108" s="24" t="s">
        <v>12</v>
      </c>
      <c r="F108" s="25">
        <v>556920</v>
      </c>
    </row>
    <row r="109" spans="2:6">
      <c r="B109" s="13" t="s">
        <v>333</v>
      </c>
      <c r="C109" s="30" t="s">
        <v>334</v>
      </c>
      <c r="D109" s="13" t="s">
        <v>335</v>
      </c>
      <c r="E109" s="24" t="s">
        <v>12</v>
      </c>
      <c r="F109" s="25">
        <v>786955</v>
      </c>
    </row>
    <row r="110" spans="2:6">
      <c r="B110" s="13" t="s">
        <v>336</v>
      </c>
      <c r="C110" s="30" t="s">
        <v>337</v>
      </c>
      <c r="D110" s="13" t="s">
        <v>338</v>
      </c>
      <c r="E110" s="24" t="s">
        <v>12</v>
      </c>
      <c r="F110" s="25">
        <v>6959.9999999999991</v>
      </c>
    </row>
    <row r="111" spans="2:6">
      <c r="B111" s="13" t="s">
        <v>339</v>
      </c>
      <c r="C111" s="23" t="s">
        <v>340</v>
      </c>
      <c r="D111" s="13" t="s">
        <v>341</v>
      </c>
      <c r="E111" s="24" t="s">
        <v>12</v>
      </c>
      <c r="F111" s="25">
        <v>35000</v>
      </c>
    </row>
    <row r="112" spans="2:6">
      <c r="B112" s="13" t="s">
        <v>342</v>
      </c>
      <c r="C112" s="23" t="s">
        <v>343</v>
      </c>
      <c r="D112" s="13" t="s">
        <v>344</v>
      </c>
      <c r="E112" s="24" t="s">
        <v>12</v>
      </c>
      <c r="F112" s="25">
        <v>58000</v>
      </c>
    </row>
    <row r="113" spans="2:6">
      <c r="B113" s="13" t="s">
        <v>345</v>
      </c>
      <c r="C113" s="23" t="s">
        <v>346</v>
      </c>
      <c r="D113" s="13" t="s">
        <v>347</v>
      </c>
      <c r="E113" s="24" t="s">
        <v>12</v>
      </c>
      <c r="F113" s="25">
        <v>65000</v>
      </c>
    </row>
    <row r="114" spans="2:6">
      <c r="B114" s="13" t="s">
        <v>348</v>
      </c>
      <c r="C114" s="31" t="s">
        <v>349</v>
      </c>
      <c r="D114" s="13" t="s">
        <v>350</v>
      </c>
      <c r="E114" s="24" t="s">
        <v>12</v>
      </c>
      <c r="F114" s="25">
        <v>103693.56</v>
      </c>
    </row>
    <row r="115" spans="2:6">
      <c r="B115" s="13" t="s">
        <v>351</v>
      </c>
      <c r="C115" s="31" t="s">
        <v>352</v>
      </c>
      <c r="D115" s="13" t="s">
        <v>353</v>
      </c>
      <c r="E115" s="24" t="s">
        <v>12</v>
      </c>
      <c r="F115" s="25">
        <v>37780.04</v>
      </c>
    </row>
    <row r="116" spans="2:6">
      <c r="B116" s="13" t="s">
        <v>354</v>
      </c>
      <c r="C116" s="23" t="s">
        <v>355</v>
      </c>
      <c r="D116" s="13" t="s">
        <v>356</v>
      </c>
      <c r="E116" s="24" t="s">
        <v>12</v>
      </c>
      <c r="F116" s="25">
        <v>48000</v>
      </c>
    </row>
    <row r="117" spans="2:6">
      <c r="B117" s="13" t="s">
        <v>357</v>
      </c>
      <c r="C117" s="33" t="s">
        <v>358</v>
      </c>
      <c r="D117" s="13" t="s">
        <v>359</v>
      </c>
      <c r="E117" s="24" t="s">
        <v>12</v>
      </c>
      <c r="F117" s="25">
        <v>40000</v>
      </c>
    </row>
    <row r="118" spans="2:6">
      <c r="B118" s="13" t="s">
        <v>360</v>
      </c>
      <c r="C118" s="34" t="s">
        <v>361</v>
      </c>
      <c r="D118" s="13" t="s">
        <v>362</v>
      </c>
      <c r="E118" s="24" t="s">
        <v>12</v>
      </c>
      <c r="F118" s="25">
        <v>28930</v>
      </c>
    </row>
    <row r="119" spans="2:6">
      <c r="B119" s="13" t="s">
        <v>363</v>
      </c>
      <c r="C119" s="35" t="s">
        <v>364</v>
      </c>
      <c r="D119" s="13" t="s">
        <v>365</v>
      </c>
      <c r="E119" s="24" t="s">
        <v>12</v>
      </c>
      <c r="F119" s="25">
        <v>34985</v>
      </c>
    </row>
    <row r="120" spans="2:6">
      <c r="B120" s="13" t="s">
        <v>366</v>
      </c>
      <c r="C120" s="31" t="s">
        <v>367</v>
      </c>
      <c r="D120" s="13" t="s">
        <v>368</v>
      </c>
      <c r="E120" s="24" t="s">
        <v>12</v>
      </c>
      <c r="F120" s="25">
        <v>34104</v>
      </c>
    </row>
    <row r="121" spans="2:6">
      <c r="B121" s="13" t="s">
        <v>369</v>
      </c>
      <c r="C121" s="23" t="s">
        <v>370</v>
      </c>
      <c r="D121" s="13" t="s">
        <v>371</v>
      </c>
      <c r="E121" s="24" t="s">
        <v>12</v>
      </c>
      <c r="F121" s="25">
        <v>30000</v>
      </c>
    </row>
    <row r="122" spans="2:6">
      <c r="B122" s="13" t="s">
        <v>372</v>
      </c>
      <c r="C122" s="23" t="s">
        <v>373</v>
      </c>
      <c r="D122" s="13" t="s">
        <v>374</v>
      </c>
      <c r="E122" s="24" t="s">
        <v>12</v>
      </c>
      <c r="F122" s="25">
        <v>17342</v>
      </c>
    </row>
    <row r="123" spans="2:6">
      <c r="B123" s="13" t="s">
        <v>375</v>
      </c>
      <c r="C123" s="31" t="s">
        <v>376</v>
      </c>
      <c r="D123" s="13" t="s">
        <v>377</v>
      </c>
      <c r="E123" s="24" t="s">
        <v>12</v>
      </c>
      <c r="F123" s="25">
        <v>916.4</v>
      </c>
    </row>
    <row r="124" spans="2:6">
      <c r="B124" s="13" t="s">
        <v>378</v>
      </c>
      <c r="C124" s="23" t="s">
        <v>379</v>
      </c>
      <c r="D124" s="13" t="s">
        <v>380</v>
      </c>
      <c r="E124" s="24" t="s">
        <v>12</v>
      </c>
      <c r="F124" s="25">
        <v>77082</v>
      </c>
    </row>
    <row r="125" spans="2:6">
      <c r="B125" s="13" t="s">
        <v>381</v>
      </c>
      <c r="C125" s="23" t="s">
        <v>382</v>
      </c>
      <c r="D125" s="13" t="s">
        <v>383</v>
      </c>
      <c r="E125" s="24" t="s">
        <v>12</v>
      </c>
      <c r="F125" s="25">
        <v>47793.159999999996</v>
      </c>
    </row>
    <row r="126" spans="2:6">
      <c r="B126" s="13" t="s">
        <v>384</v>
      </c>
      <c r="C126" s="36" t="s">
        <v>385</v>
      </c>
      <c r="D126" s="13" t="s">
        <v>386</v>
      </c>
      <c r="E126" s="24" t="s">
        <v>12</v>
      </c>
      <c r="F126" s="25">
        <v>72275</v>
      </c>
    </row>
    <row r="127" spans="2:6">
      <c r="B127" s="13" t="s">
        <v>387</v>
      </c>
      <c r="C127" s="36" t="s">
        <v>388</v>
      </c>
      <c r="D127" s="13" t="s">
        <v>389</v>
      </c>
      <c r="E127" s="24" t="s">
        <v>12</v>
      </c>
      <c r="F127" s="25">
        <v>91808.2</v>
      </c>
    </row>
    <row r="128" spans="2:6">
      <c r="B128" s="13" t="s">
        <v>390</v>
      </c>
      <c r="C128" s="23" t="s">
        <v>391</v>
      </c>
      <c r="D128" s="13" t="s">
        <v>392</v>
      </c>
      <c r="E128" s="24" t="s">
        <v>12</v>
      </c>
      <c r="F128" s="25">
        <v>105079.76</v>
      </c>
    </row>
    <row r="129" spans="2:6">
      <c r="B129" s="13" t="s">
        <v>393</v>
      </c>
      <c r="C129" s="23" t="s">
        <v>394</v>
      </c>
      <c r="D129" s="13" t="s">
        <v>395</v>
      </c>
      <c r="E129" s="24" t="s">
        <v>12</v>
      </c>
      <c r="F129" s="25">
        <v>34300</v>
      </c>
    </row>
    <row r="130" spans="2:6">
      <c r="B130" s="13" t="s">
        <v>396</v>
      </c>
      <c r="C130" s="30" t="s">
        <v>397</v>
      </c>
      <c r="D130" s="13" t="s">
        <v>398</v>
      </c>
      <c r="E130" s="24" t="s">
        <v>12</v>
      </c>
      <c r="F130" s="25">
        <v>85000</v>
      </c>
    </row>
    <row r="131" spans="2:6">
      <c r="B131" s="13" t="s">
        <v>399</v>
      </c>
      <c r="C131" s="30" t="s">
        <v>400</v>
      </c>
      <c r="D131" s="13" t="s">
        <v>401</v>
      </c>
      <c r="E131" s="24" t="s">
        <v>12</v>
      </c>
      <c r="F131" s="25">
        <v>50000</v>
      </c>
    </row>
    <row r="132" spans="2:6">
      <c r="B132" s="13" t="s">
        <v>402</v>
      </c>
      <c r="C132" s="30" t="s">
        <v>403</v>
      </c>
      <c r="D132" s="13" t="s">
        <v>404</v>
      </c>
      <c r="E132" s="24" t="s">
        <v>12</v>
      </c>
      <c r="F132" s="25">
        <v>98000</v>
      </c>
    </row>
    <row r="133" spans="2:6">
      <c r="B133" s="13" t="s">
        <v>405</v>
      </c>
      <c r="C133" s="30" t="s">
        <v>406</v>
      </c>
      <c r="D133" s="13" t="s">
        <v>407</v>
      </c>
      <c r="E133" s="24" t="s">
        <v>12</v>
      </c>
      <c r="F133" s="25">
        <v>12000</v>
      </c>
    </row>
    <row r="134" spans="2:6">
      <c r="B134" s="13" t="s">
        <v>408</v>
      </c>
      <c r="C134" s="30" t="s">
        <v>409</v>
      </c>
      <c r="D134" s="13" t="s">
        <v>410</v>
      </c>
      <c r="E134" s="24" t="s">
        <v>12</v>
      </c>
      <c r="F134" s="25">
        <v>18000</v>
      </c>
    </row>
    <row r="135" spans="2:6">
      <c r="B135" s="13" t="s">
        <v>411</v>
      </c>
      <c r="C135" s="30" t="s">
        <v>412</v>
      </c>
      <c r="D135" s="13" t="s">
        <v>413</v>
      </c>
      <c r="E135" s="24" t="s">
        <v>12</v>
      </c>
      <c r="F135" s="25">
        <v>27000</v>
      </c>
    </row>
    <row r="136" spans="2:6">
      <c r="B136" s="13" t="s">
        <v>414</v>
      </c>
      <c r="C136" s="30" t="s">
        <v>415</v>
      </c>
      <c r="D136" s="13" t="s">
        <v>416</v>
      </c>
      <c r="E136" s="24" t="s">
        <v>12</v>
      </c>
      <c r="F136" s="25">
        <v>195000</v>
      </c>
    </row>
    <row r="137" spans="2:6">
      <c r="B137" s="13" t="s">
        <v>417</v>
      </c>
      <c r="C137" s="30" t="s">
        <v>418</v>
      </c>
      <c r="D137" s="13" t="s">
        <v>419</v>
      </c>
      <c r="E137" s="24" t="s">
        <v>12</v>
      </c>
      <c r="F137" s="25">
        <v>215000</v>
      </c>
    </row>
    <row r="138" spans="2:6">
      <c r="B138" s="13" t="s">
        <v>420</v>
      </c>
      <c r="C138" s="30" t="s">
        <v>421</v>
      </c>
      <c r="D138" s="13" t="s">
        <v>422</v>
      </c>
      <c r="E138" s="24" t="s">
        <v>12</v>
      </c>
      <c r="F138" s="25">
        <v>120000</v>
      </c>
    </row>
    <row r="139" spans="2:6">
      <c r="B139" s="13" t="s">
        <v>423</v>
      </c>
      <c r="C139" s="30" t="s">
        <v>424</v>
      </c>
      <c r="D139" s="13" t="s">
        <v>425</v>
      </c>
      <c r="E139" s="24" t="s">
        <v>12</v>
      </c>
      <c r="F139" s="25">
        <v>175000</v>
      </c>
    </row>
    <row r="140" spans="2:6">
      <c r="B140" s="13" t="s">
        <v>426</v>
      </c>
      <c r="C140" s="30" t="s">
        <v>427</v>
      </c>
      <c r="D140" s="13" t="s">
        <v>428</v>
      </c>
      <c r="E140" s="24" t="s">
        <v>12</v>
      </c>
      <c r="F140" s="25">
        <v>10780</v>
      </c>
    </row>
    <row r="141" spans="2:6">
      <c r="B141" s="13" t="s">
        <v>429</v>
      </c>
      <c r="C141" s="30" t="s">
        <v>430</v>
      </c>
      <c r="D141" s="13" t="s">
        <v>431</v>
      </c>
      <c r="E141" s="24" t="s">
        <v>12</v>
      </c>
      <c r="F141" s="25">
        <v>16280.000000000002</v>
      </c>
    </row>
    <row r="142" spans="2:6">
      <c r="B142" s="13" t="s">
        <v>432</v>
      </c>
      <c r="C142" s="30" t="s">
        <v>433</v>
      </c>
      <c r="D142" s="13" t="s">
        <v>434</v>
      </c>
      <c r="E142" s="24" t="s">
        <v>12</v>
      </c>
      <c r="F142" s="25">
        <v>28999.999999999996</v>
      </c>
    </row>
    <row r="143" spans="2:6">
      <c r="B143" s="13" t="s">
        <v>435</v>
      </c>
      <c r="C143" s="23" t="s">
        <v>436</v>
      </c>
      <c r="D143" s="13" t="s">
        <v>437</v>
      </c>
      <c r="E143" s="24" t="s">
        <v>12</v>
      </c>
      <c r="F143" s="25">
        <v>8137</v>
      </c>
    </row>
    <row r="144" spans="2:6">
      <c r="B144" s="13" t="s">
        <v>438</v>
      </c>
      <c r="C144" s="23" t="s">
        <v>439</v>
      </c>
      <c r="D144" s="13" t="s">
        <v>440</v>
      </c>
      <c r="E144" s="24" t="s">
        <v>12</v>
      </c>
      <c r="F144" s="25">
        <v>40000</v>
      </c>
    </row>
    <row r="145" spans="2:6">
      <c r="B145" s="13" t="s">
        <v>441</v>
      </c>
      <c r="C145" s="29" t="s">
        <v>442</v>
      </c>
      <c r="D145" s="13" t="s">
        <v>443</v>
      </c>
      <c r="E145" s="24" t="s">
        <v>12</v>
      </c>
      <c r="F145" s="25">
        <v>114000</v>
      </c>
    </row>
    <row r="146" spans="2:6">
      <c r="B146" s="13" t="s">
        <v>444</v>
      </c>
      <c r="C146" s="29" t="s">
        <v>445</v>
      </c>
      <c r="D146" s="13" t="s">
        <v>446</v>
      </c>
      <c r="E146" s="24" t="s">
        <v>12</v>
      </c>
      <c r="F146" s="25">
        <v>59000</v>
      </c>
    </row>
    <row r="147" spans="2:6">
      <c r="B147" s="13" t="s">
        <v>447</v>
      </c>
      <c r="C147" s="23" t="s">
        <v>448</v>
      </c>
      <c r="D147" s="13" t="s">
        <v>449</v>
      </c>
      <c r="E147" s="24" t="s">
        <v>12</v>
      </c>
      <c r="F147" s="25">
        <v>110000</v>
      </c>
    </row>
    <row r="148" spans="2:6">
      <c r="B148" s="13" t="s">
        <v>450</v>
      </c>
      <c r="C148" s="23" t="s">
        <v>451</v>
      </c>
      <c r="D148" s="13" t="s">
        <v>452</v>
      </c>
      <c r="E148" s="24" t="s">
        <v>12</v>
      </c>
      <c r="F148" s="25">
        <v>45240</v>
      </c>
    </row>
    <row r="149" spans="2:6">
      <c r="B149" s="13" t="s">
        <v>453</v>
      </c>
      <c r="C149" s="23" t="s">
        <v>454</v>
      </c>
      <c r="D149" s="13" t="s">
        <v>455</v>
      </c>
      <c r="E149" s="24" t="s">
        <v>12</v>
      </c>
      <c r="F149" s="25">
        <v>79460</v>
      </c>
    </row>
    <row r="150" spans="2:6">
      <c r="B150" s="13" t="s">
        <v>456</v>
      </c>
      <c r="C150" s="23" t="s">
        <v>457</v>
      </c>
      <c r="D150" s="13" t="s">
        <v>458</v>
      </c>
      <c r="E150" s="24" t="s">
        <v>12</v>
      </c>
      <c r="F150" s="25">
        <v>10985</v>
      </c>
    </row>
    <row r="151" spans="2:6">
      <c r="B151" s="13" t="s">
        <v>459</v>
      </c>
      <c r="C151" s="23" t="s">
        <v>460</v>
      </c>
      <c r="D151" s="13" t="s">
        <v>461</v>
      </c>
      <c r="E151" s="24" t="s">
        <v>12</v>
      </c>
      <c r="F151" s="25">
        <v>125000</v>
      </c>
    </row>
    <row r="152" spans="2:6">
      <c r="B152" s="13" t="s">
        <v>462</v>
      </c>
      <c r="C152" s="23" t="s">
        <v>463</v>
      </c>
      <c r="D152" s="13" t="s">
        <v>464</v>
      </c>
      <c r="E152" s="24" t="s">
        <v>12</v>
      </c>
      <c r="F152" s="25">
        <v>37351.999999999993</v>
      </c>
    </row>
    <row r="153" spans="2:6">
      <c r="B153" s="13" t="s">
        <v>465</v>
      </c>
      <c r="C153" s="23" t="s">
        <v>466</v>
      </c>
      <c r="D153" s="13" t="s">
        <v>467</v>
      </c>
      <c r="E153" s="24" t="s">
        <v>12</v>
      </c>
      <c r="F153" s="25">
        <v>2000</v>
      </c>
    </row>
    <row r="154" spans="2:6">
      <c r="B154" s="13" t="s">
        <v>468</v>
      </c>
      <c r="C154" s="31" t="s">
        <v>469</v>
      </c>
      <c r="D154" s="13" t="s">
        <v>470</v>
      </c>
      <c r="E154" s="24" t="s">
        <v>12</v>
      </c>
      <c r="F154" s="25">
        <v>0</v>
      </c>
    </row>
    <row r="155" spans="2:6">
      <c r="B155" s="13" t="s">
        <v>471</v>
      </c>
      <c r="C155" s="23" t="s">
        <v>472</v>
      </c>
      <c r="D155" s="13" t="s">
        <v>473</v>
      </c>
      <c r="E155" s="24" t="s">
        <v>12</v>
      </c>
      <c r="F155" s="25">
        <v>15000</v>
      </c>
    </row>
    <row r="156" spans="2:6">
      <c r="B156" s="13" t="s">
        <v>474</v>
      </c>
      <c r="C156" s="29" t="s">
        <v>475</v>
      </c>
      <c r="D156" s="13" t="s">
        <v>476</v>
      </c>
      <c r="E156" s="24" t="s">
        <v>12</v>
      </c>
      <c r="F156" s="25">
        <v>7935</v>
      </c>
    </row>
    <row r="157" spans="2:6">
      <c r="B157" s="13" t="s">
        <v>477</v>
      </c>
      <c r="C157" s="29" t="s">
        <v>478</v>
      </c>
      <c r="D157" s="13" t="s">
        <v>479</v>
      </c>
      <c r="E157" s="24" t="s">
        <v>12</v>
      </c>
      <c r="F157" s="25">
        <v>0</v>
      </c>
    </row>
    <row r="158" spans="2:6">
      <c r="B158" s="13" t="s">
        <v>480</v>
      </c>
      <c r="C158" s="29" t="s">
        <v>481</v>
      </c>
      <c r="D158" s="13" t="s">
        <v>482</v>
      </c>
      <c r="E158" s="24" t="s">
        <v>12</v>
      </c>
      <c r="F158" s="25">
        <v>0</v>
      </c>
    </row>
    <row r="159" spans="2:6">
      <c r="B159" s="13" t="s">
        <v>483</v>
      </c>
      <c r="C159" s="29" t="s">
        <v>484</v>
      </c>
      <c r="D159" s="13" t="s">
        <v>485</v>
      </c>
      <c r="E159" s="24" t="s">
        <v>12</v>
      </c>
      <c r="F159" s="25">
        <v>0</v>
      </c>
    </row>
    <row r="160" spans="2:6">
      <c r="B160" s="13" t="s">
        <v>486</v>
      </c>
      <c r="C160" s="29" t="s">
        <v>487</v>
      </c>
      <c r="D160" s="13" t="s">
        <v>488</v>
      </c>
      <c r="E160" s="24" t="s">
        <v>12</v>
      </c>
      <c r="F160" s="25">
        <v>15422.400000000003</v>
      </c>
    </row>
    <row r="161" spans="2:6">
      <c r="B161" s="13" t="s">
        <v>489</v>
      </c>
      <c r="C161" s="29" t="s">
        <v>490</v>
      </c>
      <c r="D161" s="13" t="s">
        <v>491</v>
      </c>
      <c r="E161" s="24" t="s">
        <v>12</v>
      </c>
      <c r="F161" s="25">
        <v>38304.000000000007</v>
      </c>
    </row>
    <row r="162" spans="2:6">
      <c r="B162" s="13" t="s">
        <v>492</v>
      </c>
      <c r="C162" s="29" t="s">
        <v>493</v>
      </c>
      <c r="D162" s="13" t="s">
        <v>494</v>
      </c>
      <c r="E162" s="24" t="s">
        <v>12</v>
      </c>
      <c r="F162" s="25">
        <v>0</v>
      </c>
    </row>
    <row r="163" spans="2:6">
      <c r="B163" s="13" t="s">
        <v>495</v>
      </c>
      <c r="C163" s="29" t="s">
        <v>496</v>
      </c>
      <c r="D163" s="13" t="s">
        <v>497</v>
      </c>
      <c r="E163" s="24" t="s">
        <v>12</v>
      </c>
      <c r="F163" s="25">
        <v>0</v>
      </c>
    </row>
    <row r="164" spans="2:6">
      <c r="B164" s="13" t="s">
        <v>498</v>
      </c>
      <c r="C164" s="31" t="s">
        <v>499</v>
      </c>
      <c r="D164" s="13" t="s">
        <v>500</v>
      </c>
      <c r="E164" s="24" t="s">
        <v>12</v>
      </c>
      <c r="F164" s="25">
        <v>3711.9999999999995</v>
      </c>
    </row>
    <row r="165" spans="2:6">
      <c r="B165" s="13" t="s">
        <v>501</v>
      </c>
      <c r="C165" s="31" t="s">
        <v>502</v>
      </c>
      <c r="D165" s="13" t="s">
        <v>503</v>
      </c>
      <c r="E165" s="24" t="s">
        <v>12</v>
      </c>
      <c r="F165" s="25">
        <v>5626</v>
      </c>
    </row>
    <row r="166" spans="2:6">
      <c r="B166" s="13" t="s">
        <v>504</v>
      </c>
      <c r="C166" s="23" t="s">
        <v>505</v>
      </c>
      <c r="D166" s="13" t="s">
        <v>506</v>
      </c>
      <c r="E166" s="24" t="s">
        <v>12</v>
      </c>
      <c r="F166" s="25">
        <v>420000</v>
      </c>
    </row>
    <row r="167" spans="2:6" ht="16.5">
      <c r="B167" s="13" t="s">
        <v>507</v>
      </c>
      <c r="C167" s="26" t="s">
        <v>508</v>
      </c>
      <c r="D167" s="13" t="s">
        <v>509</v>
      </c>
      <c r="E167" s="24" t="s">
        <v>12</v>
      </c>
      <c r="F167" s="25">
        <v>33000</v>
      </c>
    </row>
    <row r="168" spans="2:6">
      <c r="B168" s="13" t="s">
        <v>510</v>
      </c>
      <c r="C168" s="23" t="s">
        <v>511</v>
      </c>
      <c r="D168" s="13" t="s">
        <v>512</v>
      </c>
      <c r="E168" s="24" t="s">
        <v>12</v>
      </c>
      <c r="F168" s="25">
        <v>60000</v>
      </c>
    </row>
    <row r="169" spans="2:6">
      <c r="B169" s="13" t="s">
        <v>513</v>
      </c>
      <c r="C169" s="23" t="s">
        <v>514</v>
      </c>
      <c r="D169" s="13" t="s">
        <v>515</v>
      </c>
      <c r="E169" s="24" t="s">
        <v>12</v>
      </c>
      <c r="F169" s="25">
        <v>75637.799999999988</v>
      </c>
    </row>
    <row r="170" spans="2:6">
      <c r="B170" s="13" t="s">
        <v>516</v>
      </c>
      <c r="C170" s="23" t="s">
        <v>517</v>
      </c>
      <c r="D170" s="13" t="s">
        <v>518</v>
      </c>
      <c r="E170" s="24" t="s">
        <v>12</v>
      </c>
      <c r="F170" s="25">
        <v>44240.000000000007</v>
      </c>
    </row>
    <row r="171" spans="2:6">
      <c r="B171" s="13" t="s">
        <v>519</v>
      </c>
      <c r="C171" s="23" t="s">
        <v>520</v>
      </c>
      <c r="D171" s="13" t="s">
        <v>521</v>
      </c>
      <c r="E171" s="24" t="s">
        <v>12</v>
      </c>
      <c r="F171" s="25">
        <v>44800.000000000007</v>
      </c>
    </row>
    <row r="172" spans="2:6" ht="25.5">
      <c r="B172" s="13" t="s">
        <v>522</v>
      </c>
      <c r="C172" s="31" t="s">
        <v>523</v>
      </c>
      <c r="D172" s="13" t="s">
        <v>524</v>
      </c>
      <c r="E172" s="24" t="s">
        <v>12</v>
      </c>
      <c r="F172" s="25">
        <v>951521.89999999991</v>
      </c>
    </row>
    <row r="173" spans="2:6">
      <c r="B173" s="13" t="s">
        <v>525</v>
      </c>
      <c r="C173" s="23" t="s">
        <v>526</v>
      </c>
      <c r="D173" s="13" t="s">
        <v>527</v>
      </c>
      <c r="E173" s="24" t="s">
        <v>12</v>
      </c>
      <c r="F173" s="25">
        <v>12900</v>
      </c>
    </row>
    <row r="174" spans="2:6">
      <c r="B174" s="13" t="s">
        <v>528</v>
      </c>
      <c r="C174" s="23" t="s">
        <v>529</v>
      </c>
      <c r="D174" s="13" t="s">
        <v>530</v>
      </c>
      <c r="E174" s="24" t="s">
        <v>12</v>
      </c>
      <c r="F174" s="25">
        <v>33950</v>
      </c>
    </row>
    <row r="175" spans="2:6">
      <c r="B175" s="13" t="s">
        <v>531</v>
      </c>
      <c r="C175" s="23" t="s">
        <v>532</v>
      </c>
      <c r="D175" s="13" t="s">
        <v>533</v>
      </c>
      <c r="E175" s="24" t="s">
        <v>12</v>
      </c>
      <c r="F175" s="25">
        <v>33950</v>
      </c>
    </row>
    <row r="176" spans="2:6">
      <c r="B176" s="13" t="s">
        <v>534</v>
      </c>
      <c r="C176" s="23" t="s">
        <v>535</v>
      </c>
      <c r="D176" s="13" t="s">
        <v>536</v>
      </c>
      <c r="E176" s="24" t="s">
        <v>12</v>
      </c>
      <c r="F176" s="25">
        <v>33950</v>
      </c>
    </row>
    <row r="177" spans="2:6">
      <c r="B177" s="13" t="s">
        <v>537</v>
      </c>
      <c r="C177" s="23" t="s">
        <v>538</v>
      </c>
      <c r="D177" s="13" t="s">
        <v>539</v>
      </c>
      <c r="E177" s="24" t="s">
        <v>12</v>
      </c>
      <c r="F177" s="25">
        <v>44892</v>
      </c>
    </row>
    <row r="178" spans="2:6">
      <c r="B178" s="13" t="s">
        <v>540</v>
      </c>
      <c r="C178" s="23" t="s">
        <v>541</v>
      </c>
      <c r="D178" s="13" t="s">
        <v>542</v>
      </c>
      <c r="E178" s="24" t="s">
        <v>12</v>
      </c>
      <c r="F178" s="25">
        <v>44892</v>
      </c>
    </row>
    <row r="179" spans="2:6">
      <c r="B179" s="13" t="s">
        <v>543</v>
      </c>
      <c r="C179" s="23" t="s">
        <v>544</v>
      </c>
      <c r="D179" s="13" t="s">
        <v>545</v>
      </c>
      <c r="E179" s="24" t="s">
        <v>12</v>
      </c>
      <c r="F179" s="25">
        <v>74650</v>
      </c>
    </row>
    <row r="180" spans="2:6">
      <c r="B180" s="13" t="s">
        <v>546</v>
      </c>
      <c r="C180" s="23" t="s">
        <v>547</v>
      </c>
      <c r="D180" s="13" t="s">
        <v>548</v>
      </c>
      <c r="E180" s="24" t="s">
        <v>12</v>
      </c>
      <c r="F180" s="25">
        <v>160080</v>
      </c>
    </row>
    <row r="181" spans="2:6">
      <c r="B181" s="13" t="s">
        <v>549</v>
      </c>
      <c r="C181" s="23" t="s">
        <v>550</v>
      </c>
      <c r="D181" s="13" t="s">
        <v>551</v>
      </c>
      <c r="E181" s="24" t="s">
        <v>12</v>
      </c>
      <c r="F181" s="25">
        <v>640640.00000000012</v>
      </c>
    </row>
    <row r="182" spans="2:6">
      <c r="B182" s="13" t="s">
        <v>552</v>
      </c>
      <c r="C182" s="23" t="s">
        <v>553</v>
      </c>
      <c r="D182" s="13" t="s">
        <v>554</v>
      </c>
      <c r="E182" s="24" t="s">
        <v>12</v>
      </c>
      <c r="F182" s="25">
        <v>932100</v>
      </c>
    </row>
    <row r="183" spans="2:6">
      <c r="B183" s="13" t="s">
        <v>555</v>
      </c>
      <c r="C183" s="23" t="s">
        <v>556</v>
      </c>
      <c r="D183" s="13" t="s">
        <v>557</v>
      </c>
      <c r="E183" s="24" t="s">
        <v>12</v>
      </c>
      <c r="F183" s="25">
        <v>1090050</v>
      </c>
    </row>
    <row r="184" spans="2:6" ht="25.5">
      <c r="B184" s="13" t="s">
        <v>558</v>
      </c>
      <c r="C184" s="23" t="s">
        <v>559</v>
      </c>
      <c r="D184" s="13" t="s">
        <v>560</v>
      </c>
      <c r="E184" s="24" t="s">
        <v>12</v>
      </c>
      <c r="F184" s="25">
        <v>818380</v>
      </c>
    </row>
    <row r="185" spans="2:6">
      <c r="B185" s="13" t="s">
        <v>561</v>
      </c>
      <c r="C185" s="23" t="s">
        <v>562</v>
      </c>
      <c r="D185" s="13" t="s">
        <v>563</v>
      </c>
      <c r="E185" s="24" t="s">
        <v>12</v>
      </c>
      <c r="F185" s="25">
        <v>1303900</v>
      </c>
    </row>
    <row r="186" spans="2:6" ht="25.5">
      <c r="B186" s="13" t="s">
        <v>564</v>
      </c>
      <c r="C186" s="23" t="s">
        <v>565</v>
      </c>
      <c r="D186" s="13" t="s">
        <v>566</v>
      </c>
      <c r="E186" s="24" t="s">
        <v>12</v>
      </c>
      <c r="F186" s="25">
        <v>818380</v>
      </c>
    </row>
    <row r="187" spans="2:6">
      <c r="B187" s="13" t="s">
        <v>567</v>
      </c>
      <c r="C187" s="23" t="s">
        <v>568</v>
      </c>
      <c r="D187" s="13" t="s">
        <v>569</v>
      </c>
      <c r="E187" s="24" t="s">
        <v>12</v>
      </c>
      <c r="F187" s="25">
        <v>428350</v>
      </c>
    </row>
    <row r="188" spans="2:6">
      <c r="B188" s="13" t="s">
        <v>570</v>
      </c>
      <c r="C188" s="23" t="s">
        <v>571</v>
      </c>
      <c r="D188" s="13" t="s">
        <v>572</v>
      </c>
      <c r="E188" s="24" t="s">
        <v>12</v>
      </c>
      <c r="F188" s="25">
        <v>388020</v>
      </c>
    </row>
    <row r="189" spans="2:6">
      <c r="B189" s="13" t="s">
        <v>573</v>
      </c>
      <c r="C189" s="23" t="s">
        <v>574</v>
      </c>
      <c r="D189" s="13" t="s">
        <v>575</v>
      </c>
      <c r="E189" s="24" t="s">
        <v>12</v>
      </c>
      <c r="F189" s="25">
        <v>478400</v>
      </c>
    </row>
    <row r="190" spans="2:6">
      <c r="B190" s="13" t="s">
        <v>576</v>
      </c>
      <c r="C190" s="23" t="s">
        <v>577</v>
      </c>
      <c r="D190" s="13" t="s">
        <v>578</v>
      </c>
      <c r="E190" s="24" t="s">
        <v>12</v>
      </c>
      <c r="F190" s="25">
        <v>478400</v>
      </c>
    </row>
    <row r="191" spans="2:6" ht="25.5">
      <c r="B191" s="13" t="s">
        <v>579</v>
      </c>
      <c r="C191" s="23" t="s">
        <v>580</v>
      </c>
      <c r="D191" s="13" t="s">
        <v>581</v>
      </c>
      <c r="E191" s="24" t="s">
        <v>12</v>
      </c>
      <c r="F191" s="25">
        <v>156975</v>
      </c>
    </row>
    <row r="192" spans="2:6">
      <c r="B192" s="13" t="s">
        <v>582</v>
      </c>
      <c r="C192" s="23" t="s">
        <v>583</v>
      </c>
      <c r="D192" s="13" t="s">
        <v>584</v>
      </c>
      <c r="E192" s="24" t="s">
        <v>12</v>
      </c>
      <c r="F192" s="25">
        <v>156975</v>
      </c>
    </row>
    <row r="193" spans="2:6">
      <c r="B193" s="13" t="s">
        <v>585</v>
      </c>
      <c r="C193" s="23" t="s">
        <v>586</v>
      </c>
      <c r="D193" s="13" t="s">
        <v>587</v>
      </c>
      <c r="E193" s="24" t="s">
        <v>12</v>
      </c>
      <c r="F193" s="25">
        <v>156975</v>
      </c>
    </row>
    <row r="194" spans="2:6" ht="25.5">
      <c r="B194" s="13" t="s">
        <v>588</v>
      </c>
      <c r="C194" s="23" t="s">
        <v>589</v>
      </c>
      <c r="D194" s="13" t="s">
        <v>590</v>
      </c>
      <c r="E194" s="24" t="s">
        <v>12</v>
      </c>
      <c r="F194" s="25">
        <v>1690000</v>
      </c>
    </row>
    <row r="195" spans="2:6">
      <c r="B195" s="13" t="s">
        <v>591</v>
      </c>
      <c r="C195" s="23" t="s">
        <v>592</v>
      </c>
      <c r="D195" s="13" t="s">
        <v>593</v>
      </c>
      <c r="E195" s="24" t="s">
        <v>12</v>
      </c>
      <c r="F195" s="25">
        <v>0</v>
      </c>
    </row>
    <row r="196" spans="2:6">
      <c r="B196" s="13" t="s">
        <v>594</v>
      </c>
      <c r="C196" s="23" t="s">
        <v>595</v>
      </c>
      <c r="D196" s="13" t="s">
        <v>596</v>
      </c>
      <c r="E196" s="24" t="s">
        <v>12</v>
      </c>
      <c r="F196" s="25">
        <v>258000</v>
      </c>
    </row>
    <row r="197" spans="2:6">
      <c r="B197" s="13" t="s">
        <v>597</v>
      </c>
      <c r="C197" s="23" t="s">
        <v>4109</v>
      </c>
      <c r="D197" s="13" t="s">
        <v>598</v>
      </c>
      <c r="E197" s="24" t="s">
        <v>12</v>
      </c>
      <c r="F197" s="25">
        <v>201000</v>
      </c>
    </row>
    <row r="198" spans="2:6">
      <c r="B198" s="13" t="s">
        <v>599</v>
      </c>
      <c r="C198" s="23" t="s">
        <v>4110</v>
      </c>
      <c r="D198" s="13" t="s">
        <v>600</v>
      </c>
      <c r="E198" s="24" t="s">
        <v>12</v>
      </c>
      <c r="F198" s="25">
        <v>201000</v>
      </c>
    </row>
    <row r="199" spans="2:6">
      <c r="B199" s="13" t="s">
        <v>601</v>
      </c>
      <c r="C199" s="23" t="s">
        <v>4111</v>
      </c>
      <c r="D199" s="13" t="s">
        <v>602</v>
      </c>
      <c r="E199" s="24" t="s">
        <v>12</v>
      </c>
      <c r="F199" s="25">
        <v>201000</v>
      </c>
    </row>
    <row r="200" spans="2:6">
      <c r="B200" s="13" t="s">
        <v>603</v>
      </c>
      <c r="C200" s="23" t="s">
        <v>4112</v>
      </c>
      <c r="D200" s="13" t="s">
        <v>604</v>
      </c>
      <c r="E200" s="24" t="s">
        <v>12</v>
      </c>
      <c r="F200" s="25">
        <v>201000</v>
      </c>
    </row>
    <row r="201" spans="2:6">
      <c r="B201" s="13" t="s">
        <v>605</v>
      </c>
      <c r="C201" s="23" t="s">
        <v>4113</v>
      </c>
      <c r="D201" s="13" t="s">
        <v>606</v>
      </c>
      <c r="E201" s="24" t="s">
        <v>12</v>
      </c>
      <c r="F201" s="25">
        <v>201000</v>
      </c>
    </row>
    <row r="202" spans="2:6">
      <c r="B202" s="13" t="s">
        <v>607</v>
      </c>
      <c r="C202" s="23" t="s">
        <v>608</v>
      </c>
      <c r="D202" s="13" t="s">
        <v>609</v>
      </c>
      <c r="E202" s="24" t="s">
        <v>12</v>
      </c>
      <c r="F202" s="25">
        <v>258000</v>
      </c>
    </row>
    <row r="203" spans="2:6">
      <c r="B203" s="13" t="s">
        <v>610</v>
      </c>
      <c r="C203" s="23" t="s">
        <v>4114</v>
      </c>
      <c r="D203" s="13" t="s">
        <v>611</v>
      </c>
      <c r="E203" s="24" t="s">
        <v>12</v>
      </c>
      <c r="F203" s="25">
        <v>554000</v>
      </c>
    </row>
    <row r="204" spans="2:6">
      <c r="B204" s="13" t="s">
        <v>612</v>
      </c>
      <c r="C204" s="23" t="s">
        <v>4115</v>
      </c>
      <c r="D204" s="13" t="s">
        <v>613</v>
      </c>
      <c r="E204" s="24" t="s">
        <v>12</v>
      </c>
      <c r="F204" s="25">
        <v>554000</v>
      </c>
    </row>
    <row r="205" spans="2:6">
      <c r="B205" s="13" t="s">
        <v>614</v>
      </c>
      <c r="C205" s="23" t="s">
        <v>4116</v>
      </c>
      <c r="D205" s="13" t="s">
        <v>615</v>
      </c>
      <c r="E205" s="24" t="s">
        <v>12</v>
      </c>
      <c r="F205" s="25">
        <v>554000</v>
      </c>
    </row>
    <row r="206" spans="2:6">
      <c r="B206" s="13" t="s">
        <v>616</v>
      </c>
      <c r="C206" s="23" t="s">
        <v>4117</v>
      </c>
      <c r="D206" s="13" t="s">
        <v>617</v>
      </c>
      <c r="E206" s="24" t="s">
        <v>12</v>
      </c>
      <c r="F206" s="25">
        <v>693000</v>
      </c>
    </row>
    <row r="207" spans="2:6" ht="16.5">
      <c r="B207" s="13" t="s">
        <v>618</v>
      </c>
      <c r="C207" s="26" t="s">
        <v>619</v>
      </c>
      <c r="D207" s="13" t="s">
        <v>620</v>
      </c>
      <c r="E207" s="24" t="s">
        <v>12</v>
      </c>
      <c r="F207" s="25">
        <v>315000</v>
      </c>
    </row>
    <row r="208" spans="2:6" ht="16.5">
      <c r="B208" s="13" t="s">
        <v>621</v>
      </c>
      <c r="C208" s="26" t="s">
        <v>622</v>
      </c>
      <c r="D208" s="13" t="s">
        <v>623</v>
      </c>
      <c r="E208" s="24" t="s">
        <v>12</v>
      </c>
      <c r="F208" s="25">
        <v>675000</v>
      </c>
    </row>
    <row r="209" spans="2:6" ht="16.5">
      <c r="B209" s="13" t="s">
        <v>624</v>
      </c>
      <c r="C209" s="26" t="s">
        <v>625</v>
      </c>
      <c r="D209" s="13" t="s">
        <v>626</v>
      </c>
      <c r="E209" s="24" t="s">
        <v>12</v>
      </c>
      <c r="F209" s="25">
        <v>245000</v>
      </c>
    </row>
    <row r="210" spans="2:6" ht="16.5">
      <c r="B210" s="13" t="s">
        <v>627</v>
      </c>
      <c r="C210" s="26" t="s">
        <v>628</v>
      </c>
      <c r="D210" s="13" t="s">
        <v>629</v>
      </c>
      <c r="E210" s="24" t="s">
        <v>12</v>
      </c>
      <c r="F210" s="25">
        <v>24500</v>
      </c>
    </row>
    <row r="211" spans="2:6" ht="16.5">
      <c r="B211" s="13" t="s">
        <v>630</v>
      </c>
      <c r="C211" s="26" t="s">
        <v>631</v>
      </c>
      <c r="D211" s="13" t="s">
        <v>632</v>
      </c>
      <c r="E211" s="24" t="s">
        <v>12</v>
      </c>
      <c r="F211" s="25">
        <v>675000</v>
      </c>
    </row>
    <row r="212" spans="2:6" ht="16.5">
      <c r="B212" s="13" t="s">
        <v>633</v>
      </c>
      <c r="C212" s="26" t="s">
        <v>634</v>
      </c>
      <c r="D212" s="13" t="s">
        <v>635</v>
      </c>
      <c r="E212" s="24" t="s">
        <v>12</v>
      </c>
      <c r="F212" s="25">
        <v>245000</v>
      </c>
    </row>
    <row r="213" spans="2:6" ht="16.5">
      <c r="B213" s="13" t="s">
        <v>636</v>
      </c>
      <c r="C213" s="26" t="s">
        <v>637</v>
      </c>
      <c r="D213" s="13" t="s">
        <v>638</v>
      </c>
      <c r="E213" s="24" t="s">
        <v>12</v>
      </c>
      <c r="F213" s="25">
        <v>245000</v>
      </c>
    </row>
    <row r="214" spans="2:6" ht="16.5">
      <c r="B214" s="13" t="s">
        <v>639</v>
      </c>
      <c r="C214" s="26" t="s">
        <v>640</v>
      </c>
      <c r="D214" s="13" t="s">
        <v>641</v>
      </c>
      <c r="E214" s="24" t="s">
        <v>12</v>
      </c>
      <c r="F214" s="25">
        <v>245000</v>
      </c>
    </row>
    <row r="215" spans="2:6" ht="16.5">
      <c r="B215" s="13" t="s">
        <v>642</v>
      </c>
      <c r="C215" s="26" t="s">
        <v>643</v>
      </c>
      <c r="D215" s="13" t="s">
        <v>644</v>
      </c>
      <c r="E215" s="24" t="s">
        <v>12</v>
      </c>
      <c r="F215" s="25">
        <v>245000</v>
      </c>
    </row>
    <row r="216" spans="2:6" ht="16.5">
      <c r="B216" s="13" t="s">
        <v>645</v>
      </c>
      <c r="C216" s="26" t="s">
        <v>646</v>
      </c>
      <c r="D216" s="13" t="s">
        <v>647</v>
      </c>
      <c r="E216" s="24" t="s">
        <v>12</v>
      </c>
      <c r="F216" s="25">
        <v>315000</v>
      </c>
    </row>
    <row r="217" spans="2:6">
      <c r="B217" s="13" t="s">
        <v>648</v>
      </c>
      <c r="C217" s="23" t="s">
        <v>649</v>
      </c>
      <c r="D217" s="13" t="s">
        <v>650</v>
      </c>
      <c r="E217" s="24" t="s">
        <v>12</v>
      </c>
      <c r="F217" s="25">
        <v>432055</v>
      </c>
    </row>
    <row r="218" spans="2:6">
      <c r="B218" s="13" t="s">
        <v>651</v>
      </c>
      <c r="C218" s="23" t="s">
        <v>652</v>
      </c>
      <c r="D218" s="13" t="s">
        <v>653</v>
      </c>
      <c r="E218" s="24" t="s">
        <v>12</v>
      </c>
      <c r="F218" s="25">
        <v>14300</v>
      </c>
    </row>
    <row r="219" spans="2:6">
      <c r="B219" s="13" t="s">
        <v>654</v>
      </c>
      <c r="C219" s="36" t="s">
        <v>655</v>
      </c>
      <c r="D219" s="13" t="s">
        <v>656</v>
      </c>
      <c r="E219" s="24" t="s">
        <v>12</v>
      </c>
      <c r="F219" s="25">
        <v>105791.99999999999</v>
      </c>
    </row>
    <row r="220" spans="2:6">
      <c r="B220" s="13" t="s">
        <v>657</v>
      </c>
      <c r="C220" s="36" t="s">
        <v>658</v>
      </c>
      <c r="D220" s="13" t="s">
        <v>659</v>
      </c>
      <c r="E220" s="24" t="s">
        <v>12</v>
      </c>
      <c r="F220" s="25">
        <v>105791.99999999999</v>
      </c>
    </row>
    <row r="221" spans="2:6">
      <c r="B221" s="13" t="s">
        <v>660</v>
      </c>
      <c r="C221" s="36" t="s">
        <v>661</v>
      </c>
      <c r="D221" s="13" t="s">
        <v>662</v>
      </c>
      <c r="E221" s="24" t="s">
        <v>12</v>
      </c>
      <c r="F221" s="25">
        <v>27950</v>
      </c>
    </row>
    <row r="222" spans="2:6">
      <c r="B222" s="13" t="s">
        <v>663</v>
      </c>
      <c r="C222" s="36" t="s">
        <v>664</v>
      </c>
      <c r="D222" s="13" t="s">
        <v>665</v>
      </c>
      <c r="E222" s="24" t="s">
        <v>12</v>
      </c>
      <c r="F222" s="25">
        <v>19488</v>
      </c>
    </row>
    <row r="223" spans="2:6">
      <c r="B223" s="13" t="s">
        <v>666</v>
      </c>
      <c r="C223" s="36" t="s">
        <v>667</v>
      </c>
      <c r="D223" s="13" t="s">
        <v>668</v>
      </c>
      <c r="E223" s="24" t="s">
        <v>12</v>
      </c>
      <c r="F223" s="25">
        <v>100100</v>
      </c>
    </row>
    <row r="224" spans="2:6">
      <c r="B224" s="13" t="s">
        <v>669</v>
      </c>
      <c r="C224" s="36" t="s">
        <v>670</v>
      </c>
      <c r="D224" s="13" t="s">
        <v>671</v>
      </c>
      <c r="E224" s="24" t="s">
        <v>12</v>
      </c>
      <c r="F224" s="25">
        <v>32711.999999999996</v>
      </c>
    </row>
    <row r="225" spans="2:6" ht="16.5">
      <c r="B225" s="13" t="s">
        <v>672</v>
      </c>
      <c r="C225" s="26" t="s">
        <v>673</v>
      </c>
      <c r="D225" s="13" t="s">
        <v>674</v>
      </c>
      <c r="E225" s="24" t="s">
        <v>170</v>
      </c>
      <c r="F225" s="25">
        <v>19000</v>
      </c>
    </row>
    <row r="226" spans="2:6" ht="16.5">
      <c r="B226" s="13" t="s">
        <v>675</v>
      </c>
      <c r="C226" s="26" t="s">
        <v>676</v>
      </c>
      <c r="D226" s="13" t="s">
        <v>677</v>
      </c>
      <c r="E226" s="24" t="s">
        <v>170</v>
      </c>
      <c r="F226" s="25">
        <v>19000</v>
      </c>
    </row>
    <row r="227" spans="2:6" ht="16.5">
      <c r="B227" s="13" t="s">
        <v>678</v>
      </c>
      <c r="C227" s="26" t="s">
        <v>679</v>
      </c>
      <c r="D227" s="13" t="s">
        <v>680</v>
      </c>
      <c r="E227" s="24" t="s">
        <v>170</v>
      </c>
      <c r="F227" s="25">
        <v>19000</v>
      </c>
    </row>
    <row r="228" spans="2:6" ht="16.5">
      <c r="B228" s="13" t="s">
        <v>681</v>
      </c>
      <c r="C228" s="26" t="s">
        <v>682</v>
      </c>
      <c r="D228" s="13" t="s">
        <v>683</v>
      </c>
      <c r="E228" s="24" t="s">
        <v>170</v>
      </c>
      <c r="F228" s="25">
        <v>22000</v>
      </c>
    </row>
    <row r="229" spans="2:6" ht="16.5">
      <c r="B229" s="13" t="s">
        <v>684</v>
      </c>
      <c r="C229" s="26" t="s">
        <v>685</v>
      </c>
      <c r="D229" s="13" t="s">
        <v>686</v>
      </c>
      <c r="E229" s="24" t="s">
        <v>170</v>
      </c>
      <c r="F229" s="25">
        <v>46000</v>
      </c>
    </row>
    <row r="230" spans="2:6" ht="16.5">
      <c r="B230" s="13" t="s">
        <v>687</v>
      </c>
      <c r="C230" s="26" t="s">
        <v>688</v>
      </c>
      <c r="D230" s="13" t="s">
        <v>689</v>
      </c>
      <c r="E230" s="24" t="s">
        <v>170</v>
      </c>
      <c r="F230" s="25">
        <v>46000</v>
      </c>
    </row>
    <row r="231" spans="2:6" ht="16.5">
      <c r="B231" s="13" t="s">
        <v>690</v>
      </c>
      <c r="C231" s="26" t="s">
        <v>691</v>
      </c>
      <c r="D231" s="13" t="s">
        <v>692</v>
      </c>
      <c r="E231" s="24" t="s">
        <v>170</v>
      </c>
      <c r="F231" s="25">
        <v>46000</v>
      </c>
    </row>
    <row r="232" spans="2:6" ht="16.5">
      <c r="B232" s="13" t="s">
        <v>693</v>
      </c>
      <c r="C232" s="26" t="s">
        <v>694</v>
      </c>
      <c r="D232" s="13" t="s">
        <v>695</v>
      </c>
      <c r="E232" s="24" t="s">
        <v>170</v>
      </c>
      <c r="F232" s="25">
        <v>46000</v>
      </c>
    </row>
    <row r="233" spans="2:6" ht="16.5">
      <c r="B233" s="13" t="s">
        <v>696</v>
      </c>
      <c r="C233" s="26" t="s">
        <v>697</v>
      </c>
      <c r="D233" s="13" t="s">
        <v>698</v>
      </c>
      <c r="E233" s="24" t="s">
        <v>170</v>
      </c>
      <c r="F233" s="25">
        <v>46000</v>
      </c>
    </row>
    <row r="234" spans="2:6" ht="16.5">
      <c r="B234" s="13" t="s">
        <v>699</v>
      </c>
      <c r="C234" s="26" t="s">
        <v>700</v>
      </c>
      <c r="D234" s="13" t="s">
        <v>701</v>
      </c>
      <c r="E234" s="24" t="s">
        <v>170</v>
      </c>
      <c r="F234" s="25">
        <v>46000</v>
      </c>
    </row>
    <row r="235" spans="2:6" ht="16.5">
      <c r="B235" s="13" t="s">
        <v>702</v>
      </c>
      <c r="C235" s="26" t="s">
        <v>703</v>
      </c>
      <c r="D235" s="13" t="s">
        <v>704</v>
      </c>
      <c r="E235" s="24" t="s">
        <v>170</v>
      </c>
      <c r="F235" s="25">
        <v>46000</v>
      </c>
    </row>
    <row r="236" spans="2:6" ht="16.5">
      <c r="B236" s="13" t="s">
        <v>705</v>
      </c>
      <c r="C236" s="26" t="s">
        <v>706</v>
      </c>
      <c r="D236" s="13" t="s">
        <v>707</v>
      </c>
      <c r="E236" s="24" t="s">
        <v>170</v>
      </c>
      <c r="F236" s="25">
        <v>46000</v>
      </c>
    </row>
    <row r="237" spans="2:6" ht="16.5">
      <c r="B237" s="13" t="s">
        <v>708</v>
      </c>
      <c r="C237" s="26" t="s">
        <v>709</v>
      </c>
      <c r="D237" s="13" t="s">
        <v>710</v>
      </c>
      <c r="E237" s="24" t="s">
        <v>170</v>
      </c>
      <c r="F237" s="25">
        <v>79000</v>
      </c>
    </row>
    <row r="238" spans="2:6" ht="16.5">
      <c r="B238" s="13" t="s">
        <v>711</v>
      </c>
      <c r="C238" s="26" t="s">
        <v>712</v>
      </c>
      <c r="D238" s="13" t="s">
        <v>713</v>
      </c>
      <c r="E238" s="24" t="s">
        <v>170</v>
      </c>
      <c r="F238" s="25">
        <v>79000</v>
      </c>
    </row>
    <row r="239" spans="2:6" ht="16.5">
      <c r="B239" s="13" t="s">
        <v>714</v>
      </c>
      <c r="C239" s="26" t="s">
        <v>715</v>
      </c>
      <c r="D239" s="13" t="s">
        <v>716</v>
      </c>
      <c r="E239" s="24" t="s">
        <v>170</v>
      </c>
      <c r="F239" s="25">
        <v>79000</v>
      </c>
    </row>
    <row r="240" spans="2:6" ht="16.5">
      <c r="B240" s="13" t="s">
        <v>717</v>
      </c>
      <c r="C240" s="26" t="s">
        <v>718</v>
      </c>
      <c r="D240" s="13" t="s">
        <v>719</v>
      </c>
      <c r="E240" s="24" t="s">
        <v>170</v>
      </c>
      <c r="F240" s="25">
        <v>44000</v>
      </c>
    </row>
    <row r="241" spans="2:6" ht="16.5">
      <c r="B241" s="13" t="s">
        <v>720</v>
      </c>
      <c r="C241" s="26" t="s">
        <v>721</v>
      </c>
      <c r="D241" s="13" t="s">
        <v>722</v>
      </c>
      <c r="E241" s="24" t="s">
        <v>170</v>
      </c>
      <c r="F241" s="25">
        <v>28000</v>
      </c>
    </row>
    <row r="242" spans="2:6" ht="16.5">
      <c r="B242" s="13" t="s">
        <v>723</v>
      </c>
      <c r="C242" s="26" t="s">
        <v>724</v>
      </c>
      <c r="D242" s="13" t="s">
        <v>725</v>
      </c>
      <c r="E242" s="24" t="s">
        <v>12</v>
      </c>
      <c r="F242" s="25">
        <v>47000</v>
      </c>
    </row>
    <row r="243" spans="2:6" ht="16.5">
      <c r="B243" s="13" t="s">
        <v>726</v>
      </c>
      <c r="C243" s="26" t="s">
        <v>727</v>
      </c>
      <c r="D243" s="13" t="s">
        <v>728</v>
      </c>
      <c r="E243" s="24" t="s">
        <v>170</v>
      </c>
      <c r="F243" s="25">
        <v>71000</v>
      </c>
    </row>
    <row r="244" spans="2:6" ht="16.5">
      <c r="B244" s="13" t="s">
        <v>729</v>
      </c>
      <c r="C244" s="26" t="s">
        <v>730</v>
      </c>
      <c r="D244" s="13" t="s">
        <v>731</v>
      </c>
      <c r="E244" s="24" t="s">
        <v>170</v>
      </c>
      <c r="F244" s="25">
        <v>156000</v>
      </c>
    </row>
    <row r="245" spans="2:6" ht="16.5">
      <c r="B245" s="13" t="s">
        <v>732</v>
      </c>
      <c r="C245" s="26" t="s">
        <v>733</v>
      </c>
      <c r="D245" s="13" t="s">
        <v>734</v>
      </c>
      <c r="E245" s="24" t="s">
        <v>170</v>
      </c>
      <c r="F245" s="25">
        <v>139000</v>
      </c>
    </row>
    <row r="246" spans="2:6" ht="16.5">
      <c r="B246" s="13" t="s">
        <v>735</v>
      </c>
      <c r="C246" s="26" t="s">
        <v>736</v>
      </c>
      <c r="D246" s="13" t="s">
        <v>737</v>
      </c>
      <c r="E246" s="24" t="s">
        <v>170</v>
      </c>
      <c r="F246" s="25">
        <v>669000</v>
      </c>
    </row>
    <row r="247" spans="2:6" ht="16.5">
      <c r="B247" s="13" t="s">
        <v>738</v>
      </c>
      <c r="C247" s="26" t="s">
        <v>739</v>
      </c>
      <c r="D247" s="13" t="s">
        <v>740</v>
      </c>
      <c r="E247" s="24" t="s">
        <v>170</v>
      </c>
      <c r="F247" s="25">
        <v>669000</v>
      </c>
    </row>
    <row r="248" spans="2:6" ht="16.5">
      <c r="B248" s="13" t="s">
        <v>741</v>
      </c>
      <c r="C248" s="26" t="s">
        <v>742</v>
      </c>
      <c r="D248" s="13" t="s">
        <v>743</v>
      </c>
      <c r="E248" s="24" t="s">
        <v>170</v>
      </c>
      <c r="F248" s="25">
        <v>747000</v>
      </c>
    </row>
    <row r="249" spans="2:6" ht="16.5">
      <c r="B249" s="13" t="s">
        <v>744</v>
      </c>
      <c r="C249" s="26" t="s">
        <v>745</v>
      </c>
      <c r="D249" s="13" t="s">
        <v>746</v>
      </c>
      <c r="E249" s="24" t="s">
        <v>170</v>
      </c>
      <c r="F249" s="25">
        <v>747000</v>
      </c>
    </row>
    <row r="250" spans="2:6" ht="16.5">
      <c r="B250" s="13" t="s">
        <v>747</v>
      </c>
      <c r="C250" s="26" t="s">
        <v>748</v>
      </c>
      <c r="D250" s="13" t="s">
        <v>749</v>
      </c>
      <c r="E250" s="24" t="s">
        <v>170</v>
      </c>
      <c r="F250" s="25">
        <v>6500</v>
      </c>
    </row>
    <row r="251" spans="2:6" ht="16.5">
      <c r="B251" s="13" t="s">
        <v>750</v>
      </c>
      <c r="C251" s="26" t="s">
        <v>751</v>
      </c>
      <c r="D251" s="13" t="s">
        <v>752</v>
      </c>
      <c r="E251" s="24" t="s">
        <v>170</v>
      </c>
      <c r="F251" s="25">
        <v>98000</v>
      </c>
    </row>
    <row r="252" spans="2:6" ht="16.5">
      <c r="B252" s="13" t="s">
        <v>753</v>
      </c>
      <c r="C252" s="26" t="s">
        <v>754</v>
      </c>
      <c r="D252" s="13" t="s">
        <v>755</v>
      </c>
      <c r="E252" s="24" t="s">
        <v>170</v>
      </c>
      <c r="F252" s="25">
        <v>232645</v>
      </c>
    </row>
    <row r="253" spans="2:6" ht="16.5">
      <c r="B253" s="13" t="s">
        <v>756</v>
      </c>
      <c r="C253" s="26" t="s">
        <v>757</v>
      </c>
      <c r="D253" s="13" t="s">
        <v>758</v>
      </c>
      <c r="E253" s="24" t="s">
        <v>170</v>
      </c>
      <c r="F253" s="25">
        <v>1144000</v>
      </c>
    </row>
    <row r="254" spans="2:6" ht="16.5">
      <c r="B254" s="13" t="s">
        <v>759</v>
      </c>
      <c r="C254" s="26" t="s">
        <v>760</v>
      </c>
      <c r="D254" s="13" t="s">
        <v>761</v>
      </c>
      <c r="E254" s="24" t="s">
        <v>170</v>
      </c>
      <c r="F254" s="25">
        <v>2036000</v>
      </c>
    </row>
    <row r="255" spans="2:6">
      <c r="B255" s="13" t="s">
        <v>762</v>
      </c>
      <c r="C255" s="32" t="s">
        <v>763</v>
      </c>
      <c r="D255" s="13" t="s">
        <v>764</v>
      </c>
      <c r="E255" s="24" t="s">
        <v>170</v>
      </c>
      <c r="F255" s="25">
        <v>5428.3360000000002</v>
      </c>
    </row>
    <row r="256" spans="2:6">
      <c r="B256" s="13" t="s">
        <v>765</v>
      </c>
      <c r="C256" s="29" t="s">
        <v>766</v>
      </c>
      <c r="D256" s="13" t="s">
        <v>767</v>
      </c>
      <c r="E256" s="24" t="s">
        <v>170</v>
      </c>
      <c r="F256" s="25">
        <v>4032.6239999999998</v>
      </c>
    </row>
    <row r="257" spans="2:6">
      <c r="B257" s="13" t="s">
        <v>768</v>
      </c>
      <c r="C257" s="29" t="s">
        <v>769</v>
      </c>
      <c r="D257" s="13" t="s">
        <v>770</v>
      </c>
      <c r="E257" s="24" t="s">
        <v>170</v>
      </c>
      <c r="F257" s="25">
        <v>2970.5279999999998</v>
      </c>
    </row>
    <row r="258" spans="2:6">
      <c r="B258" s="13" t="s">
        <v>771</v>
      </c>
      <c r="C258" s="29" t="s">
        <v>772</v>
      </c>
      <c r="D258" s="13" t="s">
        <v>773</v>
      </c>
      <c r="E258" s="24" t="s">
        <v>170</v>
      </c>
      <c r="F258" s="25">
        <v>1868.992</v>
      </c>
    </row>
    <row r="259" spans="2:6">
      <c r="B259" s="13" t="s">
        <v>774</v>
      </c>
      <c r="C259" s="32" t="s">
        <v>775</v>
      </c>
      <c r="D259" s="13" t="s">
        <v>776</v>
      </c>
      <c r="E259" s="24" t="s">
        <v>170</v>
      </c>
      <c r="F259" s="25">
        <v>12705.268</v>
      </c>
    </row>
    <row r="260" spans="2:6">
      <c r="B260" s="13" t="s">
        <v>777</v>
      </c>
      <c r="C260" s="29" t="s">
        <v>778</v>
      </c>
      <c r="D260" s="13" t="s">
        <v>779</v>
      </c>
      <c r="E260" s="24" t="s">
        <v>170</v>
      </c>
      <c r="F260" s="25">
        <v>8531.0479999999989</v>
      </c>
    </row>
    <row r="261" spans="2:6">
      <c r="B261" s="13" t="s">
        <v>780</v>
      </c>
      <c r="C261" s="29" t="s">
        <v>781</v>
      </c>
      <c r="D261" s="13" t="s">
        <v>782</v>
      </c>
      <c r="E261" s="24" t="s">
        <v>170</v>
      </c>
      <c r="F261" s="25">
        <v>6902.4639999999999</v>
      </c>
    </row>
    <row r="262" spans="2:6">
      <c r="B262" s="13" t="s">
        <v>783</v>
      </c>
      <c r="C262" s="29" t="s">
        <v>784</v>
      </c>
      <c r="D262" s="13" t="s">
        <v>785</v>
      </c>
      <c r="E262" s="24" t="s">
        <v>170</v>
      </c>
      <c r="F262" s="25">
        <v>3637.2960000000003</v>
      </c>
    </row>
    <row r="263" spans="2:6">
      <c r="B263" s="13" t="s">
        <v>786</v>
      </c>
      <c r="C263" s="29" t="s">
        <v>787</v>
      </c>
      <c r="D263" s="13" t="s">
        <v>788</v>
      </c>
      <c r="E263" s="24" t="s">
        <v>170</v>
      </c>
      <c r="F263" s="25">
        <v>2428.1120000000001</v>
      </c>
    </row>
    <row r="264" spans="2:6">
      <c r="B264" s="13" t="s">
        <v>789</v>
      </c>
      <c r="C264" s="29" t="s">
        <v>790</v>
      </c>
      <c r="D264" s="13" t="s">
        <v>791</v>
      </c>
      <c r="E264" s="24" t="s">
        <v>170</v>
      </c>
      <c r="F264" s="25">
        <v>1821.1079999999999</v>
      </c>
    </row>
    <row r="265" spans="2:6">
      <c r="B265" s="13" t="s">
        <v>792</v>
      </c>
      <c r="C265" s="29" t="s">
        <v>793</v>
      </c>
      <c r="D265" s="13" t="s">
        <v>794</v>
      </c>
      <c r="E265" s="24" t="s">
        <v>170</v>
      </c>
      <c r="F265" s="25">
        <v>16746.147999999997</v>
      </c>
    </row>
    <row r="266" spans="2:6">
      <c r="B266" s="13" t="s">
        <v>795</v>
      </c>
      <c r="C266" s="29" t="s">
        <v>796</v>
      </c>
      <c r="D266" s="13" t="s">
        <v>797</v>
      </c>
      <c r="E266" s="24" t="s">
        <v>170</v>
      </c>
      <c r="F266" s="25">
        <v>10963.259999999998</v>
      </c>
    </row>
    <row r="267" spans="2:6">
      <c r="B267" s="13" t="s">
        <v>798</v>
      </c>
      <c r="C267" s="29" t="s">
        <v>799</v>
      </c>
      <c r="D267" s="13" t="s">
        <v>800</v>
      </c>
      <c r="E267" s="24" t="s">
        <v>170</v>
      </c>
      <c r="F267" s="25">
        <v>8090.348</v>
      </c>
    </row>
    <row r="268" spans="2:6">
      <c r="B268" s="13" t="s">
        <v>801</v>
      </c>
      <c r="C268" s="29" t="s">
        <v>802</v>
      </c>
      <c r="D268" s="13" t="s">
        <v>803</v>
      </c>
      <c r="E268" s="24" t="s">
        <v>170</v>
      </c>
      <c r="F268" s="25">
        <v>6058.4479999999994</v>
      </c>
    </row>
    <row r="269" spans="2:6">
      <c r="B269" s="13" t="s">
        <v>804</v>
      </c>
      <c r="C269" s="29" t="s">
        <v>805</v>
      </c>
      <c r="D269" s="13" t="s">
        <v>806</v>
      </c>
      <c r="E269" s="24" t="s">
        <v>170</v>
      </c>
      <c r="F269" s="25">
        <v>4345.3599999999997</v>
      </c>
    </row>
    <row r="270" spans="2:6">
      <c r="B270" s="13" t="s">
        <v>807</v>
      </c>
      <c r="C270" s="29" t="s">
        <v>808</v>
      </c>
      <c r="D270" s="13" t="s">
        <v>809</v>
      </c>
      <c r="E270" s="24" t="s">
        <v>170</v>
      </c>
      <c r="F270" s="25">
        <v>2854.0639999999999</v>
      </c>
    </row>
    <row r="271" spans="2:6">
      <c r="B271" s="13" t="s">
        <v>810</v>
      </c>
      <c r="C271" s="29" t="s">
        <v>811</v>
      </c>
      <c r="D271" s="13" t="s">
        <v>812</v>
      </c>
      <c r="E271" s="24" t="s">
        <v>170</v>
      </c>
      <c r="F271" s="25">
        <v>2320.5679999999998</v>
      </c>
    </row>
    <row r="272" spans="2:6">
      <c r="B272" s="13" t="s">
        <v>813</v>
      </c>
      <c r="C272" s="29" t="s">
        <v>814</v>
      </c>
      <c r="D272" s="13" t="s">
        <v>815</v>
      </c>
      <c r="E272" s="24" t="s">
        <v>170</v>
      </c>
      <c r="F272" s="25">
        <v>22632.063999999998</v>
      </c>
    </row>
    <row r="273" spans="2:6">
      <c r="B273" s="13" t="s">
        <v>816</v>
      </c>
      <c r="C273" s="29" t="s">
        <v>817</v>
      </c>
      <c r="D273" s="13" t="s">
        <v>818</v>
      </c>
      <c r="E273" s="24" t="s">
        <v>170</v>
      </c>
      <c r="F273" s="25">
        <v>14613.679999999998</v>
      </c>
    </row>
    <row r="274" spans="2:6">
      <c r="B274" s="13" t="s">
        <v>819</v>
      </c>
      <c r="C274" s="37" t="s">
        <v>820</v>
      </c>
      <c r="D274" s="13" t="s">
        <v>821</v>
      </c>
      <c r="E274" s="24" t="s">
        <v>12</v>
      </c>
      <c r="F274" s="25">
        <v>314865.75999999995</v>
      </c>
    </row>
    <row r="275" spans="2:6">
      <c r="B275" s="13" t="s">
        <v>822</v>
      </c>
      <c r="C275" s="29" t="s">
        <v>823</v>
      </c>
      <c r="D275" s="13" t="s">
        <v>824</v>
      </c>
      <c r="E275" s="24" t="s">
        <v>170</v>
      </c>
      <c r="F275" s="25">
        <v>2507.9199999999996</v>
      </c>
    </row>
    <row r="276" spans="2:6">
      <c r="B276" s="13" t="s">
        <v>825</v>
      </c>
      <c r="C276" s="29" t="s">
        <v>826</v>
      </c>
      <c r="D276" s="13" t="s">
        <v>827</v>
      </c>
      <c r="E276" s="24" t="s">
        <v>170</v>
      </c>
      <c r="F276" s="25">
        <v>1614.1399999999999</v>
      </c>
    </row>
    <row r="277" spans="2:6">
      <c r="B277" s="13" t="s">
        <v>828</v>
      </c>
      <c r="C277" s="29" t="s">
        <v>829</v>
      </c>
      <c r="D277" s="13" t="s">
        <v>830</v>
      </c>
      <c r="E277" s="24" t="s">
        <v>170</v>
      </c>
      <c r="F277" s="25">
        <v>2512.0959999999995</v>
      </c>
    </row>
    <row r="278" spans="2:6">
      <c r="B278" s="13" t="s">
        <v>831</v>
      </c>
      <c r="C278" s="29" t="s">
        <v>832</v>
      </c>
      <c r="D278" s="13" t="s">
        <v>833</v>
      </c>
      <c r="E278" s="24" t="s">
        <v>170</v>
      </c>
      <c r="F278" s="25">
        <v>863.96800000000007</v>
      </c>
    </row>
    <row r="279" spans="2:6">
      <c r="B279" s="13" t="s">
        <v>834</v>
      </c>
      <c r="C279" s="29" t="s">
        <v>835</v>
      </c>
      <c r="D279" s="13" t="s">
        <v>836</v>
      </c>
      <c r="E279" s="24" t="s">
        <v>170</v>
      </c>
      <c r="F279" s="25">
        <v>5000</v>
      </c>
    </row>
    <row r="280" spans="2:6">
      <c r="B280" s="13" t="s">
        <v>837</v>
      </c>
      <c r="C280" s="29" t="s">
        <v>838</v>
      </c>
      <c r="D280" s="13" t="s">
        <v>839</v>
      </c>
      <c r="E280" s="24" t="s">
        <v>170</v>
      </c>
      <c r="F280" s="25">
        <v>5800</v>
      </c>
    </row>
    <row r="281" spans="2:6">
      <c r="B281" s="13" t="s">
        <v>840</v>
      </c>
      <c r="C281" s="23" t="s">
        <v>841</v>
      </c>
      <c r="D281" s="13" t="s">
        <v>842</v>
      </c>
      <c r="E281" s="24" t="s">
        <v>170</v>
      </c>
      <c r="F281" s="25">
        <v>2700</v>
      </c>
    </row>
    <row r="282" spans="2:6">
      <c r="B282" s="13" t="s">
        <v>843</v>
      </c>
      <c r="C282" s="23" t="s">
        <v>844</v>
      </c>
      <c r="D282" s="13" t="s">
        <v>845</v>
      </c>
      <c r="E282" s="24" t="s">
        <v>170</v>
      </c>
      <c r="F282" s="25">
        <v>22300</v>
      </c>
    </row>
    <row r="283" spans="2:6">
      <c r="B283" s="13" t="s">
        <v>846</v>
      </c>
      <c r="C283" s="23" t="s">
        <v>847</v>
      </c>
      <c r="D283" s="13" t="s">
        <v>848</v>
      </c>
      <c r="E283" s="24" t="s">
        <v>170</v>
      </c>
      <c r="F283" s="25">
        <v>0</v>
      </c>
    </row>
    <row r="284" spans="2:6">
      <c r="B284" s="13" t="s">
        <v>849</v>
      </c>
      <c r="C284" s="23" t="s">
        <v>850</v>
      </c>
      <c r="D284" s="13" t="s">
        <v>851</v>
      </c>
      <c r="E284" s="24" t="s">
        <v>170</v>
      </c>
      <c r="F284" s="25">
        <v>2500</v>
      </c>
    </row>
    <row r="285" spans="2:6">
      <c r="B285" s="13" t="s">
        <v>852</v>
      </c>
      <c r="C285" s="23" t="s">
        <v>853</v>
      </c>
      <c r="D285" s="13" t="s">
        <v>854</v>
      </c>
      <c r="E285" s="24" t="s">
        <v>170</v>
      </c>
      <c r="F285" s="25">
        <v>10852.458299999998</v>
      </c>
    </row>
    <row r="286" spans="2:6">
      <c r="B286" s="13" t="s">
        <v>855</v>
      </c>
      <c r="C286" s="30" t="s">
        <v>856</v>
      </c>
      <c r="D286" s="13" t="s">
        <v>857</v>
      </c>
      <c r="E286" s="24" t="s">
        <v>170</v>
      </c>
      <c r="F286" s="25">
        <v>2049.6121199999998</v>
      </c>
    </row>
    <row r="287" spans="2:6">
      <c r="B287" s="13" t="s">
        <v>858</v>
      </c>
      <c r="C287" s="30" t="s">
        <v>859</v>
      </c>
      <c r="D287" s="13" t="s">
        <v>860</v>
      </c>
      <c r="E287" s="24" t="s">
        <v>170</v>
      </c>
      <c r="F287" s="25">
        <v>1423.3687199999997</v>
      </c>
    </row>
    <row r="288" spans="2:6">
      <c r="B288" s="13" t="s">
        <v>861</v>
      </c>
      <c r="C288" s="23" t="s">
        <v>862</v>
      </c>
      <c r="D288" s="13" t="s">
        <v>863</v>
      </c>
      <c r="E288" s="24" t="s">
        <v>170</v>
      </c>
      <c r="F288" s="25">
        <v>17107.610399999998</v>
      </c>
    </row>
    <row r="289" spans="2:6">
      <c r="B289" s="13" t="s">
        <v>864</v>
      </c>
      <c r="C289" s="23" t="s">
        <v>865</v>
      </c>
      <c r="D289" s="13" t="s">
        <v>866</v>
      </c>
      <c r="E289" s="24" t="s">
        <v>170</v>
      </c>
      <c r="F289" s="25">
        <v>18657.133609199998</v>
      </c>
    </row>
    <row r="290" spans="2:6">
      <c r="B290" s="13" t="s">
        <v>867</v>
      </c>
      <c r="C290" s="30" t="s">
        <v>868</v>
      </c>
      <c r="D290" s="13" t="s">
        <v>869</v>
      </c>
      <c r="E290" s="24" t="s">
        <v>170</v>
      </c>
      <c r="F290" s="25">
        <v>7071.695819999999</v>
      </c>
    </row>
    <row r="291" spans="2:6">
      <c r="B291" s="13" t="s">
        <v>870</v>
      </c>
      <c r="C291" s="30" t="s">
        <v>871</v>
      </c>
      <c r="D291" s="13" t="s">
        <v>872</v>
      </c>
      <c r="E291" s="24" t="s">
        <v>170</v>
      </c>
      <c r="F291" s="25">
        <v>33373.801633999996</v>
      </c>
    </row>
    <row r="292" spans="2:6">
      <c r="B292" s="13" t="s">
        <v>873</v>
      </c>
      <c r="C292" s="30" t="s">
        <v>874</v>
      </c>
      <c r="D292" s="13" t="s">
        <v>875</v>
      </c>
      <c r="E292" s="24" t="s">
        <v>170</v>
      </c>
      <c r="F292" s="25">
        <v>4593.90798</v>
      </c>
    </row>
    <row r="293" spans="2:6">
      <c r="B293" s="13" t="s">
        <v>876</v>
      </c>
      <c r="C293" s="30" t="s">
        <v>877</v>
      </c>
      <c r="D293" s="13" t="s">
        <v>878</v>
      </c>
      <c r="E293" s="24" t="s">
        <v>170</v>
      </c>
      <c r="F293" s="25">
        <v>3029.7558599999998</v>
      </c>
    </row>
    <row r="294" spans="2:6">
      <c r="B294" s="13" t="s">
        <v>879</v>
      </c>
      <c r="C294" s="23" t="s">
        <v>880</v>
      </c>
      <c r="D294" s="13" t="s">
        <v>881</v>
      </c>
      <c r="E294" s="24" t="s">
        <v>170</v>
      </c>
      <c r="F294" s="25">
        <v>69252</v>
      </c>
    </row>
    <row r="295" spans="2:6">
      <c r="B295" s="13" t="s">
        <v>882</v>
      </c>
      <c r="C295" s="31" t="s">
        <v>883</v>
      </c>
      <c r="D295" s="13" t="s">
        <v>884</v>
      </c>
      <c r="E295" s="24" t="s">
        <v>170</v>
      </c>
      <c r="F295" s="25">
        <v>1723.2499999999998</v>
      </c>
    </row>
    <row r="296" spans="2:6">
      <c r="B296" s="13" t="s">
        <v>885</v>
      </c>
      <c r="C296" s="29" t="s">
        <v>886</v>
      </c>
      <c r="D296" s="13" t="s">
        <v>887</v>
      </c>
      <c r="E296" s="24" t="s">
        <v>170</v>
      </c>
      <c r="F296" s="25">
        <v>2150</v>
      </c>
    </row>
    <row r="297" spans="2:6">
      <c r="B297" s="13" t="s">
        <v>888</v>
      </c>
      <c r="C297" s="23" t="s">
        <v>889</v>
      </c>
      <c r="D297" s="13" t="s">
        <v>890</v>
      </c>
      <c r="E297" s="24" t="s">
        <v>170</v>
      </c>
      <c r="F297" s="25">
        <v>9560</v>
      </c>
    </row>
    <row r="298" spans="2:6">
      <c r="B298" s="13" t="s">
        <v>891</v>
      </c>
      <c r="C298" s="23" t="s">
        <v>892</v>
      </c>
      <c r="D298" s="13" t="s">
        <v>893</v>
      </c>
      <c r="E298" s="24" t="s">
        <v>170</v>
      </c>
      <c r="F298" s="25">
        <v>13500</v>
      </c>
    </row>
    <row r="299" spans="2:6">
      <c r="B299" s="13" t="s">
        <v>894</v>
      </c>
      <c r="C299" s="23" t="s">
        <v>895</v>
      </c>
      <c r="D299" s="13" t="s">
        <v>896</v>
      </c>
      <c r="E299" s="24" t="s">
        <v>170</v>
      </c>
      <c r="F299" s="25">
        <v>16007.999999999996</v>
      </c>
    </row>
    <row r="300" spans="2:6">
      <c r="B300" s="13" t="s">
        <v>897</v>
      </c>
      <c r="C300" s="23" t="s">
        <v>4120</v>
      </c>
      <c r="D300" s="13" t="s">
        <v>898</v>
      </c>
      <c r="E300" s="24" t="s">
        <v>170</v>
      </c>
      <c r="F300" s="25">
        <v>15975</v>
      </c>
    </row>
    <row r="301" spans="2:6">
      <c r="B301" s="13" t="s">
        <v>899</v>
      </c>
      <c r="C301" s="23" t="s">
        <v>4121</v>
      </c>
      <c r="D301" s="13" t="s">
        <v>900</v>
      </c>
      <c r="E301" s="24" t="s">
        <v>170</v>
      </c>
      <c r="F301" s="25">
        <v>14450</v>
      </c>
    </row>
    <row r="302" spans="2:6">
      <c r="B302" s="13" t="s">
        <v>901</v>
      </c>
      <c r="C302" s="23" t="s">
        <v>4122</v>
      </c>
      <c r="D302" s="13" t="s">
        <v>902</v>
      </c>
      <c r="E302" s="24" t="s">
        <v>170</v>
      </c>
      <c r="F302" s="25">
        <v>8358</v>
      </c>
    </row>
    <row r="303" spans="2:6">
      <c r="B303" s="13" t="s">
        <v>903</v>
      </c>
      <c r="C303" s="29" t="s">
        <v>904</v>
      </c>
      <c r="D303" s="13" t="s">
        <v>905</v>
      </c>
      <c r="E303" s="24" t="s">
        <v>170</v>
      </c>
      <c r="F303" s="25">
        <v>76000</v>
      </c>
    </row>
    <row r="304" spans="2:6">
      <c r="B304" s="13" t="s">
        <v>906</v>
      </c>
      <c r="C304" s="29" t="s">
        <v>907</v>
      </c>
      <c r="D304" s="13" t="s">
        <v>908</v>
      </c>
      <c r="E304" s="24" t="s">
        <v>170</v>
      </c>
      <c r="F304" s="25">
        <v>17351.743999999999</v>
      </c>
    </row>
    <row r="305" spans="2:6">
      <c r="B305" s="13" t="s">
        <v>909</v>
      </c>
      <c r="C305" s="29" t="s">
        <v>910</v>
      </c>
      <c r="D305" s="13" t="s">
        <v>911</v>
      </c>
      <c r="E305" s="24" t="s">
        <v>170</v>
      </c>
      <c r="F305" s="25">
        <v>13719.552</v>
      </c>
    </row>
    <row r="306" spans="2:6">
      <c r="B306" s="13" t="s">
        <v>912</v>
      </c>
      <c r="C306" s="29" t="s">
        <v>913</v>
      </c>
      <c r="D306" s="13" t="s">
        <v>914</v>
      </c>
      <c r="E306" s="24" t="s">
        <v>170</v>
      </c>
      <c r="F306" s="25">
        <v>25879.194</v>
      </c>
    </row>
    <row r="307" spans="2:6">
      <c r="B307" s="13" t="s">
        <v>915</v>
      </c>
      <c r="C307" s="29" t="s">
        <v>916</v>
      </c>
      <c r="D307" s="13" t="s">
        <v>917</v>
      </c>
      <c r="E307" s="24" t="s">
        <v>170</v>
      </c>
      <c r="F307" s="25">
        <v>4494.42</v>
      </c>
    </row>
    <row r="308" spans="2:6">
      <c r="B308" s="13" t="s">
        <v>918</v>
      </c>
      <c r="C308" s="29" t="s">
        <v>919</v>
      </c>
      <c r="D308" s="13" t="s">
        <v>920</v>
      </c>
      <c r="E308" s="24" t="s">
        <v>170</v>
      </c>
      <c r="F308" s="25">
        <v>30500</v>
      </c>
    </row>
    <row r="309" spans="2:6">
      <c r="B309" s="13" t="s">
        <v>921</v>
      </c>
      <c r="C309" s="29" t="s">
        <v>922</v>
      </c>
      <c r="D309" s="13" t="s">
        <v>923</v>
      </c>
      <c r="E309" s="24" t="s">
        <v>170</v>
      </c>
      <c r="F309" s="25">
        <v>5600</v>
      </c>
    </row>
    <row r="310" spans="2:6">
      <c r="B310" s="13" t="s">
        <v>924</v>
      </c>
      <c r="C310" s="29" t="s">
        <v>925</v>
      </c>
      <c r="D310" s="13" t="s">
        <v>926</v>
      </c>
      <c r="E310" s="24" t="s">
        <v>170</v>
      </c>
      <c r="F310" s="25">
        <v>12500</v>
      </c>
    </row>
    <row r="311" spans="2:6">
      <c r="B311" s="13" t="s">
        <v>927</v>
      </c>
      <c r="C311" s="29" t="s">
        <v>928</v>
      </c>
      <c r="D311" s="13" t="s">
        <v>929</v>
      </c>
      <c r="E311" s="24" t="s">
        <v>170</v>
      </c>
      <c r="F311" s="25">
        <v>16000</v>
      </c>
    </row>
    <row r="312" spans="2:6">
      <c r="B312" s="13" t="s">
        <v>930</v>
      </c>
      <c r="C312" s="29" t="s">
        <v>931</v>
      </c>
      <c r="D312" s="13" t="s">
        <v>932</v>
      </c>
      <c r="E312" s="24" t="s">
        <v>170</v>
      </c>
      <c r="F312" s="25">
        <v>2839</v>
      </c>
    </row>
    <row r="313" spans="2:6">
      <c r="B313" s="13" t="s">
        <v>933</v>
      </c>
      <c r="C313" s="23" t="s">
        <v>934</v>
      </c>
      <c r="D313" s="13" t="s">
        <v>935</v>
      </c>
      <c r="E313" s="24" t="s">
        <v>170</v>
      </c>
      <c r="F313" s="25">
        <v>17930.663599199997</v>
      </c>
    </row>
    <row r="314" spans="2:6">
      <c r="B314" s="13" t="s">
        <v>936</v>
      </c>
      <c r="C314" s="23" t="s">
        <v>937</v>
      </c>
      <c r="D314" s="13" t="s">
        <v>938</v>
      </c>
      <c r="E314" s="24" t="s">
        <v>170</v>
      </c>
      <c r="F314" s="25">
        <v>2000</v>
      </c>
    </row>
    <row r="315" spans="2:6">
      <c r="B315" s="13" t="s">
        <v>939</v>
      </c>
      <c r="C315" s="23" t="s">
        <v>940</v>
      </c>
      <c r="D315" s="13" t="s">
        <v>941</v>
      </c>
      <c r="E315" s="24" t="s">
        <v>170</v>
      </c>
      <c r="F315" s="25">
        <v>2000</v>
      </c>
    </row>
    <row r="316" spans="2:6">
      <c r="B316" s="13" t="s">
        <v>942</v>
      </c>
      <c r="C316" s="23" t="s">
        <v>943</v>
      </c>
      <c r="D316" s="13" t="s">
        <v>944</v>
      </c>
      <c r="E316" s="24" t="s">
        <v>170</v>
      </c>
      <c r="F316" s="25">
        <v>2000</v>
      </c>
    </row>
    <row r="317" spans="2:6">
      <c r="B317" s="13" t="s">
        <v>945</v>
      </c>
      <c r="C317" s="23" t="s">
        <v>946</v>
      </c>
      <c r="D317" s="13" t="s">
        <v>947</v>
      </c>
      <c r="E317" s="24" t="s">
        <v>170</v>
      </c>
      <c r="F317" s="25">
        <v>2000</v>
      </c>
    </row>
    <row r="318" spans="2:6">
      <c r="B318" s="13" t="s">
        <v>948</v>
      </c>
      <c r="C318" s="23" t="s">
        <v>949</v>
      </c>
      <c r="D318" s="13" t="s">
        <v>950</v>
      </c>
      <c r="E318" s="24" t="s">
        <v>170</v>
      </c>
      <c r="F318" s="25">
        <v>2000</v>
      </c>
    </row>
    <row r="319" spans="2:6">
      <c r="B319" s="13" t="s">
        <v>951</v>
      </c>
      <c r="C319" s="23" t="s">
        <v>952</v>
      </c>
      <c r="D319" s="13" t="s">
        <v>953</v>
      </c>
      <c r="E319" s="24" t="s">
        <v>170</v>
      </c>
      <c r="F319" s="25">
        <v>2000</v>
      </c>
    </row>
    <row r="320" spans="2:6">
      <c r="B320" s="13" t="s">
        <v>954</v>
      </c>
      <c r="C320" s="23" t="s">
        <v>955</v>
      </c>
      <c r="D320" s="13" t="s">
        <v>956</v>
      </c>
      <c r="E320" s="24" t="s">
        <v>170</v>
      </c>
      <c r="F320" s="25">
        <v>1200</v>
      </c>
    </row>
    <row r="321" spans="2:6">
      <c r="B321" s="13" t="s">
        <v>957</v>
      </c>
      <c r="C321" s="23" t="s">
        <v>958</v>
      </c>
      <c r="D321" s="13" t="s">
        <v>959</v>
      </c>
      <c r="E321" s="24" t="s">
        <v>170</v>
      </c>
      <c r="F321" s="25">
        <v>1200</v>
      </c>
    </row>
    <row r="322" spans="2:6">
      <c r="B322" s="13" t="s">
        <v>960</v>
      </c>
      <c r="C322" s="23" t="s">
        <v>961</v>
      </c>
      <c r="D322" s="13" t="s">
        <v>962</v>
      </c>
      <c r="E322" s="24" t="s">
        <v>170</v>
      </c>
      <c r="F322" s="25">
        <v>1200</v>
      </c>
    </row>
    <row r="323" spans="2:6">
      <c r="B323" s="13" t="s">
        <v>963</v>
      </c>
      <c r="C323" s="23" t="s">
        <v>964</v>
      </c>
      <c r="D323" s="13" t="s">
        <v>965</v>
      </c>
      <c r="E323" s="24" t="s">
        <v>170</v>
      </c>
      <c r="F323" s="25">
        <v>1200</v>
      </c>
    </row>
    <row r="324" spans="2:6">
      <c r="B324" s="13" t="s">
        <v>966</v>
      </c>
      <c r="C324" s="23" t="s">
        <v>967</v>
      </c>
      <c r="D324" s="13" t="s">
        <v>968</v>
      </c>
      <c r="E324" s="24" t="s">
        <v>170</v>
      </c>
      <c r="F324" s="25">
        <v>1200</v>
      </c>
    </row>
    <row r="325" spans="2:6">
      <c r="B325" s="13" t="s">
        <v>969</v>
      </c>
      <c r="C325" s="23" t="s">
        <v>970</v>
      </c>
      <c r="D325" s="13" t="s">
        <v>971</v>
      </c>
      <c r="E325" s="24" t="s">
        <v>170</v>
      </c>
      <c r="F325" s="25">
        <v>1200</v>
      </c>
    </row>
    <row r="326" spans="2:6">
      <c r="B326" s="13" t="s">
        <v>972</v>
      </c>
      <c r="C326" s="23" t="s">
        <v>973</v>
      </c>
      <c r="D326" s="13" t="s">
        <v>974</v>
      </c>
      <c r="E326" s="24" t="s">
        <v>170</v>
      </c>
      <c r="F326" s="25">
        <v>900</v>
      </c>
    </row>
    <row r="327" spans="2:6">
      <c r="B327" s="13" t="s">
        <v>975</v>
      </c>
      <c r="C327" s="23" t="s">
        <v>976</v>
      </c>
      <c r="D327" s="13" t="s">
        <v>977</v>
      </c>
      <c r="E327" s="24" t="s">
        <v>170</v>
      </c>
      <c r="F327" s="25">
        <v>10983.304049599999</v>
      </c>
    </row>
    <row r="328" spans="2:6">
      <c r="B328" s="13" t="s">
        <v>978</v>
      </c>
      <c r="C328" s="23" t="s">
        <v>979</v>
      </c>
      <c r="D328" s="13" t="s">
        <v>980</v>
      </c>
      <c r="E328" s="24" t="s">
        <v>170</v>
      </c>
      <c r="F328" s="25">
        <v>7073.7422687999997</v>
      </c>
    </row>
    <row r="329" spans="2:6">
      <c r="B329" s="13" t="s">
        <v>981</v>
      </c>
      <c r="C329" s="23" t="s">
        <v>982</v>
      </c>
      <c r="D329" s="13" t="s">
        <v>983</v>
      </c>
      <c r="E329" s="24" t="s">
        <v>170</v>
      </c>
      <c r="F329" s="25">
        <v>4588.5229583999999</v>
      </c>
    </row>
    <row r="330" spans="2:6">
      <c r="B330" s="13" t="s">
        <v>984</v>
      </c>
      <c r="C330" s="23" t="s">
        <v>985</v>
      </c>
      <c r="D330" s="13" t="s">
        <v>986</v>
      </c>
      <c r="E330" s="24" t="s">
        <v>170</v>
      </c>
      <c r="F330" s="25">
        <v>3000</v>
      </c>
    </row>
    <row r="331" spans="2:6">
      <c r="B331" s="13" t="s">
        <v>987</v>
      </c>
      <c r="C331" s="23" t="s">
        <v>988</v>
      </c>
      <c r="D331" s="13" t="s">
        <v>989</v>
      </c>
      <c r="E331" s="24" t="s">
        <v>170</v>
      </c>
      <c r="F331" s="25">
        <v>22418.6338832</v>
      </c>
    </row>
    <row r="332" spans="2:6">
      <c r="B332" s="13" t="s">
        <v>990</v>
      </c>
      <c r="C332" s="29" t="s">
        <v>991</v>
      </c>
      <c r="D332" s="13" t="s">
        <v>992</v>
      </c>
      <c r="E332" s="24" t="s">
        <v>170</v>
      </c>
      <c r="F332" s="25">
        <v>43751.022132399994</v>
      </c>
    </row>
    <row r="333" spans="2:6">
      <c r="B333" s="13" t="s">
        <v>993</v>
      </c>
      <c r="C333" s="29" t="s">
        <v>994</v>
      </c>
      <c r="D333" s="13" t="s">
        <v>995</v>
      </c>
      <c r="E333" s="24" t="s">
        <v>170</v>
      </c>
      <c r="F333" s="25">
        <v>28133.531295199999</v>
      </c>
    </row>
    <row r="334" spans="2:6">
      <c r="B334" s="13" t="s">
        <v>996</v>
      </c>
      <c r="C334" s="29" t="s">
        <v>997</v>
      </c>
      <c r="D334" s="13" t="s">
        <v>998</v>
      </c>
      <c r="E334" s="24" t="s">
        <v>170</v>
      </c>
      <c r="F334" s="25">
        <v>52353.810803199995</v>
      </c>
    </row>
    <row r="335" spans="2:6">
      <c r="B335" s="13" t="s">
        <v>999</v>
      </c>
      <c r="C335" s="29" t="s">
        <v>1000</v>
      </c>
      <c r="D335" s="13" t="s">
        <v>1001</v>
      </c>
      <c r="E335" s="24" t="s">
        <v>170</v>
      </c>
      <c r="F335" s="25">
        <v>60956.138223199989</v>
      </c>
    </row>
    <row r="336" spans="2:6">
      <c r="B336" s="13" t="s">
        <v>1002</v>
      </c>
      <c r="C336" s="23" t="s">
        <v>1003</v>
      </c>
      <c r="D336" s="13" t="s">
        <v>1004</v>
      </c>
      <c r="E336" s="24" t="s">
        <v>170</v>
      </c>
      <c r="F336" s="25">
        <v>35128.860927999995</v>
      </c>
    </row>
    <row r="337" spans="2:6">
      <c r="B337" s="13" t="s">
        <v>1005</v>
      </c>
      <c r="C337" s="29" t="s">
        <v>1006</v>
      </c>
      <c r="D337" s="13" t="s">
        <v>1007</v>
      </c>
      <c r="E337" s="24" t="s">
        <v>170</v>
      </c>
      <c r="F337" s="25">
        <v>69470.366740399986</v>
      </c>
    </row>
    <row r="338" spans="2:6">
      <c r="B338" s="13" t="s">
        <v>1008</v>
      </c>
      <c r="C338" s="29" t="s">
        <v>1009</v>
      </c>
      <c r="D338" s="13" t="s">
        <v>1010</v>
      </c>
      <c r="E338" s="24" t="s">
        <v>170</v>
      </c>
      <c r="F338" s="25">
        <v>90782.921205199993</v>
      </c>
    </row>
    <row r="339" spans="2:6">
      <c r="B339" s="13" t="s">
        <v>1011</v>
      </c>
      <c r="C339" s="29" t="s">
        <v>1012</v>
      </c>
      <c r="D339" s="13" t="s">
        <v>1013</v>
      </c>
      <c r="E339" s="24" t="s">
        <v>170</v>
      </c>
      <c r="F339" s="25">
        <v>1084.5999999999999</v>
      </c>
    </row>
    <row r="340" spans="2:6">
      <c r="B340" s="13" t="s">
        <v>1014</v>
      </c>
      <c r="C340" s="29" t="s">
        <v>1015</v>
      </c>
      <c r="D340" s="13" t="s">
        <v>1016</v>
      </c>
      <c r="E340" s="24" t="s">
        <v>170</v>
      </c>
      <c r="F340" s="25">
        <v>2586.2199999999998</v>
      </c>
    </row>
    <row r="341" spans="2:6">
      <c r="B341" s="13" t="s">
        <v>1017</v>
      </c>
      <c r="C341" s="29" t="s">
        <v>1018</v>
      </c>
      <c r="D341" s="13" t="s">
        <v>1019</v>
      </c>
      <c r="E341" s="24" t="s">
        <v>170</v>
      </c>
      <c r="F341" s="25">
        <v>571.48974119999991</v>
      </c>
    </row>
    <row r="342" spans="2:6">
      <c r="B342" s="13" t="s">
        <v>1020</v>
      </c>
      <c r="C342" s="29" t="s">
        <v>1021</v>
      </c>
      <c r="D342" s="13" t="s">
        <v>1022</v>
      </c>
      <c r="E342" s="24" t="s">
        <v>170</v>
      </c>
      <c r="F342" s="25">
        <v>3570.6887999999994</v>
      </c>
    </row>
    <row r="343" spans="2:6">
      <c r="B343" s="13" t="s">
        <v>1023</v>
      </c>
      <c r="C343" s="29" t="s">
        <v>1024</v>
      </c>
      <c r="D343" s="13" t="s">
        <v>1025</v>
      </c>
      <c r="E343" s="24" t="s">
        <v>170</v>
      </c>
      <c r="F343" s="25">
        <v>2143.6799999999998</v>
      </c>
    </row>
    <row r="344" spans="2:6">
      <c r="B344" s="13" t="s">
        <v>1026</v>
      </c>
      <c r="C344" s="29" t="s">
        <v>1027</v>
      </c>
      <c r="D344" s="13" t="s">
        <v>1028</v>
      </c>
      <c r="E344" s="24" t="s">
        <v>170</v>
      </c>
      <c r="F344" s="25">
        <v>1527.4880000000001</v>
      </c>
    </row>
    <row r="345" spans="2:6">
      <c r="B345" s="13" t="s">
        <v>1029</v>
      </c>
      <c r="C345" s="29" t="s">
        <v>1030</v>
      </c>
      <c r="D345" s="13" t="s">
        <v>1031</v>
      </c>
      <c r="E345" s="24" t="s">
        <v>170</v>
      </c>
      <c r="F345" s="25">
        <v>5880.7359999999999</v>
      </c>
    </row>
    <row r="346" spans="2:6">
      <c r="B346" s="13" t="s">
        <v>1032</v>
      </c>
      <c r="C346" s="23" t="s">
        <v>1033</v>
      </c>
      <c r="D346" s="13" t="s">
        <v>1034</v>
      </c>
      <c r="E346" s="24" t="s">
        <v>170</v>
      </c>
      <c r="F346" s="25">
        <v>20253.75</v>
      </c>
    </row>
    <row r="347" spans="2:6">
      <c r="B347" s="13" t="s">
        <v>1035</v>
      </c>
      <c r="C347" s="29" t="s">
        <v>1036</v>
      </c>
      <c r="D347" s="13" t="s">
        <v>1037</v>
      </c>
      <c r="E347" s="24" t="s">
        <v>170</v>
      </c>
      <c r="F347" s="25">
        <v>12000</v>
      </c>
    </row>
    <row r="348" spans="2:6">
      <c r="B348" s="13" t="s">
        <v>1038</v>
      </c>
      <c r="C348" s="29" t="s">
        <v>1039</v>
      </c>
      <c r="D348" s="13" t="s">
        <v>1040</v>
      </c>
      <c r="E348" s="24" t="s">
        <v>170</v>
      </c>
      <c r="F348" s="25">
        <v>10875</v>
      </c>
    </row>
    <row r="349" spans="2:6">
      <c r="B349" s="13" t="s">
        <v>1041</v>
      </c>
      <c r="C349" s="29" t="s">
        <v>1042</v>
      </c>
      <c r="D349" s="13" t="s">
        <v>1043</v>
      </c>
      <c r="E349" s="24" t="s">
        <v>170</v>
      </c>
      <c r="F349" s="25">
        <v>9750</v>
      </c>
    </row>
    <row r="350" spans="2:6">
      <c r="B350" s="13" t="s">
        <v>1044</v>
      </c>
      <c r="C350" s="29" t="s">
        <v>1045</v>
      </c>
      <c r="D350" s="13" t="s">
        <v>1046</v>
      </c>
      <c r="E350" s="24" t="s">
        <v>170</v>
      </c>
      <c r="F350" s="25">
        <v>2320</v>
      </c>
    </row>
    <row r="351" spans="2:6">
      <c r="B351" s="13" t="s">
        <v>1047</v>
      </c>
      <c r="C351" s="29" t="s">
        <v>1048</v>
      </c>
      <c r="D351" s="13" t="s">
        <v>1049</v>
      </c>
      <c r="E351" s="24" t="s">
        <v>170</v>
      </c>
      <c r="F351" s="25">
        <v>55500</v>
      </c>
    </row>
    <row r="352" spans="2:6">
      <c r="B352" s="13" t="s">
        <v>1050</v>
      </c>
      <c r="C352" s="29" t="s">
        <v>1051</v>
      </c>
      <c r="D352" s="13" t="s">
        <v>1052</v>
      </c>
      <c r="E352" s="24" t="s">
        <v>170</v>
      </c>
      <c r="F352" s="25">
        <v>30000</v>
      </c>
    </row>
    <row r="353" spans="2:6">
      <c r="B353" s="13" t="s">
        <v>1053</v>
      </c>
      <c r="C353" s="29" t="s">
        <v>1054</v>
      </c>
      <c r="D353" s="13" t="s">
        <v>1055</v>
      </c>
      <c r="E353" s="24" t="s">
        <v>170</v>
      </c>
      <c r="F353" s="25">
        <v>34229.279999999999</v>
      </c>
    </row>
    <row r="354" spans="2:6">
      <c r="B354" s="13" t="s">
        <v>1056</v>
      </c>
      <c r="C354" s="29" t="s">
        <v>1057</v>
      </c>
      <c r="D354" s="13" t="s">
        <v>1058</v>
      </c>
      <c r="E354" s="24" t="s">
        <v>170</v>
      </c>
      <c r="F354" s="25">
        <v>60000</v>
      </c>
    </row>
    <row r="355" spans="2:6">
      <c r="B355" s="13" t="s">
        <v>1059</v>
      </c>
      <c r="C355" s="23" t="s">
        <v>1060</v>
      </c>
      <c r="D355" s="13" t="s">
        <v>1061</v>
      </c>
      <c r="E355" s="24" t="s">
        <v>3</v>
      </c>
      <c r="F355" s="25">
        <v>18850</v>
      </c>
    </row>
    <row r="356" spans="2:6">
      <c r="B356" s="13" t="s">
        <v>1062</v>
      </c>
      <c r="C356" s="23" t="s">
        <v>1063</v>
      </c>
      <c r="D356" s="13" t="s">
        <v>1064</v>
      </c>
      <c r="E356" s="24" t="s">
        <v>3</v>
      </c>
      <c r="F356" s="25">
        <v>21450</v>
      </c>
    </row>
    <row r="357" spans="2:6">
      <c r="B357" s="13" t="s">
        <v>1065</v>
      </c>
      <c r="C357" s="23" t="s">
        <v>1066</v>
      </c>
      <c r="D357" s="13" t="s">
        <v>1067</v>
      </c>
      <c r="E357" s="24" t="s">
        <v>3</v>
      </c>
      <c r="F357" s="25">
        <v>23000</v>
      </c>
    </row>
    <row r="358" spans="2:6">
      <c r="B358" s="13" t="s">
        <v>1068</v>
      </c>
      <c r="C358" s="31" t="s">
        <v>1069</v>
      </c>
      <c r="D358" s="13" t="s">
        <v>1070</v>
      </c>
      <c r="E358" s="24" t="s">
        <v>3</v>
      </c>
      <c r="F358" s="25">
        <v>28000</v>
      </c>
    </row>
    <row r="359" spans="2:6">
      <c r="B359" s="13" t="s">
        <v>1071</v>
      </c>
      <c r="C359" s="31" t="s">
        <v>1072</v>
      </c>
      <c r="D359" s="13" t="s">
        <v>1073</v>
      </c>
      <c r="E359" s="24" t="s">
        <v>3</v>
      </c>
      <c r="F359" s="25">
        <v>30000</v>
      </c>
    </row>
    <row r="360" spans="2:6">
      <c r="B360" s="13" t="s">
        <v>1074</v>
      </c>
      <c r="C360" s="31" t="s">
        <v>1075</v>
      </c>
      <c r="D360" s="13" t="s">
        <v>1076</v>
      </c>
      <c r="E360" s="24" t="s">
        <v>3</v>
      </c>
      <c r="F360" s="25">
        <v>120000</v>
      </c>
    </row>
    <row r="361" spans="2:6">
      <c r="B361" s="13" t="s">
        <v>1077</v>
      </c>
      <c r="C361" s="23" t="s">
        <v>1078</v>
      </c>
      <c r="D361" s="13" t="s">
        <v>1079</v>
      </c>
      <c r="E361" s="24" t="s">
        <v>3</v>
      </c>
      <c r="F361" s="25">
        <v>18560</v>
      </c>
    </row>
    <row r="362" spans="2:6">
      <c r="B362" s="13" t="s">
        <v>1080</v>
      </c>
      <c r="C362" s="23" t="s">
        <v>1081</v>
      </c>
      <c r="D362" s="13" t="s">
        <v>1082</v>
      </c>
      <c r="E362" s="24" t="s">
        <v>3</v>
      </c>
      <c r="F362" s="25">
        <v>1392</v>
      </c>
    </row>
    <row r="363" spans="2:6">
      <c r="B363" s="13" t="s">
        <v>1083</v>
      </c>
      <c r="C363" s="23" t="s">
        <v>1084</v>
      </c>
      <c r="D363" s="13" t="s">
        <v>1085</v>
      </c>
      <c r="E363" s="24" t="s">
        <v>12</v>
      </c>
      <c r="F363" s="25">
        <v>16000</v>
      </c>
    </row>
    <row r="364" spans="2:6">
      <c r="B364" s="13" t="s">
        <v>1086</v>
      </c>
      <c r="C364" s="23" t="s">
        <v>1087</v>
      </c>
      <c r="D364" s="13" t="s">
        <v>1088</v>
      </c>
      <c r="E364" s="24" t="s">
        <v>12</v>
      </c>
      <c r="F364" s="25">
        <v>2000</v>
      </c>
    </row>
    <row r="365" spans="2:6">
      <c r="B365" s="13" t="s">
        <v>1089</v>
      </c>
      <c r="C365" s="23" t="s">
        <v>1090</v>
      </c>
      <c r="D365" s="13" t="s">
        <v>1091</v>
      </c>
      <c r="E365" s="24" t="s">
        <v>3</v>
      </c>
      <c r="F365" s="25">
        <v>125000</v>
      </c>
    </row>
    <row r="366" spans="2:6">
      <c r="B366" s="13" t="s">
        <v>1092</v>
      </c>
      <c r="C366" s="23" t="s">
        <v>1093</v>
      </c>
      <c r="D366" s="13" t="s">
        <v>1094</v>
      </c>
      <c r="E366" s="24" t="s">
        <v>3</v>
      </c>
      <c r="F366" s="25">
        <v>51220</v>
      </c>
    </row>
    <row r="367" spans="2:6">
      <c r="B367" s="13" t="s">
        <v>1095</v>
      </c>
      <c r="C367" s="23" t="s">
        <v>1096</v>
      </c>
      <c r="D367" s="13" t="s">
        <v>1097</v>
      </c>
      <c r="E367" s="24" t="s">
        <v>3</v>
      </c>
      <c r="F367" s="25">
        <v>16900</v>
      </c>
    </row>
    <row r="368" spans="2:6">
      <c r="B368" s="13" t="s">
        <v>1098</v>
      </c>
      <c r="C368" s="23" t="s">
        <v>1099</v>
      </c>
      <c r="D368" s="13" t="s">
        <v>1100</v>
      </c>
      <c r="E368" s="24" t="s">
        <v>3</v>
      </c>
      <c r="F368" s="25">
        <v>23855</v>
      </c>
    </row>
    <row r="369" spans="2:6">
      <c r="B369" s="13" t="s">
        <v>1101</v>
      </c>
      <c r="C369" s="23" t="s">
        <v>1102</v>
      </c>
      <c r="D369" s="13" t="s">
        <v>1103</v>
      </c>
      <c r="E369" s="24" t="s">
        <v>3</v>
      </c>
      <c r="F369" s="25">
        <v>34840</v>
      </c>
    </row>
    <row r="370" spans="2:6">
      <c r="B370" s="13" t="s">
        <v>1104</v>
      </c>
      <c r="C370" s="23" t="s">
        <v>1105</v>
      </c>
      <c r="D370" s="13" t="s">
        <v>1106</v>
      </c>
      <c r="E370" s="24" t="s">
        <v>3</v>
      </c>
      <c r="F370" s="25">
        <v>53950</v>
      </c>
    </row>
    <row r="371" spans="2:6">
      <c r="B371" s="13" t="s">
        <v>1107</v>
      </c>
      <c r="C371" s="23" t="s">
        <v>1108</v>
      </c>
      <c r="D371" s="13" t="s">
        <v>1109</v>
      </c>
      <c r="E371" s="24" t="s">
        <v>3</v>
      </c>
      <c r="F371" s="25">
        <v>68250</v>
      </c>
    </row>
    <row r="372" spans="2:6">
      <c r="B372" s="13" t="s">
        <v>1110</v>
      </c>
      <c r="C372" s="23" t="s">
        <v>1111</v>
      </c>
      <c r="D372" s="13" t="s">
        <v>1112</v>
      </c>
      <c r="E372" s="24" t="s">
        <v>3</v>
      </c>
      <c r="F372" s="25">
        <v>80040</v>
      </c>
    </row>
    <row r="373" spans="2:6">
      <c r="B373" s="13" t="s">
        <v>1113</v>
      </c>
      <c r="C373" s="23" t="s">
        <v>1114</v>
      </c>
      <c r="D373" s="13" t="s">
        <v>1115</v>
      </c>
      <c r="E373" s="24" t="s">
        <v>3</v>
      </c>
      <c r="F373" s="25">
        <v>60000</v>
      </c>
    </row>
    <row r="374" spans="2:6">
      <c r="B374" s="13" t="s">
        <v>1116</v>
      </c>
      <c r="C374" s="23" t="s">
        <v>1117</v>
      </c>
      <c r="D374" s="13" t="s">
        <v>1118</v>
      </c>
      <c r="E374" s="24" t="s">
        <v>3</v>
      </c>
      <c r="F374" s="25">
        <v>2000</v>
      </c>
    </row>
    <row r="375" spans="2:6">
      <c r="B375" s="13" t="s">
        <v>1119</v>
      </c>
      <c r="C375" s="23" t="s">
        <v>1120</v>
      </c>
      <c r="D375" s="13" t="s">
        <v>1121</v>
      </c>
      <c r="E375" s="24" t="s">
        <v>3</v>
      </c>
      <c r="F375" s="25">
        <v>2000</v>
      </c>
    </row>
    <row r="376" spans="2:6" ht="16.5">
      <c r="B376" s="13" t="s">
        <v>1122</v>
      </c>
      <c r="C376" s="26" t="s">
        <v>1123</v>
      </c>
      <c r="D376" s="13" t="s">
        <v>1124</v>
      </c>
      <c r="E376" s="24" t="s">
        <v>3</v>
      </c>
      <c r="F376" s="25">
        <v>282377.7</v>
      </c>
    </row>
    <row r="377" spans="2:6">
      <c r="B377" s="13" t="s">
        <v>1125</v>
      </c>
      <c r="C377" s="23" t="s">
        <v>1126</v>
      </c>
      <c r="D377" s="13" t="s">
        <v>1127</v>
      </c>
      <c r="E377" s="24" t="s">
        <v>3</v>
      </c>
      <c r="F377" s="25">
        <v>75000</v>
      </c>
    </row>
    <row r="378" spans="2:6">
      <c r="B378" s="13" t="s">
        <v>1128</v>
      </c>
      <c r="C378" s="23" t="s">
        <v>1129</v>
      </c>
      <c r="D378" s="13" t="s">
        <v>1130</v>
      </c>
      <c r="E378" s="24" t="s">
        <v>3</v>
      </c>
      <c r="F378" s="25">
        <v>1571.452</v>
      </c>
    </row>
    <row r="379" spans="2:6">
      <c r="B379" s="13" t="s">
        <v>1131</v>
      </c>
      <c r="C379" s="23" t="s">
        <v>1132</v>
      </c>
      <c r="D379" s="13" t="s">
        <v>1133</v>
      </c>
      <c r="E379" s="24" t="s">
        <v>1134</v>
      </c>
      <c r="F379" s="25">
        <v>2349.1739999999995</v>
      </c>
    </row>
    <row r="380" spans="2:6">
      <c r="B380" s="13" t="s">
        <v>1135</v>
      </c>
      <c r="C380" s="23" t="s">
        <v>1136</v>
      </c>
      <c r="D380" s="13" t="s">
        <v>1137</v>
      </c>
      <c r="E380" s="24" t="s">
        <v>3</v>
      </c>
      <c r="F380" s="25">
        <v>3500</v>
      </c>
    </row>
    <row r="381" spans="2:6">
      <c r="B381" s="13" t="s">
        <v>1138</v>
      </c>
      <c r="C381" s="23" t="s">
        <v>1139</v>
      </c>
      <c r="D381" s="13" t="s">
        <v>1140</v>
      </c>
      <c r="E381" s="24" t="s">
        <v>3</v>
      </c>
      <c r="F381" s="25">
        <v>10092</v>
      </c>
    </row>
    <row r="382" spans="2:6" ht="16.5">
      <c r="B382" s="13" t="s">
        <v>1141</v>
      </c>
      <c r="C382" s="26" t="s">
        <v>1142</v>
      </c>
      <c r="D382" s="13" t="s">
        <v>1143</v>
      </c>
      <c r="E382" s="24" t="s">
        <v>3</v>
      </c>
      <c r="F382" s="25">
        <v>7600</v>
      </c>
    </row>
    <row r="383" spans="2:6" ht="16.5">
      <c r="B383" s="13" t="s">
        <v>1144</v>
      </c>
      <c r="C383" s="26" t="s">
        <v>1145</v>
      </c>
      <c r="D383" s="13" t="s">
        <v>1146</v>
      </c>
      <c r="E383" s="24" t="s">
        <v>3</v>
      </c>
      <c r="F383" s="25">
        <v>12900</v>
      </c>
    </row>
    <row r="384" spans="2:6" ht="16.5">
      <c r="B384" s="13" t="s">
        <v>1147</v>
      </c>
      <c r="C384" s="26" t="s">
        <v>1148</v>
      </c>
      <c r="D384" s="13" t="s">
        <v>1149</v>
      </c>
      <c r="E384" s="24" t="s">
        <v>3</v>
      </c>
      <c r="F384" s="25">
        <v>21250</v>
      </c>
    </row>
    <row r="385" spans="2:6" ht="16.5">
      <c r="B385" s="13" t="s">
        <v>1150</v>
      </c>
      <c r="C385" s="26" t="s">
        <v>1151</v>
      </c>
      <c r="D385" s="13" t="s">
        <v>1152</v>
      </c>
      <c r="E385" s="24" t="s">
        <v>3</v>
      </c>
      <c r="F385" s="25">
        <v>13731</v>
      </c>
    </row>
    <row r="386" spans="2:6">
      <c r="B386" s="13" t="s">
        <v>1153</v>
      </c>
      <c r="C386" s="23" t="s">
        <v>1154</v>
      </c>
      <c r="D386" s="13" t="s">
        <v>1155</v>
      </c>
      <c r="E386" s="24" t="s">
        <v>3</v>
      </c>
      <c r="F386" s="25">
        <v>7539.9999999999991</v>
      </c>
    </row>
    <row r="387" spans="2:6">
      <c r="B387" s="13" t="s">
        <v>1156</v>
      </c>
      <c r="C387" s="23" t="s">
        <v>1157</v>
      </c>
      <c r="D387" s="13" t="s">
        <v>1158</v>
      </c>
      <c r="E387" s="24" t="s">
        <v>12</v>
      </c>
      <c r="F387" s="25">
        <v>1000</v>
      </c>
    </row>
    <row r="388" spans="2:6">
      <c r="B388" s="13" t="s">
        <v>1159</v>
      </c>
      <c r="C388" s="37" t="s">
        <v>1160</v>
      </c>
      <c r="D388" s="13" t="s">
        <v>1161</v>
      </c>
      <c r="E388" s="24" t="s">
        <v>12</v>
      </c>
      <c r="F388" s="25">
        <v>71468.759999999995</v>
      </c>
    </row>
    <row r="389" spans="2:6">
      <c r="B389" s="13" t="s">
        <v>1162</v>
      </c>
      <c r="C389" s="23" t="s">
        <v>1163</v>
      </c>
      <c r="D389" s="13" t="s">
        <v>1164</v>
      </c>
      <c r="E389" s="24" t="s">
        <v>12</v>
      </c>
      <c r="F389" s="25">
        <v>15000</v>
      </c>
    </row>
    <row r="390" spans="2:6">
      <c r="B390" s="13" t="s">
        <v>1165</v>
      </c>
      <c r="C390" s="23" t="s">
        <v>1166</v>
      </c>
      <c r="D390" s="13" t="s">
        <v>1167</v>
      </c>
      <c r="E390" s="24" t="s">
        <v>12</v>
      </c>
      <c r="F390" s="25">
        <v>20000</v>
      </c>
    </row>
    <row r="391" spans="2:6">
      <c r="B391" s="13" t="s">
        <v>1168</v>
      </c>
      <c r="C391" s="23" t="s">
        <v>1169</v>
      </c>
      <c r="D391" s="13" t="s">
        <v>1170</v>
      </c>
      <c r="E391" s="24" t="s">
        <v>12</v>
      </c>
      <c r="F391" s="25">
        <v>54028.700000000004</v>
      </c>
    </row>
    <row r="392" spans="2:6">
      <c r="B392" s="13" t="s">
        <v>1171</v>
      </c>
      <c r="C392" s="23" t="s">
        <v>1172</v>
      </c>
      <c r="D392" s="13" t="s">
        <v>1173</v>
      </c>
      <c r="E392" s="24" t="s">
        <v>12</v>
      </c>
      <c r="F392" s="25">
        <v>25650</v>
      </c>
    </row>
    <row r="393" spans="2:6">
      <c r="B393" s="13" t="s">
        <v>1174</v>
      </c>
      <c r="C393" s="23" t="s">
        <v>1175</v>
      </c>
      <c r="D393" s="13" t="s">
        <v>1176</v>
      </c>
      <c r="E393" s="24" t="s">
        <v>12</v>
      </c>
      <c r="F393" s="25">
        <v>79179.100000000006</v>
      </c>
    </row>
    <row r="394" spans="2:6">
      <c r="B394" s="13" t="s">
        <v>1177</v>
      </c>
      <c r="C394" s="23" t="s">
        <v>1178</v>
      </c>
      <c r="D394" s="13" t="s">
        <v>1179</v>
      </c>
      <c r="E394" s="24" t="s">
        <v>12</v>
      </c>
      <c r="F394" s="25">
        <v>102929.20000000001</v>
      </c>
    </row>
    <row r="395" spans="2:6">
      <c r="B395" s="13" t="s">
        <v>1180</v>
      </c>
      <c r="C395" s="23" t="s">
        <v>1181</v>
      </c>
      <c r="D395" s="13" t="s">
        <v>1182</v>
      </c>
      <c r="E395" s="24" t="s">
        <v>12</v>
      </c>
      <c r="F395" s="25">
        <v>31500</v>
      </c>
    </row>
    <row r="396" spans="2:6">
      <c r="B396" s="13" t="s">
        <v>1183</v>
      </c>
      <c r="C396" s="23" t="s">
        <v>1184</v>
      </c>
      <c r="D396" s="13" t="s">
        <v>1185</v>
      </c>
      <c r="E396" s="24" t="s">
        <v>12</v>
      </c>
      <c r="F396" s="25">
        <v>43000</v>
      </c>
    </row>
    <row r="397" spans="2:6">
      <c r="B397" s="13" t="s">
        <v>1186</v>
      </c>
      <c r="C397" s="23" t="s">
        <v>1187</v>
      </c>
      <c r="D397" s="13" t="s">
        <v>1188</v>
      </c>
      <c r="E397" s="24" t="s">
        <v>12</v>
      </c>
      <c r="F397" s="25">
        <v>1625</v>
      </c>
    </row>
    <row r="398" spans="2:6">
      <c r="B398" s="13" t="s">
        <v>1189</v>
      </c>
      <c r="C398" s="23" t="s">
        <v>1190</v>
      </c>
      <c r="D398" s="13" t="s">
        <v>1191</v>
      </c>
      <c r="E398" s="24" t="s">
        <v>12</v>
      </c>
      <c r="F398" s="25">
        <v>2405</v>
      </c>
    </row>
    <row r="399" spans="2:6">
      <c r="B399" s="13" t="s">
        <v>1192</v>
      </c>
      <c r="C399" s="23" t="s">
        <v>1193</v>
      </c>
      <c r="D399" s="13" t="s">
        <v>1194</v>
      </c>
      <c r="E399" s="24" t="s">
        <v>12</v>
      </c>
      <c r="F399" s="25">
        <v>2925</v>
      </c>
    </row>
    <row r="400" spans="2:6">
      <c r="B400" s="13" t="s">
        <v>1195</v>
      </c>
      <c r="C400" s="31" t="s">
        <v>1196</v>
      </c>
      <c r="D400" s="13" t="s">
        <v>1197</v>
      </c>
      <c r="E400" s="24" t="s">
        <v>12</v>
      </c>
      <c r="F400" s="25">
        <v>18940</v>
      </c>
    </row>
    <row r="401" spans="2:6">
      <c r="B401" s="13" t="s">
        <v>1198</v>
      </c>
      <c r="C401" s="23" t="s">
        <v>1199</v>
      </c>
      <c r="D401" s="13" t="s">
        <v>1200</v>
      </c>
      <c r="E401" s="24" t="s">
        <v>12</v>
      </c>
      <c r="F401" s="25">
        <v>2750</v>
      </c>
    </row>
    <row r="402" spans="2:6">
      <c r="B402" s="13" t="s">
        <v>1201</v>
      </c>
      <c r="C402" s="23" t="s">
        <v>1202</v>
      </c>
      <c r="D402" s="13" t="s">
        <v>1203</v>
      </c>
      <c r="E402" s="24" t="s">
        <v>12</v>
      </c>
      <c r="F402" s="25">
        <v>35000</v>
      </c>
    </row>
    <row r="403" spans="2:6">
      <c r="B403" s="13" t="s">
        <v>1204</v>
      </c>
      <c r="C403" s="23" t="s">
        <v>4124</v>
      </c>
      <c r="D403" s="13" t="s">
        <v>1205</v>
      </c>
      <c r="E403" s="24" t="s">
        <v>12</v>
      </c>
      <c r="F403" s="25">
        <v>18200</v>
      </c>
    </row>
    <row r="404" spans="2:6">
      <c r="B404" s="13" t="s">
        <v>1206</v>
      </c>
      <c r="C404" s="29" t="s">
        <v>4125</v>
      </c>
      <c r="D404" s="13" t="s">
        <v>1207</v>
      </c>
      <c r="E404" s="24" t="s">
        <v>12</v>
      </c>
      <c r="F404" s="25">
        <v>7800</v>
      </c>
    </row>
    <row r="405" spans="2:6">
      <c r="B405" s="13" t="s">
        <v>1208</v>
      </c>
      <c r="C405" s="23" t="s">
        <v>4126</v>
      </c>
      <c r="D405" s="13" t="s">
        <v>1209</v>
      </c>
      <c r="E405" s="24" t="s">
        <v>12</v>
      </c>
      <c r="F405" s="25">
        <v>24050</v>
      </c>
    </row>
    <row r="406" spans="2:6">
      <c r="B406" s="13" t="s">
        <v>1210</v>
      </c>
      <c r="C406" s="30" t="s">
        <v>4127</v>
      </c>
      <c r="D406" s="13" t="s">
        <v>1211</v>
      </c>
      <c r="E406" s="24" t="s">
        <v>12</v>
      </c>
      <c r="F406" s="25">
        <v>22000</v>
      </c>
    </row>
    <row r="407" spans="2:6">
      <c r="B407" s="13" t="s">
        <v>1212</v>
      </c>
      <c r="C407" s="30" t="s">
        <v>1213</v>
      </c>
      <c r="D407" s="13" t="s">
        <v>1214</v>
      </c>
      <c r="E407" s="24" t="s">
        <v>12</v>
      </c>
      <c r="F407" s="25">
        <v>5445000</v>
      </c>
    </row>
    <row r="408" spans="2:6">
      <c r="B408" s="13" t="s">
        <v>1215</v>
      </c>
      <c r="C408" s="36" t="s">
        <v>1216</v>
      </c>
      <c r="D408" s="13" t="s">
        <v>1217</v>
      </c>
      <c r="E408" s="24" t="s">
        <v>12</v>
      </c>
      <c r="F408" s="25">
        <v>0</v>
      </c>
    </row>
    <row r="409" spans="2:6">
      <c r="B409" s="13" t="s">
        <v>1218</v>
      </c>
      <c r="C409" s="36" t="s">
        <v>1219</v>
      </c>
      <c r="D409" s="13" t="s">
        <v>1220</v>
      </c>
      <c r="E409" s="24" t="s">
        <v>12</v>
      </c>
      <c r="F409" s="25">
        <v>0</v>
      </c>
    </row>
    <row r="410" spans="2:6">
      <c r="B410" s="13" t="s">
        <v>1221</v>
      </c>
      <c r="C410" s="38" t="s">
        <v>1222</v>
      </c>
      <c r="D410" s="13" t="s">
        <v>1223</v>
      </c>
      <c r="E410" s="24" t="s">
        <v>12</v>
      </c>
      <c r="F410" s="25">
        <v>2531552.1</v>
      </c>
    </row>
    <row r="411" spans="2:6">
      <c r="B411" s="13" t="s">
        <v>1224</v>
      </c>
      <c r="C411" s="23" t="s">
        <v>1225</v>
      </c>
      <c r="D411" s="13" t="s">
        <v>1226</v>
      </c>
      <c r="E411" s="24" t="s">
        <v>1227</v>
      </c>
      <c r="F411" s="25">
        <v>500</v>
      </c>
    </row>
    <row r="412" spans="2:6">
      <c r="B412" s="13" t="s">
        <v>1228</v>
      </c>
      <c r="C412" s="23" t="s">
        <v>1229</v>
      </c>
      <c r="D412" s="13" t="s">
        <v>1230</v>
      </c>
      <c r="E412" s="24" t="s">
        <v>12</v>
      </c>
      <c r="F412" s="25">
        <v>950000</v>
      </c>
    </row>
    <row r="413" spans="2:6">
      <c r="B413" s="13" t="s">
        <v>1231</v>
      </c>
      <c r="C413" s="23" t="s">
        <v>1232</v>
      </c>
      <c r="D413" s="13" t="s">
        <v>1233</v>
      </c>
      <c r="E413" s="24" t="s">
        <v>12</v>
      </c>
      <c r="F413" s="25">
        <v>46000</v>
      </c>
    </row>
    <row r="414" spans="2:6">
      <c r="B414" s="13" t="s">
        <v>1234</v>
      </c>
      <c r="C414" s="23" t="s">
        <v>1235</v>
      </c>
      <c r="D414" s="13" t="s">
        <v>1236</v>
      </c>
      <c r="E414" s="24" t="s">
        <v>12</v>
      </c>
      <c r="F414" s="25">
        <v>36000</v>
      </c>
    </row>
    <row r="415" spans="2:6">
      <c r="B415" s="13" t="s">
        <v>1237</v>
      </c>
      <c r="C415" s="23" t="s">
        <v>1238</v>
      </c>
      <c r="D415" s="13" t="s">
        <v>1239</v>
      </c>
      <c r="E415" s="24" t="s">
        <v>12</v>
      </c>
      <c r="F415" s="25">
        <v>150000</v>
      </c>
    </row>
    <row r="416" spans="2:6">
      <c r="B416" s="13" t="s">
        <v>1240</v>
      </c>
      <c r="C416" s="23" t="s">
        <v>1241</v>
      </c>
      <c r="D416" s="13" t="s">
        <v>1242</v>
      </c>
      <c r="E416" s="24" t="s">
        <v>12</v>
      </c>
      <c r="F416" s="25">
        <v>500</v>
      </c>
    </row>
    <row r="417" spans="2:6">
      <c r="B417" s="13" t="s">
        <v>1243</v>
      </c>
      <c r="C417" s="23" t="s">
        <v>1244</v>
      </c>
      <c r="D417" s="13" t="s">
        <v>1245</v>
      </c>
      <c r="E417" s="24" t="s">
        <v>12</v>
      </c>
      <c r="F417" s="25">
        <v>50000</v>
      </c>
    </row>
    <row r="418" spans="2:6">
      <c r="B418" s="13" t="s">
        <v>1246</v>
      </c>
      <c r="C418" s="29" t="s">
        <v>1247</v>
      </c>
      <c r="D418" s="13" t="s">
        <v>1248</v>
      </c>
      <c r="E418" s="24" t="s">
        <v>1249</v>
      </c>
      <c r="F418" s="25">
        <v>153409.99999999997</v>
      </c>
    </row>
    <row r="419" spans="2:6">
      <c r="B419" s="13" t="s">
        <v>1250</v>
      </c>
      <c r="C419" s="23" t="s">
        <v>1251</v>
      </c>
      <c r="D419" s="13" t="s">
        <v>1252</v>
      </c>
      <c r="E419" s="24" t="s">
        <v>1249</v>
      </c>
      <c r="F419" s="25">
        <v>5000</v>
      </c>
    </row>
    <row r="420" spans="2:6">
      <c r="B420" s="13" t="s">
        <v>1253</v>
      </c>
      <c r="C420" s="31" t="s">
        <v>4123</v>
      </c>
      <c r="D420" s="13" t="s">
        <v>1254</v>
      </c>
      <c r="E420" s="24" t="s">
        <v>1249</v>
      </c>
      <c r="F420" s="25">
        <v>9064.8250000000007</v>
      </c>
    </row>
    <row r="421" spans="2:6" ht="16.5">
      <c r="B421" s="13" t="s">
        <v>1255</v>
      </c>
      <c r="C421" s="26" t="s">
        <v>1256</v>
      </c>
      <c r="D421" s="13" t="s">
        <v>1257</v>
      </c>
      <c r="E421" s="24" t="s">
        <v>1249</v>
      </c>
      <c r="F421" s="25">
        <v>45000</v>
      </c>
    </row>
    <row r="422" spans="2:6" ht="16.5">
      <c r="B422" s="13" t="s">
        <v>1258</v>
      </c>
      <c r="C422" s="26" t="s">
        <v>1259</v>
      </c>
      <c r="D422" s="13" t="s">
        <v>1260</v>
      </c>
      <c r="E422" s="24" t="s">
        <v>1249</v>
      </c>
      <c r="F422" s="25">
        <v>75000</v>
      </c>
    </row>
    <row r="423" spans="2:6">
      <c r="B423" s="13" t="s">
        <v>1261</v>
      </c>
      <c r="C423" s="31" t="s">
        <v>1262</v>
      </c>
      <c r="D423" s="13" t="s">
        <v>1263</v>
      </c>
      <c r="E423" s="24" t="s">
        <v>1249</v>
      </c>
      <c r="F423" s="25">
        <v>1337.0500000000002</v>
      </c>
    </row>
    <row r="424" spans="2:6">
      <c r="B424" s="13" t="s">
        <v>1264</v>
      </c>
      <c r="C424" s="31" t="s">
        <v>1265</v>
      </c>
      <c r="D424" s="13" t="s">
        <v>1266</v>
      </c>
      <c r="E424" s="24" t="s">
        <v>1249</v>
      </c>
      <c r="F424" s="25">
        <v>2571.25</v>
      </c>
    </row>
    <row r="425" spans="2:6">
      <c r="B425" s="13" t="s">
        <v>1267</v>
      </c>
      <c r="C425" s="23" t="s">
        <v>1268</v>
      </c>
      <c r="D425" s="13" t="s">
        <v>1269</v>
      </c>
      <c r="E425" s="24" t="s">
        <v>12</v>
      </c>
      <c r="F425" s="25">
        <v>25400</v>
      </c>
    </row>
    <row r="426" spans="2:6">
      <c r="B426" s="13" t="s">
        <v>1270</v>
      </c>
      <c r="C426" s="23" t="s">
        <v>1271</v>
      </c>
      <c r="D426" s="13" t="s">
        <v>1272</v>
      </c>
      <c r="E426" s="24" t="s">
        <v>12</v>
      </c>
      <c r="F426" s="25">
        <v>40315</v>
      </c>
    </row>
    <row r="427" spans="2:6">
      <c r="B427" s="13" t="s">
        <v>1273</v>
      </c>
      <c r="C427" s="23" t="s">
        <v>1274</v>
      </c>
      <c r="D427" s="13" t="s">
        <v>1275</v>
      </c>
      <c r="E427" s="24" t="s">
        <v>12</v>
      </c>
      <c r="F427" s="25">
        <v>38610</v>
      </c>
    </row>
    <row r="428" spans="2:6">
      <c r="B428" s="13" t="s">
        <v>1276</v>
      </c>
      <c r="C428" s="23" t="s">
        <v>1277</v>
      </c>
      <c r="D428" s="13" t="s">
        <v>1278</v>
      </c>
      <c r="E428" s="24" t="s">
        <v>12</v>
      </c>
      <c r="F428" s="25">
        <v>70620</v>
      </c>
    </row>
    <row r="429" spans="2:6">
      <c r="B429" s="13" t="s">
        <v>1279</v>
      </c>
      <c r="C429" s="23" t="s">
        <v>1280</v>
      </c>
      <c r="D429" s="13" t="s">
        <v>1281</v>
      </c>
      <c r="E429" s="24" t="s">
        <v>12</v>
      </c>
      <c r="F429" s="25">
        <v>12460</v>
      </c>
    </row>
    <row r="430" spans="2:6">
      <c r="B430" s="13" t="s">
        <v>1282</v>
      </c>
      <c r="C430" s="23" t="s">
        <v>1283</v>
      </c>
      <c r="D430" s="13" t="s">
        <v>1284</v>
      </c>
      <c r="E430" s="24" t="s">
        <v>12</v>
      </c>
      <c r="F430" s="25">
        <v>70620</v>
      </c>
    </row>
    <row r="431" spans="2:6" ht="16.5">
      <c r="B431" s="13" t="s">
        <v>1285</v>
      </c>
      <c r="C431" s="26" t="s">
        <v>1286</v>
      </c>
      <c r="D431" s="13" t="s">
        <v>1287</v>
      </c>
      <c r="E431" s="24" t="s">
        <v>12</v>
      </c>
      <c r="F431" s="25">
        <v>58700</v>
      </c>
    </row>
    <row r="432" spans="2:6" ht="16.5">
      <c r="B432" s="13" t="s">
        <v>1288</v>
      </c>
      <c r="C432" s="26" t="s">
        <v>1289</v>
      </c>
      <c r="D432" s="13" t="s">
        <v>1290</v>
      </c>
      <c r="E432" s="24" t="s">
        <v>12</v>
      </c>
      <c r="F432" s="25">
        <v>70000</v>
      </c>
    </row>
    <row r="433" spans="2:6" ht="16.5">
      <c r="B433" s="13" t="s">
        <v>1291</v>
      </c>
      <c r="C433" s="26" t="s">
        <v>1292</v>
      </c>
      <c r="D433" s="13" t="s">
        <v>1293</v>
      </c>
      <c r="E433" s="24" t="s">
        <v>12</v>
      </c>
      <c r="F433" s="25">
        <v>21240</v>
      </c>
    </row>
    <row r="434" spans="2:6" ht="16.5">
      <c r="B434" s="13" t="s">
        <v>1294</v>
      </c>
      <c r="C434" s="26" t="s">
        <v>1295</v>
      </c>
      <c r="D434" s="13" t="s">
        <v>1296</v>
      </c>
      <c r="E434" s="24" t="s">
        <v>12</v>
      </c>
      <c r="F434" s="25">
        <v>21240</v>
      </c>
    </row>
    <row r="435" spans="2:6">
      <c r="B435" s="13" t="s">
        <v>1297</v>
      </c>
      <c r="C435" s="23" t="s">
        <v>1298</v>
      </c>
      <c r="D435" s="13" t="s">
        <v>1299</v>
      </c>
      <c r="E435" s="24" t="s">
        <v>12</v>
      </c>
      <c r="F435" s="25">
        <v>48859.199999999997</v>
      </c>
    </row>
    <row r="436" spans="2:6">
      <c r="B436" s="13" t="s">
        <v>1300</v>
      </c>
      <c r="C436" s="23" t="s">
        <v>1301</v>
      </c>
      <c r="D436" s="13" t="s">
        <v>1302</v>
      </c>
      <c r="E436" s="24" t="s">
        <v>12</v>
      </c>
      <c r="F436" s="25">
        <v>89366.399999999994</v>
      </c>
    </row>
    <row r="437" spans="2:6">
      <c r="B437" s="13" t="s">
        <v>1303</v>
      </c>
      <c r="C437" s="29" t="s">
        <v>1304</v>
      </c>
      <c r="D437" s="13" t="s">
        <v>1305</v>
      </c>
      <c r="E437" s="24" t="s">
        <v>12</v>
      </c>
      <c r="F437" s="25">
        <v>62999.999999999993</v>
      </c>
    </row>
    <row r="438" spans="2:6">
      <c r="B438" s="13" t="s">
        <v>1306</v>
      </c>
      <c r="C438" s="29" t="s">
        <v>1307</v>
      </c>
      <c r="D438" s="13" t="s">
        <v>1308</v>
      </c>
      <c r="E438" s="24" t="s">
        <v>12</v>
      </c>
      <c r="F438" s="25">
        <v>3016</v>
      </c>
    </row>
    <row r="439" spans="2:6">
      <c r="B439" s="13" t="s">
        <v>1309</v>
      </c>
      <c r="C439" s="29" t="s">
        <v>1310</v>
      </c>
      <c r="D439" s="13" t="s">
        <v>1311</v>
      </c>
      <c r="E439" s="24" t="s">
        <v>12</v>
      </c>
      <c r="F439" s="25">
        <v>38060</v>
      </c>
    </row>
    <row r="440" spans="2:6">
      <c r="B440" s="13" t="s">
        <v>1312</v>
      </c>
      <c r="C440" s="29" t="s">
        <v>1313</v>
      </c>
      <c r="D440" s="13" t="s">
        <v>1314</v>
      </c>
      <c r="E440" s="24" t="s">
        <v>12</v>
      </c>
      <c r="F440" s="25">
        <v>19813.2</v>
      </c>
    </row>
    <row r="441" spans="2:6">
      <c r="B441" s="13" t="s">
        <v>1315</v>
      </c>
      <c r="C441" s="23" t="s">
        <v>1316</v>
      </c>
      <c r="D441" s="13" t="s">
        <v>1317</v>
      </c>
      <c r="E441" s="24" t="s">
        <v>12</v>
      </c>
      <c r="F441" s="25">
        <v>2500</v>
      </c>
    </row>
    <row r="442" spans="2:6">
      <c r="B442" s="13" t="s">
        <v>1318</v>
      </c>
      <c r="C442" s="23" t="s">
        <v>1319</v>
      </c>
      <c r="D442" s="13" t="s">
        <v>1320</v>
      </c>
      <c r="E442" s="24" t="s">
        <v>12</v>
      </c>
      <c r="F442" s="25">
        <v>1500</v>
      </c>
    </row>
    <row r="443" spans="2:6">
      <c r="B443" s="13" t="s">
        <v>1321</v>
      </c>
      <c r="C443" s="23" t="s">
        <v>1322</v>
      </c>
      <c r="D443" s="13" t="s">
        <v>1323</v>
      </c>
      <c r="E443" s="24" t="s">
        <v>12</v>
      </c>
      <c r="F443" s="25">
        <v>2000</v>
      </c>
    </row>
    <row r="444" spans="2:6">
      <c r="B444" s="13" t="s">
        <v>1324</v>
      </c>
      <c r="C444" s="29" t="s">
        <v>1325</v>
      </c>
      <c r="D444" s="13" t="s">
        <v>1326</v>
      </c>
      <c r="E444" s="24" t="s">
        <v>12</v>
      </c>
      <c r="F444" s="25">
        <v>122092.88259999998</v>
      </c>
    </row>
    <row r="445" spans="2:6">
      <c r="B445" s="13" t="s">
        <v>1327</v>
      </c>
      <c r="C445" s="29" t="s">
        <v>1328</v>
      </c>
      <c r="D445" s="13" t="s">
        <v>1329</v>
      </c>
      <c r="E445" s="24" t="s">
        <v>12</v>
      </c>
      <c r="F445" s="25">
        <v>178000</v>
      </c>
    </row>
    <row r="446" spans="2:6">
      <c r="B446" s="13" t="s">
        <v>1330</v>
      </c>
      <c r="C446" s="29" t="s">
        <v>1331</v>
      </c>
      <c r="D446" s="13" t="s">
        <v>1332</v>
      </c>
      <c r="E446" s="24" t="s">
        <v>12</v>
      </c>
      <c r="F446" s="25">
        <v>195600</v>
      </c>
    </row>
    <row r="447" spans="2:6">
      <c r="B447" s="13" t="s">
        <v>1333</v>
      </c>
      <c r="C447" s="29" t="s">
        <v>1334</v>
      </c>
      <c r="D447" s="13" t="s">
        <v>1335</v>
      </c>
      <c r="E447" s="24" t="s">
        <v>12</v>
      </c>
      <c r="F447" s="25">
        <v>223578</v>
      </c>
    </row>
    <row r="448" spans="2:6">
      <c r="B448" s="13" t="s">
        <v>1336</v>
      </c>
      <c r="C448" s="29" t="s">
        <v>1337</v>
      </c>
      <c r="D448" s="13" t="s">
        <v>1338</v>
      </c>
      <c r="E448" s="24" t="s">
        <v>12</v>
      </c>
      <c r="F448" s="25">
        <v>289000</v>
      </c>
    </row>
    <row r="449" spans="2:6">
      <c r="B449" s="13" t="s">
        <v>1339</v>
      </c>
      <c r="C449" s="29" t="s">
        <v>1340</v>
      </c>
      <c r="D449" s="13" t="s">
        <v>1341</v>
      </c>
      <c r="E449" s="24" t="s">
        <v>12</v>
      </c>
      <c r="F449" s="25">
        <v>715000</v>
      </c>
    </row>
    <row r="450" spans="2:6">
      <c r="B450" s="13" t="s">
        <v>1342</v>
      </c>
      <c r="C450" s="29" t="s">
        <v>1343</v>
      </c>
      <c r="D450" s="13" t="s">
        <v>1344</v>
      </c>
      <c r="E450" s="24" t="s">
        <v>12</v>
      </c>
      <c r="F450" s="25">
        <v>617500</v>
      </c>
    </row>
    <row r="451" spans="2:6">
      <c r="B451" s="13" t="s">
        <v>1345</v>
      </c>
      <c r="C451" s="29" t="s">
        <v>1346</v>
      </c>
      <c r="D451" s="13" t="s">
        <v>1347</v>
      </c>
      <c r="E451" s="24" t="s">
        <v>12</v>
      </c>
      <c r="F451" s="25">
        <v>846799.99999999988</v>
      </c>
    </row>
    <row r="452" spans="2:6">
      <c r="B452" s="13" t="s">
        <v>1348</v>
      </c>
      <c r="C452" s="29" t="s">
        <v>1349</v>
      </c>
      <c r="D452" s="13" t="s">
        <v>1350</v>
      </c>
      <c r="E452" s="24" t="s">
        <v>12</v>
      </c>
      <c r="F452" s="25">
        <v>1250000</v>
      </c>
    </row>
    <row r="453" spans="2:6">
      <c r="B453" s="13" t="s">
        <v>1351</v>
      </c>
      <c r="C453" s="29" t="s">
        <v>1352</v>
      </c>
      <c r="D453" s="13" t="s">
        <v>1353</v>
      </c>
      <c r="E453" s="24" t="s">
        <v>12</v>
      </c>
      <c r="F453" s="25">
        <v>3190000</v>
      </c>
    </row>
    <row r="454" spans="2:6">
      <c r="B454" s="13" t="s">
        <v>1354</v>
      </c>
      <c r="C454" s="29" t="s">
        <v>1355</v>
      </c>
      <c r="D454" s="13" t="s">
        <v>1356</v>
      </c>
      <c r="E454" s="24" t="s">
        <v>12</v>
      </c>
      <c r="F454" s="25">
        <v>2459200</v>
      </c>
    </row>
    <row r="455" spans="2:6">
      <c r="B455" s="13" t="s">
        <v>1357</v>
      </c>
      <c r="C455" s="29" t="s">
        <v>1358</v>
      </c>
      <c r="D455" s="13" t="s">
        <v>1359</v>
      </c>
      <c r="E455" s="24" t="s">
        <v>12</v>
      </c>
      <c r="F455" s="25">
        <v>414004.5</v>
      </c>
    </row>
    <row r="456" spans="2:6">
      <c r="B456" s="13" t="s">
        <v>1360</v>
      </c>
      <c r="C456" s="29" t="s">
        <v>1361</v>
      </c>
      <c r="D456" s="13" t="s">
        <v>1362</v>
      </c>
      <c r="E456" s="24" t="s">
        <v>12</v>
      </c>
      <c r="F456" s="25">
        <v>115000</v>
      </c>
    </row>
    <row r="457" spans="2:6">
      <c r="B457" s="13" t="s">
        <v>1363</v>
      </c>
      <c r="C457" s="23" t="s">
        <v>1364</v>
      </c>
      <c r="D457" s="13" t="s">
        <v>1365</v>
      </c>
      <c r="E457" s="24" t="s">
        <v>12</v>
      </c>
      <c r="F457" s="25">
        <v>12080</v>
      </c>
    </row>
    <row r="458" spans="2:6">
      <c r="B458" s="13" t="s">
        <v>1366</v>
      </c>
      <c r="C458" s="23" t="s">
        <v>1367</v>
      </c>
      <c r="D458" s="13" t="s">
        <v>1368</v>
      </c>
      <c r="E458" s="24" t="s">
        <v>12</v>
      </c>
      <c r="F458" s="25">
        <v>12330</v>
      </c>
    </row>
    <row r="459" spans="2:6">
      <c r="B459" s="13" t="s">
        <v>1369</v>
      </c>
      <c r="C459" s="23" t="s">
        <v>1370</v>
      </c>
      <c r="D459" s="13" t="s">
        <v>1371</v>
      </c>
      <c r="E459" s="24" t="s">
        <v>12</v>
      </c>
      <c r="F459" s="25">
        <v>12700</v>
      </c>
    </row>
    <row r="460" spans="2:6">
      <c r="B460" s="13" t="s">
        <v>1372</v>
      </c>
      <c r="C460" s="29" t="s">
        <v>1373</v>
      </c>
      <c r="D460" s="13" t="s">
        <v>1374</v>
      </c>
      <c r="E460" s="24" t="s">
        <v>1375</v>
      </c>
      <c r="F460" s="25">
        <v>50000</v>
      </c>
    </row>
    <row r="461" spans="2:6">
      <c r="B461" s="13" t="s">
        <v>1376</v>
      </c>
      <c r="C461" s="23" t="s">
        <v>1377</v>
      </c>
      <c r="D461" s="13" t="s">
        <v>1378</v>
      </c>
      <c r="E461" s="24" t="s">
        <v>1379</v>
      </c>
      <c r="F461" s="25">
        <v>250000</v>
      </c>
    </row>
    <row r="462" spans="2:6">
      <c r="B462" s="13" t="s">
        <v>1380</v>
      </c>
      <c r="C462" s="23" t="s">
        <v>1381</v>
      </c>
      <c r="D462" s="13" t="s">
        <v>1382</v>
      </c>
      <c r="E462" s="24" t="s">
        <v>1379</v>
      </c>
      <c r="F462" s="25">
        <v>280000</v>
      </c>
    </row>
    <row r="463" spans="2:6">
      <c r="B463" s="13" t="s">
        <v>1383</v>
      </c>
      <c r="C463" s="23" t="s">
        <v>1384</v>
      </c>
      <c r="D463" s="13" t="s">
        <v>1385</v>
      </c>
      <c r="E463" s="24" t="s">
        <v>1379</v>
      </c>
      <c r="F463" s="25">
        <v>395000</v>
      </c>
    </row>
    <row r="464" spans="2:6">
      <c r="B464" s="13" t="s">
        <v>1386</v>
      </c>
      <c r="C464" s="23" t="s">
        <v>1387</v>
      </c>
      <c r="D464" s="13" t="s">
        <v>1388</v>
      </c>
      <c r="E464" s="24" t="s">
        <v>1379</v>
      </c>
      <c r="F464" s="25">
        <v>420000</v>
      </c>
    </row>
    <row r="465" spans="2:6">
      <c r="B465" s="13" t="s">
        <v>1389</v>
      </c>
      <c r="C465" s="31" t="s">
        <v>1390</v>
      </c>
      <c r="D465" s="13" t="s">
        <v>1391</v>
      </c>
      <c r="E465" s="24" t="s">
        <v>12</v>
      </c>
      <c r="F465" s="25">
        <v>176330</v>
      </c>
    </row>
    <row r="466" spans="2:6">
      <c r="B466" s="13" t="s">
        <v>1392</v>
      </c>
      <c r="C466" s="31" t="s">
        <v>1393</v>
      </c>
      <c r="D466" s="13" t="s">
        <v>1394</v>
      </c>
      <c r="E466" s="24" t="s">
        <v>12</v>
      </c>
      <c r="F466" s="25">
        <v>7539.9999999999991</v>
      </c>
    </row>
    <row r="467" spans="2:6">
      <c r="B467" s="13" t="s">
        <v>1395</v>
      </c>
      <c r="C467" s="31" t="s">
        <v>1396</v>
      </c>
      <c r="D467" s="13" t="s">
        <v>1397</v>
      </c>
      <c r="E467" s="24" t="s">
        <v>12</v>
      </c>
      <c r="F467" s="25">
        <v>110165.00000000001</v>
      </c>
    </row>
    <row r="468" spans="2:6">
      <c r="B468" s="13" t="s">
        <v>1398</v>
      </c>
      <c r="C468" s="29" t="s">
        <v>1399</v>
      </c>
      <c r="D468" s="13" t="s">
        <v>1400</v>
      </c>
      <c r="E468" s="24" t="s">
        <v>1401</v>
      </c>
      <c r="F468" s="25">
        <v>2006.336</v>
      </c>
    </row>
    <row r="469" spans="2:6">
      <c r="B469" s="13" t="s">
        <v>1402</v>
      </c>
      <c r="C469" s="29" t="s">
        <v>1403</v>
      </c>
      <c r="D469" s="13" t="s">
        <v>1404</v>
      </c>
      <c r="E469" s="24" t="s">
        <v>1401</v>
      </c>
      <c r="F469" s="25">
        <v>1291.3119999999999</v>
      </c>
    </row>
    <row r="470" spans="2:6">
      <c r="B470" s="13" t="s">
        <v>1405</v>
      </c>
      <c r="C470" s="29" t="s">
        <v>1406</v>
      </c>
      <c r="D470" s="13" t="s">
        <v>1407</v>
      </c>
      <c r="E470" s="24" t="s">
        <v>1401</v>
      </c>
      <c r="F470" s="25">
        <v>2512.0959999999995</v>
      </c>
    </row>
    <row r="471" spans="2:6">
      <c r="B471" s="13" t="s">
        <v>1408</v>
      </c>
      <c r="C471" s="29" t="s">
        <v>1409</v>
      </c>
      <c r="D471" s="13" t="s">
        <v>1410</v>
      </c>
      <c r="E471" s="24" t="s">
        <v>1401</v>
      </c>
      <c r="F471" s="25">
        <v>863.96800000000007</v>
      </c>
    </row>
    <row r="472" spans="2:6">
      <c r="B472" s="13" t="s">
        <v>1411</v>
      </c>
      <c r="C472" s="29" t="s">
        <v>1412</v>
      </c>
      <c r="D472" s="13" t="s">
        <v>1413</v>
      </c>
      <c r="E472" s="24" t="s">
        <v>1401</v>
      </c>
      <c r="F472" s="25">
        <v>2775</v>
      </c>
    </row>
    <row r="473" spans="2:6">
      <c r="B473" s="13" t="s">
        <v>1414</v>
      </c>
      <c r="C473" s="29" t="s">
        <v>1415</v>
      </c>
      <c r="D473" s="13" t="s">
        <v>1416</v>
      </c>
      <c r="E473" s="24" t="s">
        <v>1401</v>
      </c>
      <c r="F473" s="25">
        <v>32183.968000000001</v>
      </c>
    </row>
    <row r="474" spans="2:6">
      <c r="B474" s="13" t="s">
        <v>1417</v>
      </c>
      <c r="C474" s="29" t="s">
        <v>1418</v>
      </c>
      <c r="D474" s="13" t="s">
        <v>1419</v>
      </c>
      <c r="E474" s="24" t="s">
        <v>1401</v>
      </c>
      <c r="F474" s="25">
        <v>24759.504000000001</v>
      </c>
    </row>
    <row r="475" spans="2:6">
      <c r="B475" s="13" t="s">
        <v>1420</v>
      </c>
      <c r="C475" s="29" t="s">
        <v>1421</v>
      </c>
      <c r="D475" s="13" t="s">
        <v>1422</v>
      </c>
      <c r="E475" s="24" t="s">
        <v>1401</v>
      </c>
      <c r="F475" s="25">
        <v>37824.815999999999</v>
      </c>
    </row>
    <row r="476" spans="2:6">
      <c r="B476" s="13" t="s">
        <v>1423</v>
      </c>
      <c r="C476" s="29" t="s">
        <v>1424</v>
      </c>
      <c r="D476" s="13" t="s">
        <v>1425</v>
      </c>
      <c r="E476" s="24" t="s">
        <v>1401</v>
      </c>
      <c r="F476" s="25">
        <v>0</v>
      </c>
    </row>
    <row r="477" spans="2:6">
      <c r="B477" s="13" t="s">
        <v>1426</v>
      </c>
      <c r="C477" s="29" t="s">
        <v>1427</v>
      </c>
      <c r="D477" s="13" t="s">
        <v>1428</v>
      </c>
      <c r="E477" s="24" t="s">
        <v>1401</v>
      </c>
      <c r="F477" s="25">
        <v>0</v>
      </c>
    </row>
    <row r="478" spans="2:6">
      <c r="B478" s="13" t="s">
        <v>1429</v>
      </c>
      <c r="C478" s="29" t="s">
        <v>1430</v>
      </c>
      <c r="D478" s="13" t="s">
        <v>1431</v>
      </c>
      <c r="E478" s="24" t="s">
        <v>1401</v>
      </c>
      <c r="F478" s="25">
        <v>57216.767999999996</v>
      </c>
    </row>
    <row r="479" spans="2:6">
      <c r="B479" s="13" t="s">
        <v>1432</v>
      </c>
      <c r="C479" s="29" t="s">
        <v>1433</v>
      </c>
      <c r="D479" s="13" t="s">
        <v>1434</v>
      </c>
      <c r="E479" s="24" t="s">
        <v>1134</v>
      </c>
      <c r="F479" s="25">
        <v>8000</v>
      </c>
    </row>
    <row r="480" spans="2:6">
      <c r="B480" s="13" t="s">
        <v>1435</v>
      </c>
      <c r="C480" s="29" t="s">
        <v>1436</v>
      </c>
      <c r="D480" s="13" t="s">
        <v>1437</v>
      </c>
      <c r="E480" s="24" t="s">
        <v>1134</v>
      </c>
      <c r="F480" s="25">
        <v>12500</v>
      </c>
    </row>
    <row r="481" spans="2:6">
      <c r="B481" s="13" t="s">
        <v>1438</v>
      </c>
      <c r="C481" s="29" t="s">
        <v>1439</v>
      </c>
      <c r="D481" s="13" t="s">
        <v>1440</v>
      </c>
      <c r="E481" s="24" t="s">
        <v>1134</v>
      </c>
      <c r="F481" s="25">
        <v>14000</v>
      </c>
    </row>
    <row r="482" spans="2:6">
      <c r="B482" s="13" t="s">
        <v>1441</v>
      </c>
      <c r="C482" s="29" t="s">
        <v>1442</v>
      </c>
      <c r="D482" s="13" t="s">
        <v>1443</v>
      </c>
      <c r="E482" s="24" t="s">
        <v>1134</v>
      </c>
      <c r="F482" s="25">
        <v>22500</v>
      </c>
    </row>
    <row r="483" spans="2:6">
      <c r="B483" s="13" t="s">
        <v>1444</v>
      </c>
      <c r="C483" s="29" t="s">
        <v>1445</v>
      </c>
      <c r="D483" s="13" t="s">
        <v>1446</v>
      </c>
      <c r="E483" s="24" t="s">
        <v>1134</v>
      </c>
      <c r="F483" s="25">
        <v>43450</v>
      </c>
    </row>
    <row r="484" spans="2:6">
      <c r="B484" s="13" t="s">
        <v>1447</v>
      </c>
      <c r="C484" s="29" t="s">
        <v>1448</v>
      </c>
      <c r="D484" s="13" t="s">
        <v>1449</v>
      </c>
      <c r="E484" s="24" t="s">
        <v>1134</v>
      </c>
      <c r="F484" s="25">
        <v>8000</v>
      </c>
    </row>
    <row r="485" spans="2:6">
      <c r="B485" s="13" t="s">
        <v>1450</v>
      </c>
      <c r="C485" s="29" t="s">
        <v>1451</v>
      </c>
      <c r="D485" s="13" t="s">
        <v>1452</v>
      </c>
      <c r="E485" s="24" t="s">
        <v>1134</v>
      </c>
      <c r="F485" s="25">
        <v>12500</v>
      </c>
    </row>
    <row r="486" spans="2:6">
      <c r="B486" s="13" t="s">
        <v>1453</v>
      </c>
      <c r="C486" s="29" t="s">
        <v>1454</v>
      </c>
      <c r="D486" s="13" t="s">
        <v>1455</v>
      </c>
      <c r="E486" s="24" t="s">
        <v>1134</v>
      </c>
      <c r="F486" s="25">
        <v>14000</v>
      </c>
    </row>
    <row r="487" spans="2:6">
      <c r="B487" s="13" t="s">
        <v>1456</v>
      </c>
      <c r="C487" s="29" t="s">
        <v>1457</v>
      </c>
      <c r="D487" s="13" t="s">
        <v>1458</v>
      </c>
      <c r="E487" s="24" t="s">
        <v>1134</v>
      </c>
      <c r="F487" s="25">
        <v>22500</v>
      </c>
    </row>
    <row r="488" spans="2:6">
      <c r="B488" s="13" t="s">
        <v>1459</v>
      </c>
      <c r="C488" s="29" t="s">
        <v>1460</v>
      </c>
      <c r="D488" s="13" t="s">
        <v>1461</v>
      </c>
      <c r="E488" s="24" t="s">
        <v>1134</v>
      </c>
      <c r="F488" s="25">
        <v>43450</v>
      </c>
    </row>
    <row r="489" spans="2:6">
      <c r="B489" s="13" t="s">
        <v>1462</v>
      </c>
      <c r="C489" s="29" t="s">
        <v>1463</v>
      </c>
      <c r="D489" s="13" t="s">
        <v>1464</v>
      </c>
      <c r="E489" s="24" t="s">
        <v>1134</v>
      </c>
      <c r="F489" s="25">
        <v>8000</v>
      </c>
    </row>
    <row r="490" spans="2:6">
      <c r="B490" s="13" t="s">
        <v>1465</v>
      </c>
      <c r="C490" s="29" t="s">
        <v>1466</v>
      </c>
      <c r="D490" s="13" t="s">
        <v>1467</v>
      </c>
      <c r="E490" s="24" t="s">
        <v>1134</v>
      </c>
      <c r="F490" s="25">
        <v>12500</v>
      </c>
    </row>
    <row r="491" spans="2:6">
      <c r="B491" s="13" t="s">
        <v>1468</v>
      </c>
      <c r="C491" s="29" t="s">
        <v>1469</v>
      </c>
      <c r="D491" s="13" t="s">
        <v>1470</v>
      </c>
      <c r="E491" s="24" t="s">
        <v>1134</v>
      </c>
      <c r="F491" s="25">
        <v>14000</v>
      </c>
    </row>
    <row r="492" spans="2:6">
      <c r="B492" s="13" t="s">
        <v>1471</v>
      </c>
      <c r="C492" s="29" t="s">
        <v>1472</v>
      </c>
      <c r="D492" s="13" t="s">
        <v>1473</v>
      </c>
      <c r="E492" s="24" t="s">
        <v>1134</v>
      </c>
      <c r="F492" s="25">
        <v>22500</v>
      </c>
    </row>
    <row r="493" spans="2:6">
      <c r="B493" s="13" t="s">
        <v>1474</v>
      </c>
      <c r="C493" s="29" t="s">
        <v>1475</v>
      </c>
      <c r="D493" s="13" t="s">
        <v>1476</v>
      </c>
      <c r="E493" s="24" t="s">
        <v>1134</v>
      </c>
      <c r="F493" s="25">
        <v>43450</v>
      </c>
    </row>
    <row r="494" spans="2:6">
      <c r="B494" s="13" t="s">
        <v>1477</v>
      </c>
      <c r="C494" s="29" t="s">
        <v>1478</v>
      </c>
      <c r="D494" s="13" t="s">
        <v>1479</v>
      </c>
      <c r="E494" s="24" t="s">
        <v>1134</v>
      </c>
      <c r="F494" s="25">
        <v>8000</v>
      </c>
    </row>
    <row r="495" spans="2:6">
      <c r="B495" s="13" t="s">
        <v>1480</v>
      </c>
      <c r="C495" s="29" t="s">
        <v>1481</v>
      </c>
      <c r="D495" s="13" t="s">
        <v>1482</v>
      </c>
      <c r="E495" s="24" t="s">
        <v>1134</v>
      </c>
      <c r="F495" s="25">
        <v>12500</v>
      </c>
    </row>
    <row r="496" spans="2:6">
      <c r="B496" s="13" t="s">
        <v>1483</v>
      </c>
      <c r="C496" s="29" t="s">
        <v>1484</v>
      </c>
      <c r="D496" s="13" t="s">
        <v>1485</v>
      </c>
      <c r="E496" s="24" t="s">
        <v>1134</v>
      </c>
      <c r="F496" s="25">
        <v>14000</v>
      </c>
    </row>
    <row r="497" spans="2:6">
      <c r="B497" s="13" t="s">
        <v>1486</v>
      </c>
      <c r="C497" s="29" t="s">
        <v>1487</v>
      </c>
      <c r="D497" s="13" t="s">
        <v>1488</v>
      </c>
      <c r="E497" s="24" t="s">
        <v>1134</v>
      </c>
      <c r="F497" s="25">
        <v>22500</v>
      </c>
    </row>
    <row r="498" spans="2:6">
      <c r="B498" s="13" t="s">
        <v>1489</v>
      </c>
      <c r="C498" s="29" t="s">
        <v>1490</v>
      </c>
      <c r="D498" s="13" t="s">
        <v>1491</v>
      </c>
      <c r="E498" s="24" t="s">
        <v>1134</v>
      </c>
      <c r="F498" s="25">
        <v>43450</v>
      </c>
    </row>
    <row r="499" spans="2:6">
      <c r="B499" s="13" t="s">
        <v>1492</v>
      </c>
      <c r="C499" s="29" t="s">
        <v>1493</v>
      </c>
      <c r="D499" s="13" t="s">
        <v>1494</v>
      </c>
      <c r="E499" s="24" t="s">
        <v>1134</v>
      </c>
      <c r="F499" s="25">
        <v>16000</v>
      </c>
    </row>
    <row r="500" spans="2:6">
      <c r="B500" s="13" t="s">
        <v>1495</v>
      </c>
      <c r="C500" s="29" t="s">
        <v>1496</v>
      </c>
      <c r="D500" s="13" t="s">
        <v>1497</v>
      </c>
      <c r="E500" s="24" t="s">
        <v>1134</v>
      </c>
      <c r="F500" s="25">
        <v>18000</v>
      </c>
    </row>
    <row r="501" spans="2:6">
      <c r="B501" s="13" t="s">
        <v>1498</v>
      </c>
      <c r="C501" s="29" t="s">
        <v>1499</v>
      </c>
      <c r="D501" s="13" t="s">
        <v>1500</v>
      </c>
      <c r="E501" s="24" t="s">
        <v>1134</v>
      </c>
      <c r="F501" s="25">
        <v>23000</v>
      </c>
    </row>
    <row r="502" spans="2:6">
      <c r="B502" s="13" t="s">
        <v>1501</v>
      </c>
      <c r="C502" s="29" t="s">
        <v>1502</v>
      </c>
      <c r="D502" s="13" t="s">
        <v>1503</v>
      </c>
      <c r="E502" s="24" t="s">
        <v>1134</v>
      </c>
      <c r="F502" s="25">
        <v>31000</v>
      </c>
    </row>
    <row r="503" spans="2:6">
      <c r="B503" s="13" t="s">
        <v>1504</v>
      </c>
      <c r="C503" s="29" t="s">
        <v>1505</v>
      </c>
      <c r="D503" s="13" t="s">
        <v>1506</v>
      </c>
      <c r="E503" s="24" t="s">
        <v>1134</v>
      </c>
      <c r="F503" s="25">
        <v>65000</v>
      </c>
    </row>
    <row r="504" spans="2:6">
      <c r="B504" s="13" t="s">
        <v>1507</v>
      </c>
      <c r="C504" s="29" t="s">
        <v>1508</v>
      </c>
      <c r="D504" s="13" t="s">
        <v>1509</v>
      </c>
      <c r="E504" s="24" t="s">
        <v>1134</v>
      </c>
      <c r="F504" s="25">
        <v>16000</v>
      </c>
    </row>
    <row r="505" spans="2:6">
      <c r="B505" s="13" t="s">
        <v>1510</v>
      </c>
      <c r="C505" s="29" t="s">
        <v>1511</v>
      </c>
      <c r="D505" s="13" t="s">
        <v>1512</v>
      </c>
      <c r="E505" s="24" t="s">
        <v>1134</v>
      </c>
      <c r="F505" s="25">
        <v>18000</v>
      </c>
    </row>
    <row r="506" spans="2:6">
      <c r="B506" s="13" t="s">
        <v>1513</v>
      </c>
      <c r="C506" s="29" t="s">
        <v>1514</v>
      </c>
      <c r="D506" s="13" t="s">
        <v>1515</v>
      </c>
      <c r="E506" s="24" t="s">
        <v>1134</v>
      </c>
      <c r="F506" s="25">
        <v>23000</v>
      </c>
    </row>
    <row r="507" spans="2:6">
      <c r="B507" s="13" t="s">
        <v>1516</v>
      </c>
      <c r="C507" s="29" t="s">
        <v>1517</v>
      </c>
      <c r="D507" s="13" t="s">
        <v>1518</v>
      </c>
      <c r="E507" s="24" t="s">
        <v>1134</v>
      </c>
      <c r="F507" s="25">
        <v>31000</v>
      </c>
    </row>
    <row r="508" spans="2:6">
      <c r="B508" s="13" t="s">
        <v>1519</v>
      </c>
      <c r="C508" s="29" t="s">
        <v>1520</v>
      </c>
      <c r="D508" s="13" t="s">
        <v>1521</v>
      </c>
      <c r="E508" s="24" t="s">
        <v>1134</v>
      </c>
      <c r="F508" s="25">
        <v>65000</v>
      </c>
    </row>
    <row r="509" spans="2:6">
      <c r="B509" s="13" t="s">
        <v>1522</v>
      </c>
      <c r="C509" s="29" t="s">
        <v>1523</v>
      </c>
      <c r="D509" s="13" t="s">
        <v>1524</v>
      </c>
      <c r="E509" s="24" t="s">
        <v>1134</v>
      </c>
      <c r="F509" s="25">
        <v>16000</v>
      </c>
    </row>
    <row r="510" spans="2:6">
      <c r="B510" s="13" t="s">
        <v>1525</v>
      </c>
      <c r="C510" s="29" t="s">
        <v>1526</v>
      </c>
      <c r="D510" s="13" t="s">
        <v>1527</v>
      </c>
      <c r="E510" s="24" t="s">
        <v>1134</v>
      </c>
      <c r="F510" s="25">
        <v>18000</v>
      </c>
    </row>
    <row r="511" spans="2:6">
      <c r="B511" s="13" t="s">
        <v>1528</v>
      </c>
      <c r="C511" s="29" t="s">
        <v>1529</v>
      </c>
      <c r="D511" s="13" t="s">
        <v>1530</v>
      </c>
      <c r="E511" s="24" t="s">
        <v>1134</v>
      </c>
      <c r="F511" s="25">
        <v>23000</v>
      </c>
    </row>
    <row r="512" spans="2:6">
      <c r="B512" s="13" t="s">
        <v>1531</v>
      </c>
      <c r="C512" s="29" t="s">
        <v>1532</v>
      </c>
      <c r="D512" s="13" t="s">
        <v>1533</v>
      </c>
      <c r="E512" s="24" t="s">
        <v>1134</v>
      </c>
      <c r="F512" s="25">
        <v>31000</v>
      </c>
    </row>
    <row r="513" spans="2:6">
      <c r="B513" s="13" t="s">
        <v>1534</v>
      </c>
      <c r="C513" s="29" t="s">
        <v>1535</v>
      </c>
      <c r="D513" s="13" t="s">
        <v>1536</v>
      </c>
      <c r="E513" s="24" t="s">
        <v>1134</v>
      </c>
      <c r="F513" s="25">
        <v>65000</v>
      </c>
    </row>
    <row r="514" spans="2:6">
      <c r="B514" s="13" t="s">
        <v>1537</v>
      </c>
      <c r="C514" s="29" t="s">
        <v>1538</v>
      </c>
      <c r="D514" s="13" t="s">
        <v>1539</v>
      </c>
      <c r="E514" s="24" t="s">
        <v>1134</v>
      </c>
      <c r="F514" s="25">
        <v>18000</v>
      </c>
    </row>
    <row r="515" spans="2:6">
      <c r="B515" s="13" t="s">
        <v>1540</v>
      </c>
      <c r="C515" s="29" t="s">
        <v>1541</v>
      </c>
      <c r="D515" s="13" t="s">
        <v>1542</v>
      </c>
      <c r="E515" s="24" t="s">
        <v>1134</v>
      </c>
      <c r="F515" s="25">
        <v>21000</v>
      </c>
    </row>
    <row r="516" spans="2:6">
      <c r="B516" s="13" t="s">
        <v>1543</v>
      </c>
      <c r="C516" s="29" t="s">
        <v>1544</v>
      </c>
      <c r="D516" s="13" t="s">
        <v>1545</v>
      </c>
      <c r="E516" s="24" t="s">
        <v>1134</v>
      </c>
      <c r="F516" s="25">
        <v>28000</v>
      </c>
    </row>
    <row r="517" spans="2:6">
      <c r="B517" s="13" t="s">
        <v>1546</v>
      </c>
      <c r="C517" s="29" t="s">
        <v>1547</v>
      </c>
      <c r="D517" s="13" t="s">
        <v>1548</v>
      </c>
      <c r="E517" s="24" t="s">
        <v>1134</v>
      </c>
      <c r="F517" s="25">
        <v>36000</v>
      </c>
    </row>
    <row r="518" spans="2:6">
      <c r="B518" s="13" t="s">
        <v>1549</v>
      </c>
      <c r="C518" s="29" t="s">
        <v>1550</v>
      </c>
      <c r="D518" s="13" t="s">
        <v>1551</v>
      </c>
      <c r="E518" s="24" t="s">
        <v>1134</v>
      </c>
      <c r="F518" s="25">
        <v>67000</v>
      </c>
    </row>
    <row r="519" spans="2:6">
      <c r="B519" s="13" t="s">
        <v>1552</v>
      </c>
      <c r="C519" s="23" t="s">
        <v>1553</v>
      </c>
      <c r="D519" s="13" t="s">
        <v>1554</v>
      </c>
      <c r="E519" s="24" t="s">
        <v>12</v>
      </c>
      <c r="F519" s="25">
        <v>11000</v>
      </c>
    </row>
    <row r="520" spans="2:6">
      <c r="B520" s="13" t="s">
        <v>1555</v>
      </c>
      <c r="C520" s="23" t="s">
        <v>1556</v>
      </c>
      <c r="D520" s="13" t="s">
        <v>1557</v>
      </c>
      <c r="E520" s="24" t="s">
        <v>12</v>
      </c>
      <c r="F520" s="25">
        <v>11000</v>
      </c>
    </row>
    <row r="521" spans="2:6">
      <c r="B521" s="13" t="s">
        <v>1558</v>
      </c>
      <c r="C521" s="23" t="s">
        <v>1559</v>
      </c>
      <c r="D521" s="13" t="s">
        <v>1560</v>
      </c>
      <c r="E521" s="24" t="s">
        <v>12</v>
      </c>
      <c r="F521" s="25">
        <v>6000</v>
      </c>
    </row>
    <row r="522" spans="2:6">
      <c r="B522" s="13" t="s">
        <v>1561</v>
      </c>
      <c r="C522" s="23" t="s">
        <v>1562</v>
      </c>
      <c r="D522" s="13" t="s">
        <v>1563</v>
      </c>
      <c r="E522" s="24" t="s">
        <v>12</v>
      </c>
      <c r="F522" s="25">
        <v>20000</v>
      </c>
    </row>
    <row r="523" spans="2:6">
      <c r="B523" s="13" t="s">
        <v>1564</v>
      </c>
      <c r="C523" s="23" t="s">
        <v>1565</v>
      </c>
      <c r="D523" s="13" t="s">
        <v>1566</v>
      </c>
      <c r="E523" s="24" t="s">
        <v>12</v>
      </c>
      <c r="F523" s="25">
        <v>35000</v>
      </c>
    </row>
    <row r="524" spans="2:6">
      <c r="B524" s="13" t="s">
        <v>1567</v>
      </c>
      <c r="C524" s="23" t="s">
        <v>1568</v>
      </c>
      <c r="D524" s="13" t="s">
        <v>1569</v>
      </c>
      <c r="E524" s="24" t="s">
        <v>12</v>
      </c>
      <c r="F524" s="25">
        <v>90000</v>
      </c>
    </row>
    <row r="525" spans="2:6">
      <c r="B525" s="13" t="s">
        <v>1570</v>
      </c>
      <c r="C525" s="23" t="s">
        <v>1571</v>
      </c>
      <c r="D525" s="13" t="s">
        <v>1572</v>
      </c>
      <c r="E525" s="24" t="s">
        <v>12</v>
      </c>
      <c r="F525" s="25">
        <v>8000</v>
      </c>
    </row>
    <row r="526" spans="2:6">
      <c r="B526" s="13" t="s">
        <v>1573</v>
      </c>
      <c r="C526" s="23" t="s">
        <v>1574</v>
      </c>
      <c r="D526" s="13" t="s">
        <v>1575</v>
      </c>
      <c r="E526" s="24" t="s">
        <v>12</v>
      </c>
      <c r="F526" s="25">
        <v>79000</v>
      </c>
    </row>
    <row r="527" spans="2:6">
      <c r="B527" s="13" t="s">
        <v>1576</v>
      </c>
      <c r="C527" s="23" t="s">
        <v>1577</v>
      </c>
      <c r="D527" s="13" t="s">
        <v>1578</v>
      </c>
      <c r="E527" s="24" t="s">
        <v>12</v>
      </c>
      <c r="F527" s="25">
        <v>85000</v>
      </c>
    </row>
    <row r="528" spans="2:6">
      <c r="B528" s="13" t="s">
        <v>1579</v>
      </c>
      <c r="C528" s="23" t="s">
        <v>1580</v>
      </c>
      <c r="D528" s="13" t="s">
        <v>1581</v>
      </c>
      <c r="E528" s="24" t="s">
        <v>12</v>
      </c>
      <c r="F528" s="25">
        <v>110000</v>
      </c>
    </row>
    <row r="529" spans="2:6">
      <c r="B529" s="13" t="s">
        <v>1582</v>
      </c>
      <c r="C529" s="23" t="s">
        <v>1583</v>
      </c>
      <c r="D529" s="13" t="s">
        <v>1584</v>
      </c>
      <c r="E529" s="24" t="s">
        <v>12</v>
      </c>
      <c r="F529" s="25">
        <v>150000</v>
      </c>
    </row>
    <row r="530" spans="2:6">
      <c r="B530" s="13" t="s">
        <v>1585</v>
      </c>
      <c r="C530" s="23" t="s">
        <v>1586</v>
      </c>
      <c r="D530" s="13" t="s">
        <v>1587</v>
      </c>
      <c r="E530" s="24" t="s">
        <v>12</v>
      </c>
      <c r="F530" s="25">
        <v>170000</v>
      </c>
    </row>
    <row r="531" spans="2:6">
      <c r="B531" s="13" t="s">
        <v>1588</v>
      </c>
      <c r="C531" s="23" t="s">
        <v>1589</v>
      </c>
      <c r="D531" s="13" t="s">
        <v>1590</v>
      </c>
      <c r="E531" s="24" t="s">
        <v>12</v>
      </c>
      <c r="F531" s="25">
        <v>49392.000000000015</v>
      </c>
    </row>
    <row r="532" spans="2:6">
      <c r="B532" s="13" t="s">
        <v>1591</v>
      </c>
      <c r="C532" s="23" t="s">
        <v>1592</v>
      </c>
      <c r="D532" s="13" t="s">
        <v>1593</v>
      </c>
      <c r="E532" s="24" t="s">
        <v>12</v>
      </c>
      <c r="F532" s="25">
        <v>40622.400000000009</v>
      </c>
    </row>
    <row r="533" spans="2:6">
      <c r="B533" s="13" t="s">
        <v>1594</v>
      </c>
      <c r="C533" s="23" t="s">
        <v>1595</v>
      </c>
      <c r="D533" s="13" t="s">
        <v>1596</v>
      </c>
      <c r="E533" s="24" t="s">
        <v>12</v>
      </c>
      <c r="F533" s="25">
        <v>27619.200000000008</v>
      </c>
    </row>
    <row r="534" spans="2:6">
      <c r="B534" s="13" t="s">
        <v>1597</v>
      </c>
      <c r="C534" s="23" t="s">
        <v>1598</v>
      </c>
      <c r="D534" s="13" t="s">
        <v>1599</v>
      </c>
      <c r="E534" s="24" t="s">
        <v>12</v>
      </c>
      <c r="F534" s="25">
        <v>16128.000000000004</v>
      </c>
    </row>
    <row r="535" spans="2:6">
      <c r="B535" s="13" t="s">
        <v>1600</v>
      </c>
      <c r="C535" s="23" t="s">
        <v>1601</v>
      </c>
      <c r="D535" s="13" t="s">
        <v>1602</v>
      </c>
      <c r="E535" s="24" t="s">
        <v>12</v>
      </c>
      <c r="F535" s="25">
        <v>80841.60000000002</v>
      </c>
    </row>
    <row r="536" spans="2:6">
      <c r="B536" s="13" t="s">
        <v>1603</v>
      </c>
      <c r="C536" s="23" t="s">
        <v>1604</v>
      </c>
      <c r="D536" s="13" t="s">
        <v>1605</v>
      </c>
      <c r="E536" s="24" t="s">
        <v>12</v>
      </c>
      <c r="F536" s="25">
        <v>257040.00000000006</v>
      </c>
    </row>
    <row r="537" spans="2:6">
      <c r="B537" s="13" t="s">
        <v>1606</v>
      </c>
      <c r="C537" s="23" t="s">
        <v>1607</v>
      </c>
      <c r="D537" s="13" t="s">
        <v>1608</v>
      </c>
      <c r="E537" s="24" t="s">
        <v>12</v>
      </c>
      <c r="F537" s="25">
        <v>21571.200000000004</v>
      </c>
    </row>
    <row r="538" spans="2:6">
      <c r="B538" s="13" t="s">
        <v>1609</v>
      </c>
      <c r="C538" s="23" t="s">
        <v>1610</v>
      </c>
      <c r="D538" s="13" t="s">
        <v>1611</v>
      </c>
      <c r="E538" s="24" t="s">
        <v>12</v>
      </c>
      <c r="F538" s="25">
        <v>423360.00000000012</v>
      </c>
    </row>
    <row r="539" spans="2:6">
      <c r="B539" s="13" t="s">
        <v>1612</v>
      </c>
      <c r="C539" s="23" t="s">
        <v>1613</v>
      </c>
      <c r="D539" s="13" t="s">
        <v>1614</v>
      </c>
      <c r="E539" s="24" t="s">
        <v>12</v>
      </c>
      <c r="F539" s="25">
        <v>14499.999999999998</v>
      </c>
    </row>
    <row r="540" spans="2:6">
      <c r="B540" s="13" t="s">
        <v>1615</v>
      </c>
      <c r="C540" s="23" t="s">
        <v>1616</v>
      </c>
      <c r="D540" s="13" t="s">
        <v>1617</v>
      </c>
      <c r="E540" s="24" t="s">
        <v>12</v>
      </c>
      <c r="F540" s="25">
        <v>14499.999999999998</v>
      </c>
    </row>
    <row r="541" spans="2:6">
      <c r="B541" s="13" t="s">
        <v>1618</v>
      </c>
      <c r="C541" s="23" t="s">
        <v>1619</v>
      </c>
      <c r="D541" s="13" t="s">
        <v>1620</v>
      </c>
      <c r="E541" s="24" t="s">
        <v>12</v>
      </c>
      <c r="F541" s="25">
        <v>14499.999999999998</v>
      </c>
    </row>
    <row r="542" spans="2:6">
      <c r="B542" s="13" t="s">
        <v>1621</v>
      </c>
      <c r="C542" s="23" t="s">
        <v>1622</v>
      </c>
      <c r="D542" s="13" t="s">
        <v>1623</v>
      </c>
      <c r="E542" s="24" t="s">
        <v>12</v>
      </c>
      <c r="F542" s="25">
        <v>23200</v>
      </c>
    </row>
    <row r="543" spans="2:6">
      <c r="B543" s="13" t="s">
        <v>1624</v>
      </c>
      <c r="C543" s="23" t="s">
        <v>1625</v>
      </c>
      <c r="D543" s="13" t="s">
        <v>1626</v>
      </c>
      <c r="E543" s="24" t="s">
        <v>12</v>
      </c>
      <c r="F543" s="25">
        <v>40600</v>
      </c>
    </row>
    <row r="544" spans="2:6">
      <c r="B544" s="13" t="s">
        <v>1627</v>
      </c>
      <c r="C544" s="23" t="s">
        <v>1628</v>
      </c>
      <c r="D544" s="13" t="s">
        <v>1629</v>
      </c>
      <c r="E544" s="24" t="s">
        <v>12</v>
      </c>
      <c r="F544" s="25">
        <v>203000</v>
      </c>
    </row>
    <row r="545" spans="2:6">
      <c r="B545" s="13" t="s">
        <v>1630</v>
      </c>
      <c r="C545" s="23" t="s">
        <v>1631</v>
      </c>
      <c r="D545" s="13" t="s">
        <v>1632</v>
      </c>
      <c r="E545" s="24" t="s">
        <v>12</v>
      </c>
      <c r="F545" s="25">
        <v>13050</v>
      </c>
    </row>
    <row r="546" spans="2:6">
      <c r="B546" s="13" t="s">
        <v>1633</v>
      </c>
      <c r="C546" s="23" t="s">
        <v>1634</v>
      </c>
      <c r="D546" s="13" t="s">
        <v>1635</v>
      </c>
      <c r="E546" s="24" t="s">
        <v>12</v>
      </c>
      <c r="F546" s="25">
        <v>0</v>
      </c>
    </row>
    <row r="547" spans="2:6">
      <c r="B547" s="13" t="s">
        <v>1636</v>
      </c>
      <c r="C547" s="23" t="s">
        <v>1637</v>
      </c>
      <c r="D547" s="13" t="s">
        <v>1638</v>
      </c>
      <c r="E547" s="24" t="s">
        <v>12</v>
      </c>
      <c r="F547" s="25">
        <v>20000</v>
      </c>
    </row>
    <row r="548" spans="2:6">
      <c r="B548" s="13" t="s">
        <v>1639</v>
      </c>
      <c r="C548" s="30" t="s">
        <v>1640</v>
      </c>
      <c r="D548" s="13" t="s">
        <v>1641</v>
      </c>
      <c r="E548" s="24" t="s">
        <v>12</v>
      </c>
      <c r="F548" s="25">
        <v>23000</v>
      </c>
    </row>
    <row r="549" spans="2:6">
      <c r="B549" s="13" t="s">
        <v>1642</v>
      </c>
      <c r="C549" s="30" t="s">
        <v>1643</v>
      </c>
      <c r="D549" s="13" t="s">
        <v>1644</v>
      </c>
      <c r="E549" s="24" t="s">
        <v>12</v>
      </c>
      <c r="F549" s="25">
        <v>55000</v>
      </c>
    </row>
    <row r="550" spans="2:6">
      <c r="B550" s="13" t="s">
        <v>1645</v>
      </c>
      <c r="C550" s="30" t="s">
        <v>1646</v>
      </c>
      <c r="D550" s="13" t="s">
        <v>1647</v>
      </c>
      <c r="E550" s="24" t="s">
        <v>12</v>
      </c>
      <c r="F550" s="25">
        <v>35000</v>
      </c>
    </row>
    <row r="551" spans="2:6">
      <c r="B551" s="13" t="s">
        <v>1648</v>
      </c>
      <c r="C551" s="23" t="s">
        <v>1649</v>
      </c>
      <c r="D551" s="13" t="s">
        <v>1650</v>
      </c>
      <c r="E551" s="24" t="s">
        <v>12</v>
      </c>
      <c r="F551" s="25">
        <v>619.36</v>
      </c>
    </row>
    <row r="552" spans="2:6">
      <c r="B552" s="13" t="s">
        <v>1651</v>
      </c>
      <c r="C552" s="23" t="s">
        <v>1652</v>
      </c>
      <c r="D552" s="13" t="s">
        <v>1653</v>
      </c>
      <c r="E552" s="24" t="s">
        <v>12</v>
      </c>
      <c r="F552" s="25">
        <v>150000</v>
      </c>
    </row>
    <row r="553" spans="2:6">
      <c r="B553" s="13" t="s">
        <v>1654</v>
      </c>
      <c r="C553" s="23" t="s">
        <v>1655</v>
      </c>
      <c r="D553" s="13" t="s">
        <v>1656</v>
      </c>
      <c r="E553" s="24" t="s">
        <v>12</v>
      </c>
      <c r="F553" s="25">
        <v>15000</v>
      </c>
    </row>
    <row r="554" spans="2:6">
      <c r="B554" s="13" t="s">
        <v>1657</v>
      </c>
      <c r="C554" s="23" t="s">
        <v>1658</v>
      </c>
      <c r="D554" s="13" t="s">
        <v>1659</v>
      </c>
      <c r="E554" s="24" t="s">
        <v>12</v>
      </c>
      <c r="F554" s="25">
        <v>1776.3200000000002</v>
      </c>
    </row>
    <row r="555" spans="2:6">
      <c r="B555" s="13" t="s">
        <v>1660</v>
      </c>
      <c r="C555" s="23" t="s">
        <v>1661</v>
      </c>
      <c r="D555" s="13" t="s">
        <v>1662</v>
      </c>
      <c r="E555" s="24" t="s">
        <v>12</v>
      </c>
      <c r="F555" s="25">
        <v>996.80000000000007</v>
      </c>
    </row>
    <row r="556" spans="2:6">
      <c r="B556" s="13" t="s">
        <v>1663</v>
      </c>
      <c r="C556" s="23" t="s">
        <v>1664</v>
      </c>
      <c r="D556" s="13" t="s">
        <v>1665</v>
      </c>
      <c r="E556" s="24" t="s">
        <v>12</v>
      </c>
      <c r="F556" s="25">
        <v>407.68000000000006</v>
      </c>
    </row>
    <row r="557" spans="2:6">
      <c r="B557" s="13" t="s">
        <v>1666</v>
      </c>
      <c r="C557" s="23" t="s">
        <v>1667</v>
      </c>
      <c r="D557" s="13" t="s">
        <v>1668</v>
      </c>
      <c r="E557" s="24" t="s">
        <v>12</v>
      </c>
      <c r="F557" s="25">
        <v>2640.96</v>
      </c>
    </row>
    <row r="558" spans="2:6">
      <c r="B558" s="13" t="s">
        <v>1669</v>
      </c>
      <c r="C558" s="23" t="s">
        <v>1670</v>
      </c>
      <c r="D558" s="13" t="s">
        <v>1671</v>
      </c>
      <c r="E558" s="24" t="s">
        <v>12</v>
      </c>
      <c r="F558" s="25">
        <v>3661.28</v>
      </c>
    </row>
    <row r="559" spans="2:6">
      <c r="B559" s="13" t="s">
        <v>1672</v>
      </c>
      <c r="C559" s="23" t="s">
        <v>1673</v>
      </c>
      <c r="D559" s="13" t="s">
        <v>1674</v>
      </c>
      <c r="E559" s="24" t="s">
        <v>12</v>
      </c>
      <c r="F559" s="25">
        <v>640.6400000000001</v>
      </c>
    </row>
    <row r="560" spans="2:6">
      <c r="B560" s="13" t="s">
        <v>1675</v>
      </c>
      <c r="C560" s="23" t="s">
        <v>1676</v>
      </c>
      <c r="D560" s="13" t="s">
        <v>1677</v>
      </c>
      <c r="E560" s="24" t="s">
        <v>12</v>
      </c>
      <c r="F560" s="25">
        <v>10983.84</v>
      </c>
    </row>
    <row r="561" spans="2:6">
      <c r="B561" s="13" t="s">
        <v>1678</v>
      </c>
      <c r="C561" s="23" t="s">
        <v>1679</v>
      </c>
      <c r="D561" s="13" t="s">
        <v>1680</v>
      </c>
      <c r="E561" s="24" t="s">
        <v>12</v>
      </c>
      <c r="F561" s="25">
        <v>19530</v>
      </c>
    </row>
    <row r="562" spans="2:6">
      <c r="B562" s="13" t="s">
        <v>1681</v>
      </c>
      <c r="C562" s="23" t="s">
        <v>1682</v>
      </c>
      <c r="D562" s="13" t="s">
        <v>1683</v>
      </c>
      <c r="E562" s="24" t="s">
        <v>12</v>
      </c>
      <c r="F562" s="25">
        <v>60480.000000000015</v>
      </c>
    </row>
    <row r="563" spans="2:6">
      <c r="B563" s="13" t="s">
        <v>1684</v>
      </c>
      <c r="C563" s="23" t="s">
        <v>1685</v>
      </c>
      <c r="D563" s="13" t="s">
        <v>1686</v>
      </c>
      <c r="E563" s="24" t="s">
        <v>12</v>
      </c>
      <c r="F563" s="25">
        <v>87696.000000000015</v>
      </c>
    </row>
    <row r="564" spans="2:6">
      <c r="B564" s="13" t="s">
        <v>1687</v>
      </c>
      <c r="C564" s="23" t="s">
        <v>1688</v>
      </c>
      <c r="D564" s="13" t="s">
        <v>1689</v>
      </c>
      <c r="E564" s="24" t="s">
        <v>12</v>
      </c>
      <c r="F564" s="25"/>
    </row>
    <row r="565" spans="2:6">
      <c r="B565" s="13" t="s">
        <v>1690</v>
      </c>
      <c r="C565" s="23" t="s">
        <v>1691</v>
      </c>
      <c r="D565" s="13" t="s">
        <v>1692</v>
      </c>
      <c r="E565" s="24" t="s">
        <v>12</v>
      </c>
      <c r="F565" s="25"/>
    </row>
    <row r="566" spans="2:6">
      <c r="B566" s="13" t="s">
        <v>1693</v>
      </c>
      <c r="C566" s="23" t="s">
        <v>1694</v>
      </c>
      <c r="D566" s="13" t="s">
        <v>1695</v>
      </c>
      <c r="E566" s="24" t="s">
        <v>12</v>
      </c>
      <c r="F566" s="25"/>
    </row>
    <row r="567" spans="2:6">
      <c r="B567" s="13" t="s">
        <v>1696</v>
      </c>
      <c r="C567" s="23" t="s">
        <v>1697</v>
      </c>
      <c r="D567" s="13" t="s">
        <v>1698</v>
      </c>
      <c r="E567" s="24" t="s">
        <v>12</v>
      </c>
      <c r="F567" s="25"/>
    </row>
    <row r="568" spans="2:6">
      <c r="B568" s="13" t="s">
        <v>1699</v>
      </c>
      <c r="C568" s="23" t="s">
        <v>1700</v>
      </c>
      <c r="D568" s="13" t="s">
        <v>1701</v>
      </c>
      <c r="E568" s="24" t="s">
        <v>12</v>
      </c>
      <c r="F568" s="25">
        <v>16800</v>
      </c>
    </row>
    <row r="569" spans="2:6">
      <c r="B569" s="13" t="s">
        <v>1702</v>
      </c>
      <c r="C569" s="23" t="s">
        <v>1703</v>
      </c>
      <c r="D569" s="13" t="s">
        <v>1704</v>
      </c>
      <c r="E569" s="24" t="s">
        <v>12</v>
      </c>
      <c r="F569" s="25">
        <v>14000</v>
      </c>
    </row>
    <row r="570" spans="2:6">
      <c r="B570" s="13" t="s">
        <v>1705</v>
      </c>
      <c r="C570" s="23" t="s">
        <v>1706</v>
      </c>
      <c r="D570" s="13" t="s">
        <v>1707</v>
      </c>
      <c r="E570" s="24" t="s">
        <v>12</v>
      </c>
      <c r="F570" s="25">
        <v>12000</v>
      </c>
    </row>
    <row r="571" spans="2:6">
      <c r="B571" s="13" t="s">
        <v>1708</v>
      </c>
      <c r="C571" s="23" t="s">
        <v>1709</v>
      </c>
      <c r="D571" s="13" t="s">
        <v>1710</v>
      </c>
      <c r="E571" s="24" t="s">
        <v>12</v>
      </c>
      <c r="F571" s="25">
        <v>3783.3600000000006</v>
      </c>
    </row>
    <row r="572" spans="2:6">
      <c r="B572" s="13" t="s">
        <v>1711</v>
      </c>
      <c r="C572" s="23" t="s">
        <v>1712</v>
      </c>
      <c r="D572" s="13" t="s">
        <v>1713</v>
      </c>
      <c r="E572" s="24" t="s">
        <v>12</v>
      </c>
      <c r="F572" s="25">
        <v>21840.000000000004</v>
      </c>
    </row>
    <row r="573" spans="2:6">
      <c r="B573" s="13" t="s">
        <v>1714</v>
      </c>
      <c r="C573" s="23" t="s">
        <v>1715</v>
      </c>
      <c r="D573" s="13" t="s">
        <v>1716</v>
      </c>
      <c r="E573" s="24" t="s">
        <v>12</v>
      </c>
      <c r="F573" s="25">
        <v>83326.880000000005</v>
      </c>
    </row>
    <row r="574" spans="2:6">
      <c r="B574" s="13" t="s">
        <v>1717</v>
      </c>
      <c r="C574" s="23" t="s">
        <v>1718</v>
      </c>
      <c r="D574" s="13" t="s">
        <v>1719</v>
      </c>
      <c r="E574" s="24" t="s">
        <v>12</v>
      </c>
      <c r="F574" s="25">
        <v>5081.4400000000005</v>
      </c>
    </row>
    <row r="575" spans="2:6">
      <c r="B575" s="13" t="s">
        <v>1720</v>
      </c>
      <c r="C575" s="23" t="s">
        <v>1721</v>
      </c>
      <c r="D575" s="13" t="s">
        <v>1722</v>
      </c>
      <c r="E575" s="24" t="s">
        <v>12</v>
      </c>
      <c r="F575" s="25">
        <v>350</v>
      </c>
    </row>
    <row r="576" spans="2:6">
      <c r="B576" s="13" t="s">
        <v>1723</v>
      </c>
      <c r="C576" s="23" t="s">
        <v>1724</v>
      </c>
      <c r="D576" s="13" t="s">
        <v>1725</v>
      </c>
      <c r="E576" s="24" t="s">
        <v>12</v>
      </c>
      <c r="F576" s="25">
        <v>450</v>
      </c>
    </row>
    <row r="577" spans="2:6">
      <c r="B577" s="13" t="s">
        <v>1726</v>
      </c>
      <c r="C577" s="23" t="s">
        <v>1727</v>
      </c>
      <c r="D577" s="13" t="s">
        <v>1728</v>
      </c>
      <c r="E577" s="24" t="s">
        <v>12</v>
      </c>
      <c r="F577" s="25">
        <v>650</v>
      </c>
    </row>
    <row r="578" spans="2:6">
      <c r="B578" s="13" t="s">
        <v>1729</v>
      </c>
      <c r="C578" s="23" t="s">
        <v>1730</v>
      </c>
      <c r="D578" s="13" t="s">
        <v>1731</v>
      </c>
      <c r="E578" s="24" t="s">
        <v>12</v>
      </c>
      <c r="F578" s="25">
        <v>800</v>
      </c>
    </row>
    <row r="579" spans="2:6">
      <c r="B579" s="13" t="s">
        <v>1732</v>
      </c>
      <c r="C579" s="23" t="s">
        <v>1733</v>
      </c>
      <c r="D579" s="13" t="s">
        <v>1734</v>
      </c>
      <c r="E579" s="24" t="s">
        <v>12</v>
      </c>
      <c r="F579" s="25">
        <v>650</v>
      </c>
    </row>
    <row r="580" spans="2:6">
      <c r="B580" s="13" t="s">
        <v>1735</v>
      </c>
      <c r="C580" s="23" t="s">
        <v>1736</v>
      </c>
      <c r="D580" s="13" t="s">
        <v>1737</v>
      </c>
      <c r="E580" s="24" t="s">
        <v>12</v>
      </c>
      <c r="F580" s="25">
        <v>1600</v>
      </c>
    </row>
    <row r="581" spans="2:6">
      <c r="B581" s="13" t="s">
        <v>1738</v>
      </c>
      <c r="C581" s="23" t="s">
        <v>1739</v>
      </c>
      <c r="D581" s="13" t="s">
        <v>1740</v>
      </c>
      <c r="E581" s="24" t="s">
        <v>12</v>
      </c>
      <c r="F581" s="25">
        <v>300</v>
      </c>
    </row>
    <row r="582" spans="2:6">
      <c r="B582" s="13" t="s">
        <v>1741</v>
      </c>
      <c r="C582" s="23" t="s">
        <v>1742</v>
      </c>
      <c r="D582" s="13" t="s">
        <v>1743</v>
      </c>
      <c r="E582" s="24" t="s">
        <v>12</v>
      </c>
      <c r="F582" s="25">
        <v>400</v>
      </c>
    </row>
    <row r="583" spans="2:6">
      <c r="B583" s="13" t="s">
        <v>1744</v>
      </c>
      <c r="C583" s="23" t="s">
        <v>1745</v>
      </c>
      <c r="D583" s="13" t="s">
        <v>1746</v>
      </c>
      <c r="E583" s="24" t="s">
        <v>12</v>
      </c>
      <c r="F583" s="25">
        <v>1000</v>
      </c>
    </row>
    <row r="584" spans="2:6">
      <c r="B584" s="13" t="s">
        <v>1747</v>
      </c>
      <c r="C584" s="23" t="s">
        <v>1748</v>
      </c>
      <c r="D584" s="13" t="s">
        <v>1749</v>
      </c>
      <c r="E584" s="24" t="s">
        <v>12</v>
      </c>
      <c r="F584" s="25">
        <v>2800</v>
      </c>
    </row>
    <row r="585" spans="2:6">
      <c r="B585" s="13" t="s">
        <v>1750</v>
      </c>
      <c r="C585" s="23" t="s">
        <v>1751</v>
      </c>
      <c r="D585" s="13" t="s">
        <v>1752</v>
      </c>
      <c r="E585" s="24" t="s">
        <v>12</v>
      </c>
      <c r="F585" s="25">
        <v>1900</v>
      </c>
    </row>
    <row r="586" spans="2:6">
      <c r="B586" s="13" t="s">
        <v>1753</v>
      </c>
      <c r="C586" s="23" t="s">
        <v>1754</v>
      </c>
      <c r="D586" s="13" t="s">
        <v>1755</v>
      </c>
      <c r="E586" s="24" t="s">
        <v>12</v>
      </c>
      <c r="F586" s="25">
        <v>6000</v>
      </c>
    </row>
    <row r="587" spans="2:6">
      <c r="B587" s="13" t="s">
        <v>1756</v>
      </c>
      <c r="C587" s="23" t="s">
        <v>1757</v>
      </c>
      <c r="D587" s="13" t="s">
        <v>1758</v>
      </c>
      <c r="E587" s="24" t="s">
        <v>12</v>
      </c>
      <c r="F587" s="25">
        <v>95000</v>
      </c>
    </row>
    <row r="588" spans="2:6">
      <c r="B588" s="13" t="s">
        <v>1759</v>
      </c>
      <c r="C588" s="23" t="s">
        <v>1760</v>
      </c>
      <c r="D588" s="13" t="s">
        <v>1761</v>
      </c>
      <c r="E588" s="24" t="s">
        <v>12</v>
      </c>
      <c r="F588" s="25">
        <v>495.48800000000006</v>
      </c>
    </row>
    <row r="589" spans="2:6">
      <c r="B589" s="13" t="s">
        <v>1762</v>
      </c>
      <c r="C589" s="23" t="s">
        <v>1763</v>
      </c>
      <c r="D589" s="13" t="s">
        <v>1764</v>
      </c>
      <c r="E589" s="24" t="s">
        <v>12</v>
      </c>
      <c r="F589" s="25">
        <v>14500</v>
      </c>
    </row>
    <row r="590" spans="2:6">
      <c r="B590" s="13" t="s">
        <v>1765</v>
      </c>
      <c r="C590" s="23" t="s">
        <v>1766</v>
      </c>
      <c r="D590" s="13" t="s">
        <v>1767</v>
      </c>
      <c r="E590" s="24" t="s">
        <v>12</v>
      </c>
      <c r="F590" s="25">
        <v>17288.639999999996</v>
      </c>
    </row>
    <row r="591" spans="2:6">
      <c r="B591" s="13" t="s">
        <v>1768</v>
      </c>
      <c r="C591" s="23" t="s">
        <v>1769</v>
      </c>
      <c r="D591" s="13" t="s">
        <v>1770</v>
      </c>
      <c r="E591" s="24" t="s">
        <v>12</v>
      </c>
      <c r="F591" s="25">
        <v>5116.3200000000006</v>
      </c>
    </row>
    <row r="592" spans="2:6">
      <c r="B592" s="13" t="s">
        <v>1771</v>
      </c>
      <c r="C592" s="23" t="s">
        <v>1772</v>
      </c>
      <c r="D592" s="13" t="s">
        <v>1773</v>
      </c>
      <c r="E592" s="24" t="s">
        <v>12</v>
      </c>
      <c r="F592" s="25">
        <v>3547.3900000000003</v>
      </c>
    </row>
    <row r="593" spans="2:6">
      <c r="B593" s="13" t="s">
        <v>1774</v>
      </c>
      <c r="C593" s="23" t="s">
        <v>1775</v>
      </c>
      <c r="D593" s="13" t="s">
        <v>1776</v>
      </c>
      <c r="E593" s="24" t="s">
        <v>12</v>
      </c>
      <c r="F593" s="25">
        <v>6003.6350000000002</v>
      </c>
    </row>
    <row r="594" spans="2:6">
      <c r="B594" s="13" t="s">
        <v>1777</v>
      </c>
      <c r="C594" s="23" t="s">
        <v>1778</v>
      </c>
      <c r="D594" s="13" t="s">
        <v>1779</v>
      </c>
      <c r="E594" s="24" t="s">
        <v>1780</v>
      </c>
      <c r="F594" s="25">
        <v>9059.2150000000001</v>
      </c>
    </row>
    <row r="595" spans="2:6">
      <c r="B595" s="13" t="s">
        <v>1781</v>
      </c>
      <c r="C595" s="23" t="s">
        <v>1782</v>
      </c>
      <c r="D595" s="13" t="s">
        <v>1783</v>
      </c>
      <c r="E595" s="24" t="s">
        <v>12</v>
      </c>
      <c r="F595" s="25">
        <v>9917.5450000000001</v>
      </c>
    </row>
    <row r="596" spans="2:6">
      <c r="B596" s="13" t="s">
        <v>1784</v>
      </c>
      <c r="C596" s="23" t="s">
        <v>1785</v>
      </c>
      <c r="D596" s="13" t="s">
        <v>1786</v>
      </c>
      <c r="E596" s="24" t="s">
        <v>12</v>
      </c>
      <c r="F596" s="25">
        <v>13286.35</v>
      </c>
    </row>
    <row r="597" spans="2:6">
      <c r="B597" s="13" t="s">
        <v>1787</v>
      </c>
      <c r="C597" s="23" t="s">
        <v>1788</v>
      </c>
      <c r="D597" s="13" t="s">
        <v>1789</v>
      </c>
      <c r="E597" s="24" t="s">
        <v>12</v>
      </c>
      <c r="F597" s="25">
        <v>3218.27</v>
      </c>
    </row>
    <row r="598" spans="2:6">
      <c r="B598" s="13" t="s">
        <v>1790</v>
      </c>
      <c r="C598" s="23" t="s">
        <v>1791</v>
      </c>
      <c r="D598" s="13" t="s">
        <v>1792</v>
      </c>
      <c r="E598" s="24" t="s">
        <v>12</v>
      </c>
      <c r="F598" s="25">
        <v>7298.6100000000006</v>
      </c>
    </row>
    <row r="599" spans="2:6">
      <c r="B599" s="13" t="s">
        <v>1793</v>
      </c>
      <c r="C599" s="23" t="s">
        <v>1794</v>
      </c>
      <c r="D599" s="13" t="s">
        <v>1795</v>
      </c>
      <c r="E599" s="24" t="s">
        <v>12</v>
      </c>
      <c r="F599" s="25">
        <v>17596.7</v>
      </c>
    </row>
    <row r="600" spans="2:6">
      <c r="B600" s="13" t="s">
        <v>1796</v>
      </c>
      <c r="C600" s="23" t="s">
        <v>1797</v>
      </c>
      <c r="D600" s="13" t="s">
        <v>1798</v>
      </c>
      <c r="E600" s="24" t="s">
        <v>12</v>
      </c>
      <c r="F600" s="25">
        <v>3144.4050000000002</v>
      </c>
    </row>
    <row r="601" spans="2:6">
      <c r="B601" s="13" t="s">
        <v>1799</v>
      </c>
      <c r="C601" s="23" t="s">
        <v>1800</v>
      </c>
      <c r="D601" s="13" t="s">
        <v>1801</v>
      </c>
      <c r="E601" s="24" t="s">
        <v>12</v>
      </c>
      <c r="F601" s="25">
        <v>17145.095000000001</v>
      </c>
    </row>
    <row r="602" spans="2:6">
      <c r="B602" s="13" t="s">
        <v>1802</v>
      </c>
      <c r="C602" s="23" t="s">
        <v>1803</v>
      </c>
      <c r="D602" s="13" t="s">
        <v>1804</v>
      </c>
      <c r="E602" s="24" t="s">
        <v>12</v>
      </c>
      <c r="F602" s="25">
        <v>13357.41</v>
      </c>
    </row>
    <row r="603" spans="2:6">
      <c r="B603" s="13" t="s">
        <v>1805</v>
      </c>
      <c r="C603" s="23" t="s">
        <v>1806</v>
      </c>
      <c r="D603" s="13" t="s">
        <v>1807</v>
      </c>
      <c r="E603" s="24" t="s">
        <v>12</v>
      </c>
      <c r="F603" s="25">
        <v>19049.690000000002</v>
      </c>
    </row>
    <row r="604" spans="2:6">
      <c r="B604" s="13" t="s">
        <v>1808</v>
      </c>
      <c r="C604" s="23" t="s">
        <v>1809</v>
      </c>
      <c r="D604" s="13" t="s">
        <v>1810</v>
      </c>
      <c r="E604" s="24" t="s">
        <v>12</v>
      </c>
      <c r="F604" s="25">
        <v>21167.465</v>
      </c>
    </row>
    <row r="605" spans="2:6">
      <c r="B605" s="13" t="s">
        <v>1811</v>
      </c>
      <c r="C605" s="23" t="s">
        <v>1812</v>
      </c>
      <c r="D605" s="13" t="s">
        <v>1813</v>
      </c>
      <c r="E605" s="24" t="s">
        <v>12</v>
      </c>
      <c r="F605" s="25">
        <v>26131.38</v>
      </c>
    </row>
    <row r="606" spans="2:6">
      <c r="B606" s="13" t="s">
        <v>1814</v>
      </c>
      <c r="C606" s="23" t="s">
        <v>1815</v>
      </c>
      <c r="D606" s="13" t="s">
        <v>1816</v>
      </c>
      <c r="E606" s="24" t="s">
        <v>12</v>
      </c>
      <c r="F606" s="25">
        <v>29035.49</v>
      </c>
    </row>
    <row r="607" spans="2:6">
      <c r="B607" s="13" t="s">
        <v>1817</v>
      </c>
      <c r="C607" s="23" t="s">
        <v>1818</v>
      </c>
      <c r="D607" s="13" t="s">
        <v>1819</v>
      </c>
      <c r="E607" s="24" t="s">
        <v>12</v>
      </c>
      <c r="F607" s="25">
        <v>23518.99</v>
      </c>
    </row>
    <row r="608" spans="2:6">
      <c r="B608" s="13" t="s">
        <v>1820</v>
      </c>
      <c r="C608" s="31" t="s">
        <v>1821</v>
      </c>
      <c r="D608" s="13" t="s">
        <v>1822</v>
      </c>
      <c r="E608" s="24" t="s">
        <v>12</v>
      </c>
      <c r="F608" s="25">
        <v>32406</v>
      </c>
    </row>
    <row r="609" spans="2:6">
      <c r="B609" s="13" t="s">
        <v>1823</v>
      </c>
      <c r="C609" s="23" t="s">
        <v>1824</v>
      </c>
      <c r="D609" s="13" t="s">
        <v>1825</v>
      </c>
      <c r="E609" s="24" t="s">
        <v>12</v>
      </c>
      <c r="F609" s="25">
        <v>162110</v>
      </c>
    </row>
    <row r="610" spans="2:6">
      <c r="B610" s="13" t="s">
        <v>1826</v>
      </c>
      <c r="C610" s="23" t="s">
        <v>1827</v>
      </c>
      <c r="D610" s="13" t="s">
        <v>1828</v>
      </c>
      <c r="E610" s="24" t="s">
        <v>12</v>
      </c>
      <c r="F610" s="25">
        <v>81055</v>
      </c>
    </row>
    <row r="611" spans="2:6">
      <c r="B611" s="13" t="s">
        <v>1829</v>
      </c>
      <c r="C611" s="23" t="s">
        <v>1830</v>
      </c>
      <c r="D611" s="13" t="s">
        <v>1831</v>
      </c>
      <c r="E611" s="24" t="s">
        <v>12</v>
      </c>
      <c r="F611" s="25">
        <v>800</v>
      </c>
    </row>
    <row r="612" spans="2:6">
      <c r="B612" s="13" t="s">
        <v>1832</v>
      </c>
      <c r="C612" s="30" t="s">
        <v>1833</v>
      </c>
      <c r="D612" s="13" t="s">
        <v>1834</v>
      </c>
      <c r="E612" s="24" t="s">
        <v>12</v>
      </c>
      <c r="F612" s="25">
        <v>118755</v>
      </c>
    </row>
    <row r="613" spans="2:6">
      <c r="B613" s="13" t="s">
        <v>1835</v>
      </c>
      <c r="C613" s="30" t="s">
        <v>1836</v>
      </c>
      <c r="D613" s="13" t="s">
        <v>1837</v>
      </c>
      <c r="E613" s="24" t="s">
        <v>12</v>
      </c>
      <c r="F613" s="25">
        <v>1274260</v>
      </c>
    </row>
    <row r="614" spans="2:6">
      <c r="B614" s="13" t="s">
        <v>1838</v>
      </c>
      <c r="C614" s="30" t="s">
        <v>1839</v>
      </c>
      <c r="D614" s="13" t="s">
        <v>1840</v>
      </c>
      <c r="E614" s="24" t="s">
        <v>12</v>
      </c>
      <c r="F614" s="25">
        <v>145405</v>
      </c>
    </row>
    <row r="615" spans="2:6">
      <c r="B615" s="13" t="s">
        <v>1841</v>
      </c>
      <c r="C615" s="30" t="s">
        <v>1842</v>
      </c>
      <c r="D615" s="13" t="s">
        <v>1843</v>
      </c>
      <c r="E615" s="24" t="s">
        <v>12</v>
      </c>
      <c r="F615" s="25">
        <v>1450995</v>
      </c>
    </row>
    <row r="616" spans="2:6">
      <c r="B616" s="13" t="s">
        <v>1844</v>
      </c>
      <c r="C616" s="30" t="s">
        <v>1845</v>
      </c>
      <c r="D616" s="13" t="s">
        <v>1846</v>
      </c>
      <c r="E616" s="24" t="s">
        <v>12</v>
      </c>
      <c r="F616" s="25">
        <v>206224.8</v>
      </c>
    </row>
    <row r="617" spans="2:6">
      <c r="B617" s="13" t="s">
        <v>1847</v>
      </c>
      <c r="C617" s="30" t="s">
        <v>1848</v>
      </c>
      <c r="D617" s="13" t="s">
        <v>1849</v>
      </c>
      <c r="E617" s="24" t="s">
        <v>12</v>
      </c>
      <c r="F617" s="25">
        <v>0</v>
      </c>
    </row>
    <row r="618" spans="2:6">
      <c r="B618" s="13" t="s">
        <v>1850</v>
      </c>
      <c r="C618" s="30" t="s">
        <v>1851</v>
      </c>
      <c r="D618" s="13" t="s">
        <v>1852</v>
      </c>
      <c r="E618" s="24" t="s">
        <v>12</v>
      </c>
      <c r="F618" s="25">
        <v>331210</v>
      </c>
    </row>
    <row r="619" spans="2:6">
      <c r="B619" s="13" t="s">
        <v>1853</v>
      </c>
      <c r="C619" s="30" t="s">
        <v>1854</v>
      </c>
      <c r="D619" s="13" t="s">
        <v>1855</v>
      </c>
      <c r="E619" s="24" t="s">
        <v>12</v>
      </c>
      <c r="F619" s="25">
        <v>0</v>
      </c>
    </row>
    <row r="620" spans="2:6">
      <c r="B620" s="13" t="s">
        <v>1856</v>
      </c>
      <c r="C620" s="30" t="s">
        <v>1857</v>
      </c>
      <c r="D620" s="13" t="s">
        <v>1858</v>
      </c>
      <c r="E620" s="24" t="s">
        <v>12</v>
      </c>
      <c r="F620" s="25">
        <v>0</v>
      </c>
    </row>
    <row r="621" spans="2:6">
      <c r="B621" s="13" t="s">
        <v>1859</v>
      </c>
      <c r="C621" s="30" t="s">
        <v>1860</v>
      </c>
      <c r="D621" s="13" t="s">
        <v>1861</v>
      </c>
      <c r="E621" s="24" t="s">
        <v>12</v>
      </c>
      <c r="F621" s="25">
        <v>537550</v>
      </c>
    </row>
    <row r="622" spans="2:6">
      <c r="B622" s="13" t="s">
        <v>1862</v>
      </c>
      <c r="C622" s="30" t="s">
        <v>1863</v>
      </c>
      <c r="D622" s="13" t="s">
        <v>1864</v>
      </c>
      <c r="E622" s="24" t="s">
        <v>12</v>
      </c>
      <c r="F622" s="25">
        <v>676000</v>
      </c>
    </row>
    <row r="623" spans="2:6">
      <c r="B623" s="13" t="s">
        <v>1865</v>
      </c>
      <c r="C623" s="30" t="s">
        <v>1866</v>
      </c>
      <c r="D623" s="13" t="s">
        <v>1867</v>
      </c>
      <c r="E623" s="24" t="s">
        <v>12</v>
      </c>
      <c r="F623" s="25">
        <v>840420</v>
      </c>
    </row>
    <row r="624" spans="2:6">
      <c r="B624" s="13" t="s">
        <v>1868</v>
      </c>
      <c r="C624" s="30" t="s">
        <v>1869</v>
      </c>
      <c r="D624" s="13" t="s">
        <v>1870</v>
      </c>
      <c r="E624" s="24" t="s">
        <v>12</v>
      </c>
      <c r="F624" s="25">
        <v>1002430</v>
      </c>
    </row>
    <row r="625" spans="2:6">
      <c r="B625" s="13" t="s">
        <v>1871</v>
      </c>
      <c r="C625" s="30" t="s">
        <v>1872</v>
      </c>
      <c r="D625" s="13" t="s">
        <v>1873</v>
      </c>
      <c r="E625" s="24" t="s">
        <v>12</v>
      </c>
      <c r="F625" s="25">
        <v>3584399.9999999995</v>
      </c>
    </row>
    <row r="626" spans="2:6">
      <c r="B626" s="13" t="s">
        <v>1874</v>
      </c>
      <c r="C626" s="30" t="s">
        <v>1875</v>
      </c>
      <c r="D626" s="13" t="s">
        <v>1876</v>
      </c>
      <c r="E626" s="24" t="s">
        <v>12</v>
      </c>
      <c r="F626" s="25">
        <v>141680</v>
      </c>
    </row>
    <row r="627" spans="2:6">
      <c r="B627" s="13" t="s">
        <v>1877</v>
      </c>
      <c r="C627" s="30" t="s">
        <v>1878</v>
      </c>
      <c r="D627" s="13" t="s">
        <v>1879</v>
      </c>
      <c r="E627" s="24" t="s">
        <v>12</v>
      </c>
      <c r="F627" s="25">
        <v>294415</v>
      </c>
    </row>
    <row r="628" spans="2:6">
      <c r="B628" s="13" t="s">
        <v>1880</v>
      </c>
      <c r="C628" s="30" t="s">
        <v>1881</v>
      </c>
      <c r="D628" s="13" t="s">
        <v>1882</v>
      </c>
      <c r="E628" s="24" t="s">
        <v>12</v>
      </c>
      <c r="F628" s="25">
        <v>56980.000000000007</v>
      </c>
    </row>
    <row r="629" spans="2:6">
      <c r="B629" s="13" t="s">
        <v>1883</v>
      </c>
      <c r="C629" s="36" t="s">
        <v>1884</v>
      </c>
      <c r="D629" s="13" t="s">
        <v>1885</v>
      </c>
      <c r="E629" s="24" t="s">
        <v>12</v>
      </c>
      <c r="F629" s="25">
        <v>1980000</v>
      </c>
    </row>
    <row r="630" spans="2:6">
      <c r="B630" s="13" t="s">
        <v>1886</v>
      </c>
      <c r="C630" s="36" t="s">
        <v>1887</v>
      </c>
      <c r="D630" s="13" t="s">
        <v>1888</v>
      </c>
      <c r="E630" s="24" t="s">
        <v>12</v>
      </c>
      <c r="F630" s="25">
        <v>282377.7</v>
      </c>
    </row>
    <row r="631" spans="2:6">
      <c r="B631" s="13" t="s">
        <v>1889</v>
      </c>
      <c r="C631" s="36" t="s">
        <v>1890</v>
      </c>
      <c r="D631" s="13" t="s">
        <v>1891</v>
      </c>
      <c r="E631" s="24" t="s">
        <v>12</v>
      </c>
      <c r="F631" s="25">
        <v>282377.7</v>
      </c>
    </row>
    <row r="632" spans="2:6">
      <c r="B632" s="13" t="s">
        <v>1892</v>
      </c>
      <c r="C632" s="23" t="s">
        <v>1893</v>
      </c>
      <c r="D632" s="13" t="s">
        <v>1894</v>
      </c>
      <c r="E632" s="24" t="s">
        <v>12</v>
      </c>
      <c r="F632" s="25">
        <v>330000</v>
      </c>
    </row>
    <row r="633" spans="2:6">
      <c r="B633" s="13" t="s">
        <v>1895</v>
      </c>
      <c r="C633" s="23" t="s">
        <v>1896</v>
      </c>
      <c r="D633" s="13" t="s">
        <v>1897</v>
      </c>
      <c r="E633" s="24" t="s">
        <v>12</v>
      </c>
      <c r="F633" s="25">
        <v>315377.7</v>
      </c>
    </row>
    <row r="634" spans="2:6">
      <c r="B634" s="13" t="s">
        <v>1898</v>
      </c>
      <c r="C634" s="23" t="s">
        <v>1899</v>
      </c>
      <c r="D634" s="13" t="s">
        <v>1900</v>
      </c>
      <c r="E634" s="24" t="s">
        <v>12</v>
      </c>
      <c r="F634" s="25">
        <v>62788.000000000007</v>
      </c>
    </row>
    <row r="635" spans="2:6">
      <c r="B635" s="13" t="s">
        <v>1901</v>
      </c>
      <c r="C635" s="23" t="s">
        <v>1902</v>
      </c>
      <c r="D635" s="13" t="s">
        <v>1903</v>
      </c>
      <c r="E635" s="24" t="s">
        <v>12</v>
      </c>
      <c r="F635" s="25">
        <v>66805.200000000012</v>
      </c>
    </row>
    <row r="636" spans="2:6">
      <c r="B636" s="13" t="s">
        <v>1904</v>
      </c>
      <c r="C636" s="23" t="s">
        <v>1905</v>
      </c>
      <c r="D636" s="13" t="s">
        <v>1906</v>
      </c>
      <c r="E636" s="24" t="s">
        <v>12</v>
      </c>
      <c r="F636" s="25">
        <v>72865.100000000006</v>
      </c>
    </row>
    <row r="637" spans="2:6">
      <c r="B637" s="13" t="s">
        <v>1907</v>
      </c>
      <c r="C637" s="23" t="s">
        <v>1908</v>
      </c>
      <c r="D637" s="13" t="s">
        <v>1909</v>
      </c>
      <c r="E637" s="24" t="s">
        <v>12</v>
      </c>
      <c r="F637" s="25">
        <v>80469.400000000009</v>
      </c>
    </row>
    <row r="638" spans="2:6">
      <c r="B638" s="13" t="s">
        <v>1910</v>
      </c>
      <c r="C638" s="23" t="s">
        <v>1911</v>
      </c>
      <c r="D638" s="13" t="s">
        <v>1912</v>
      </c>
      <c r="E638" s="24" t="s">
        <v>12</v>
      </c>
      <c r="F638" s="25">
        <v>127599.99999999999</v>
      </c>
    </row>
    <row r="639" spans="2:6">
      <c r="B639" s="13" t="s">
        <v>1913</v>
      </c>
      <c r="C639" s="23" t="s">
        <v>1914</v>
      </c>
      <c r="D639" s="13" t="s">
        <v>1915</v>
      </c>
      <c r="E639" s="24" t="s">
        <v>12</v>
      </c>
      <c r="F639" s="25">
        <v>165000</v>
      </c>
    </row>
    <row r="640" spans="2:6">
      <c r="B640" s="13" t="s">
        <v>1916</v>
      </c>
      <c r="C640" s="29" t="s">
        <v>4118</v>
      </c>
      <c r="D640" s="13" t="s">
        <v>1917</v>
      </c>
      <c r="E640" s="24" t="s">
        <v>12</v>
      </c>
      <c r="F640" s="25">
        <v>105000</v>
      </c>
    </row>
    <row r="641" spans="2:6">
      <c r="B641" s="13" t="s">
        <v>1918</v>
      </c>
      <c r="C641" s="29" t="s">
        <v>1919</v>
      </c>
      <c r="D641" s="13" t="s">
        <v>1920</v>
      </c>
      <c r="E641" s="24" t="s">
        <v>12</v>
      </c>
      <c r="F641" s="25">
        <v>104065</v>
      </c>
    </row>
    <row r="642" spans="2:6">
      <c r="B642" s="13" t="s">
        <v>1921</v>
      </c>
      <c r="C642" s="29" t="s">
        <v>1922</v>
      </c>
      <c r="D642" s="13" t="s">
        <v>1923</v>
      </c>
      <c r="E642" s="24" t="s">
        <v>12</v>
      </c>
      <c r="F642" s="25">
        <v>143000</v>
      </c>
    </row>
    <row r="643" spans="2:6">
      <c r="B643" s="13" t="s">
        <v>1924</v>
      </c>
      <c r="C643" s="29" t="s">
        <v>1925</v>
      </c>
      <c r="D643" s="13" t="s">
        <v>1926</v>
      </c>
      <c r="E643" s="24" t="s">
        <v>12</v>
      </c>
      <c r="F643" s="25">
        <v>253500</v>
      </c>
    </row>
    <row r="644" spans="2:6" ht="25.5">
      <c r="B644" s="13" t="s">
        <v>1927</v>
      </c>
      <c r="C644" s="29" t="s">
        <v>4119</v>
      </c>
      <c r="D644" s="13" t="s">
        <v>1928</v>
      </c>
      <c r="E644" s="24" t="s">
        <v>12</v>
      </c>
      <c r="F644" s="25">
        <v>2078.7199999999998</v>
      </c>
    </row>
    <row r="645" spans="2:6">
      <c r="B645" s="13" t="s">
        <v>1929</v>
      </c>
      <c r="C645" s="23" t="s">
        <v>1930</v>
      </c>
      <c r="D645" s="13" t="s">
        <v>1931</v>
      </c>
      <c r="E645" s="24" t="s">
        <v>12</v>
      </c>
      <c r="F645" s="25">
        <v>605000</v>
      </c>
    </row>
    <row r="646" spans="2:6">
      <c r="B646" s="13" t="s">
        <v>1932</v>
      </c>
      <c r="C646" s="29" t="s">
        <v>1933</v>
      </c>
      <c r="D646" s="13" t="s">
        <v>1934</v>
      </c>
      <c r="E646" s="24" t="s">
        <v>12</v>
      </c>
      <c r="F646" s="25">
        <v>6959.9999999999991</v>
      </c>
    </row>
    <row r="647" spans="2:6">
      <c r="B647" s="13" t="s">
        <v>1935</v>
      </c>
      <c r="C647" s="23" t="s">
        <v>1936</v>
      </c>
      <c r="D647" s="13" t="s">
        <v>1937</v>
      </c>
      <c r="E647" s="24" t="s">
        <v>12</v>
      </c>
      <c r="F647" s="25">
        <v>32739.839999999997</v>
      </c>
    </row>
    <row r="648" spans="2:6">
      <c r="B648" s="13" t="s">
        <v>1938</v>
      </c>
      <c r="C648" s="23" t="s">
        <v>1939</v>
      </c>
      <c r="D648" s="13" t="s">
        <v>1940</v>
      </c>
      <c r="E648" s="24" t="s">
        <v>12</v>
      </c>
      <c r="F648" s="25">
        <v>3827.9999999999995</v>
      </c>
    </row>
    <row r="649" spans="2:6">
      <c r="B649" s="13" t="s">
        <v>1941</v>
      </c>
      <c r="C649" s="23" t="s">
        <v>1942</v>
      </c>
      <c r="D649" s="13" t="s">
        <v>1943</v>
      </c>
      <c r="E649" s="24" t="s">
        <v>12</v>
      </c>
      <c r="F649" s="25">
        <v>1085.0639999999999</v>
      </c>
    </row>
    <row r="650" spans="2:6">
      <c r="B650" s="13" t="s">
        <v>1944</v>
      </c>
      <c r="C650" s="23" t="s">
        <v>1945</v>
      </c>
      <c r="D650" s="13" t="s">
        <v>1946</v>
      </c>
      <c r="E650" s="24" t="s">
        <v>12</v>
      </c>
      <c r="F650" s="25">
        <v>5108.6399999999994</v>
      </c>
    </row>
    <row r="651" spans="2:6">
      <c r="B651" s="13" t="s">
        <v>1947</v>
      </c>
      <c r="C651" s="23" t="s">
        <v>1948</v>
      </c>
      <c r="D651" s="13" t="s">
        <v>1949</v>
      </c>
      <c r="E651" s="24" t="s">
        <v>12</v>
      </c>
      <c r="F651" s="25">
        <v>3827.9999999999995</v>
      </c>
    </row>
    <row r="652" spans="2:6">
      <c r="B652" s="13" t="s">
        <v>1950</v>
      </c>
      <c r="C652" s="23" t="s">
        <v>1951</v>
      </c>
      <c r="D652" s="13" t="s">
        <v>1952</v>
      </c>
      <c r="E652" s="24" t="s">
        <v>12</v>
      </c>
      <c r="F652" s="25">
        <v>1085.0639999999999</v>
      </c>
    </row>
    <row r="653" spans="2:6">
      <c r="B653" s="13" t="s">
        <v>1953</v>
      </c>
      <c r="C653" s="23" t="s">
        <v>1954</v>
      </c>
      <c r="D653" s="13" t="s">
        <v>1955</v>
      </c>
      <c r="E653" s="24" t="s">
        <v>12</v>
      </c>
      <c r="F653" s="25">
        <v>5108.6399999999994</v>
      </c>
    </row>
    <row r="654" spans="2:6">
      <c r="B654" s="13" t="s">
        <v>1956</v>
      </c>
      <c r="C654" s="23" t="s">
        <v>1957</v>
      </c>
      <c r="D654" s="13" t="s">
        <v>1958</v>
      </c>
      <c r="E654" s="24" t="s">
        <v>12</v>
      </c>
      <c r="F654" s="25">
        <v>27446.100000000002</v>
      </c>
    </row>
    <row r="655" spans="2:6">
      <c r="B655" s="13" t="s">
        <v>1959</v>
      </c>
      <c r="C655" s="23" t="s">
        <v>1960</v>
      </c>
      <c r="D655" s="13" t="s">
        <v>1961</v>
      </c>
      <c r="E655" s="24" t="s">
        <v>12</v>
      </c>
      <c r="F655" s="25">
        <v>6985.0000000000009</v>
      </c>
    </row>
    <row r="656" spans="2:6">
      <c r="B656" s="13" t="s">
        <v>1962</v>
      </c>
      <c r="C656" s="23" t="s">
        <v>1963</v>
      </c>
      <c r="D656" s="13" t="s">
        <v>1964</v>
      </c>
      <c r="E656" s="24" t="s">
        <v>12</v>
      </c>
      <c r="F656" s="25">
        <v>1047.2</v>
      </c>
    </row>
    <row r="657" spans="2:6">
      <c r="B657" s="13" t="s">
        <v>1965</v>
      </c>
      <c r="C657" s="23" t="s">
        <v>1966</v>
      </c>
      <c r="D657" s="13" t="s">
        <v>1967</v>
      </c>
      <c r="E657" s="24" t="s">
        <v>12</v>
      </c>
      <c r="F657" s="25">
        <v>40625.200000000004</v>
      </c>
    </row>
    <row r="658" spans="2:6">
      <c r="B658" s="13" t="s">
        <v>1968</v>
      </c>
      <c r="C658" s="23" t="s">
        <v>1969</v>
      </c>
      <c r="D658" s="13" t="s">
        <v>1970</v>
      </c>
      <c r="E658" s="24" t="s">
        <v>12</v>
      </c>
      <c r="F658" s="25">
        <v>121893.20000000001</v>
      </c>
    </row>
    <row r="659" spans="2:6">
      <c r="B659" s="13" t="s">
        <v>1971</v>
      </c>
      <c r="C659" s="23" t="s">
        <v>1972</v>
      </c>
      <c r="D659" s="13" t="s">
        <v>1973</v>
      </c>
      <c r="E659" s="24" t="s">
        <v>12</v>
      </c>
      <c r="F659" s="25">
        <v>8357.8000000000011</v>
      </c>
    </row>
    <row r="660" spans="2:6">
      <c r="B660" s="13" t="s">
        <v>1974</v>
      </c>
      <c r="C660" s="23" t="s">
        <v>1975</v>
      </c>
      <c r="D660" s="13" t="s">
        <v>1976</v>
      </c>
      <c r="E660" s="24" t="s">
        <v>12</v>
      </c>
      <c r="F660" s="25">
        <v>0</v>
      </c>
    </row>
    <row r="661" spans="2:6">
      <c r="B661" s="13" t="s">
        <v>1977</v>
      </c>
      <c r="C661" s="23" t="s">
        <v>1978</v>
      </c>
      <c r="D661" s="13" t="s">
        <v>1979</v>
      </c>
      <c r="E661" s="24" t="s">
        <v>12</v>
      </c>
      <c r="F661" s="25">
        <v>0</v>
      </c>
    </row>
    <row r="662" spans="2:6">
      <c r="B662" s="13" t="s">
        <v>1980</v>
      </c>
      <c r="C662" s="23" t="s">
        <v>1981</v>
      </c>
      <c r="D662" s="13" t="s">
        <v>1982</v>
      </c>
      <c r="E662" s="24" t="s">
        <v>12</v>
      </c>
      <c r="F662" s="25">
        <v>0</v>
      </c>
    </row>
    <row r="663" spans="2:6">
      <c r="B663" s="13" t="s">
        <v>1983</v>
      </c>
      <c r="C663" s="23" t="s">
        <v>1984</v>
      </c>
      <c r="D663" s="13" t="s">
        <v>1985</v>
      </c>
      <c r="E663" s="24" t="s">
        <v>12</v>
      </c>
      <c r="F663" s="25">
        <v>0</v>
      </c>
    </row>
    <row r="664" spans="2:6">
      <c r="B664" s="13" t="s">
        <v>1986</v>
      </c>
      <c r="C664" s="23" t="s">
        <v>1987</v>
      </c>
      <c r="D664" s="13" t="s">
        <v>1988</v>
      </c>
      <c r="E664" s="24" t="s">
        <v>12</v>
      </c>
      <c r="F664" s="25">
        <v>55000.000000000007</v>
      </c>
    </row>
    <row r="665" spans="2:6">
      <c r="B665" s="13" t="s">
        <v>1989</v>
      </c>
      <c r="C665" s="23" t="s">
        <v>1990</v>
      </c>
      <c r="D665" s="13" t="s">
        <v>1991</v>
      </c>
      <c r="E665" s="24" t="s">
        <v>12</v>
      </c>
      <c r="F665" s="25">
        <v>143000</v>
      </c>
    </row>
    <row r="666" spans="2:6">
      <c r="B666" s="13" t="s">
        <v>1992</v>
      </c>
      <c r="C666" s="23" t="s">
        <v>1993</v>
      </c>
      <c r="D666" s="13" t="s">
        <v>1994</v>
      </c>
      <c r="E666" s="24" t="s">
        <v>12</v>
      </c>
      <c r="F666" s="25">
        <v>0</v>
      </c>
    </row>
    <row r="667" spans="2:6">
      <c r="B667" s="13" t="s">
        <v>1995</v>
      </c>
      <c r="C667" s="23" t="s">
        <v>1996</v>
      </c>
      <c r="D667" s="13" t="s">
        <v>1997</v>
      </c>
      <c r="E667" s="24" t="s">
        <v>12</v>
      </c>
      <c r="F667" s="25">
        <v>0</v>
      </c>
    </row>
    <row r="668" spans="2:6">
      <c r="B668" s="13" t="s">
        <v>1998</v>
      </c>
      <c r="C668" s="23" t="s">
        <v>1999</v>
      </c>
      <c r="D668" s="13" t="s">
        <v>2000</v>
      </c>
      <c r="E668" s="24" t="s">
        <v>12</v>
      </c>
      <c r="F668" s="25">
        <v>1104.5519999999999</v>
      </c>
    </row>
    <row r="669" spans="2:6">
      <c r="B669" s="13" t="s">
        <v>2001</v>
      </c>
      <c r="C669" s="23" t="s">
        <v>2002</v>
      </c>
      <c r="D669" s="13" t="s">
        <v>2003</v>
      </c>
      <c r="E669" s="24" t="s">
        <v>12</v>
      </c>
      <c r="F669" s="25">
        <v>1128.2159999999999</v>
      </c>
    </row>
    <row r="670" spans="2:6">
      <c r="B670" s="13" t="s">
        <v>2004</v>
      </c>
      <c r="C670" s="23" t="s">
        <v>2005</v>
      </c>
      <c r="D670" s="13" t="s">
        <v>2006</v>
      </c>
      <c r="E670" s="24" t="s">
        <v>12</v>
      </c>
      <c r="F670" s="25">
        <v>356.35199999999998</v>
      </c>
    </row>
    <row r="671" spans="2:6">
      <c r="B671" s="13" t="s">
        <v>2007</v>
      </c>
      <c r="C671" s="23" t="s">
        <v>2008</v>
      </c>
      <c r="D671" s="13" t="s">
        <v>2009</v>
      </c>
      <c r="E671" s="24" t="s">
        <v>12</v>
      </c>
      <c r="F671" s="25">
        <v>16570.367999999999</v>
      </c>
    </row>
    <row r="672" spans="2:6">
      <c r="B672" s="13" t="s">
        <v>2010</v>
      </c>
      <c r="C672" s="23" t="s">
        <v>2011</v>
      </c>
      <c r="D672" s="13" t="s">
        <v>2012</v>
      </c>
      <c r="E672" s="24" t="s">
        <v>12</v>
      </c>
      <c r="F672" s="25">
        <v>30662.975999999995</v>
      </c>
    </row>
    <row r="673" spans="2:6">
      <c r="B673" s="13" t="s">
        <v>2013</v>
      </c>
      <c r="C673" s="23" t="s">
        <v>2014</v>
      </c>
      <c r="D673" s="13" t="s">
        <v>2015</v>
      </c>
      <c r="E673" s="24" t="s">
        <v>12</v>
      </c>
      <c r="F673" s="25">
        <v>1740.4800000000002</v>
      </c>
    </row>
    <row r="674" spans="2:6">
      <c r="B674" s="13" t="s">
        <v>2016</v>
      </c>
      <c r="C674" s="23" t="s">
        <v>2017</v>
      </c>
      <c r="D674" s="13" t="s">
        <v>2018</v>
      </c>
      <c r="E674" s="24" t="s">
        <v>12</v>
      </c>
      <c r="F674" s="25">
        <v>4681.6000000000004</v>
      </c>
    </row>
    <row r="675" spans="2:6">
      <c r="B675" s="13" t="s">
        <v>2019</v>
      </c>
      <c r="C675" s="23" t="s">
        <v>2020</v>
      </c>
      <c r="D675" s="13" t="s">
        <v>2021</v>
      </c>
      <c r="E675" s="24" t="s">
        <v>12</v>
      </c>
      <c r="F675" s="25">
        <v>745.88</v>
      </c>
    </row>
    <row r="676" spans="2:6">
      <c r="B676" s="13" t="s">
        <v>2022</v>
      </c>
      <c r="C676" s="23" t="s">
        <v>2023</v>
      </c>
      <c r="D676" s="13" t="s">
        <v>2024</v>
      </c>
      <c r="E676" s="24" t="s">
        <v>12</v>
      </c>
      <c r="F676" s="25">
        <v>5941.6</v>
      </c>
    </row>
    <row r="677" spans="2:6">
      <c r="B677" s="13" t="s">
        <v>2025</v>
      </c>
      <c r="C677" s="23" t="s">
        <v>2026</v>
      </c>
      <c r="D677" s="13" t="s">
        <v>2027</v>
      </c>
      <c r="E677" s="24" t="s">
        <v>12</v>
      </c>
      <c r="F677" s="25">
        <v>8162.56</v>
      </c>
    </row>
    <row r="678" spans="2:6">
      <c r="B678" s="13" t="s">
        <v>2028</v>
      </c>
      <c r="C678" s="23" t="s">
        <v>2029</v>
      </c>
      <c r="D678" s="13" t="s">
        <v>2030</v>
      </c>
      <c r="E678" s="24" t="s">
        <v>12</v>
      </c>
      <c r="F678" s="25">
        <v>35351.68</v>
      </c>
    </row>
    <row r="679" spans="2:6">
      <c r="B679" s="13" t="s">
        <v>2031</v>
      </c>
      <c r="C679" s="23" t="s">
        <v>2032</v>
      </c>
      <c r="D679" s="13" t="s">
        <v>2033</v>
      </c>
      <c r="E679" s="24" t="s">
        <v>12</v>
      </c>
      <c r="F679" s="25">
        <v>774.88</v>
      </c>
    </row>
    <row r="680" spans="2:6">
      <c r="B680" s="13" t="s">
        <v>2034</v>
      </c>
      <c r="C680" s="23" t="s">
        <v>2035</v>
      </c>
      <c r="D680" s="13" t="s">
        <v>2036</v>
      </c>
      <c r="E680" s="24" t="s">
        <v>12</v>
      </c>
      <c r="F680" s="25">
        <v>22111.100000000002</v>
      </c>
    </row>
    <row r="681" spans="2:6">
      <c r="B681" s="13" t="s">
        <v>2037</v>
      </c>
      <c r="C681" s="23" t="s">
        <v>2038</v>
      </c>
      <c r="D681" s="13" t="s">
        <v>2039</v>
      </c>
      <c r="E681" s="24" t="s">
        <v>12</v>
      </c>
      <c r="F681" s="25">
        <v>33740.300000000003</v>
      </c>
    </row>
    <row r="682" spans="2:6">
      <c r="B682" s="13" t="s">
        <v>2040</v>
      </c>
      <c r="C682" s="23" t="s">
        <v>2041</v>
      </c>
      <c r="D682" s="13" t="s">
        <v>2042</v>
      </c>
      <c r="E682" s="24" t="s">
        <v>12</v>
      </c>
      <c r="F682" s="25">
        <v>48567.200000000004</v>
      </c>
    </row>
    <row r="683" spans="2:6">
      <c r="B683" s="13" t="s">
        <v>2043</v>
      </c>
      <c r="C683" s="23" t="s">
        <v>2044</v>
      </c>
      <c r="D683" s="13" t="s">
        <v>2045</v>
      </c>
      <c r="E683" s="24" t="s">
        <v>12</v>
      </c>
      <c r="F683" s="25">
        <v>11612.7</v>
      </c>
    </row>
    <row r="684" spans="2:6">
      <c r="B684" s="13" t="s">
        <v>2046</v>
      </c>
      <c r="C684" s="23" t="s">
        <v>2047</v>
      </c>
      <c r="D684" s="13" t="s">
        <v>2048</v>
      </c>
      <c r="E684" s="24" t="s">
        <v>12</v>
      </c>
      <c r="F684" s="25">
        <v>34061.5</v>
      </c>
    </row>
    <row r="685" spans="2:6">
      <c r="B685" s="13" t="s">
        <v>2049</v>
      </c>
      <c r="C685" s="23" t="s">
        <v>2050</v>
      </c>
      <c r="D685" s="13" t="s">
        <v>2051</v>
      </c>
      <c r="E685" s="24" t="s">
        <v>12</v>
      </c>
      <c r="F685" s="25">
        <v>43527</v>
      </c>
    </row>
    <row r="686" spans="2:6">
      <c r="B686" s="13" t="s">
        <v>2052</v>
      </c>
      <c r="C686" s="23" t="s">
        <v>2053</v>
      </c>
      <c r="D686" s="13" t="s">
        <v>2054</v>
      </c>
      <c r="E686" s="24" t="s">
        <v>12</v>
      </c>
      <c r="F686" s="25">
        <v>49050.100000000006</v>
      </c>
    </row>
    <row r="687" spans="2:6">
      <c r="B687" s="13" t="s">
        <v>2055</v>
      </c>
      <c r="C687" s="23" t="s">
        <v>2056</v>
      </c>
      <c r="D687" s="13" t="s">
        <v>2057</v>
      </c>
      <c r="E687" s="24" t="s">
        <v>12</v>
      </c>
      <c r="F687" s="25">
        <v>27330.600000000002</v>
      </c>
    </row>
    <row r="688" spans="2:6">
      <c r="B688" s="13" t="s">
        <v>2058</v>
      </c>
      <c r="C688" s="23" t="s">
        <v>2059</v>
      </c>
      <c r="D688" s="13" t="s">
        <v>2060</v>
      </c>
      <c r="E688" s="24" t="s">
        <v>12</v>
      </c>
      <c r="F688" s="25">
        <v>28986.100000000002</v>
      </c>
    </row>
    <row r="689" spans="2:6">
      <c r="B689" s="13" t="s">
        <v>2061</v>
      </c>
      <c r="C689" s="23" t="s">
        <v>2062</v>
      </c>
      <c r="D689" s="13" t="s">
        <v>2063</v>
      </c>
      <c r="E689" s="24" t="s">
        <v>12</v>
      </c>
      <c r="F689" s="25">
        <v>43516</v>
      </c>
    </row>
    <row r="690" spans="2:6">
      <c r="B690" s="13" t="s">
        <v>2064</v>
      </c>
      <c r="C690" s="23" t="s">
        <v>2065</v>
      </c>
      <c r="D690" s="13" t="s">
        <v>2066</v>
      </c>
      <c r="E690" s="24" t="s">
        <v>12</v>
      </c>
      <c r="F690" s="25">
        <v>43516</v>
      </c>
    </row>
    <row r="691" spans="2:6">
      <c r="B691" s="13" t="s">
        <v>2067</v>
      </c>
      <c r="C691" s="29" t="s">
        <v>2068</v>
      </c>
      <c r="D691" s="13" t="s">
        <v>2069</v>
      </c>
      <c r="E691" s="24" t="s">
        <v>12</v>
      </c>
      <c r="F691" s="25">
        <v>220000</v>
      </c>
    </row>
    <row r="692" spans="2:6">
      <c r="B692" s="13" t="s">
        <v>2070</v>
      </c>
      <c r="C692" s="29" t="s">
        <v>2071</v>
      </c>
      <c r="D692" s="13" t="s">
        <v>2072</v>
      </c>
      <c r="E692" s="24" t="s">
        <v>12</v>
      </c>
      <c r="F692" s="25">
        <v>800000</v>
      </c>
    </row>
    <row r="693" spans="2:6">
      <c r="B693" s="13" t="s">
        <v>2073</v>
      </c>
      <c r="C693" s="31" t="s">
        <v>2074</v>
      </c>
      <c r="D693" s="13" t="s">
        <v>2075</v>
      </c>
      <c r="E693" s="24" t="s">
        <v>12</v>
      </c>
      <c r="F693" s="25">
        <v>145000</v>
      </c>
    </row>
    <row r="694" spans="2:6">
      <c r="B694" s="13" t="s">
        <v>2076</v>
      </c>
      <c r="C694" s="23" t="s">
        <v>2077</v>
      </c>
      <c r="D694" s="13" t="s">
        <v>2078</v>
      </c>
      <c r="E694" s="24" t="s">
        <v>12</v>
      </c>
      <c r="F694" s="25">
        <v>4933828</v>
      </c>
    </row>
    <row r="695" spans="2:6">
      <c r="B695" s="13" t="s">
        <v>2079</v>
      </c>
      <c r="C695" s="31" t="s">
        <v>2080</v>
      </c>
      <c r="D695" s="13" t="s">
        <v>2081</v>
      </c>
      <c r="E695" s="24" t="s">
        <v>12</v>
      </c>
      <c r="F695" s="25">
        <v>3073840.0000000005</v>
      </c>
    </row>
    <row r="696" spans="2:6">
      <c r="B696" s="13" t="s">
        <v>2082</v>
      </c>
      <c r="C696" s="31" t="s">
        <v>2083</v>
      </c>
      <c r="D696" s="13" t="s">
        <v>2084</v>
      </c>
      <c r="E696" s="24" t="s">
        <v>12</v>
      </c>
      <c r="F696" s="25">
        <v>69000.28</v>
      </c>
    </row>
    <row r="697" spans="2:6">
      <c r="B697" s="13" t="s">
        <v>2085</v>
      </c>
      <c r="C697" s="31" t="s">
        <v>2086</v>
      </c>
      <c r="D697" s="13" t="s">
        <v>2087</v>
      </c>
      <c r="E697" s="24" t="s">
        <v>12</v>
      </c>
      <c r="F697" s="25">
        <v>169620</v>
      </c>
    </row>
    <row r="698" spans="2:6">
      <c r="B698" s="13" t="s">
        <v>2088</v>
      </c>
      <c r="C698" s="30" t="s">
        <v>2089</v>
      </c>
      <c r="D698" s="13" t="s">
        <v>2090</v>
      </c>
      <c r="E698" s="24" t="s">
        <v>12</v>
      </c>
      <c r="F698" s="25">
        <v>2500</v>
      </c>
    </row>
    <row r="699" spans="2:6">
      <c r="B699" s="13" t="s">
        <v>2091</v>
      </c>
      <c r="C699" s="23" t="s">
        <v>2092</v>
      </c>
      <c r="D699" s="13" t="s">
        <v>2093</v>
      </c>
      <c r="E699" s="24" t="s">
        <v>12</v>
      </c>
      <c r="F699" s="25">
        <v>16674.999999999996</v>
      </c>
    </row>
    <row r="700" spans="2:6">
      <c r="B700" s="13" t="s">
        <v>2094</v>
      </c>
      <c r="C700" s="31" t="s">
        <v>2095</v>
      </c>
      <c r="D700" s="13" t="s">
        <v>2096</v>
      </c>
      <c r="E700" s="24" t="s">
        <v>12</v>
      </c>
      <c r="F700" s="25">
        <v>8800</v>
      </c>
    </row>
    <row r="701" spans="2:6">
      <c r="B701" s="13" t="s">
        <v>2097</v>
      </c>
      <c r="C701" s="23" t="s">
        <v>2098</v>
      </c>
      <c r="D701" s="13" t="s">
        <v>2099</v>
      </c>
      <c r="E701" s="24" t="s">
        <v>12</v>
      </c>
      <c r="F701" s="25">
        <v>4500</v>
      </c>
    </row>
    <row r="702" spans="2:6">
      <c r="B702" s="13" t="s">
        <v>2100</v>
      </c>
      <c r="C702" s="23" t="s">
        <v>2101</v>
      </c>
      <c r="D702" s="13" t="s">
        <v>2102</v>
      </c>
      <c r="E702" s="24" t="s">
        <v>1375</v>
      </c>
      <c r="F702" s="25">
        <v>10900</v>
      </c>
    </row>
    <row r="703" spans="2:6">
      <c r="B703" s="13" t="s">
        <v>2103</v>
      </c>
      <c r="C703" s="29" t="s">
        <v>2104</v>
      </c>
      <c r="D703" s="13" t="s">
        <v>2105</v>
      </c>
      <c r="E703" s="24" t="s">
        <v>12</v>
      </c>
      <c r="F703" s="25">
        <v>200000</v>
      </c>
    </row>
    <row r="704" spans="2:6">
      <c r="B704" s="13" t="s">
        <v>2106</v>
      </c>
      <c r="C704" s="29" t="s">
        <v>2107</v>
      </c>
      <c r="D704" s="13" t="s">
        <v>2108</v>
      </c>
      <c r="E704" s="24" t="s">
        <v>12</v>
      </c>
      <c r="F704" s="25">
        <v>650000</v>
      </c>
    </row>
    <row r="705" spans="2:6">
      <c r="B705" s="13" t="s">
        <v>2109</v>
      </c>
      <c r="C705" s="23" t="s">
        <v>2110</v>
      </c>
      <c r="D705" s="13" t="s">
        <v>2111</v>
      </c>
      <c r="E705" s="24" t="s">
        <v>12</v>
      </c>
      <c r="F705" s="25">
        <v>127599.99999999999</v>
      </c>
    </row>
    <row r="706" spans="2:6">
      <c r="B706" s="13" t="s">
        <v>2112</v>
      </c>
      <c r="C706" s="23" t="s">
        <v>2113</v>
      </c>
      <c r="D706" s="13" t="s">
        <v>2114</v>
      </c>
      <c r="E706" s="24" t="s">
        <v>12</v>
      </c>
      <c r="F706" s="25">
        <v>12000</v>
      </c>
    </row>
    <row r="707" spans="2:6">
      <c r="B707" s="13" t="s">
        <v>2115</v>
      </c>
      <c r="C707" s="23" t="s">
        <v>2116</v>
      </c>
      <c r="D707" s="13" t="s">
        <v>2117</v>
      </c>
      <c r="E707" s="24" t="s">
        <v>12</v>
      </c>
      <c r="F707" s="25">
        <v>2800</v>
      </c>
    </row>
    <row r="708" spans="2:6">
      <c r="B708" s="13" t="s">
        <v>2118</v>
      </c>
      <c r="C708" s="37" t="s">
        <v>2119</v>
      </c>
      <c r="D708" s="13" t="s">
        <v>2120</v>
      </c>
      <c r="E708" s="24" t="s">
        <v>12</v>
      </c>
      <c r="F708" s="25">
        <v>7249.9999999999991</v>
      </c>
    </row>
    <row r="709" spans="2:6">
      <c r="B709" s="13" t="s">
        <v>2121</v>
      </c>
      <c r="C709" s="37" t="s">
        <v>2122</v>
      </c>
      <c r="D709" s="13" t="s">
        <v>2123</v>
      </c>
      <c r="E709" s="24" t="s">
        <v>12</v>
      </c>
      <c r="F709" s="25">
        <v>8109.5599999999995</v>
      </c>
    </row>
    <row r="710" spans="2:6">
      <c r="B710" s="13" t="s">
        <v>2124</v>
      </c>
      <c r="C710" s="37" t="s">
        <v>2125</v>
      </c>
      <c r="D710" s="13" t="s">
        <v>2126</v>
      </c>
      <c r="E710" s="24" t="s">
        <v>12</v>
      </c>
      <c r="F710" s="25">
        <v>3301.3599999999997</v>
      </c>
    </row>
    <row r="711" spans="2:6">
      <c r="B711" s="13" t="s">
        <v>2127</v>
      </c>
      <c r="C711" s="37" t="s">
        <v>2128</v>
      </c>
      <c r="D711" s="13" t="s">
        <v>2129</v>
      </c>
      <c r="E711" s="24" t="s">
        <v>12</v>
      </c>
      <c r="F711" s="25">
        <v>5515.7999999999993</v>
      </c>
    </row>
    <row r="712" spans="2:6">
      <c r="B712" s="13" t="s">
        <v>2130</v>
      </c>
      <c r="C712" s="31" t="s">
        <v>2131</v>
      </c>
      <c r="D712" s="13" t="s">
        <v>2132</v>
      </c>
      <c r="E712" s="24" t="s">
        <v>1780</v>
      </c>
      <c r="F712" s="25">
        <v>150000</v>
      </c>
    </row>
    <row r="713" spans="2:6">
      <c r="B713" s="13" t="s">
        <v>2133</v>
      </c>
      <c r="C713" s="23" t="s">
        <v>2134</v>
      </c>
      <c r="D713" s="13" t="s">
        <v>2135</v>
      </c>
      <c r="E713" s="24" t="s">
        <v>12</v>
      </c>
      <c r="F713" s="25">
        <v>25000</v>
      </c>
    </row>
    <row r="714" spans="2:6">
      <c r="B714" s="13" t="s">
        <v>2136</v>
      </c>
      <c r="C714" s="23" t="s">
        <v>2137</v>
      </c>
      <c r="D714" s="13" t="s">
        <v>2138</v>
      </c>
      <c r="E714" s="24" t="s">
        <v>12</v>
      </c>
      <c r="F714" s="25">
        <v>13919.999999999998</v>
      </c>
    </row>
    <row r="715" spans="2:6">
      <c r="B715" s="13" t="s">
        <v>2139</v>
      </c>
      <c r="C715" s="23" t="s">
        <v>2140</v>
      </c>
      <c r="D715" s="13" t="s">
        <v>2141</v>
      </c>
      <c r="E715" s="24" t="s">
        <v>12</v>
      </c>
      <c r="F715" s="25">
        <v>7347.6719999999996</v>
      </c>
    </row>
    <row r="716" spans="2:6">
      <c r="B716" s="13" t="s">
        <v>2142</v>
      </c>
      <c r="C716" s="23" t="s">
        <v>2143</v>
      </c>
      <c r="D716" s="13" t="s">
        <v>2144</v>
      </c>
      <c r="E716" s="24" t="s">
        <v>12</v>
      </c>
      <c r="F716" s="25">
        <v>3016</v>
      </c>
    </row>
    <row r="717" spans="2:6">
      <c r="B717" s="13" t="s">
        <v>2145</v>
      </c>
      <c r="C717" s="23" t="s">
        <v>2146</v>
      </c>
      <c r="D717" s="13" t="s">
        <v>2147</v>
      </c>
      <c r="E717" s="24" t="s">
        <v>12</v>
      </c>
      <c r="F717" s="25">
        <v>20880</v>
      </c>
    </row>
    <row r="718" spans="2:6">
      <c r="B718" s="13" t="s">
        <v>2148</v>
      </c>
      <c r="C718" s="23" t="s">
        <v>2149</v>
      </c>
      <c r="D718" s="13" t="s">
        <v>2150</v>
      </c>
      <c r="E718" s="24" t="s">
        <v>12</v>
      </c>
      <c r="F718" s="25">
        <v>40219.200000000004</v>
      </c>
    </row>
    <row r="719" spans="2:6">
      <c r="B719" s="13" t="s">
        <v>2151</v>
      </c>
      <c r="C719" s="23" t="s">
        <v>2152</v>
      </c>
      <c r="D719" s="13" t="s">
        <v>2153</v>
      </c>
      <c r="E719" s="24" t="s">
        <v>12</v>
      </c>
      <c r="F719" s="25">
        <v>4640</v>
      </c>
    </row>
    <row r="720" spans="2:6">
      <c r="B720" s="13" t="s">
        <v>2154</v>
      </c>
      <c r="C720" s="23" t="s">
        <v>2155</v>
      </c>
      <c r="D720" s="13" t="s">
        <v>2156</v>
      </c>
      <c r="E720" s="24" t="s">
        <v>12</v>
      </c>
      <c r="F720" s="25">
        <v>25000</v>
      </c>
    </row>
    <row r="721" spans="2:6">
      <c r="B721" s="13" t="s">
        <v>2157</v>
      </c>
      <c r="C721" s="23" t="s">
        <v>2158</v>
      </c>
      <c r="D721" s="13" t="s">
        <v>2159</v>
      </c>
      <c r="E721" s="24" t="s">
        <v>12</v>
      </c>
      <c r="F721" s="25">
        <v>45000</v>
      </c>
    </row>
    <row r="722" spans="2:6">
      <c r="B722" s="13" t="s">
        <v>2160</v>
      </c>
      <c r="C722" s="23" t="s">
        <v>2161</v>
      </c>
      <c r="D722" s="13" t="s">
        <v>2162</v>
      </c>
      <c r="E722" s="24" t="s">
        <v>12</v>
      </c>
      <c r="F722" s="25">
        <v>13673.499999999998</v>
      </c>
    </row>
    <row r="723" spans="2:6">
      <c r="B723" s="13" t="s">
        <v>2163</v>
      </c>
      <c r="C723" s="30" t="s">
        <v>2164</v>
      </c>
      <c r="D723" s="13" t="s">
        <v>2165</v>
      </c>
      <c r="E723" s="24" t="s">
        <v>12</v>
      </c>
      <c r="F723" s="25">
        <v>40000</v>
      </c>
    </row>
    <row r="724" spans="2:6">
      <c r="B724" s="13" t="s">
        <v>2166</v>
      </c>
      <c r="C724" s="23" t="s">
        <v>2167</v>
      </c>
      <c r="D724" s="13" t="s">
        <v>2168</v>
      </c>
      <c r="E724" s="24" t="s">
        <v>12</v>
      </c>
      <c r="F724" s="25">
        <v>7017.9999999999991</v>
      </c>
    </row>
    <row r="725" spans="2:6">
      <c r="B725" s="13" t="s">
        <v>2169</v>
      </c>
      <c r="C725" s="23" t="s">
        <v>2170</v>
      </c>
      <c r="D725" s="13" t="s">
        <v>2171</v>
      </c>
      <c r="E725" s="24" t="s">
        <v>12</v>
      </c>
      <c r="F725" s="25">
        <v>8000</v>
      </c>
    </row>
    <row r="726" spans="2:6">
      <c r="B726" s="13" t="s">
        <v>2172</v>
      </c>
      <c r="C726" s="23" t="s">
        <v>3966</v>
      </c>
      <c r="D726" s="13" t="s">
        <v>2173</v>
      </c>
      <c r="E726" s="24" t="s">
        <v>12</v>
      </c>
      <c r="F726" s="25">
        <v>8670.9999999999982</v>
      </c>
    </row>
    <row r="727" spans="2:6">
      <c r="B727" s="13" t="s">
        <v>2174</v>
      </c>
      <c r="C727" s="23" t="s">
        <v>3967</v>
      </c>
      <c r="D727" s="13" t="s">
        <v>2175</v>
      </c>
      <c r="E727" s="24" t="s">
        <v>12</v>
      </c>
      <c r="F727" s="25">
        <v>9204.5999999999985</v>
      </c>
    </row>
    <row r="728" spans="2:6">
      <c r="B728" s="13" t="s">
        <v>2176</v>
      </c>
      <c r="C728" s="23" t="s">
        <v>3968</v>
      </c>
      <c r="D728" s="13" t="s">
        <v>2177</v>
      </c>
      <c r="E728" s="24" t="s">
        <v>12</v>
      </c>
      <c r="F728" s="25">
        <v>15471.731999999996</v>
      </c>
    </row>
    <row r="729" spans="2:6">
      <c r="B729" s="13" t="s">
        <v>2178</v>
      </c>
      <c r="C729" s="23" t="s">
        <v>3969</v>
      </c>
      <c r="D729" s="13" t="s">
        <v>2179</v>
      </c>
      <c r="E729" s="24" t="s">
        <v>12</v>
      </c>
      <c r="F729" s="25">
        <v>13073.199999999999</v>
      </c>
    </row>
    <row r="730" spans="2:6">
      <c r="B730" s="13" t="s">
        <v>2180</v>
      </c>
      <c r="C730" s="23" t="s">
        <v>3970</v>
      </c>
      <c r="D730" s="13" t="s">
        <v>2181</v>
      </c>
      <c r="E730" s="24" t="s">
        <v>12</v>
      </c>
      <c r="F730" s="25">
        <v>13073.199999999999</v>
      </c>
    </row>
    <row r="731" spans="2:6">
      <c r="B731" s="13" t="s">
        <v>2182</v>
      </c>
      <c r="C731" s="23" t="s">
        <v>3971</v>
      </c>
      <c r="D731" s="13" t="s">
        <v>2183</v>
      </c>
      <c r="E731" s="24"/>
      <c r="F731" s="25">
        <v>16007.999999999996</v>
      </c>
    </row>
    <row r="732" spans="2:6">
      <c r="B732" s="13" t="s">
        <v>2184</v>
      </c>
      <c r="C732" s="23" t="s">
        <v>2185</v>
      </c>
      <c r="D732" s="13" t="s">
        <v>2186</v>
      </c>
      <c r="E732" s="24" t="s">
        <v>12</v>
      </c>
      <c r="F732" s="25">
        <v>25000</v>
      </c>
    </row>
    <row r="733" spans="2:6">
      <c r="B733" s="13" t="s">
        <v>2187</v>
      </c>
      <c r="C733" s="29" t="s">
        <v>2188</v>
      </c>
      <c r="D733" s="13" t="s">
        <v>2189</v>
      </c>
      <c r="E733" s="24" t="s">
        <v>12</v>
      </c>
      <c r="F733" s="25">
        <v>250000</v>
      </c>
    </row>
    <row r="734" spans="2:6">
      <c r="B734" s="13" t="s">
        <v>2190</v>
      </c>
      <c r="C734" s="29" t="s">
        <v>2191</v>
      </c>
      <c r="D734" s="13" t="s">
        <v>2192</v>
      </c>
      <c r="E734" s="24" t="s">
        <v>12</v>
      </c>
      <c r="F734" s="25">
        <v>250000</v>
      </c>
    </row>
    <row r="735" spans="2:6">
      <c r="B735" s="13" t="s">
        <v>2193</v>
      </c>
      <c r="C735" s="29" t="s">
        <v>2194</v>
      </c>
      <c r="D735" s="13" t="s">
        <v>2195</v>
      </c>
      <c r="E735" s="24" t="s">
        <v>1379</v>
      </c>
      <c r="F735" s="25">
        <v>60000</v>
      </c>
    </row>
    <row r="736" spans="2:6">
      <c r="B736" s="13" t="s">
        <v>2196</v>
      </c>
      <c r="C736" s="29" t="s">
        <v>2197</v>
      </c>
      <c r="D736" s="13" t="s">
        <v>2198</v>
      </c>
      <c r="E736" s="24" t="s">
        <v>12</v>
      </c>
      <c r="F736" s="25">
        <v>300</v>
      </c>
    </row>
    <row r="737" spans="2:6">
      <c r="B737" s="13" t="s">
        <v>2199</v>
      </c>
      <c r="C737" s="29" t="s">
        <v>2200</v>
      </c>
      <c r="D737" s="13" t="s">
        <v>2201</v>
      </c>
      <c r="E737" s="24" t="s">
        <v>12</v>
      </c>
      <c r="F737" s="25">
        <v>450</v>
      </c>
    </row>
    <row r="738" spans="2:6">
      <c r="B738" s="13" t="s">
        <v>2202</v>
      </c>
      <c r="C738" s="29" t="s">
        <v>2203</v>
      </c>
      <c r="D738" s="13" t="s">
        <v>2204</v>
      </c>
      <c r="E738" s="24" t="s">
        <v>12</v>
      </c>
      <c r="F738" s="25">
        <v>800</v>
      </c>
    </row>
    <row r="739" spans="2:6">
      <c r="B739" s="13" t="s">
        <v>2205</v>
      </c>
      <c r="C739" s="29" t="s">
        <v>2206</v>
      </c>
      <c r="D739" s="13" t="s">
        <v>2207</v>
      </c>
      <c r="E739" s="24" t="s">
        <v>12</v>
      </c>
      <c r="F739" s="25">
        <v>1200</v>
      </c>
    </row>
    <row r="740" spans="2:6">
      <c r="B740" s="13" t="s">
        <v>2208</v>
      </c>
      <c r="C740" s="29" t="s">
        <v>2209</v>
      </c>
      <c r="D740" s="13" t="s">
        <v>2210</v>
      </c>
      <c r="E740" s="24" t="s">
        <v>12</v>
      </c>
      <c r="F740" s="25">
        <v>7500</v>
      </c>
    </row>
    <row r="741" spans="2:6">
      <c r="B741" s="13" t="s">
        <v>2211</v>
      </c>
      <c r="C741" s="29" t="s">
        <v>2212</v>
      </c>
      <c r="D741" s="13" t="s">
        <v>2213</v>
      </c>
      <c r="E741" s="24" t="s">
        <v>12</v>
      </c>
      <c r="F741" s="25">
        <v>1752.76</v>
      </c>
    </row>
    <row r="742" spans="2:6">
      <c r="B742" s="13" t="s">
        <v>2214</v>
      </c>
      <c r="C742" s="29" t="s">
        <v>2215</v>
      </c>
      <c r="D742" s="13" t="s">
        <v>2216</v>
      </c>
      <c r="E742" s="24" t="s">
        <v>12</v>
      </c>
      <c r="F742" s="25">
        <v>1466.24</v>
      </c>
    </row>
    <row r="743" spans="2:6">
      <c r="B743" s="13" t="s">
        <v>2217</v>
      </c>
      <c r="C743" s="29" t="s">
        <v>2218</v>
      </c>
      <c r="D743" s="13" t="s">
        <v>2219</v>
      </c>
      <c r="E743" s="24" t="s">
        <v>12</v>
      </c>
      <c r="F743" s="25">
        <v>1353.7199999999998</v>
      </c>
    </row>
    <row r="744" spans="2:6">
      <c r="B744" s="13" t="s">
        <v>2220</v>
      </c>
      <c r="C744" s="23" t="s">
        <v>2221</v>
      </c>
      <c r="D744" s="13" t="s">
        <v>2222</v>
      </c>
      <c r="E744" s="24" t="s">
        <v>12</v>
      </c>
      <c r="F744" s="25">
        <v>7000</v>
      </c>
    </row>
    <row r="745" spans="2:6">
      <c r="B745" s="13" t="s">
        <v>2223</v>
      </c>
      <c r="C745" s="29" t="s">
        <v>2224</v>
      </c>
      <c r="D745" s="13" t="s">
        <v>2225</v>
      </c>
      <c r="E745" s="24" t="s">
        <v>12</v>
      </c>
      <c r="F745" s="25">
        <v>1168.1199999999999</v>
      </c>
    </row>
    <row r="746" spans="2:6">
      <c r="B746" s="13" t="s">
        <v>2226</v>
      </c>
      <c r="C746" s="23" t="s">
        <v>2227</v>
      </c>
      <c r="D746" s="13" t="s">
        <v>2228</v>
      </c>
      <c r="E746" s="24" t="s">
        <v>12</v>
      </c>
      <c r="F746" s="25">
        <v>2700</v>
      </c>
    </row>
    <row r="747" spans="2:6">
      <c r="B747" s="13" t="s">
        <v>2229</v>
      </c>
      <c r="C747" s="29" t="s">
        <v>2230</v>
      </c>
      <c r="D747" s="13" t="s">
        <v>2231</v>
      </c>
      <c r="E747" s="24" t="s">
        <v>12</v>
      </c>
      <c r="F747" s="25">
        <v>2344.3599999999997</v>
      </c>
    </row>
    <row r="748" spans="2:6">
      <c r="B748" s="13" t="s">
        <v>2232</v>
      </c>
      <c r="C748" s="23" t="s">
        <v>2233</v>
      </c>
      <c r="D748" s="13" t="s">
        <v>2234</v>
      </c>
      <c r="E748" s="24" t="s">
        <v>12</v>
      </c>
      <c r="F748" s="25">
        <v>10000</v>
      </c>
    </row>
    <row r="749" spans="2:6">
      <c r="B749" s="13" t="s">
        <v>2235</v>
      </c>
      <c r="C749" s="29" t="s">
        <v>2236</v>
      </c>
      <c r="D749" s="13" t="s">
        <v>2237</v>
      </c>
      <c r="E749" s="24" t="s">
        <v>12</v>
      </c>
      <c r="F749" s="25">
        <v>1273.6799999999998</v>
      </c>
    </row>
    <row r="750" spans="2:6">
      <c r="B750" s="13" t="s">
        <v>2238</v>
      </c>
      <c r="C750" s="23" t="s">
        <v>2239</v>
      </c>
      <c r="D750" s="13" t="s">
        <v>2240</v>
      </c>
      <c r="E750" s="24" t="s">
        <v>12</v>
      </c>
      <c r="F750" s="25">
        <v>6000</v>
      </c>
    </row>
    <row r="751" spans="2:6">
      <c r="B751" s="13" t="s">
        <v>2241</v>
      </c>
      <c r="C751" s="23" t="s">
        <v>2242</v>
      </c>
      <c r="D751" s="13" t="s">
        <v>2243</v>
      </c>
      <c r="E751" s="24" t="s">
        <v>12</v>
      </c>
      <c r="F751" s="25">
        <v>4550</v>
      </c>
    </row>
    <row r="752" spans="2:6">
      <c r="B752" s="13" t="s">
        <v>2244</v>
      </c>
      <c r="C752" s="23" t="s">
        <v>3963</v>
      </c>
      <c r="D752" s="13" t="s">
        <v>2245</v>
      </c>
      <c r="E752" s="24" t="s">
        <v>12</v>
      </c>
      <c r="F752" s="25">
        <v>1900</v>
      </c>
    </row>
    <row r="753" spans="2:6">
      <c r="B753" s="13" t="s">
        <v>2246</v>
      </c>
      <c r="C753" s="23" t="s">
        <v>3964</v>
      </c>
      <c r="D753" s="13" t="s">
        <v>2247</v>
      </c>
      <c r="E753" s="24" t="s">
        <v>12</v>
      </c>
      <c r="F753" s="25">
        <v>1206</v>
      </c>
    </row>
    <row r="754" spans="2:6">
      <c r="B754" s="13" t="s">
        <v>2248</v>
      </c>
      <c r="C754" s="23" t="s">
        <v>3965</v>
      </c>
      <c r="D754" s="13" t="s">
        <v>2249</v>
      </c>
      <c r="E754" s="24" t="s">
        <v>12</v>
      </c>
      <c r="F754" s="25">
        <v>1050</v>
      </c>
    </row>
    <row r="755" spans="2:6">
      <c r="B755" s="13" t="s">
        <v>2250</v>
      </c>
      <c r="C755" s="23" t="s">
        <v>2251</v>
      </c>
      <c r="D755" s="13" t="s">
        <v>2252</v>
      </c>
      <c r="E755" s="24" t="s">
        <v>12</v>
      </c>
      <c r="F755" s="25">
        <v>9800</v>
      </c>
    </row>
    <row r="756" spans="2:6">
      <c r="B756" s="13" t="s">
        <v>2253</v>
      </c>
      <c r="C756" s="23" t="s">
        <v>2254</v>
      </c>
      <c r="D756" s="13" t="s">
        <v>2255</v>
      </c>
      <c r="E756" s="24" t="s">
        <v>12</v>
      </c>
      <c r="F756" s="25">
        <v>12220</v>
      </c>
    </row>
    <row r="757" spans="2:6">
      <c r="B757" s="13" t="s">
        <v>2256</v>
      </c>
      <c r="C757" s="29" t="s">
        <v>2257</v>
      </c>
      <c r="D757" s="13" t="s">
        <v>2258</v>
      </c>
      <c r="E757" s="24" t="s">
        <v>12</v>
      </c>
      <c r="F757" s="25">
        <v>45000</v>
      </c>
    </row>
    <row r="758" spans="2:6">
      <c r="B758" s="13" t="s">
        <v>2259</v>
      </c>
      <c r="C758" s="29" t="s">
        <v>2260</v>
      </c>
      <c r="D758" s="13" t="s">
        <v>2261</v>
      </c>
      <c r="E758" s="24" t="s">
        <v>12</v>
      </c>
      <c r="F758" s="25">
        <v>110000</v>
      </c>
    </row>
    <row r="759" spans="2:6">
      <c r="B759" s="13" t="s">
        <v>2262</v>
      </c>
      <c r="C759" s="23" t="s">
        <v>2263</v>
      </c>
      <c r="D759" s="13" t="s">
        <v>2264</v>
      </c>
      <c r="E759" s="24" t="s">
        <v>12</v>
      </c>
      <c r="F759" s="25">
        <v>300</v>
      </c>
    </row>
    <row r="760" spans="2:6">
      <c r="B760" s="13" t="s">
        <v>2265</v>
      </c>
      <c r="C760" s="23" t="s">
        <v>2266</v>
      </c>
      <c r="D760" s="13" t="s">
        <v>2267</v>
      </c>
      <c r="E760" s="24" t="s">
        <v>12</v>
      </c>
      <c r="F760" s="25">
        <v>8000</v>
      </c>
    </row>
    <row r="761" spans="2:6">
      <c r="B761" s="13" t="s">
        <v>2268</v>
      </c>
      <c r="C761" s="23" t="s">
        <v>2269</v>
      </c>
      <c r="D761" s="13" t="s">
        <v>2270</v>
      </c>
      <c r="E761" s="24" t="s">
        <v>12</v>
      </c>
      <c r="F761" s="25">
        <v>10000</v>
      </c>
    </row>
    <row r="762" spans="2:6">
      <c r="B762" s="13" t="s">
        <v>2271</v>
      </c>
      <c r="C762" s="23" t="s">
        <v>2272</v>
      </c>
      <c r="D762" s="13" t="s">
        <v>2273</v>
      </c>
      <c r="E762" s="24" t="s">
        <v>12</v>
      </c>
      <c r="F762" s="25">
        <v>6500</v>
      </c>
    </row>
    <row r="763" spans="2:6">
      <c r="B763" s="13" t="s">
        <v>2274</v>
      </c>
      <c r="C763" s="29" t="s">
        <v>2275</v>
      </c>
      <c r="D763" s="13" t="s">
        <v>2276</v>
      </c>
      <c r="E763" s="24" t="s">
        <v>12</v>
      </c>
      <c r="F763" s="25">
        <v>98.6</v>
      </c>
    </row>
    <row r="764" spans="2:6">
      <c r="B764" s="13" t="s">
        <v>2277</v>
      </c>
      <c r="C764" s="29" t="s">
        <v>2278</v>
      </c>
      <c r="D764" s="13" t="s">
        <v>2279</v>
      </c>
      <c r="E764" s="24" t="s">
        <v>12</v>
      </c>
      <c r="F764" s="25">
        <v>800</v>
      </c>
    </row>
    <row r="765" spans="2:6">
      <c r="B765" s="13" t="s">
        <v>2280</v>
      </c>
      <c r="C765" s="30" t="s">
        <v>2281</v>
      </c>
      <c r="D765" s="13" t="s">
        <v>2282</v>
      </c>
      <c r="E765" s="24" t="s">
        <v>12</v>
      </c>
      <c r="F765" s="25">
        <v>45000</v>
      </c>
    </row>
    <row r="766" spans="2:6">
      <c r="B766" s="13" t="s">
        <v>2283</v>
      </c>
      <c r="C766" s="29" t="s">
        <v>2284</v>
      </c>
      <c r="D766" s="13" t="s">
        <v>2285</v>
      </c>
      <c r="E766" s="24" t="s">
        <v>12</v>
      </c>
      <c r="F766" s="25">
        <v>143000</v>
      </c>
    </row>
    <row r="767" spans="2:6">
      <c r="B767" s="13" t="s">
        <v>2286</v>
      </c>
      <c r="C767" s="29" t="s">
        <v>2287</v>
      </c>
      <c r="D767" s="13" t="s">
        <v>2288</v>
      </c>
      <c r="E767" s="24" t="s">
        <v>12</v>
      </c>
      <c r="F767" s="25">
        <v>325000</v>
      </c>
    </row>
    <row r="768" spans="2:6">
      <c r="B768" s="13" t="s">
        <v>2289</v>
      </c>
      <c r="C768" s="29" t="s">
        <v>2290</v>
      </c>
      <c r="D768" s="13" t="s">
        <v>2291</v>
      </c>
      <c r="E768" s="24" t="s">
        <v>12</v>
      </c>
      <c r="F768" s="25">
        <v>58500</v>
      </c>
    </row>
    <row r="769" spans="2:6">
      <c r="B769" s="13" t="s">
        <v>2292</v>
      </c>
      <c r="C769" s="23" t="s">
        <v>2293</v>
      </c>
      <c r="D769" s="13" t="s">
        <v>2294</v>
      </c>
      <c r="E769" s="24" t="s">
        <v>12</v>
      </c>
      <c r="F769" s="25">
        <v>700000</v>
      </c>
    </row>
    <row r="770" spans="2:6">
      <c r="B770" s="13" t="s">
        <v>2295</v>
      </c>
      <c r="C770" s="23" t="s">
        <v>2296</v>
      </c>
      <c r="D770" s="13" t="s">
        <v>2297</v>
      </c>
      <c r="E770" s="24" t="s">
        <v>12</v>
      </c>
      <c r="F770" s="25">
        <v>3690</v>
      </c>
    </row>
    <row r="771" spans="2:6">
      <c r="B771" s="13" t="s">
        <v>2298</v>
      </c>
      <c r="C771" s="23" t="s">
        <v>2299</v>
      </c>
      <c r="D771" s="13" t="s">
        <v>2300</v>
      </c>
      <c r="E771" s="24" t="s">
        <v>12</v>
      </c>
      <c r="F771" s="25">
        <v>184275</v>
      </c>
    </row>
    <row r="772" spans="2:6">
      <c r="B772" s="13" t="s">
        <v>2301</v>
      </c>
      <c r="C772" s="23" t="s">
        <v>2302</v>
      </c>
      <c r="D772" s="13" t="s">
        <v>2303</v>
      </c>
      <c r="E772" s="24" t="s">
        <v>12</v>
      </c>
      <c r="F772" s="25">
        <v>232765</v>
      </c>
    </row>
    <row r="773" spans="2:6">
      <c r="B773" s="13" t="s">
        <v>2304</v>
      </c>
      <c r="C773" s="23" t="s">
        <v>2305</v>
      </c>
      <c r="D773" s="13" t="s">
        <v>2306</v>
      </c>
      <c r="E773" s="24" t="s">
        <v>12</v>
      </c>
      <c r="F773" s="25">
        <v>390390</v>
      </c>
    </row>
    <row r="774" spans="2:6">
      <c r="B774" s="13" t="s">
        <v>2307</v>
      </c>
      <c r="C774" s="23" t="s">
        <v>2308</v>
      </c>
      <c r="D774" s="13" t="s">
        <v>2309</v>
      </c>
      <c r="E774" s="24" t="s">
        <v>2310</v>
      </c>
      <c r="F774" s="25">
        <v>550</v>
      </c>
    </row>
    <row r="775" spans="2:6">
      <c r="B775" s="13" t="s">
        <v>2311</v>
      </c>
      <c r="C775" s="23" t="s">
        <v>2312</v>
      </c>
      <c r="D775" s="13" t="s">
        <v>2313</v>
      </c>
      <c r="E775" s="24" t="s">
        <v>2310</v>
      </c>
      <c r="F775" s="25">
        <v>550</v>
      </c>
    </row>
    <row r="776" spans="2:6">
      <c r="B776" s="13" t="s">
        <v>2314</v>
      </c>
      <c r="C776" s="23" t="s">
        <v>2315</v>
      </c>
      <c r="D776" s="13" t="s">
        <v>2316</v>
      </c>
      <c r="E776" s="24" t="s">
        <v>2310</v>
      </c>
      <c r="F776" s="25">
        <v>1400.6999999999998</v>
      </c>
    </row>
    <row r="777" spans="2:6">
      <c r="B777" s="13" t="s">
        <v>2317</v>
      </c>
      <c r="C777" s="30" t="s">
        <v>2318</v>
      </c>
      <c r="D777" s="13" t="s">
        <v>2319</v>
      </c>
      <c r="E777" s="24" t="s">
        <v>12</v>
      </c>
      <c r="F777" s="25">
        <v>200000</v>
      </c>
    </row>
    <row r="778" spans="2:6">
      <c r="B778" s="13" t="s">
        <v>2320</v>
      </c>
      <c r="C778" s="37" t="s">
        <v>2321</v>
      </c>
      <c r="D778" s="13" t="s">
        <v>2322</v>
      </c>
      <c r="E778" s="24" t="s">
        <v>12</v>
      </c>
      <c r="F778" s="25">
        <v>206700.4</v>
      </c>
    </row>
    <row r="779" spans="2:6">
      <c r="B779" s="13" t="s">
        <v>2323</v>
      </c>
      <c r="C779" s="37" t="s">
        <v>2324</v>
      </c>
      <c r="D779" s="13" t="s">
        <v>2325</v>
      </c>
      <c r="E779" s="24" t="s">
        <v>12</v>
      </c>
      <c r="F779" s="25">
        <v>86718.12</v>
      </c>
    </row>
    <row r="780" spans="2:6">
      <c r="B780" s="13" t="s">
        <v>2326</v>
      </c>
      <c r="C780" s="37" t="s">
        <v>2327</v>
      </c>
      <c r="D780" s="13" t="s">
        <v>2328</v>
      </c>
      <c r="E780" s="24" t="s">
        <v>12</v>
      </c>
      <c r="F780" s="25">
        <v>19476.399999999998</v>
      </c>
    </row>
    <row r="781" spans="2:6">
      <c r="B781" s="13" t="s">
        <v>2329</v>
      </c>
      <c r="C781" s="23" t="s">
        <v>2330</v>
      </c>
      <c r="D781" s="13" t="s">
        <v>2331</v>
      </c>
      <c r="E781" s="24" t="s">
        <v>12</v>
      </c>
      <c r="F781" s="25">
        <v>44550.000000000007</v>
      </c>
    </row>
    <row r="782" spans="2:6">
      <c r="B782" s="13" t="s">
        <v>2332</v>
      </c>
      <c r="C782" s="23" t="s">
        <v>2333</v>
      </c>
      <c r="D782" s="13" t="s">
        <v>2334</v>
      </c>
      <c r="E782" s="24" t="s">
        <v>12</v>
      </c>
      <c r="F782" s="25">
        <v>9900.0000000000018</v>
      </c>
    </row>
    <row r="783" spans="2:6">
      <c r="B783" s="13" t="s">
        <v>2335</v>
      </c>
      <c r="C783" s="23" t="s">
        <v>2336</v>
      </c>
      <c r="D783" s="13" t="s">
        <v>2337</v>
      </c>
      <c r="E783" s="24" t="s">
        <v>12</v>
      </c>
      <c r="F783" s="25">
        <v>6138.0000000000009</v>
      </c>
    </row>
    <row r="784" spans="2:6">
      <c r="B784" s="13" t="s">
        <v>2338</v>
      </c>
      <c r="C784" s="23" t="s">
        <v>2339</v>
      </c>
      <c r="D784" s="13" t="s">
        <v>2340</v>
      </c>
      <c r="E784" s="24" t="s">
        <v>12</v>
      </c>
      <c r="F784" s="25">
        <v>24750.000000000004</v>
      </c>
    </row>
    <row r="785" spans="2:6">
      <c r="B785" s="13" t="s">
        <v>2341</v>
      </c>
      <c r="C785" s="23" t="s">
        <v>2342</v>
      </c>
      <c r="D785" s="13" t="s">
        <v>2343</v>
      </c>
      <c r="E785" s="24" t="s">
        <v>12</v>
      </c>
      <c r="F785" s="25">
        <v>0</v>
      </c>
    </row>
    <row r="786" spans="2:6">
      <c r="B786" s="13" t="s">
        <v>2344</v>
      </c>
      <c r="C786" s="23" t="s">
        <v>2345</v>
      </c>
      <c r="D786" s="13" t="s">
        <v>2346</v>
      </c>
      <c r="E786" s="24" t="s">
        <v>12</v>
      </c>
      <c r="F786" s="25">
        <v>7128.0000000000009</v>
      </c>
    </row>
    <row r="787" spans="2:6">
      <c r="B787" s="13" t="s">
        <v>2347</v>
      </c>
      <c r="C787" s="23" t="s">
        <v>2348</v>
      </c>
      <c r="D787" s="13" t="s">
        <v>2349</v>
      </c>
      <c r="E787" s="24" t="s">
        <v>12</v>
      </c>
      <c r="F787" s="25">
        <v>74250.000000000015</v>
      </c>
    </row>
    <row r="788" spans="2:6">
      <c r="B788" s="13" t="s">
        <v>2350</v>
      </c>
      <c r="C788" s="23" t="s">
        <v>2351</v>
      </c>
      <c r="D788" s="13" t="s">
        <v>2352</v>
      </c>
      <c r="E788" s="24" t="s">
        <v>12</v>
      </c>
      <c r="F788" s="25">
        <v>85800</v>
      </c>
    </row>
    <row r="789" spans="2:6">
      <c r="B789" s="13" t="s">
        <v>2353</v>
      </c>
      <c r="C789" s="23" t="s">
        <v>2354</v>
      </c>
      <c r="D789" s="13" t="s">
        <v>2355</v>
      </c>
      <c r="E789" s="24" t="s">
        <v>12</v>
      </c>
      <c r="F789" s="25">
        <v>61050.000000000007</v>
      </c>
    </row>
    <row r="790" spans="2:6">
      <c r="B790" s="13" t="s">
        <v>2356</v>
      </c>
      <c r="C790" s="23" t="s">
        <v>2357</v>
      </c>
      <c r="D790" s="13" t="s">
        <v>2358</v>
      </c>
      <c r="E790" s="24" t="s">
        <v>12</v>
      </c>
      <c r="F790" s="25">
        <v>73150</v>
      </c>
    </row>
    <row r="791" spans="2:6">
      <c r="B791" s="13" t="s">
        <v>2359</v>
      </c>
      <c r="C791" s="23" t="s">
        <v>2360</v>
      </c>
      <c r="D791" s="13" t="s">
        <v>2361</v>
      </c>
      <c r="E791" s="24" t="s">
        <v>12</v>
      </c>
      <c r="F791" s="25">
        <v>39050</v>
      </c>
    </row>
    <row r="792" spans="2:6">
      <c r="B792" s="13" t="s">
        <v>2362</v>
      </c>
      <c r="C792" s="23" t="s">
        <v>2363</v>
      </c>
      <c r="D792" s="13" t="s">
        <v>2364</v>
      </c>
      <c r="E792" s="24" t="s">
        <v>12</v>
      </c>
      <c r="F792" s="25">
        <v>85800</v>
      </c>
    </row>
    <row r="793" spans="2:6">
      <c r="B793" s="13" t="s">
        <v>2365</v>
      </c>
      <c r="C793" s="23" t="s">
        <v>2366</v>
      </c>
      <c r="D793" s="13" t="s">
        <v>2367</v>
      </c>
      <c r="E793" s="24" t="s">
        <v>12</v>
      </c>
      <c r="F793" s="25">
        <v>25300.000000000007</v>
      </c>
    </row>
    <row r="794" spans="2:6">
      <c r="B794" s="13" t="s">
        <v>2368</v>
      </c>
      <c r="C794" s="23" t="s">
        <v>2369</v>
      </c>
      <c r="D794" s="13" t="s">
        <v>2370</v>
      </c>
      <c r="E794" s="24" t="s">
        <v>12</v>
      </c>
      <c r="F794" s="25">
        <v>524370</v>
      </c>
    </row>
    <row r="795" spans="2:6">
      <c r="B795" s="13" t="s">
        <v>2371</v>
      </c>
      <c r="C795" s="23" t="s">
        <v>2372</v>
      </c>
      <c r="D795" s="13" t="s">
        <v>2373</v>
      </c>
      <c r="E795" s="24" t="s">
        <v>12</v>
      </c>
      <c r="F795" s="25">
        <v>30866.000000000007</v>
      </c>
    </row>
    <row r="796" spans="2:6">
      <c r="B796" s="13" t="s">
        <v>2374</v>
      </c>
      <c r="C796" s="23" t="s">
        <v>2375</v>
      </c>
      <c r="D796" s="13" t="s">
        <v>2376</v>
      </c>
      <c r="E796" s="24" t="s">
        <v>12</v>
      </c>
      <c r="F796" s="25">
        <v>596750</v>
      </c>
    </row>
    <row r="797" spans="2:6">
      <c r="B797" s="13" t="s">
        <v>2377</v>
      </c>
      <c r="C797" s="23" t="s">
        <v>2378</v>
      </c>
      <c r="D797" s="13" t="s">
        <v>2379</v>
      </c>
      <c r="E797" s="24" t="s">
        <v>12</v>
      </c>
      <c r="F797" s="25">
        <v>54648.000000000015</v>
      </c>
    </row>
    <row r="798" spans="2:6">
      <c r="B798" s="13" t="s">
        <v>2380</v>
      </c>
      <c r="C798" s="23" t="s">
        <v>2381</v>
      </c>
      <c r="D798" s="13" t="s">
        <v>2382</v>
      </c>
      <c r="E798" s="24" t="s">
        <v>12</v>
      </c>
      <c r="F798" s="25">
        <v>25850.000000000004</v>
      </c>
    </row>
    <row r="799" spans="2:6">
      <c r="B799" s="13" t="s">
        <v>2383</v>
      </c>
      <c r="C799" s="23" t="s">
        <v>2384</v>
      </c>
      <c r="D799" s="13" t="s">
        <v>2385</v>
      </c>
      <c r="E799" s="24" t="s">
        <v>12</v>
      </c>
      <c r="F799" s="25">
        <v>15400.000000000002</v>
      </c>
    </row>
    <row r="800" spans="2:6">
      <c r="B800" s="13" t="s">
        <v>2386</v>
      </c>
      <c r="C800" s="23" t="s">
        <v>2387</v>
      </c>
      <c r="D800" s="13" t="s">
        <v>2388</v>
      </c>
      <c r="E800" s="24" t="s">
        <v>12</v>
      </c>
      <c r="F800" s="25">
        <v>228690</v>
      </c>
    </row>
    <row r="801" spans="2:6">
      <c r="B801" s="13" t="s">
        <v>2389</v>
      </c>
      <c r="C801" s="23" t="s">
        <v>2390</v>
      </c>
      <c r="D801" s="13" t="s">
        <v>2391</v>
      </c>
      <c r="E801" s="24" t="s">
        <v>12</v>
      </c>
      <c r="F801" s="25">
        <v>9100</v>
      </c>
    </row>
    <row r="802" spans="2:6">
      <c r="B802" s="13" t="s">
        <v>2392</v>
      </c>
      <c r="C802" s="23" t="s">
        <v>2393</v>
      </c>
      <c r="D802" s="13" t="s">
        <v>2394</v>
      </c>
      <c r="E802" s="24" t="s">
        <v>12</v>
      </c>
      <c r="F802" s="25">
        <v>13000</v>
      </c>
    </row>
    <row r="803" spans="2:6">
      <c r="B803" s="13" t="s">
        <v>2395</v>
      </c>
      <c r="C803" s="23" t="s">
        <v>2396</v>
      </c>
      <c r="D803" s="13" t="s">
        <v>2397</v>
      </c>
      <c r="E803" s="24" t="s">
        <v>12</v>
      </c>
      <c r="F803" s="25">
        <v>89050</v>
      </c>
    </row>
    <row r="804" spans="2:6">
      <c r="B804" s="13" t="s">
        <v>2398</v>
      </c>
      <c r="C804" s="23" t="s">
        <v>2399</v>
      </c>
      <c r="D804" s="13" t="s">
        <v>2400</v>
      </c>
      <c r="E804" s="24" t="s">
        <v>12</v>
      </c>
      <c r="F804" s="25">
        <v>89050</v>
      </c>
    </row>
    <row r="805" spans="2:6">
      <c r="B805" s="13" t="s">
        <v>2401</v>
      </c>
      <c r="C805" s="23" t="s">
        <v>2402</v>
      </c>
      <c r="D805" s="13" t="s">
        <v>2403</v>
      </c>
      <c r="E805" s="24" t="s">
        <v>12</v>
      </c>
      <c r="F805" s="25">
        <v>107250</v>
      </c>
    </row>
    <row r="806" spans="2:6">
      <c r="B806" s="13" t="s">
        <v>2404</v>
      </c>
      <c r="C806" s="23" t="s">
        <v>2405</v>
      </c>
      <c r="D806" s="13" t="s">
        <v>2406</v>
      </c>
      <c r="E806" s="24" t="s">
        <v>12</v>
      </c>
      <c r="F806" s="25">
        <v>157300</v>
      </c>
    </row>
    <row r="807" spans="2:6">
      <c r="B807" s="13" t="s">
        <v>2407</v>
      </c>
      <c r="C807" s="23" t="s">
        <v>2408</v>
      </c>
      <c r="D807" s="13" t="s">
        <v>2409</v>
      </c>
      <c r="E807" s="24" t="s">
        <v>12</v>
      </c>
      <c r="F807" s="25">
        <v>168350</v>
      </c>
    </row>
    <row r="808" spans="2:6">
      <c r="B808" s="13" t="s">
        <v>2410</v>
      </c>
      <c r="C808" s="23" t="s">
        <v>2411</v>
      </c>
      <c r="D808" s="13" t="s">
        <v>2412</v>
      </c>
      <c r="E808" s="24" t="s">
        <v>12</v>
      </c>
      <c r="F808" s="25">
        <v>173550</v>
      </c>
    </row>
    <row r="809" spans="2:6">
      <c r="B809" s="13" t="s">
        <v>2413</v>
      </c>
      <c r="C809" s="23" t="s">
        <v>2414</v>
      </c>
      <c r="D809" s="13" t="s">
        <v>2415</v>
      </c>
      <c r="E809" s="24" t="s">
        <v>12</v>
      </c>
      <c r="F809" s="25">
        <v>44000</v>
      </c>
    </row>
    <row r="810" spans="2:6">
      <c r="B810" s="13" t="s">
        <v>2416</v>
      </c>
      <c r="C810" s="23" t="s">
        <v>2417</v>
      </c>
      <c r="D810" s="13" t="s">
        <v>2418</v>
      </c>
      <c r="E810" s="24" t="s">
        <v>12</v>
      </c>
      <c r="F810" s="25">
        <v>65989</v>
      </c>
    </row>
    <row r="811" spans="2:6">
      <c r="B811" s="13" t="s">
        <v>2419</v>
      </c>
      <c r="C811" s="23" t="s">
        <v>2420</v>
      </c>
      <c r="D811" s="13" t="s">
        <v>2421</v>
      </c>
      <c r="E811" s="24" t="s">
        <v>12</v>
      </c>
      <c r="F811" s="25">
        <v>65989</v>
      </c>
    </row>
    <row r="812" spans="2:6">
      <c r="B812" s="13" t="s">
        <v>2422</v>
      </c>
      <c r="C812" s="23" t="s">
        <v>2423</v>
      </c>
      <c r="D812" s="13" t="s">
        <v>2424</v>
      </c>
      <c r="E812" s="24" t="s">
        <v>12</v>
      </c>
      <c r="F812" s="25">
        <v>79156</v>
      </c>
    </row>
    <row r="813" spans="2:6">
      <c r="B813" s="13" t="s">
        <v>2425</v>
      </c>
      <c r="C813" s="23" t="s">
        <v>2426</v>
      </c>
      <c r="D813" s="13" t="s">
        <v>2427</v>
      </c>
      <c r="E813" s="24" t="s">
        <v>12</v>
      </c>
      <c r="F813" s="25">
        <v>79156</v>
      </c>
    </row>
    <row r="814" spans="2:6">
      <c r="B814" s="13" t="s">
        <v>2428</v>
      </c>
      <c r="C814" s="23" t="s">
        <v>2429</v>
      </c>
      <c r="D814" s="13" t="s">
        <v>2430</v>
      </c>
      <c r="E814" s="24" t="s">
        <v>12</v>
      </c>
      <c r="F814" s="25">
        <v>12969.6</v>
      </c>
    </row>
    <row r="815" spans="2:6">
      <c r="B815" s="13" t="s">
        <v>2431</v>
      </c>
      <c r="C815" s="23" t="s">
        <v>2432</v>
      </c>
      <c r="D815" s="13" t="s">
        <v>2433</v>
      </c>
      <c r="E815" s="24" t="s">
        <v>12</v>
      </c>
      <c r="F815" s="25">
        <v>873.6</v>
      </c>
    </row>
    <row r="816" spans="2:6">
      <c r="B816" s="13" t="s">
        <v>2434</v>
      </c>
      <c r="C816" s="30" t="s">
        <v>2435</v>
      </c>
      <c r="D816" s="13" t="s">
        <v>2436</v>
      </c>
      <c r="E816" s="24" t="s">
        <v>12</v>
      </c>
      <c r="F816" s="25">
        <v>3465000.0000000005</v>
      </c>
    </row>
    <row r="817" spans="2:6">
      <c r="B817" s="13" t="s">
        <v>2437</v>
      </c>
      <c r="C817" s="23" t="s">
        <v>2438</v>
      </c>
      <c r="D817" s="13" t="s">
        <v>2439</v>
      </c>
      <c r="E817" s="24" t="s">
        <v>12</v>
      </c>
      <c r="F817" s="25">
        <v>6861.4</v>
      </c>
    </row>
    <row r="818" spans="2:6">
      <c r="B818" s="13" t="s">
        <v>2440</v>
      </c>
      <c r="C818" s="23" t="s">
        <v>2441</v>
      </c>
      <c r="D818" s="13" t="s">
        <v>2442</v>
      </c>
      <c r="E818" s="24" t="s">
        <v>12</v>
      </c>
      <c r="F818" s="25">
        <v>8821.7999999999993</v>
      </c>
    </row>
    <row r="819" spans="2:6">
      <c r="B819" s="13" t="s">
        <v>2443</v>
      </c>
      <c r="C819" s="31" t="s">
        <v>2444</v>
      </c>
      <c r="D819" s="13" t="s">
        <v>2445</v>
      </c>
      <c r="E819" s="24" t="s">
        <v>12</v>
      </c>
      <c r="F819" s="25">
        <v>17875</v>
      </c>
    </row>
    <row r="820" spans="2:6">
      <c r="B820" s="13" t="s">
        <v>2446</v>
      </c>
      <c r="C820" s="23" t="s">
        <v>2447</v>
      </c>
      <c r="D820" s="13" t="s">
        <v>2448</v>
      </c>
      <c r="E820" s="24" t="s">
        <v>12</v>
      </c>
      <c r="F820" s="25">
        <v>13580</v>
      </c>
    </row>
    <row r="821" spans="2:6">
      <c r="B821" s="13" t="s">
        <v>2449</v>
      </c>
      <c r="C821" s="23" t="s">
        <v>2450</v>
      </c>
      <c r="D821" s="13" t="s">
        <v>2451</v>
      </c>
      <c r="E821" s="24" t="s">
        <v>12</v>
      </c>
      <c r="F821" s="25">
        <v>11491.2</v>
      </c>
    </row>
    <row r="822" spans="2:6">
      <c r="B822" s="13" t="s">
        <v>2452</v>
      </c>
      <c r="C822" s="23" t="s">
        <v>2453</v>
      </c>
      <c r="D822" s="13" t="s">
        <v>2454</v>
      </c>
      <c r="E822" s="24" t="s">
        <v>12</v>
      </c>
      <c r="F822" s="25">
        <v>6409</v>
      </c>
    </row>
    <row r="823" spans="2:6">
      <c r="B823" s="13" t="s">
        <v>2455</v>
      </c>
      <c r="C823" s="31" t="s">
        <v>2456</v>
      </c>
      <c r="D823" s="13" t="s">
        <v>2457</v>
      </c>
      <c r="E823" s="24" t="s">
        <v>12</v>
      </c>
      <c r="F823" s="25">
        <v>4422</v>
      </c>
    </row>
    <row r="824" spans="2:6">
      <c r="B824" s="13" t="s">
        <v>2458</v>
      </c>
      <c r="C824" s="31" t="s">
        <v>2459</v>
      </c>
      <c r="D824" s="13" t="s">
        <v>2460</v>
      </c>
      <c r="E824" s="24" t="s">
        <v>12</v>
      </c>
      <c r="F824" s="25">
        <v>3960</v>
      </c>
    </row>
    <row r="825" spans="2:6">
      <c r="B825" s="13" t="s">
        <v>2461</v>
      </c>
      <c r="C825" s="31" t="s">
        <v>2462</v>
      </c>
      <c r="D825" s="13" t="s">
        <v>2463</v>
      </c>
      <c r="E825" s="24" t="s">
        <v>12</v>
      </c>
      <c r="F825" s="25">
        <v>7260.0000000000009</v>
      </c>
    </row>
    <row r="826" spans="2:6">
      <c r="B826" s="13" t="s">
        <v>2464</v>
      </c>
      <c r="C826" s="31" t="s">
        <v>2465</v>
      </c>
      <c r="D826" s="13" t="s">
        <v>2466</v>
      </c>
      <c r="E826" s="24" t="s">
        <v>12</v>
      </c>
      <c r="F826" s="25">
        <v>14960.000000000002</v>
      </c>
    </row>
    <row r="827" spans="2:6">
      <c r="B827" s="13" t="s">
        <v>2467</v>
      </c>
      <c r="C827" s="31" t="s">
        <v>2468</v>
      </c>
      <c r="D827" s="13" t="s">
        <v>2469</v>
      </c>
      <c r="E827" s="24" t="s">
        <v>12</v>
      </c>
      <c r="F827" s="25">
        <v>17875</v>
      </c>
    </row>
    <row r="828" spans="2:6">
      <c r="B828" s="13" t="s">
        <v>2470</v>
      </c>
      <c r="C828" s="23" t="s">
        <v>2471</v>
      </c>
      <c r="D828" s="13" t="s">
        <v>2472</v>
      </c>
      <c r="E828" s="24" t="s">
        <v>12</v>
      </c>
      <c r="F828" s="25">
        <v>3849.9999999999995</v>
      </c>
    </row>
    <row r="829" spans="2:6">
      <c r="B829" s="13" t="s">
        <v>2473</v>
      </c>
      <c r="C829" s="23" t="s">
        <v>2474</v>
      </c>
      <c r="D829" s="13" t="s">
        <v>2475</v>
      </c>
      <c r="E829" s="24" t="s">
        <v>12</v>
      </c>
      <c r="F829" s="25">
        <v>6988.8</v>
      </c>
    </row>
    <row r="830" spans="2:6">
      <c r="B830" s="13" t="s">
        <v>2476</v>
      </c>
      <c r="C830" s="23" t="s">
        <v>2477</v>
      </c>
      <c r="D830" s="13" t="s">
        <v>2478</v>
      </c>
      <c r="E830" s="24" t="s">
        <v>12</v>
      </c>
      <c r="F830" s="25">
        <v>5040</v>
      </c>
    </row>
    <row r="831" spans="2:6">
      <c r="B831" s="13" t="s">
        <v>2479</v>
      </c>
      <c r="C831" s="23" t="s">
        <v>2480</v>
      </c>
      <c r="D831" s="13" t="s">
        <v>2481</v>
      </c>
      <c r="E831" s="24" t="s">
        <v>12</v>
      </c>
      <c r="F831" s="25">
        <v>12365.6</v>
      </c>
    </row>
    <row r="832" spans="2:6">
      <c r="B832" s="13" t="s">
        <v>2482</v>
      </c>
      <c r="C832" s="23" t="s">
        <v>2483</v>
      </c>
      <c r="D832" s="13" t="s">
        <v>2484</v>
      </c>
      <c r="E832" s="24" t="s">
        <v>12</v>
      </c>
      <c r="F832" s="25">
        <v>11894.400000000001</v>
      </c>
    </row>
    <row r="833" spans="2:6">
      <c r="B833" s="13" t="s">
        <v>2485</v>
      </c>
      <c r="C833" s="23" t="s">
        <v>2486</v>
      </c>
      <c r="D833" s="13" t="s">
        <v>2487</v>
      </c>
      <c r="E833" s="24" t="s">
        <v>12</v>
      </c>
      <c r="F833" s="25">
        <v>8000</v>
      </c>
    </row>
    <row r="834" spans="2:6">
      <c r="B834" s="13" t="s">
        <v>2488</v>
      </c>
      <c r="C834" s="37" t="s">
        <v>2489</v>
      </c>
      <c r="D834" s="13" t="s">
        <v>2490</v>
      </c>
      <c r="E834" s="24" t="s">
        <v>12</v>
      </c>
      <c r="F834" s="25">
        <v>14293.519999999999</v>
      </c>
    </row>
    <row r="835" spans="2:6">
      <c r="B835" s="13" t="s">
        <v>2491</v>
      </c>
      <c r="C835" s="37" t="s">
        <v>2492</v>
      </c>
      <c r="D835" s="13" t="s">
        <v>2493</v>
      </c>
      <c r="E835" s="24" t="s">
        <v>12</v>
      </c>
      <c r="F835" s="25">
        <v>9796.1999999999989</v>
      </c>
    </row>
    <row r="836" spans="2:6">
      <c r="B836" s="13" t="s">
        <v>2494</v>
      </c>
      <c r="C836" s="37" t="s">
        <v>2495</v>
      </c>
      <c r="D836" s="13" t="s">
        <v>2496</v>
      </c>
      <c r="E836" s="24" t="s">
        <v>12</v>
      </c>
      <c r="F836" s="25">
        <v>9820.56</v>
      </c>
    </row>
    <row r="837" spans="2:6">
      <c r="B837" s="13" t="s">
        <v>2497</v>
      </c>
      <c r="C837" s="37" t="s">
        <v>2498</v>
      </c>
      <c r="D837" s="13" t="s">
        <v>2499</v>
      </c>
      <c r="E837" s="24" t="s">
        <v>12</v>
      </c>
      <c r="F837" s="25">
        <v>9464.4399999999987</v>
      </c>
    </row>
    <row r="838" spans="2:6">
      <c r="B838" s="13" t="s">
        <v>2500</v>
      </c>
      <c r="C838" s="37" t="s">
        <v>2501</v>
      </c>
      <c r="D838" s="13" t="s">
        <v>2502</v>
      </c>
      <c r="E838" s="24" t="s">
        <v>12</v>
      </c>
      <c r="F838" s="25">
        <v>9690.64</v>
      </c>
    </row>
    <row r="839" spans="2:6">
      <c r="B839" s="13" t="s">
        <v>2503</v>
      </c>
      <c r="C839" s="37" t="s">
        <v>2504</v>
      </c>
      <c r="D839" s="13" t="s">
        <v>2505</v>
      </c>
      <c r="E839" s="24" t="s">
        <v>12</v>
      </c>
      <c r="F839" s="25">
        <v>9425</v>
      </c>
    </row>
    <row r="840" spans="2:6">
      <c r="B840" s="13" t="s">
        <v>2506</v>
      </c>
      <c r="C840" s="37" t="s">
        <v>2507</v>
      </c>
      <c r="D840" s="13" t="s">
        <v>2508</v>
      </c>
      <c r="E840" s="24" t="s">
        <v>12</v>
      </c>
      <c r="F840" s="25">
        <v>9462.119999999999</v>
      </c>
    </row>
    <row r="841" spans="2:6">
      <c r="B841" s="13" t="s">
        <v>2509</v>
      </c>
      <c r="C841" s="23" t="s">
        <v>2510</v>
      </c>
      <c r="D841" s="13" t="s">
        <v>2511</v>
      </c>
      <c r="E841" s="24" t="s">
        <v>12</v>
      </c>
      <c r="F841" s="25">
        <v>135000</v>
      </c>
    </row>
    <row r="842" spans="2:6">
      <c r="B842" s="13" t="s">
        <v>2512</v>
      </c>
      <c r="C842" s="23" t="s">
        <v>2513</v>
      </c>
      <c r="D842" s="13" t="s">
        <v>2514</v>
      </c>
      <c r="E842" s="24" t="s">
        <v>12</v>
      </c>
      <c r="F842" s="25">
        <v>185000</v>
      </c>
    </row>
    <row r="843" spans="2:6">
      <c r="B843" s="13" t="s">
        <v>2515</v>
      </c>
      <c r="C843" s="23" t="s">
        <v>2516</v>
      </c>
      <c r="D843" s="13" t="s">
        <v>2517</v>
      </c>
      <c r="E843" s="24" t="s">
        <v>12</v>
      </c>
      <c r="F843" s="25">
        <v>145000</v>
      </c>
    </row>
    <row r="844" spans="2:6">
      <c r="B844" s="13" t="s">
        <v>2518</v>
      </c>
      <c r="C844" s="23" t="s">
        <v>2519</v>
      </c>
      <c r="D844" s="13" t="s">
        <v>2520</v>
      </c>
      <c r="E844" s="24" t="s">
        <v>12</v>
      </c>
      <c r="F844" s="25">
        <v>800</v>
      </c>
    </row>
    <row r="845" spans="2:6">
      <c r="B845" s="13" t="s">
        <v>2521</v>
      </c>
      <c r="C845" s="29" t="s">
        <v>2522</v>
      </c>
      <c r="D845" s="13" t="s">
        <v>2523</v>
      </c>
      <c r="E845" s="24" t="s">
        <v>12</v>
      </c>
      <c r="F845" s="25">
        <v>18000</v>
      </c>
    </row>
    <row r="846" spans="2:6">
      <c r="B846" s="13" t="s">
        <v>2524</v>
      </c>
      <c r="C846" s="23" t="s">
        <v>2525</v>
      </c>
      <c r="D846" s="13" t="s">
        <v>2526</v>
      </c>
      <c r="E846" s="24" t="s">
        <v>12</v>
      </c>
      <c r="F846" s="25">
        <v>28000</v>
      </c>
    </row>
    <row r="847" spans="2:6">
      <c r="B847" s="13" t="s">
        <v>2527</v>
      </c>
      <c r="C847" s="29" t="s">
        <v>2528</v>
      </c>
      <c r="D847" s="13" t="s">
        <v>2529</v>
      </c>
      <c r="E847" s="24" t="s">
        <v>12</v>
      </c>
      <c r="F847" s="25">
        <v>50000</v>
      </c>
    </row>
    <row r="848" spans="2:6">
      <c r="B848" s="13" t="s">
        <v>2530</v>
      </c>
      <c r="C848" s="29" t="s">
        <v>2531</v>
      </c>
      <c r="D848" s="13" t="s">
        <v>2532</v>
      </c>
      <c r="E848" s="24" t="s">
        <v>2533</v>
      </c>
      <c r="F848" s="25">
        <v>25000</v>
      </c>
    </row>
    <row r="849" spans="2:6">
      <c r="B849" s="13" t="s">
        <v>2534</v>
      </c>
      <c r="C849" s="23" t="s">
        <v>2535</v>
      </c>
      <c r="D849" s="13" t="s">
        <v>2536</v>
      </c>
      <c r="E849" s="24" t="s">
        <v>12</v>
      </c>
      <c r="F849" s="25">
        <v>498000</v>
      </c>
    </row>
    <row r="850" spans="2:6">
      <c r="B850" s="13" t="s">
        <v>2537</v>
      </c>
      <c r="C850" s="23" t="s">
        <v>2538</v>
      </c>
      <c r="D850" s="13" t="s">
        <v>2539</v>
      </c>
      <c r="E850" s="24" t="s">
        <v>12</v>
      </c>
      <c r="F850" s="25">
        <v>495000</v>
      </c>
    </row>
    <row r="851" spans="2:6">
      <c r="B851" s="13" t="s">
        <v>2540</v>
      </c>
      <c r="C851" s="23" t="s">
        <v>2541</v>
      </c>
      <c r="D851" s="13" t="s">
        <v>2542</v>
      </c>
      <c r="E851" s="24" t="s">
        <v>12</v>
      </c>
      <c r="F851" s="25">
        <v>221900</v>
      </c>
    </row>
    <row r="852" spans="2:6">
      <c r="B852" s="13" t="s">
        <v>2543</v>
      </c>
      <c r="C852" s="23" t="s">
        <v>2544</v>
      </c>
      <c r="D852" s="13" t="s">
        <v>2545</v>
      </c>
      <c r="E852" s="24" t="s">
        <v>12</v>
      </c>
      <c r="F852" s="25">
        <v>393400</v>
      </c>
    </row>
    <row r="853" spans="2:6">
      <c r="B853" s="13" t="s">
        <v>2546</v>
      </c>
      <c r="C853" s="23" t="s">
        <v>2547</v>
      </c>
      <c r="D853" s="13" t="s">
        <v>2548</v>
      </c>
      <c r="E853" s="24" t="s">
        <v>12</v>
      </c>
      <c r="F853" s="25">
        <v>240800</v>
      </c>
    </row>
    <row r="854" spans="2:6">
      <c r="B854" s="13" t="s">
        <v>2549</v>
      </c>
      <c r="C854" s="23" t="s">
        <v>2550</v>
      </c>
      <c r="D854" s="13" t="s">
        <v>2551</v>
      </c>
      <c r="E854" s="24" t="s">
        <v>12</v>
      </c>
      <c r="F854" s="25">
        <v>125000</v>
      </c>
    </row>
    <row r="855" spans="2:6">
      <c r="B855" s="13" t="s">
        <v>2552</v>
      </c>
      <c r="C855" s="23" t="s">
        <v>2553</v>
      </c>
      <c r="D855" s="13" t="s">
        <v>2554</v>
      </c>
      <c r="E855" s="24" t="s">
        <v>12</v>
      </c>
      <c r="F855" s="25">
        <v>215000</v>
      </c>
    </row>
    <row r="856" spans="2:6" ht="25.5">
      <c r="B856" s="13" t="s">
        <v>2555</v>
      </c>
      <c r="C856" s="23" t="s">
        <v>2556</v>
      </c>
      <c r="D856" s="13" t="s">
        <v>2557</v>
      </c>
      <c r="E856" s="24" t="s">
        <v>12</v>
      </c>
      <c r="F856" s="25">
        <v>248500</v>
      </c>
    </row>
    <row r="857" spans="2:6">
      <c r="B857" s="13" t="s">
        <v>2558</v>
      </c>
      <c r="C857" s="23" t="s">
        <v>2559</v>
      </c>
      <c r="D857" s="13" t="s">
        <v>2560</v>
      </c>
      <c r="E857" s="24" t="s">
        <v>12</v>
      </c>
      <c r="F857" s="25">
        <v>350000</v>
      </c>
    </row>
    <row r="858" spans="2:6">
      <c r="B858" s="13" t="s">
        <v>2561</v>
      </c>
      <c r="C858" s="29" t="s">
        <v>2562</v>
      </c>
      <c r="D858" s="13" t="s">
        <v>2563</v>
      </c>
      <c r="E858" s="24" t="s">
        <v>12</v>
      </c>
      <c r="F858" s="25">
        <v>285000</v>
      </c>
    </row>
    <row r="859" spans="2:6">
      <c r="B859" s="13" t="s">
        <v>2564</v>
      </c>
      <c r="C859" s="29" t="s">
        <v>2565</v>
      </c>
      <c r="D859" s="13" t="s">
        <v>2566</v>
      </c>
      <c r="E859" s="24" t="s">
        <v>12</v>
      </c>
      <c r="F859" s="25">
        <v>246100</v>
      </c>
    </row>
    <row r="860" spans="2:6">
      <c r="B860" s="13" t="s">
        <v>2567</v>
      </c>
      <c r="C860" s="23" t="s">
        <v>2568</v>
      </c>
      <c r="D860" s="13" t="s">
        <v>2569</v>
      </c>
      <c r="E860" s="24" t="s">
        <v>12</v>
      </c>
      <c r="F860" s="25">
        <v>1380000</v>
      </c>
    </row>
    <row r="861" spans="2:6">
      <c r="B861" s="13" t="s">
        <v>2570</v>
      </c>
      <c r="C861" s="23" t="s">
        <v>2571</v>
      </c>
      <c r="D861" s="13" t="s">
        <v>2572</v>
      </c>
      <c r="E861" s="24" t="s">
        <v>12</v>
      </c>
      <c r="F861" s="25">
        <v>85000</v>
      </c>
    </row>
    <row r="862" spans="2:6">
      <c r="B862" s="13" t="s">
        <v>2573</v>
      </c>
      <c r="C862" s="23" t="s">
        <v>2574</v>
      </c>
      <c r="D862" s="13" t="s">
        <v>2575</v>
      </c>
      <c r="E862" s="24" t="s">
        <v>12</v>
      </c>
      <c r="F862" s="25">
        <v>121799.99999999999</v>
      </c>
    </row>
    <row r="863" spans="2:6">
      <c r="B863" s="13" t="s">
        <v>2576</v>
      </c>
      <c r="C863" s="23" t="s">
        <v>2577</v>
      </c>
      <c r="D863" s="13" t="s">
        <v>2578</v>
      </c>
      <c r="E863" s="24" t="s">
        <v>12</v>
      </c>
      <c r="F863" s="25">
        <v>342200</v>
      </c>
    </row>
    <row r="864" spans="2:6">
      <c r="B864" s="13" t="s">
        <v>2579</v>
      </c>
      <c r="C864" s="30" t="s">
        <v>2580</v>
      </c>
      <c r="D864" s="13" t="s">
        <v>2581</v>
      </c>
      <c r="E864" s="24" t="s">
        <v>12</v>
      </c>
      <c r="F864" s="25">
        <v>65000</v>
      </c>
    </row>
    <row r="865" spans="2:6">
      <c r="B865" s="13" t="s">
        <v>2582</v>
      </c>
      <c r="C865" s="35" t="s">
        <v>2583</v>
      </c>
      <c r="D865" s="13" t="s">
        <v>2584</v>
      </c>
      <c r="E865" s="24" t="s">
        <v>12</v>
      </c>
      <c r="F865" s="27">
        <v>81200</v>
      </c>
    </row>
    <row r="866" spans="2:6">
      <c r="B866" s="13" t="s">
        <v>2585</v>
      </c>
      <c r="C866" s="35" t="s">
        <v>2586</v>
      </c>
      <c r="D866" s="13" t="s">
        <v>2587</v>
      </c>
      <c r="E866" s="24" t="s">
        <v>12</v>
      </c>
      <c r="F866" s="27">
        <v>60319.999999999993</v>
      </c>
    </row>
    <row r="867" spans="2:6">
      <c r="B867" s="13" t="s">
        <v>2588</v>
      </c>
      <c r="C867" s="35" t="s">
        <v>2589</v>
      </c>
      <c r="D867" s="13" t="s">
        <v>2590</v>
      </c>
      <c r="E867" s="24" t="s">
        <v>12</v>
      </c>
      <c r="F867" s="27">
        <v>49880</v>
      </c>
    </row>
    <row r="868" spans="2:6">
      <c r="B868" s="13" t="s">
        <v>2591</v>
      </c>
      <c r="C868" s="35" t="s">
        <v>2592</v>
      </c>
      <c r="D868" s="13" t="s">
        <v>2593</v>
      </c>
      <c r="E868" s="24" t="s">
        <v>12</v>
      </c>
      <c r="F868" s="27">
        <v>100340</v>
      </c>
    </row>
    <row r="869" spans="2:6">
      <c r="B869" s="13" t="s">
        <v>2594</v>
      </c>
      <c r="C869" s="35" t="s">
        <v>2595</v>
      </c>
      <c r="D869" s="13" t="s">
        <v>2596</v>
      </c>
      <c r="E869" s="24" t="s">
        <v>12</v>
      </c>
      <c r="F869" s="25">
        <v>93000</v>
      </c>
    </row>
    <row r="870" spans="2:6">
      <c r="B870" s="13" t="s">
        <v>2597</v>
      </c>
      <c r="C870" s="39" t="s">
        <v>2598</v>
      </c>
      <c r="D870" s="13" t="s">
        <v>2599</v>
      </c>
      <c r="E870" s="24" t="s">
        <v>12</v>
      </c>
      <c r="F870" s="25">
        <v>348000</v>
      </c>
    </row>
    <row r="871" spans="2:6" ht="25.5">
      <c r="B871" s="13" t="s">
        <v>2600</v>
      </c>
      <c r="C871" s="23" t="s">
        <v>2601</v>
      </c>
      <c r="D871" s="13" t="s">
        <v>2602</v>
      </c>
      <c r="E871" s="24" t="s">
        <v>12</v>
      </c>
      <c r="F871" s="25">
        <v>250000</v>
      </c>
    </row>
    <row r="872" spans="2:6" ht="25.5">
      <c r="B872" s="13" t="s">
        <v>2603</v>
      </c>
      <c r="C872" s="23" t="s">
        <v>2604</v>
      </c>
      <c r="D872" s="13" t="s">
        <v>2605</v>
      </c>
      <c r="E872" s="24" t="s">
        <v>12</v>
      </c>
      <c r="F872" s="25">
        <v>180000</v>
      </c>
    </row>
    <row r="873" spans="2:6">
      <c r="B873" s="13" t="s">
        <v>2606</v>
      </c>
      <c r="C873" s="23" t="s">
        <v>2607</v>
      </c>
      <c r="D873" s="13" t="s">
        <v>2608</v>
      </c>
      <c r="E873" s="24" t="s">
        <v>12</v>
      </c>
      <c r="F873" s="25">
        <v>342000</v>
      </c>
    </row>
    <row r="874" spans="2:6" ht="25.5">
      <c r="B874" s="13" t="s">
        <v>2609</v>
      </c>
      <c r="C874" s="29" t="s">
        <v>2610</v>
      </c>
      <c r="D874" s="13" t="s">
        <v>2611</v>
      </c>
      <c r="E874" s="24" t="s">
        <v>12</v>
      </c>
      <c r="F874" s="25">
        <v>411000</v>
      </c>
    </row>
    <row r="875" spans="2:6">
      <c r="B875" s="13" t="s">
        <v>2612</v>
      </c>
      <c r="C875" s="23" t="s">
        <v>2613</v>
      </c>
      <c r="D875" s="13" t="s">
        <v>2614</v>
      </c>
      <c r="E875" s="24" t="s">
        <v>12</v>
      </c>
      <c r="F875" s="25">
        <v>1320000</v>
      </c>
    </row>
    <row r="876" spans="2:6" ht="25.5">
      <c r="B876" s="13" t="s">
        <v>2615</v>
      </c>
      <c r="C876" s="23" t="s">
        <v>2616</v>
      </c>
      <c r="D876" s="13" t="s">
        <v>2617</v>
      </c>
      <c r="E876" s="24" t="s">
        <v>12</v>
      </c>
      <c r="F876" s="25">
        <v>40600</v>
      </c>
    </row>
    <row r="877" spans="2:6">
      <c r="B877" s="13" t="s">
        <v>2618</v>
      </c>
      <c r="C877" s="23" t="s">
        <v>2619</v>
      </c>
      <c r="D877" s="13" t="s">
        <v>2620</v>
      </c>
      <c r="E877" s="24" t="s">
        <v>3</v>
      </c>
      <c r="F877" s="25">
        <v>247200</v>
      </c>
    </row>
    <row r="878" spans="2:6">
      <c r="B878" s="13" t="s">
        <v>2621</v>
      </c>
      <c r="C878" s="23" t="s">
        <v>2622</v>
      </c>
      <c r="D878" s="13" t="s">
        <v>2623</v>
      </c>
      <c r="E878" s="24" t="s">
        <v>12</v>
      </c>
      <c r="F878" s="25">
        <v>232200</v>
      </c>
    </row>
    <row r="879" spans="2:6">
      <c r="B879" s="13" t="s">
        <v>2624</v>
      </c>
      <c r="C879" s="23" t="s">
        <v>2625</v>
      </c>
      <c r="D879" s="13" t="s">
        <v>2626</v>
      </c>
      <c r="E879" s="24" t="s">
        <v>12</v>
      </c>
      <c r="F879" s="25">
        <v>211300</v>
      </c>
    </row>
    <row r="880" spans="2:6">
      <c r="B880" s="13" t="s">
        <v>2627</v>
      </c>
      <c r="C880" s="23" t="s">
        <v>2628</v>
      </c>
      <c r="D880" s="13" t="s">
        <v>2629</v>
      </c>
      <c r="E880" s="24" t="s">
        <v>12</v>
      </c>
      <c r="F880" s="25">
        <v>35000</v>
      </c>
    </row>
    <row r="881" spans="2:6">
      <c r="B881" s="13" t="s">
        <v>2630</v>
      </c>
      <c r="C881" s="31" t="s">
        <v>2631</v>
      </c>
      <c r="D881" s="13" t="s">
        <v>2632</v>
      </c>
      <c r="E881" s="24" t="s">
        <v>12</v>
      </c>
      <c r="F881" s="25">
        <v>2900000</v>
      </c>
    </row>
    <row r="882" spans="2:6">
      <c r="B882" s="13" t="s">
        <v>2633</v>
      </c>
      <c r="C882" s="31" t="s">
        <v>2634</v>
      </c>
      <c r="D882" s="13" t="s">
        <v>2635</v>
      </c>
      <c r="E882" s="24" t="s">
        <v>12</v>
      </c>
      <c r="F882" s="25">
        <v>812000</v>
      </c>
    </row>
    <row r="883" spans="2:6">
      <c r="B883" s="13" t="s">
        <v>2636</v>
      </c>
      <c r="C883" s="31" t="s">
        <v>2637</v>
      </c>
      <c r="D883" s="13" t="s">
        <v>2638</v>
      </c>
      <c r="E883" s="24" t="s">
        <v>12</v>
      </c>
      <c r="F883" s="25">
        <v>2320000</v>
      </c>
    </row>
    <row r="884" spans="2:6">
      <c r="B884" s="13" t="s">
        <v>2639</v>
      </c>
      <c r="C884" s="31" t="s">
        <v>2640</v>
      </c>
      <c r="D884" s="13" t="s">
        <v>2641</v>
      </c>
      <c r="E884" s="24" t="s">
        <v>12</v>
      </c>
      <c r="F884" s="25">
        <v>2969.6</v>
      </c>
    </row>
    <row r="885" spans="2:6">
      <c r="B885" s="13" t="s">
        <v>2642</v>
      </c>
      <c r="C885" s="31" t="s">
        <v>2643</v>
      </c>
      <c r="D885" s="13" t="s">
        <v>2644</v>
      </c>
      <c r="E885" s="24" t="s">
        <v>12</v>
      </c>
      <c r="F885" s="25">
        <v>1600</v>
      </c>
    </row>
    <row r="886" spans="2:6">
      <c r="B886" s="13" t="s">
        <v>2645</v>
      </c>
      <c r="C886" s="23" t="s">
        <v>2646</v>
      </c>
      <c r="D886" s="13" t="s">
        <v>2647</v>
      </c>
      <c r="E886" s="24" t="s">
        <v>12</v>
      </c>
      <c r="F886" s="25">
        <v>15000</v>
      </c>
    </row>
    <row r="887" spans="2:6">
      <c r="B887" s="13" t="s">
        <v>2648</v>
      </c>
      <c r="C887" s="23" t="s">
        <v>2649</v>
      </c>
      <c r="D887" s="13" t="s">
        <v>2650</v>
      </c>
      <c r="E887" s="24" t="s">
        <v>12</v>
      </c>
      <c r="F887" s="25">
        <v>8500</v>
      </c>
    </row>
    <row r="888" spans="2:6">
      <c r="B888" s="13" t="s">
        <v>2651</v>
      </c>
      <c r="C888" s="23" t="s">
        <v>2652</v>
      </c>
      <c r="D888" s="13" t="s">
        <v>2653</v>
      </c>
      <c r="E888" s="24" t="s">
        <v>12</v>
      </c>
      <c r="F888" s="25">
        <v>5500</v>
      </c>
    </row>
    <row r="889" spans="2:6">
      <c r="B889" s="13" t="s">
        <v>2654</v>
      </c>
      <c r="C889" s="23" t="s">
        <v>2655</v>
      </c>
      <c r="D889" s="13" t="s">
        <v>2656</v>
      </c>
      <c r="E889" s="24" t="s">
        <v>12</v>
      </c>
      <c r="F889" s="25">
        <v>25</v>
      </c>
    </row>
    <row r="890" spans="2:6">
      <c r="B890" s="13" t="s">
        <v>2657</v>
      </c>
      <c r="C890" s="23" t="s">
        <v>2658</v>
      </c>
      <c r="D890" s="13" t="s">
        <v>2659</v>
      </c>
      <c r="E890" s="24" t="s">
        <v>12</v>
      </c>
      <c r="F890" s="25">
        <v>25000</v>
      </c>
    </row>
    <row r="891" spans="2:6">
      <c r="B891" s="13" t="s">
        <v>2660</v>
      </c>
      <c r="C891" s="23" t="s">
        <v>2661</v>
      </c>
      <c r="D891" s="13" t="s">
        <v>2662</v>
      </c>
      <c r="E891" s="24" t="s">
        <v>12</v>
      </c>
      <c r="F891" s="25">
        <v>515039.99999999994</v>
      </c>
    </row>
    <row r="892" spans="2:6">
      <c r="B892" s="13" t="s">
        <v>2663</v>
      </c>
      <c r="C892" s="23" t="s">
        <v>2664</v>
      </c>
      <c r="D892" s="13" t="s">
        <v>2665</v>
      </c>
      <c r="E892" s="24" t="s">
        <v>12</v>
      </c>
      <c r="F892" s="25">
        <v>245000</v>
      </c>
    </row>
    <row r="893" spans="2:6">
      <c r="B893" s="13" t="s">
        <v>2666</v>
      </c>
      <c r="C893" s="31" t="s">
        <v>2667</v>
      </c>
      <c r="D893" s="13" t="s">
        <v>2668</v>
      </c>
      <c r="E893" s="24" t="s">
        <v>12</v>
      </c>
      <c r="F893" s="25">
        <v>17864</v>
      </c>
    </row>
    <row r="894" spans="2:6">
      <c r="B894" s="13" t="s">
        <v>2669</v>
      </c>
      <c r="C894" s="23" t="s">
        <v>2670</v>
      </c>
      <c r="D894" s="13" t="s">
        <v>2671</v>
      </c>
      <c r="E894" s="24" t="s">
        <v>12</v>
      </c>
      <c r="F894" s="25">
        <v>1000000</v>
      </c>
    </row>
    <row r="895" spans="2:6">
      <c r="B895" s="13" t="s">
        <v>2672</v>
      </c>
      <c r="C895" s="23" t="s">
        <v>2673</v>
      </c>
      <c r="D895" s="13" t="s">
        <v>2674</v>
      </c>
      <c r="E895" s="24" t="s">
        <v>12</v>
      </c>
      <c r="F895" s="25">
        <v>350000</v>
      </c>
    </row>
    <row r="896" spans="2:6">
      <c r="B896" s="13" t="s">
        <v>2675</v>
      </c>
      <c r="C896" s="23" t="s">
        <v>2676</v>
      </c>
      <c r="D896" s="13" t="s">
        <v>2677</v>
      </c>
      <c r="E896" s="24" t="s">
        <v>12</v>
      </c>
      <c r="F896" s="25">
        <v>17000</v>
      </c>
    </row>
    <row r="897" spans="2:6">
      <c r="B897" s="13" t="s">
        <v>2678</v>
      </c>
      <c r="C897" s="23" t="s">
        <v>2679</v>
      </c>
      <c r="D897" s="13" t="s">
        <v>2680</v>
      </c>
      <c r="E897" s="24" t="s">
        <v>12</v>
      </c>
      <c r="F897" s="25">
        <v>1482745.0000000002</v>
      </c>
    </row>
    <row r="898" spans="2:6">
      <c r="B898" s="13" t="s">
        <v>2681</v>
      </c>
      <c r="C898" s="23" t="s">
        <v>2682</v>
      </c>
      <c r="D898" s="13" t="s">
        <v>2683</v>
      </c>
      <c r="E898" s="24" t="s">
        <v>12</v>
      </c>
      <c r="F898" s="25">
        <v>187000</v>
      </c>
    </row>
    <row r="899" spans="2:6">
      <c r="B899" s="13" t="s">
        <v>2684</v>
      </c>
      <c r="C899" s="23" t="s">
        <v>2685</v>
      </c>
      <c r="D899" s="13" t="s">
        <v>2686</v>
      </c>
      <c r="E899" s="24" t="s">
        <v>12</v>
      </c>
      <c r="F899" s="25">
        <v>0</v>
      </c>
    </row>
    <row r="900" spans="2:6">
      <c r="B900" s="13" t="s">
        <v>2687</v>
      </c>
      <c r="C900" s="37" t="s">
        <v>2688</v>
      </c>
      <c r="D900" s="13" t="s">
        <v>2689</v>
      </c>
      <c r="E900" s="24" t="s">
        <v>12</v>
      </c>
      <c r="F900" s="25">
        <v>11388.88</v>
      </c>
    </row>
    <row r="901" spans="2:6">
      <c r="B901" s="13" t="s">
        <v>2690</v>
      </c>
      <c r="C901" s="37" t="s">
        <v>2691</v>
      </c>
      <c r="D901" s="13" t="s">
        <v>2692</v>
      </c>
      <c r="E901" s="24" t="s">
        <v>12</v>
      </c>
      <c r="F901" s="25">
        <v>10614</v>
      </c>
    </row>
    <row r="902" spans="2:6">
      <c r="B902" s="13" t="s">
        <v>2693</v>
      </c>
      <c r="C902" s="37" t="s">
        <v>2694</v>
      </c>
      <c r="D902" s="13" t="s">
        <v>2695</v>
      </c>
      <c r="E902" s="24" t="s">
        <v>12</v>
      </c>
      <c r="F902" s="25">
        <v>10220.759999999998</v>
      </c>
    </row>
    <row r="903" spans="2:6">
      <c r="B903" s="13" t="s">
        <v>2696</v>
      </c>
      <c r="C903" s="37" t="s">
        <v>2697</v>
      </c>
      <c r="D903" s="13" t="s">
        <v>2698</v>
      </c>
      <c r="E903" s="24" t="s">
        <v>12</v>
      </c>
      <c r="F903" s="25">
        <v>10557.16</v>
      </c>
    </row>
    <row r="904" spans="2:6">
      <c r="B904" s="13" t="s">
        <v>2699</v>
      </c>
      <c r="C904" s="37" t="s">
        <v>2700</v>
      </c>
      <c r="D904" s="13" t="s">
        <v>2701</v>
      </c>
      <c r="E904" s="24" t="s">
        <v>12</v>
      </c>
      <c r="F904" s="25">
        <v>9500.4</v>
      </c>
    </row>
    <row r="905" spans="2:6">
      <c r="B905" s="13" t="s">
        <v>2702</v>
      </c>
      <c r="C905" s="37" t="s">
        <v>2703</v>
      </c>
      <c r="D905" s="13" t="s">
        <v>2704</v>
      </c>
      <c r="E905" s="24" t="s">
        <v>12</v>
      </c>
      <c r="F905" s="25">
        <v>9764.8799999999992</v>
      </c>
    </row>
    <row r="906" spans="2:6">
      <c r="B906" s="13" t="s">
        <v>2705</v>
      </c>
      <c r="C906" s="37" t="s">
        <v>2706</v>
      </c>
      <c r="D906" s="13" t="s">
        <v>2707</v>
      </c>
      <c r="E906" s="24" t="s">
        <v>12</v>
      </c>
      <c r="F906" s="25">
        <v>16216.8</v>
      </c>
    </row>
    <row r="907" spans="2:6">
      <c r="B907" s="13" t="s">
        <v>2708</v>
      </c>
      <c r="C907" s="37" t="s">
        <v>2709</v>
      </c>
      <c r="D907" s="13" t="s">
        <v>2710</v>
      </c>
      <c r="E907" s="24" t="s">
        <v>12</v>
      </c>
      <c r="F907" s="25">
        <v>12755.359999999999</v>
      </c>
    </row>
    <row r="908" spans="2:6">
      <c r="B908" s="13" t="s">
        <v>2711</v>
      </c>
      <c r="C908" s="37" t="s">
        <v>2712</v>
      </c>
      <c r="D908" s="13" t="s">
        <v>2713</v>
      </c>
      <c r="E908" s="24" t="s">
        <v>12</v>
      </c>
      <c r="F908" s="25">
        <v>12524.519999999999</v>
      </c>
    </row>
    <row r="909" spans="2:6">
      <c r="B909" s="13" t="s">
        <v>2714</v>
      </c>
      <c r="C909" s="37" t="s">
        <v>2715</v>
      </c>
      <c r="D909" s="13" t="s">
        <v>2716</v>
      </c>
      <c r="E909" s="24" t="s">
        <v>12</v>
      </c>
      <c r="F909" s="25">
        <v>19288.48</v>
      </c>
    </row>
    <row r="910" spans="2:6">
      <c r="B910" s="13" t="s">
        <v>2717</v>
      </c>
      <c r="C910" s="37" t="s">
        <v>2718</v>
      </c>
      <c r="D910" s="13" t="s">
        <v>2719</v>
      </c>
      <c r="E910" s="24" t="s">
        <v>12</v>
      </c>
      <c r="F910" s="25">
        <v>18513.599999999999</v>
      </c>
    </row>
    <row r="911" spans="2:6">
      <c r="B911" s="13" t="s">
        <v>2720</v>
      </c>
      <c r="C911" s="37" t="s">
        <v>2721</v>
      </c>
      <c r="D911" s="13" t="s">
        <v>2722</v>
      </c>
      <c r="E911" s="24" t="s">
        <v>12</v>
      </c>
      <c r="F911" s="25">
        <v>18513.599999999999</v>
      </c>
    </row>
    <row r="912" spans="2:6">
      <c r="B912" s="13" t="s">
        <v>2723</v>
      </c>
      <c r="C912" s="37" t="s">
        <v>2724</v>
      </c>
      <c r="D912" s="13" t="s">
        <v>2725</v>
      </c>
      <c r="E912" s="24" t="s">
        <v>12</v>
      </c>
      <c r="F912" s="25">
        <v>257269.43999999997</v>
      </c>
    </row>
    <row r="913" spans="2:6">
      <c r="B913" s="13" t="s">
        <v>2726</v>
      </c>
      <c r="C913" s="37" t="s">
        <v>2727</v>
      </c>
      <c r="D913" s="13" t="s">
        <v>2728</v>
      </c>
      <c r="E913" s="24" t="s">
        <v>12</v>
      </c>
      <c r="F913" s="25">
        <v>506417.72</v>
      </c>
    </row>
    <row r="914" spans="2:6">
      <c r="B914" s="13" t="s">
        <v>2729</v>
      </c>
      <c r="C914" s="23" t="s">
        <v>2730</v>
      </c>
      <c r="D914" s="13" t="s">
        <v>2731</v>
      </c>
      <c r="E914" s="24" t="s">
        <v>12</v>
      </c>
      <c r="F914" s="25">
        <v>2080</v>
      </c>
    </row>
    <row r="915" spans="2:6">
      <c r="B915" s="13" t="s">
        <v>2732</v>
      </c>
      <c r="C915" s="23" t="s">
        <v>2733</v>
      </c>
      <c r="D915" s="13" t="s">
        <v>2734</v>
      </c>
      <c r="E915" s="24" t="s">
        <v>12</v>
      </c>
      <c r="F915" s="25">
        <v>54535</v>
      </c>
    </row>
    <row r="916" spans="2:6">
      <c r="B916" s="13" t="s">
        <v>2735</v>
      </c>
      <c r="C916" s="23" t="s">
        <v>2736</v>
      </c>
      <c r="D916" s="13" t="s">
        <v>2737</v>
      </c>
      <c r="E916" s="24" t="s">
        <v>12</v>
      </c>
      <c r="F916" s="25">
        <v>99220.000000000015</v>
      </c>
    </row>
    <row r="917" spans="2:6">
      <c r="B917" s="13" t="s">
        <v>2738</v>
      </c>
      <c r="C917" s="23" t="s">
        <v>2739</v>
      </c>
      <c r="D917" s="13" t="s">
        <v>2740</v>
      </c>
      <c r="E917" s="24" t="s">
        <v>12</v>
      </c>
      <c r="F917" s="25">
        <v>198000.00000000003</v>
      </c>
    </row>
    <row r="918" spans="2:6">
      <c r="B918" s="13" t="s">
        <v>2741</v>
      </c>
      <c r="C918" s="23" t="s">
        <v>2742</v>
      </c>
      <c r="D918" s="13" t="s">
        <v>2743</v>
      </c>
      <c r="E918" s="24" t="s">
        <v>12</v>
      </c>
      <c r="F918" s="25">
        <v>9800</v>
      </c>
    </row>
    <row r="919" spans="2:6">
      <c r="B919" s="13" t="s">
        <v>2744</v>
      </c>
      <c r="C919" s="23" t="s">
        <v>2745</v>
      </c>
      <c r="D919" s="13" t="s">
        <v>2746</v>
      </c>
      <c r="E919" s="24" t="s">
        <v>12</v>
      </c>
      <c r="F919" s="25">
        <v>10500</v>
      </c>
    </row>
    <row r="920" spans="2:6">
      <c r="B920" s="13" t="s">
        <v>2747</v>
      </c>
      <c r="C920" s="23" t="s">
        <v>2748</v>
      </c>
      <c r="D920" s="13" t="s">
        <v>2749</v>
      </c>
      <c r="E920" s="24" t="s">
        <v>12</v>
      </c>
      <c r="F920" s="25">
        <v>22400</v>
      </c>
    </row>
    <row r="921" spans="2:6">
      <c r="B921" s="13" t="s">
        <v>2750</v>
      </c>
      <c r="C921" s="23" t="s">
        <v>2751</v>
      </c>
      <c r="D921" s="13" t="s">
        <v>2752</v>
      </c>
      <c r="E921" s="24" t="s">
        <v>12</v>
      </c>
      <c r="F921" s="25">
        <v>12000</v>
      </c>
    </row>
    <row r="922" spans="2:6">
      <c r="B922" s="13" t="s">
        <v>2753</v>
      </c>
      <c r="C922" s="29" t="s">
        <v>2754</v>
      </c>
      <c r="D922" s="13" t="s">
        <v>2755</v>
      </c>
      <c r="E922" s="24" t="s">
        <v>12</v>
      </c>
      <c r="F922" s="25">
        <v>32070</v>
      </c>
    </row>
    <row r="923" spans="2:6">
      <c r="B923" s="13" t="s">
        <v>2756</v>
      </c>
      <c r="C923" s="29" t="s">
        <v>2757</v>
      </c>
      <c r="D923" s="13" t="s">
        <v>2758</v>
      </c>
      <c r="E923" s="24" t="s">
        <v>12</v>
      </c>
      <c r="F923" s="25">
        <v>24200</v>
      </c>
    </row>
    <row r="924" spans="2:6">
      <c r="B924" s="13" t="s">
        <v>2759</v>
      </c>
      <c r="C924" s="29" t="s">
        <v>2760</v>
      </c>
      <c r="D924" s="13" t="s">
        <v>2761</v>
      </c>
      <c r="E924" s="24" t="s">
        <v>12</v>
      </c>
      <c r="F924" s="25">
        <v>8500</v>
      </c>
    </row>
    <row r="925" spans="2:6">
      <c r="B925" s="13" t="s">
        <v>2762</v>
      </c>
      <c r="C925" s="23" t="s">
        <v>2763</v>
      </c>
      <c r="D925" s="13" t="s">
        <v>2764</v>
      </c>
      <c r="E925" s="24" t="s">
        <v>12</v>
      </c>
      <c r="F925" s="25">
        <v>150000</v>
      </c>
    </row>
    <row r="926" spans="2:6">
      <c r="B926" s="13" t="s">
        <v>2765</v>
      </c>
      <c r="C926" s="23" t="s">
        <v>2766</v>
      </c>
      <c r="D926" s="13" t="s">
        <v>2767</v>
      </c>
      <c r="E926" s="24" t="s">
        <v>12</v>
      </c>
      <c r="F926" s="25">
        <v>75000</v>
      </c>
    </row>
    <row r="927" spans="2:6">
      <c r="B927" s="13" t="s">
        <v>2768</v>
      </c>
      <c r="C927" s="23" t="s">
        <v>2769</v>
      </c>
      <c r="D927" s="13" t="s">
        <v>2770</v>
      </c>
      <c r="E927" s="24" t="s">
        <v>12</v>
      </c>
      <c r="F927" s="25">
        <v>120000</v>
      </c>
    </row>
    <row r="928" spans="2:6">
      <c r="B928" s="13" t="s">
        <v>2771</v>
      </c>
      <c r="C928" s="23" t="s">
        <v>2772</v>
      </c>
      <c r="D928" s="13" t="s">
        <v>2773</v>
      </c>
      <c r="E928" s="24" t="s">
        <v>12</v>
      </c>
      <c r="F928" s="25">
        <v>40360.320000000007</v>
      </c>
    </row>
    <row r="929" spans="2:6">
      <c r="B929" s="13" t="s">
        <v>2774</v>
      </c>
      <c r="C929" s="23" t="s">
        <v>2775</v>
      </c>
      <c r="D929" s="13" t="s">
        <v>2776</v>
      </c>
      <c r="E929" s="24" t="s">
        <v>12</v>
      </c>
      <c r="F929" s="25">
        <v>6994.7999999999993</v>
      </c>
    </row>
    <row r="930" spans="2:6">
      <c r="B930" s="13" t="s">
        <v>2777</v>
      </c>
      <c r="C930" s="23" t="s">
        <v>2778</v>
      </c>
      <c r="D930" s="13" t="s">
        <v>2779</v>
      </c>
      <c r="E930" s="24" t="s">
        <v>12</v>
      </c>
      <c r="F930" s="25">
        <v>68000</v>
      </c>
    </row>
    <row r="931" spans="2:6">
      <c r="B931" s="13" t="s">
        <v>2780</v>
      </c>
      <c r="C931" s="23" t="s">
        <v>2781</v>
      </c>
      <c r="D931" s="13" t="s">
        <v>2782</v>
      </c>
      <c r="E931" s="24" t="s">
        <v>12</v>
      </c>
      <c r="F931" s="25">
        <v>75000</v>
      </c>
    </row>
    <row r="932" spans="2:6">
      <c r="B932" s="13" t="s">
        <v>2783</v>
      </c>
      <c r="C932" s="23" t="s">
        <v>2784</v>
      </c>
      <c r="D932" s="13" t="s">
        <v>2785</v>
      </c>
      <c r="E932" s="24" t="s">
        <v>12</v>
      </c>
      <c r="F932" s="25">
        <v>55000</v>
      </c>
    </row>
    <row r="933" spans="2:6">
      <c r="B933" s="13" t="s">
        <v>2786</v>
      </c>
      <c r="C933" s="23" t="s">
        <v>2787</v>
      </c>
      <c r="D933" s="13" t="s">
        <v>2788</v>
      </c>
      <c r="E933" s="24" t="s">
        <v>12</v>
      </c>
      <c r="F933" s="25">
        <v>4150</v>
      </c>
    </row>
    <row r="934" spans="2:6">
      <c r="B934" s="13" t="s">
        <v>2789</v>
      </c>
      <c r="C934" s="23" t="s">
        <v>2790</v>
      </c>
      <c r="D934" s="13" t="s">
        <v>2791</v>
      </c>
      <c r="E934" s="24" t="s">
        <v>12</v>
      </c>
      <c r="F934" s="25">
        <v>3620</v>
      </c>
    </row>
    <row r="935" spans="2:6">
      <c r="B935" s="13" t="s">
        <v>2792</v>
      </c>
      <c r="C935" s="23" t="s">
        <v>2793</v>
      </c>
      <c r="D935" s="13" t="s">
        <v>2794</v>
      </c>
      <c r="E935" s="24" t="s">
        <v>12</v>
      </c>
      <c r="F935" s="25">
        <v>1620</v>
      </c>
    </row>
    <row r="936" spans="2:6">
      <c r="B936" s="13" t="s">
        <v>2795</v>
      </c>
      <c r="C936" s="23" t="s">
        <v>2796</v>
      </c>
      <c r="D936" s="13" t="s">
        <v>2797</v>
      </c>
      <c r="E936" s="24" t="s">
        <v>12</v>
      </c>
      <c r="F936" s="25">
        <v>2800</v>
      </c>
    </row>
    <row r="937" spans="2:6">
      <c r="B937" s="13" t="s">
        <v>2798</v>
      </c>
      <c r="C937" s="23" t="s">
        <v>2799</v>
      </c>
      <c r="D937" s="13" t="s">
        <v>2800</v>
      </c>
      <c r="E937" s="24" t="s">
        <v>12</v>
      </c>
      <c r="F937" s="25">
        <v>980</v>
      </c>
    </row>
    <row r="938" spans="2:6">
      <c r="B938" s="13" t="s">
        <v>2801</v>
      </c>
      <c r="C938" s="23" t="s">
        <v>2802</v>
      </c>
      <c r="D938" s="13" t="s">
        <v>2803</v>
      </c>
      <c r="E938" s="24" t="s">
        <v>12</v>
      </c>
      <c r="F938" s="25">
        <v>1400</v>
      </c>
    </row>
    <row r="939" spans="2:6">
      <c r="B939" s="13" t="s">
        <v>2804</v>
      </c>
      <c r="C939" s="29" t="s">
        <v>2805</v>
      </c>
      <c r="D939" s="13" t="s">
        <v>2806</v>
      </c>
      <c r="E939" s="24" t="s">
        <v>12</v>
      </c>
      <c r="F939" s="25">
        <v>2500</v>
      </c>
    </row>
    <row r="940" spans="2:6">
      <c r="B940" s="13" t="s">
        <v>2807</v>
      </c>
      <c r="C940" s="23" t="s">
        <v>2808</v>
      </c>
      <c r="D940" s="13" t="s">
        <v>2809</v>
      </c>
      <c r="E940" s="24" t="s">
        <v>12</v>
      </c>
      <c r="F940" s="25">
        <v>2500</v>
      </c>
    </row>
    <row r="941" spans="2:6">
      <c r="B941" s="13" t="s">
        <v>2810</v>
      </c>
      <c r="C941" s="23" t="s">
        <v>2811</v>
      </c>
      <c r="D941" s="13" t="s">
        <v>2812</v>
      </c>
      <c r="E941" s="24" t="s">
        <v>12</v>
      </c>
      <c r="F941" s="25">
        <v>500</v>
      </c>
    </row>
    <row r="942" spans="2:6">
      <c r="B942" s="13" t="s">
        <v>2813</v>
      </c>
      <c r="C942" s="23" t="s">
        <v>2814</v>
      </c>
      <c r="D942" s="13" t="s">
        <v>2815</v>
      </c>
      <c r="E942" s="24" t="s">
        <v>12</v>
      </c>
      <c r="F942" s="25">
        <v>900</v>
      </c>
    </row>
    <row r="943" spans="2:6">
      <c r="B943" s="13" t="s">
        <v>2816</v>
      </c>
      <c r="C943" s="23" t="s">
        <v>2817</v>
      </c>
      <c r="D943" s="13" t="s">
        <v>2818</v>
      </c>
      <c r="E943" s="24" t="s">
        <v>12</v>
      </c>
      <c r="F943" s="25">
        <v>1200</v>
      </c>
    </row>
    <row r="944" spans="2:6">
      <c r="B944" s="13" t="s">
        <v>2819</v>
      </c>
      <c r="C944" s="37" t="s">
        <v>2820</v>
      </c>
      <c r="D944" s="13" t="s">
        <v>2821</v>
      </c>
      <c r="E944" s="24" t="s">
        <v>12</v>
      </c>
      <c r="F944" s="25">
        <v>1000</v>
      </c>
    </row>
    <row r="945" spans="2:6">
      <c r="B945" s="13" t="s">
        <v>2822</v>
      </c>
      <c r="C945" s="29" t="s">
        <v>2823</v>
      </c>
      <c r="D945" s="13" t="s">
        <v>2824</v>
      </c>
      <c r="E945" s="24" t="s">
        <v>12</v>
      </c>
      <c r="F945" s="25">
        <v>1500</v>
      </c>
    </row>
    <row r="946" spans="2:6">
      <c r="B946" s="13" t="s">
        <v>2825</v>
      </c>
      <c r="C946" s="29" t="s">
        <v>2826</v>
      </c>
      <c r="D946" s="13" t="s">
        <v>2827</v>
      </c>
      <c r="E946" s="24" t="s">
        <v>12</v>
      </c>
      <c r="F946" s="25">
        <v>2500</v>
      </c>
    </row>
    <row r="947" spans="2:6">
      <c r="B947" s="13" t="s">
        <v>2828</v>
      </c>
      <c r="C947" s="29" t="s">
        <v>2829</v>
      </c>
      <c r="D947" s="13" t="s">
        <v>2830</v>
      </c>
      <c r="E947" s="24" t="s">
        <v>12</v>
      </c>
      <c r="F947" s="25">
        <v>5500</v>
      </c>
    </row>
    <row r="948" spans="2:6">
      <c r="B948" s="13" t="s">
        <v>2831</v>
      </c>
      <c r="C948" s="29" t="s">
        <v>2832</v>
      </c>
      <c r="D948" s="13" t="s">
        <v>2833</v>
      </c>
      <c r="E948" s="24" t="s">
        <v>12</v>
      </c>
      <c r="F948" s="25">
        <v>2500</v>
      </c>
    </row>
    <row r="949" spans="2:6">
      <c r="B949" s="13" t="s">
        <v>2834</v>
      </c>
      <c r="C949" s="23" t="s">
        <v>2835</v>
      </c>
      <c r="D949" s="13" t="s">
        <v>2836</v>
      </c>
      <c r="E949" s="24" t="s">
        <v>12</v>
      </c>
      <c r="F949" s="25">
        <v>750</v>
      </c>
    </row>
    <row r="950" spans="2:6">
      <c r="B950" s="13" t="s">
        <v>2837</v>
      </c>
      <c r="C950" s="29" t="s">
        <v>2838</v>
      </c>
      <c r="D950" s="13" t="s">
        <v>2839</v>
      </c>
      <c r="E950" s="24" t="s">
        <v>12</v>
      </c>
      <c r="F950" s="25">
        <v>3500</v>
      </c>
    </row>
    <row r="951" spans="2:6">
      <c r="B951" s="13" t="s">
        <v>2840</v>
      </c>
      <c r="C951" s="29" t="s">
        <v>2841</v>
      </c>
      <c r="D951" s="13" t="s">
        <v>2842</v>
      </c>
      <c r="E951" s="24" t="s">
        <v>1134</v>
      </c>
      <c r="F951" s="25">
        <v>2300</v>
      </c>
    </row>
    <row r="952" spans="2:6">
      <c r="B952" s="13" t="s">
        <v>2843</v>
      </c>
      <c r="C952" s="29" t="s">
        <v>2844</v>
      </c>
      <c r="D952" s="13" t="s">
        <v>2845</v>
      </c>
      <c r="E952" s="24" t="s">
        <v>12</v>
      </c>
      <c r="F952" s="25">
        <v>420</v>
      </c>
    </row>
    <row r="953" spans="2:6">
      <c r="B953" s="13" t="s">
        <v>2846</v>
      </c>
      <c r="C953" s="29" t="s">
        <v>2847</v>
      </c>
      <c r="D953" s="13" t="s">
        <v>2848</v>
      </c>
      <c r="E953" s="24" t="s">
        <v>12</v>
      </c>
      <c r="F953" s="25">
        <v>420</v>
      </c>
    </row>
    <row r="954" spans="2:6">
      <c r="B954" s="13" t="s">
        <v>2849</v>
      </c>
      <c r="C954" s="23" t="s">
        <v>3962</v>
      </c>
      <c r="D954" s="13" t="s">
        <v>2850</v>
      </c>
      <c r="E954" s="24" t="s">
        <v>12</v>
      </c>
      <c r="F954" s="25">
        <v>2500000</v>
      </c>
    </row>
    <row r="955" spans="2:6">
      <c r="B955" s="13" t="s">
        <v>2851</v>
      </c>
      <c r="C955" s="23" t="s">
        <v>2852</v>
      </c>
      <c r="D955" s="13" t="s">
        <v>2853</v>
      </c>
      <c r="E955" s="24" t="s">
        <v>12</v>
      </c>
      <c r="F955" s="25">
        <v>39585</v>
      </c>
    </row>
    <row r="956" spans="2:6">
      <c r="B956" s="13" t="s">
        <v>2854</v>
      </c>
      <c r="C956" s="23" t="s">
        <v>2855</v>
      </c>
      <c r="D956" s="13" t="s">
        <v>2856</v>
      </c>
      <c r="E956" s="24" t="s">
        <v>12</v>
      </c>
      <c r="F956" s="25">
        <v>61711.999999999993</v>
      </c>
    </row>
    <row r="957" spans="2:6">
      <c r="B957" s="13" t="s">
        <v>2857</v>
      </c>
      <c r="C957" s="29" t="s">
        <v>2858</v>
      </c>
      <c r="D957" s="13" t="s">
        <v>2859</v>
      </c>
      <c r="E957" s="24" t="s">
        <v>12</v>
      </c>
      <c r="F957" s="25">
        <v>13800</v>
      </c>
    </row>
    <row r="958" spans="2:6">
      <c r="B958" s="13" t="s">
        <v>2860</v>
      </c>
      <c r="C958" s="29" t="s">
        <v>2861</v>
      </c>
      <c r="D958" s="13" t="s">
        <v>2862</v>
      </c>
      <c r="E958" s="24" t="s">
        <v>12</v>
      </c>
      <c r="F958" s="25">
        <v>8310.8199999999979</v>
      </c>
    </row>
    <row r="959" spans="2:6">
      <c r="B959" s="13" t="s">
        <v>2863</v>
      </c>
      <c r="C959" s="29" t="s">
        <v>2864</v>
      </c>
      <c r="D959" s="13" t="s">
        <v>2865</v>
      </c>
      <c r="E959" s="24" t="s">
        <v>12</v>
      </c>
      <c r="F959" s="25">
        <v>12739.699999999999</v>
      </c>
    </row>
    <row r="960" spans="2:6">
      <c r="B960" s="13" t="s">
        <v>2866</v>
      </c>
      <c r="C960" s="23" t="s">
        <v>2867</v>
      </c>
      <c r="D960" s="13" t="s">
        <v>2868</v>
      </c>
      <c r="E960" s="24" t="s">
        <v>1375</v>
      </c>
      <c r="F960" s="25">
        <v>230000</v>
      </c>
    </row>
    <row r="961" spans="2:6">
      <c r="B961" s="13" t="s">
        <v>2869</v>
      </c>
      <c r="C961" s="23" t="s">
        <v>2870</v>
      </c>
      <c r="D961" s="13" t="s">
        <v>2871</v>
      </c>
      <c r="E961" s="24" t="s">
        <v>1375</v>
      </c>
      <c r="F961" s="25">
        <v>43000</v>
      </c>
    </row>
    <row r="962" spans="2:6">
      <c r="B962" s="13" t="s">
        <v>2872</v>
      </c>
      <c r="C962" s="29" t="s">
        <v>2873</v>
      </c>
      <c r="D962" s="13" t="s">
        <v>2874</v>
      </c>
      <c r="E962" s="24" t="s">
        <v>1375</v>
      </c>
      <c r="F962" s="25">
        <v>64000</v>
      </c>
    </row>
    <row r="963" spans="2:6">
      <c r="B963" s="13" t="s">
        <v>2875</v>
      </c>
      <c r="C963" s="29" t="s">
        <v>2876</v>
      </c>
      <c r="D963" s="13" t="s">
        <v>2877</v>
      </c>
      <c r="E963" s="24" t="s">
        <v>1375</v>
      </c>
      <c r="F963" s="25">
        <v>120000</v>
      </c>
    </row>
    <row r="964" spans="2:6">
      <c r="B964" s="13" t="s">
        <v>2878</v>
      </c>
      <c r="C964" s="23" t="s">
        <v>2879</v>
      </c>
      <c r="D964" s="13" t="s">
        <v>2880</v>
      </c>
      <c r="E964" s="24" t="s">
        <v>1375</v>
      </c>
      <c r="F964" s="25">
        <v>60000</v>
      </c>
    </row>
    <row r="965" spans="2:6">
      <c r="B965" s="13" t="s">
        <v>2881</v>
      </c>
      <c r="C965" s="23" t="s">
        <v>2882</v>
      </c>
      <c r="D965" s="13" t="s">
        <v>2883</v>
      </c>
      <c r="E965" s="24" t="s">
        <v>1375</v>
      </c>
      <c r="F965" s="25">
        <v>45000</v>
      </c>
    </row>
    <row r="966" spans="2:6">
      <c r="B966" s="13" t="s">
        <v>2884</v>
      </c>
      <c r="C966" s="23" t="s">
        <v>2885</v>
      </c>
      <c r="D966" s="13" t="s">
        <v>2886</v>
      </c>
      <c r="E966" s="24" t="s">
        <v>12</v>
      </c>
      <c r="F966" s="25">
        <v>1772.4799999999998</v>
      </c>
    </row>
    <row r="967" spans="2:6">
      <c r="B967" s="13" t="s">
        <v>2887</v>
      </c>
      <c r="C967" s="23" t="s">
        <v>2888</v>
      </c>
      <c r="D967" s="13" t="s">
        <v>2889</v>
      </c>
      <c r="E967" s="24" t="s">
        <v>12</v>
      </c>
      <c r="F967" s="25">
        <v>30200</v>
      </c>
    </row>
    <row r="968" spans="2:6">
      <c r="B968" s="13" t="s">
        <v>2890</v>
      </c>
      <c r="C968" s="23" t="s">
        <v>2891</v>
      </c>
      <c r="D968" s="13" t="s">
        <v>2892</v>
      </c>
      <c r="E968" s="24" t="s">
        <v>12</v>
      </c>
      <c r="F968" s="25">
        <v>2500</v>
      </c>
    </row>
    <row r="969" spans="2:6">
      <c r="B969" s="13" t="s">
        <v>2893</v>
      </c>
      <c r="C969" s="23" t="s">
        <v>2894</v>
      </c>
      <c r="D969" s="13" t="s">
        <v>2895</v>
      </c>
      <c r="E969" s="24" t="s">
        <v>12</v>
      </c>
      <c r="F969" s="25">
        <v>38000</v>
      </c>
    </row>
    <row r="970" spans="2:6">
      <c r="B970" s="13" t="s">
        <v>2896</v>
      </c>
      <c r="C970" s="23" t="s">
        <v>2897</v>
      </c>
      <c r="D970" s="13" t="s">
        <v>2898</v>
      </c>
      <c r="E970" s="24" t="s">
        <v>12</v>
      </c>
      <c r="F970" s="25">
        <v>2500</v>
      </c>
    </row>
    <row r="971" spans="2:6">
      <c r="B971" s="13" t="s">
        <v>2899</v>
      </c>
      <c r="C971" s="23" t="s">
        <v>2900</v>
      </c>
      <c r="D971" s="13" t="s">
        <v>2901</v>
      </c>
      <c r="E971" s="24" t="s">
        <v>1227</v>
      </c>
      <c r="F971" s="25">
        <v>3000</v>
      </c>
    </row>
    <row r="972" spans="2:6">
      <c r="B972" s="13" t="s">
        <v>2902</v>
      </c>
      <c r="C972" s="23" t="s">
        <v>2903</v>
      </c>
      <c r="D972" s="13" t="s">
        <v>2904</v>
      </c>
      <c r="E972" s="24" t="s">
        <v>12</v>
      </c>
      <c r="F972" s="25">
        <v>6500</v>
      </c>
    </row>
    <row r="973" spans="2:6">
      <c r="B973" s="13" t="s">
        <v>2905</v>
      </c>
      <c r="C973" s="31" t="s">
        <v>2906</v>
      </c>
      <c r="D973" s="13" t="s">
        <v>2907</v>
      </c>
      <c r="E973" s="24" t="s">
        <v>12</v>
      </c>
      <c r="F973" s="25">
        <v>0</v>
      </c>
    </row>
    <row r="974" spans="2:6">
      <c r="B974" s="13" t="s">
        <v>2908</v>
      </c>
      <c r="C974" s="29" t="s">
        <v>2909</v>
      </c>
      <c r="D974" s="13" t="s">
        <v>2910</v>
      </c>
      <c r="E974" s="24" t="s">
        <v>12</v>
      </c>
      <c r="F974" s="25">
        <v>650000</v>
      </c>
    </row>
    <row r="975" spans="2:6">
      <c r="B975" s="13" t="s">
        <v>2911</v>
      </c>
      <c r="C975" s="29" t="s">
        <v>2912</v>
      </c>
      <c r="D975" s="13" t="s">
        <v>2913</v>
      </c>
      <c r="E975" s="24" t="s">
        <v>12</v>
      </c>
      <c r="F975" s="25">
        <v>750000</v>
      </c>
    </row>
    <row r="976" spans="2:6">
      <c r="B976" s="13" t="s">
        <v>2914</v>
      </c>
      <c r="C976" s="29" t="s">
        <v>2915</v>
      </c>
      <c r="D976" s="13" t="s">
        <v>2916</v>
      </c>
      <c r="E976" s="24" t="s">
        <v>12</v>
      </c>
      <c r="F976" s="25">
        <v>550000</v>
      </c>
    </row>
    <row r="977" spans="2:6">
      <c r="B977" s="13" t="s">
        <v>2917</v>
      </c>
      <c r="C977" s="29" t="s">
        <v>2918</v>
      </c>
      <c r="D977" s="13" t="s">
        <v>2919</v>
      </c>
      <c r="E977" s="24" t="s">
        <v>12</v>
      </c>
      <c r="F977" s="25">
        <v>638000</v>
      </c>
    </row>
    <row r="978" spans="2:6">
      <c r="B978" s="13" t="s">
        <v>2920</v>
      </c>
      <c r="C978" s="29" t="s">
        <v>2921</v>
      </c>
      <c r="D978" s="13" t="s">
        <v>2922</v>
      </c>
      <c r="E978" s="24" t="s">
        <v>12</v>
      </c>
      <c r="F978" s="25">
        <v>780000</v>
      </c>
    </row>
    <row r="979" spans="2:6">
      <c r="B979" s="13" t="s">
        <v>2923</v>
      </c>
      <c r="C979" s="29" t="s">
        <v>2924</v>
      </c>
      <c r="D979" s="13" t="s">
        <v>2925</v>
      </c>
      <c r="E979" s="24" t="s">
        <v>12</v>
      </c>
      <c r="F979" s="25">
        <v>624000</v>
      </c>
    </row>
    <row r="980" spans="2:6">
      <c r="B980" s="13" t="s">
        <v>2926</v>
      </c>
      <c r="C980" s="23" t="s">
        <v>2927</v>
      </c>
      <c r="D980" s="13" t="s">
        <v>2928</v>
      </c>
      <c r="E980" s="24" t="s">
        <v>12</v>
      </c>
      <c r="F980" s="25">
        <v>1170000</v>
      </c>
    </row>
    <row r="981" spans="2:6">
      <c r="B981" s="13" t="s">
        <v>2929</v>
      </c>
      <c r="C981" s="29" t="s">
        <v>2930</v>
      </c>
      <c r="D981" s="13" t="s">
        <v>2931</v>
      </c>
      <c r="E981" s="24" t="s">
        <v>12</v>
      </c>
      <c r="F981" s="25">
        <v>819000</v>
      </c>
    </row>
    <row r="982" spans="2:6">
      <c r="B982" s="13" t="s">
        <v>2932</v>
      </c>
      <c r="C982" s="23" t="s">
        <v>2933</v>
      </c>
      <c r="D982" s="13" t="s">
        <v>2934</v>
      </c>
      <c r="E982" s="24" t="s">
        <v>12</v>
      </c>
      <c r="F982" s="25">
        <v>2080000</v>
      </c>
    </row>
    <row r="983" spans="2:6">
      <c r="B983" s="13" t="s">
        <v>2935</v>
      </c>
      <c r="C983" s="23" t="s">
        <v>2936</v>
      </c>
      <c r="D983" s="13" t="s">
        <v>2937</v>
      </c>
      <c r="E983" s="24" t="s">
        <v>12</v>
      </c>
      <c r="F983" s="25">
        <v>1170000</v>
      </c>
    </row>
    <row r="984" spans="2:6">
      <c r="B984" s="13" t="s">
        <v>2938</v>
      </c>
      <c r="C984" s="31" t="s">
        <v>2939</v>
      </c>
      <c r="D984" s="13" t="s">
        <v>2940</v>
      </c>
      <c r="E984" s="24" t="s">
        <v>12</v>
      </c>
      <c r="F984" s="25">
        <v>1980.0000000000002</v>
      </c>
    </row>
    <row r="985" spans="2:6">
      <c r="B985" s="13" t="s">
        <v>2941</v>
      </c>
      <c r="C985" s="31" t="s">
        <v>2942</v>
      </c>
      <c r="D985" s="13" t="s">
        <v>2943</v>
      </c>
      <c r="E985" s="24" t="s">
        <v>12</v>
      </c>
      <c r="F985" s="25">
        <v>864.19999999999993</v>
      </c>
    </row>
    <row r="986" spans="2:6">
      <c r="B986" s="13" t="s">
        <v>2944</v>
      </c>
      <c r="C986" s="23" t="s">
        <v>2945</v>
      </c>
      <c r="D986" s="13" t="s">
        <v>2946</v>
      </c>
      <c r="E986" s="24" t="s">
        <v>12</v>
      </c>
      <c r="F986" s="25">
        <v>2000</v>
      </c>
    </row>
    <row r="987" spans="2:6">
      <c r="B987" s="13" t="s">
        <v>2947</v>
      </c>
      <c r="C987" s="29" t="s">
        <v>2948</v>
      </c>
      <c r="D987" s="13" t="s">
        <v>2949</v>
      </c>
      <c r="E987" s="24" t="s">
        <v>12</v>
      </c>
      <c r="F987" s="25">
        <v>391000</v>
      </c>
    </row>
    <row r="988" spans="2:6">
      <c r="B988" s="13" t="s">
        <v>2950</v>
      </c>
      <c r="C988" s="31" t="s">
        <v>2951</v>
      </c>
      <c r="D988" s="13" t="s">
        <v>2952</v>
      </c>
      <c r="E988" s="24" t="s">
        <v>12</v>
      </c>
      <c r="F988" s="25">
        <v>200000</v>
      </c>
    </row>
    <row r="989" spans="2:6" ht="25.5">
      <c r="B989" s="13" t="s">
        <v>2953</v>
      </c>
      <c r="C989" s="23" t="s">
        <v>2954</v>
      </c>
      <c r="D989" s="13" t="s">
        <v>2955</v>
      </c>
      <c r="E989" s="24" t="s">
        <v>12</v>
      </c>
      <c r="F989" s="25">
        <v>1525000</v>
      </c>
    </row>
    <row r="990" spans="2:6">
      <c r="B990" s="13" t="s">
        <v>2956</v>
      </c>
      <c r="C990" s="29" t="s">
        <v>2957</v>
      </c>
      <c r="D990" s="13" t="s">
        <v>2958</v>
      </c>
      <c r="E990" s="24" t="s">
        <v>12</v>
      </c>
      <c r="F990" s="25">
        <v>19000</v>
      </c>
    </row>
    <row r="991" spans="2:6">
      <c r="B991" s="13" t="s">
        <v>2959</v>
      </c>
      <c r="C991" s="29" t="s">
        <v>2960</v>
      </c>
      <c r="D991" s="13" t="s">
        <v>2961</v>
      </c>
      <c r="E991" s="24" t="s">
        <v>12</v>
      </c>
      <c r="F991" s="25">
        <v>250000</v>
      </c>
    </row>
    <row r="992" spans="2:6">
      <c r="B992" s="13" t="s">
        <v>2962</v>
      </c>
      <c r="C992" s="29" t="s">
        <v>2963</v>
      </c>
      <c r="D992" s="13" t="s">
        <v>2964</v>
      </c>
      <c r="E992" s="24" t="s">
        <v>12</v>
      </c>
      <c r="F992" s="25">
        <v>250000</v>
      </c>
    </row>
    <row r="993" spans="2:6">
      <c r="B993" s="13" t="s">
        <v>2965</v>
      </c>
      <c r="C993" s="29" t="s">
        <v>2966</v>
      </c>
      <c r="D993" s="13" t="s">
        <v>2967</v>
      </c>
      <c r="E993" s="24" t="s">
        <v>12</v>
      </c>
      <c r="F993" s="25">
        <v>90000</v>
      </c>
    </row>
    <row r="994" spans="2:6">
      <c r="B994" s="13" t="s">
        <v>2968</v>
      </c>
      <c r="C994" s="29" t="s">
        <v>2969</v>
      </c>
      <c r="D994" s="13" t="s">
        <v>2970</v>
      </c>
      <c r="E994" s="24" t="s">
        <v>12</v>
      </c>
      <c r="F994" s="25">
        <v>2000</v>
      </c>
    </row>
    <row r="995" spans="2:6">
      <c r="B995" s="13" t="s">
        <v>2971</v>
      </c>
      <c r="C995" s="23" t="s">
        <v>2972</v>
      </c>
      <c r="D995" s="13" t="s">
        <v>2973</v>
      </c>
      <c r="E995" s="24" t="s">
        <v>12</v>
      </c>
      <c r="F995" s="25">
        <v>50415</v>
      </c>
    </row>
    <row r="996" spans="2:6">
      <c r="B996" s="13" t="s">
        <v>2974</v>
      </c>
      <c r="C996" s="23" t="s">
        <v>2975</v>
      </c>
      <c r="D996" s="13" t="s">
        <v>2976</v>
      </c>
      <c r="E996" s="24" t="s">
        <v>12</v>
      </c>
      <c r="F996" s="25">
        <v>20000</v>
      </c>
    </row>
    <row r="997" spans="2:6">
      <c r="B997" s="13" t="s">
        <v>2977</v>
      </c>
      <c r="C997" s="29" t="s">
        <v>2978</v>
      </c>
      <c r="D997" s="13" t="s">
        <v>2979</v>
      </c>
      <c r="E997" s="24" t="s">
        <v>12</v>
      </c>
      <c r="F997" s="25">
        <v>404100</v>
      </c>
    </row>
    <row r="998" spans="2:6">
      <c r="B998" s="13" t="s">
        <v>2980</v>
      </c>
      <c r="C998" s="29" t="s">
        <v>2981</v>
      </c>
      <c r="D998" s="13" t="s">
        <v>2982</v>
      </c>
      <c r="E998" s="24" t="s">
        <v>12</v>
      </c>
      <c r="F998" s="25">
        <v>335500</v>
      </c>
    </row>
    <row r="999" spans="2:6">
      <c r="B999" s="13" t="s">
        <v>2983</v>
      </c>
      <c r="C999" s="29" t="s">
        <v>2984</v>
      </c>
      <c r="D999" s="13" t="s">
        <v>2985</v>
      </c>
      <c r="E999" s="24" t="s">
        <v>12</v>
      </c>
      <c r="F999" s="25">
        <v>606400</v>
      </c>
    </row>
    <row r="1000" spans="2:6">
      <c r="B1000" s="13" t="s">
        <v>2986</v>
      </c>
      <c r="C1000" s="29" t="s">
        <v>2987</v>
      </c>
      <c r="D1000" s="13" t="s">
        <v>2988</v>
      </c>
      <c r="E1000" s="24" t="s">
        <v>12</v>
      </c>
      <c r="F1000" s="25">
        <v>506699.99999999994</v>
      </c>
    </row>
    <row r="1001" spans="2:6">
      <c r="B1001" s="13" t="s">
        <v>2989</v>
      </c>
      <c r="C1001" s="29" t="s">
        <v>2990</v>
      </c>
      <c r="D1001" s="13" t="s">
        <v>2991</v>
      </c>
      <c r="E1001" s="24" t="s">
        <v>12</v>
      </c>
      <c r="F1001" s="25">
        <v>265000</v>
      </c>
    </row>
    <row r="1002" spans="2:6">
      <c r="B1002" s="13" t="s">
        <v>2992</v>
      </c>
      <c r="C1002" s="29" t="s">
        <v>2993</v>
      </c>
      <c r="D1002" s="13" t="s">
        <v>2994</v>
      </c>
      <c r="E1002" s="24" t="s">
        <v>12</v>
      </c>
      <c r="F1002" s="25">
        <v>544500</v>
      </c>
    </row>
    <row r="1003" spans="2:6">
      <c r="B1003" s="13" t="s">
        <v>2995</v>
      </c>
      <c r="C1003" s="23" t="s">
        <v>2996</v>
      </c>
      <c r="D1003" s="13" t="s">
        <v>2997</v>
      </c>
      <c r="E1003" s="24" t="s">
        <v>12</v>
      </c>
      <c r="F1003" s="25">
        <v>1195000</v>
      </c>
    </row>
    <row r="1004" spans="2:6">
      <c r="B1004" s="13" t="s">
        <v>2998</v>
      </c>
      <c r="C1004" s="23" t="s">
        <v>2999</v>
      </c>
      <c r="D1004" s="13" t="s">
        <v>3000</v>
      </c>
      <c r="E1004" s="24" t="s">
        <v>12</v>
      </c>
      <c r="F1004" s="25">
        <v>359600</v>
      </c>
    </row>
    <row r="1005" spans="2:6">
      <c r="B1005" s="13" t="s">
        <v>3001</v>
      </c>
      <c r="C1005" s="23" t="s">
        <v>3002</v>
      </c>
      <c r="D1005" s="13" t="s">
        <v>3003</v>
      </c>
      <c r="E1005" s="24" t="s">
        <v>12</v>
      </c>
      <c r="F1005" s="25">
        <v>145000</v>
      </c>
    </row>
    <row r="1006" spans="2:6">
      <c r="B1006" s="13" t="s">
        <v>3004</v>
      </c>
      <c r="C1006" s="23" t="s">
        <v>3005</v>
      </c>
      <c r="D1006" s="13" t="s">
        <v>3006</v>
      </c>
      <c r="E1006" s="24" t="s">
        <v>12</v>
      </c>
      <c r="F1006" s="25">
        <v>2981.2</v>
      </c>
    </row>
    <row r="1007" spans="2:6">
      <c r="B1007" s="13" t="s">
        <v>3007</v>
      </c>
      <c r="C1007" s="23" t="s">
        <v>3008</v>
      </c>
      <c r="D1007" s="13" t="s">
        <v>3009</v>
      </c>
      <c r="E1007" s="24" t="s">
        <v>12</v>
      </c>
      <c r="F1007" s="25">
        <v>1012385.0000000001</v>
      </c>
    </row>
    <row r="1008" spans="2:6">
      <c r="B1008" s="13" t="s">
        <v>3010</v>
      </c>
      <c r="C1008" s="23" t="s">
        <v>3011</v>
      </c>
      <c r="D1008" s="13" t="s">
        <v>3012</v>
      </c>
      <c r="E1008" s="24" t="s">
        <v>12</v>
      </c>
      <c r="F1008" s="25">
        <v>1028500.0000000001</v>
      </c>
    </row>
    <row r="1009" spans="2:6">
      <c r="B1009" s="13" t="s">
        <v>3013</v>
      </c>
      <c r="C1009" s="23" t="s">
        <v>3014</v>
      </c>
      <c r="D1009" s="13" t="s">
        <v>3015</v>
      </c>
      <c r="E1009" s="24" t="s">
        <v>12</v>
      </c>
      <c r="F1009" s="25">
        <v>375000</v>
      </c>
    </row>
    <row r="1010" spans="2:6">
      <c r="B1010" s="13" t="s">
        <v>3016</v>
      </c>
      <c r="C1010" s="23" t="s">
        <v>3017</v>
      </c>
      <c r="D1010" s="13" t="s">
        <v>3018</v>
      </c>
      <c r="E1010" s="24" t="s">
        <v>12</v>
      </c>
      <c r="F1010" s="25">
        <v>85000</v>
      </c>
    </row>
    <row r="1011" spans="2:6">
      <c r="B1011" s="13" t="s">
        <v>3019</v>
      </c>
      <c r="C1011" s="23" t="s">
        <v>3020</v>
      </c>
      <c r="D1011" s="13" t="s">
        <v>3021</v>
      </c>
      <c r="E1011" s="24" t="s">
        <v>12</v>
      </c>
      <c r="F1011" s="25">
        <v>425000</v>
      </c>
    </row>
    <row r="1012" spans="2:6">
      <c r="B1012" s="13" t="s">
        <v>3022</v>
      </c>
      <c r="C1012" s="23" t="s">
        <v>3023</v>
      </c>
      <c r="D1012" s="13" t="s">
        <v>3024</v>
      </c>
      <c r="E1012" s="24" t="s">
        <v>12</v>
      </c>
      <c r="F1012" s="25">
        <v>290000</v>
      </c>
    </row>
    <row r="1013" spans="2:6">
      <c r="B1013" s="13" t="s">
        <v>3025</v>
      </c>
      <c r="C1013" s="23" t="s">
        <v>3026</v>
      </c>
      <c r="D1013" s="13" t="s">
        <v>3027</v>
      </c>
      <c r="E1013" s="24" t="s">
        <v>12</v>
      </c>
      <c r="F1013" s="25">
        <v>3950</v>
      </c>
    </row>
    <row r="1014" spans="2:6">
      <c r="B1014" s="13" t="s">
        <v>3028</v>
      </c>
      <c r="C1014" s="29" t="s">
        <v>3029</v>
      </c>
      <c r="D1014" s="13" t="s">
        <v>3030</v>
      </c>
      <c r="E1014" s="24" t="s">
        <v>12</v>
      </c>
      <c r="F1014" s="25">
        <v>12500</v>
      </c>
    </row>
    <row r="1015" spans="2:6">
      <c r="B1015" s="13" t="s">
        <v>3031</v>
      </c>
      <c r="C1015" s="29" t="s">
        <v>3032</v>
      </c>
      <c r="D1015" s="13" t="s">
        <v>3033</v>
      </c>
      <c r="E1015" s="24" t="s">
        <v>12</v>
      </c>
      <c r="F1015" s="25">
        <v>4000</v>
      </c>
    </row>
    <row r="1016" spans="2:6">
      <c r="B1016" s="13" t="s">
        <v>3034</v>
      </c>
      <c r="C1016" s="23" t="s">
        <v>3035</v>
      </c>
      <c r="D1016" s="13" t="s">
        <v>3036</v>
      </c>
      <c r="E1016" s="24" t="s">
        <v>12</v>
      </c>
      <c r="F1016" s="25">
        <v>850000</v>
      </c>
    </row>
    <row r="1017" spans="2:6">
      <c r="B1017" s="13" t="s">
        <v>3037</v>
      </c>
      <c r="C1017" s="23" t="s">
        <v>3038</v>
      </c>
      <c r="D1017" s="13" t="s">
        <v>3039</v>
      </c>
      <c r="E1017" s="24" t="s">
        <v>12</v>
      </c>
      <c r="F1017" s="25">
        <v>75400</v>
      </c>
    </row>
    <row r="1018" spans="2:6">
      <c r="B1018" s="13" t="s">
        <v>3040</v>
      </c>
      <c r="C1018" s="23" t="s">
        <v>3041</v>
      </c>
      <c r="D1018" s="13" t="s">
        <v>3042</v>
      </c>
      <c r="E1018" s="24" t="s">
        <v>12</v>
      </c>
      <c r="F1018" s="25">
        <v>81055</v>
      </c>
    </row>
    <row r="1019" spans="2:6">
      <c r="B1019" s="13" t="s">
        <v>3043</v>
      </c>
      <c r="C1019" s="29" t="s">
        <v>3044</v>
      </c>
      <c r="D1019" s="13" t="s">
        <v>3045</v>
      </c>
      <c r="E1019" s="24" t="s">
        <v>12</v>
      </c>
      <c r="F1019" s="25">
        <v>70000</v>
      </c>
    </row>
    <row r="1020" spans="2:6">
      <c r="B1020" s="13" t="s">
        <v>3046</v>
      </c>
      <c r="C1020" s="29" t="s">
        <v>3047</v>
      </c>
      <c r="D1020" s="13" t="s">
        <v>3048</v>
      </c>
      <c r="E1020" s="24" t="s">
        <v>12</v>
      </c>
      <c r="F1020" s="25">
        <v>35000</v>
      </c>
    </row>
    <row r="1021" spans="2:6">
      <c r="B1021" s="13" t="s">
        <v>3049</v>
      </c>
      <c r="C1021" s="29" t="s">
        <v>3050</v>
      </c>
      <c r="D1021" s="13" t="s">
        <v>3051</v>
      </c>
      <c r="E1021" s="24" t="s">
        <v>12</v>
      </c>
      <c r="F1021" s="25">
        <v>20000</v>
      </c>
    </row>
    <row r="1022" spans="2:6">
      <c r="B1022" s="13" t="s">
        <v>3052</v>
      </c>
      <c r="C1022" s="29" t="s">
        <v>3053</v>
      </c>
      <c r="D1022" s="13" t="s">
        <v>3054</v>
      </c>
      <c r="E1022" s="24" t="s">
        <v>12</v>
      </c>
      <c r="F1022" s="25">
        <v>90000</v>
      </c>
    </row>
    <row r="1023" spans="2:6">
      <c r="B1023" s="13" t="s">
        <v>3055</v>
      </c>
      <c r="C1023" s="29" t="s">
        <v>3056</v>
      </c>
      <c r="D1023" s="13" t="s">
        <v>3057</v>
      </c>
      <c r="E1023" s="24" t="s">
        <v>12</v>
      </c>
      <c r="F1023" s="25">
        <v>25000</v>
      </c>
    </row>
    <row r="1024" spans="2:6">
      <c r="B1024" s="13" t="s">
        <v>3058</v>
      </c>
      <c r="C1024" s="29" t="s">
        <v>3059</v>
      </c>
      <c r="D1024" s="13" t="s">
        <v>3060</v>
      </c>
      <c r="E1024" s="24" t="s">
        <v>1401</v>
      </c>
      <c r="F1024" s="25">
        <v>20000</v>
      </c>
    </row>
    <row r="1025" spans="2:6">
      <c r="B1025" s="13" t="s">
        <v>3061</v>
      </c>
      <c r="C1025" s="23" t="s">
        <v>3062</v>
      </c>
      <c r="D1025" s="13" t="s">
        <v>3063</v>
      </c>
      <c r="E1025" s="24" t="s">
        <v>1401</v>
      </c>
      <c r="F1025" s="25">
        <v>10200</v>
      </c>
    </row>
    <row r="1026" spans="2:6">
      <c r="B1026" s="13" t="s">
        <v>3064</v>
      </c>
      <c r="C1026" s="23" t="s">
        <v>3065</v>
      </c>
      <c r="D1026" s="13" t="s">
        <v>3066</v>
      </c>
      <c r="E1026" s="24" t="s">
        <v>1401</v>
      </c>
      <c r="F1026" s="25">
        <v>125000</v>
      </c>
    </row>
    <row r="1027" spans="2:6">
      <c r="B1027" s="13" t="s">
        <v>3067</v>
      </c>
      <c r="C1027" s="29" t="s">
        <v>3068</v>
      </c>
      <c r="D1027" s="13" t="s">
        <v>3069</v>
      </c>
      <c r="E1027" s="24" t="s">
        <v>1401</v>
      </c>
      <c r="F1027" s="25">
        <v>10585</v>
      </c>
    </row>
    <row r="1028" spans="2:6">
      <c r="B1028" s="13" t="s">
        <v>3070</v>
      </c>
      <c r="C1028" s="23" t="s">
        <v>3071</v>
      </c>
      <c r="D1028" s="13" t="s">
        <v>3072</v>
      </c>
      <c r="E1028" s="24" t="s">
        <v>12</v>
      </c>
      <c r="F1028" s="25">
        <v>495000</v>
      </c>
    </row>
    <row r="1029" spans="2:6">
      <c r="B1029" s="13" t="s">
        <v>3073</v>
      </c>
      <c r="C1029" s="23" t="s">
        <v>3074</v>
      </c>
      <c r="D1029" s="13" t="s">
        <v>3075</v>
      </c>
      <c r="E1029" s="24" t="s">
        <v>12</v>
      </c>
      <c r="F1029" s="25">
        <v>4000</v>
      </c>
    </row>
    <row r="1030" spans="2:6">
      <c r="B1030" s="13" t="s">
        <v>3076</v>
      </c>
      <c r="C1030" s="29" t="s">
        <v>3077</v>
      </c>
      <c r="D1030" s="13" t="s">
        <v>3078</v>
      </c>
      <c r="E1030" s="24" t="s">
        <v>1227</v>
      </c>
      <c r="F1030" s="25">
        <v>6959.9999999999991</v>
      </c>
    </row>
    <row r="1031" spans="2:6">
      <c r="B1031" s="13" t="s">
        <v>3079</v>
      </c>
      <c r="C1031" s="23" t="s">
        <v>3080</v>
      </c>
      <c r="D1031" s="13" t="s">
        <v>3081</v>
      </c>
      <c r="E1031" s="24" t="s">
        <v>1227</v>
      </c>
      <c r="F1031" s="25">
        <v>14500</v>
      </c>
    </row>
    <row r="1032" spans="2:6">
      <c r="B1032" s="13" t="s">
        <v>3082</v>
      </c>
      <c r="C1032" s="23" t="s">
        <v>3083</v>
      </c>
      <c r="D1032" s="13" t="s">
        <v>3084</v>
      </c>
      <c r="E1032" s="24" t="s">
        <v>1227</v>
      </c>
      <c r="F1032" s="25">
        <v>17000</v>
      </c>
    </row>
    <row r="1033" spans="2:6">
      <c r="B1033" s="13" t="s">
        <v>3085</v>
      </c>
      <c r="C1033" s="23" t="s">
        <v>3086</v>
      </c>
      <c r="D1033" s="13" t="s">
        <v>3087</v>
      </c>
      <c r="E1033" s="24" t="s">
        <v>1227</v>
      </c>
      <c r="F1033" s="25">
        <v>20000</v>
      </c>
    </row>
    <row r="1034" spans="2:6">
      <c r="B1034" s="13" t="s">
        <v>3088</v>
      </c>
      <c r="C1034" s="29" t="s">
        <v>3089</v>
      </c>
      <c r="D1034" s="13" t="s">
        <v>3090</v>
      </c>
      <c r="E1034" s="24" t="s">
        <v>1227</v>
      </c>
      <c r="F1034" s="25">
        <v>8500</v>
      </c>
    </row>
    <row r="1035" spans="2:6">
      <c r="B1035" s="13" t="s">
        <v>3091</v>
      </c>
      <c r="C1035" s="29" t="s">
        <v>3092</v>
      </c>
      <c r="D1035" s="13" t="s">
        <v>3093</v>
      </c>
      <c r="E1035" s="24" t="s">
        <v>1227</v>
      </c>
      <c r="F1035" s="25">
        <v>9500</v>
      </c>
    </row>
    <row r="1036" spans="2:6">
      <c r="B1036" s="13" t="s">
        <v>3094</v>
      </c>
      <c r="C1036" s="29" t="s">
        <v>3095</v>
      </c>
      <c r="D1036" s="13" t="s">
        <v>3096</v>
      </c>
      <c r="E1036" s="24" t="s">
        <v>1227</v>
      </c>
      <c r="F1036" s="25">
        <v>11500</v>
      </c>
    </row>
    <row r="1037" spans="2:6">
      <c r="B1037" s="13" t="s">
        <v>3097</v>
      </c>
      <c r="C1037" s="23" t="s">
        <v>3098</v>
      </c>
      <c r="D1037" s="13" t="s">
        <v>3099</v>
      </c>
      <c r="E1037" s="24" t="s">
        <v>12</v>
      </c>
      <c r="F1037" s="25">
        <v>1948.8000000000002</v>
      </c>
    </row>
    <row r="1038" spans="2:6">
      <c r="B1038" s="13" t="s">
        <v>3100</v>
      </c>
      <c r="C1038" s="36" t="s">
        <v>3101</v>
      </c>
      <c r="D1038" s="13" t="s">
        <v>3102</v>
      </c>
      <c r="E1038" s="24" t="s">
        <v>12</v>
      </c>
      <c r="F1038" s="25">
        <v>1411.2</v>
      </c>
    </row>
    <row r="1039" spans="2:6">
      <c r="B1039" s="13" t="s">
        <v>3103</v>
      </c>
      <c r="C1039" s="23" t="s">
        <v>3104</v>
      </c>
      <c r="D1039" s="13" t="s">
        <v>3105</v>
      </c>
      <c r="E1039" s="24" t="s">
        <v>12</v>
      </c>
      <c r="F1039" s="25">
        <v>2966.12</v>
      </c>
    </row>
    <row r="1040" spans="2:6">
      <c r="B1040" s="13" t="s">
        <v>3106</v>
      </c>
      <c r="C1040" s="23" t="s">
        <v>3107</v>
      </c>
      <c r="D1040" s="13" t="s">
        <v>3108</v>
      </c>
      <c r="E1040" s="24" t="s">
        <v>12</v>
      </c>
      <c r="F1040" s="25">
        <v>12500</v>
      </c>
    </row>
    <row r="1041" spans="2:6">
      <c r="B1041" s="13" t="s">
        <v>3109</v>
      </c>
      <c r="C1041" s="23" t="s">
        <v>3110</v>
      </c>
      <c r="D1041" s="13" t="s">
        <v>3111</v>
      </c>
      <c r="E1041" s="24" t="s">
        <v>12</v>
      </c>
      <c r="F1041" s="25">
        <v>40300</v>
      </c>
    </row>
    <row r="1042" spans="2:6">
      <c r="B1042" s="13" t="s">
        <v>3112</v>
      </c>
      <c r="C1042" s="23" t="s">
        <v>3113</v>
      </c>
      <c r="D1042" s="13" t="s">
        <v>3114</v>
      </c>
      <c r="E1042" s="24" t="s">
        <v>12</v>
      </c>
      <c r="F1042" s="25">
        <v>52585</v>
      </c>
    </row>
    <row r="1043" spans="2:6">
      <c r="B1043" s="13" t="s">
        <v>3115</v>
      </c>
      <c r="C1043" s="23" t="s">
        <v>3116</v>
      </c>
      <c r="D1043" s="13" t="s">
        <v>3117</v>
      </c>
      <c r="E1043" s="24" t="s">
        <v>12</v>
      </c>
      <c r="F1043" s="25">
        <v>800</v>
      </c>
    </row>
    <row r="1044" spans="2:6">
      <c r="B1044" s="13" t="s">
        <v>3118</v>
      </c>
      <c r="C1044" s="23" t="s">
        <v>3119</v>
      </c>
      <c r="D1044" s="13" t="s">
        <v>3120</v>
      </c>
      <c r="E1044" s="24" t="s">
        <v>12</v>
      </c>
      <c r="F1044" s="25">
        <v>1500</v>
      </c>
    </row>
    <row r="1045" spans="2:6" ht="25.5">
      <c r="B1045" s="13" t="s">
        <v>3121</v>
      </c>
      <c r="C1045" s="29" t="s">
        <v>3122</v>
      </c>
      <c r="D1045" s="13" t="s">
        <v>3123</v>
      </c>
      <c r="E1045" s="24" t="s">
        <v>170</v>
      </c>
      <c r="F1045" s="25">
        <v>45000</v>
      </c>
    </row>
    <row r="1046" spans="2:6">
      <c r="B1046" s="13" t="s">
        <v>3124</v>
      </c>
      <c r="C1046" s="23" t="s">
        <v>3125</v>
      </c>
      <c r="D1046" s="13" t="s">
        <v>3126</v>
      </c>
      <c r="E1046" s="24" t="s">
        <v>12</v>
      </c>
      <c r="F1046" s="25">
        <v>980</v>
      </c>
    </row>
    <row r="1047" spans="2:6">
      <c r="B1047" s="13" t="s">
        <v>3127</v>
      </c>
      <c r="C1047" s="23" t="s">
        <v>3128</v>
      </c>
      <c r="D1047" s="13" t="s">
        <v>3129</v>
      </c>
      <c r="E1047" s="24" t="s">
        <v>12</v>
      </c>
      <c r="F1047" s="25">
        <v>650</v>
      </c>
    </row>
    <row r="1048" spans="2:6">
      <c r="B1048" s="13" t="s">
        <v>3130</v>
      </c>
      <c r="C1048" s="23" t="s">
        <v>3131</v>
      </c>
      <c r="D1048" s="13" t="s">
        <v>3132</v>
      </c>
      <c r="E1048" s="24" t="s">
        <v>12</v>
      </c>
      <c r="F1048" s="25">
        <v>4176</v>
      </c>
    </row>
    <row r="1049" spans="2:6">
      <c r="B1049" s="13" t="s">
        <v>3133</v>
      </c>
      <c r="C1049" s="31" t="s">
        <v>3134</v>
      </c>
      <c r="D1049" s="13" t="s">
        <v>3135</v>
      </c>
      <c r="E1049" s="24" t="s">
        <v>12</v>
      </c>
      <c r="F1049" s="25">
        <v>0</v>
      </c>
    </row>
    <row r="1050" spans="2:6">
      <c r="B1050" s="13" t="s">
        <v>3136</v>
      </c>
      <c r="C1050" s="31" t="s">
        <v>3137</v>
      </c>
      <c r="D1050" s="13" t="s">
        <v>3138</v>
      </c>
      <c r="E1050" s="24" t="s">
        <v>12</v>
      </c>
      <c r="F1050" s="25">
        <v>8192499.9999999991</v>
      </c>
    </row>
    <row r="1051" spans="2:6">
      <c r="B1051" s="13" t="s">
        <v>3139</v>
      </c>
      <c r="C1051" s="23" t="s">
        <v>3140</v>
      </c>
      <c r="D1051" s="13" t="s">
        <v>3141</v>
      </c>
      <c r="E1051" s="24" t="s">
        <v>12</v>
      </c>
      <c r="F1051" s="25">
        <v>132000</v>
      </c>
    </row>
    <row r="1052" spans="2:6">
      <c r="B1052" s="13" t="s">
        <v>3142</v>
      </c>
      <c r="C1052" s="23" t="s">
        <v>3143</v>
      </c>
      <c r="D1052" s="13" t="s">
        <v>3144</v>
      </c>
      <c r="E1052" s="24" t="s">
        <v>12</v>
      </c>
      <c r="F1052" s="25">
        <v>160050</v>
      </c>
    </row>
    <row r="1053" spans="2:6">
      <c r="B1053" s="13" t="s">
        <v>3145</v>
      </c>
      <c r="C1053" s="23" t="s">
        <v>3146</v>
      </c>
      <c r="D1053" s="13" t="s">
        <v>3147</v>
      </c>
      <c r="E1053" s="24" t="s">
        <v>12</v>
      </c>
      <c r="F1053" s="25">
        <v>188100.00000000003</v>
      </c>
    </row>
    <row r="1054" spans="2:6">
      <c r="B1054" s="13" t="s">
        <v>3148</v>
      </c>
      <c r="C1054" s="23" t="s">
        <v>3149</v>
      </c>
      <c r="D1054" s="13" t="s">
        <v>3150</v>
      </c>
      <c r="E1054" s="24" t="s">
        <v>12</v>
      </c>
      <c r="F1054" s="25">
        <v>235950.00000000003</v>
      </c>
    </row>
    <row r="1055" spans="2:6">
      <c r="B1055" s="13" t="s">
        <v>3151</v>
      </c>
      <c r="C1055" s="23" t="s">
        <v>3152</v>
      </c>
      <c r="D1055" s="13" t="s">
        <v>3153</v>
      </c>
      <c r="E1055" s="24" t="s">
        <v>12</v>
      </c>
      <c r="F1055" s="25">
        <v>250250.00000000003</v>
      </c>
    </row>
    <row r="1056" spans="2:6">
      <c r="B1056" s="13" t="s">
        <v>3154</v>
      </c>
      <c r="C1056" s="23" t="s">
        <v>3155</v>
      </c>
      <c r="D1056" s="13" t="s">
        <v>3156</v>
      </c>
      <c r="E1056" s="24" t="s">
        <v>12</v>
      </c>
      <c r="F1056" s="25">
        <v>286550</v>
      </c>
    </row>
    <row r="1057" spans="2:6">
      <c r="B1057" s="13" t="s">
        <v>3157</v>
      </c>
      <c r="C1057" s="23" t="s">
        <v>3158</v>
      </c>
      <c r="D1057" s="13" t="s">
        <v>3159</v>
      </c>
      <c r="E1057" s="24" t="s">
        <v>12</v>
      </c>
      <c r="F1057" s="25">
        <v>224400.00000000003</v>
      </c>
    </row>
    <row r="1058" spans="2:6">
      <c r="B1058" s="13" t="s">
        <v>3160</v>
      </c>
      <c r="C1058" s="23" t="s">
        <v>3161</v>
      </c>
      <c r="D1058" s="13" t="s">
        <v>3162</v>
      </c>
      <c r="E1058" s="24" t="s">
        <v>12</v>
      </c>
      <c r="F1058" s="25">
        <v>277750</v>
      </c>
    </row>
    <row r="1059" spans="2:6">
      <c r="B1059" s="13" t="s">
        <v>3163</v>
      </c>
      <c r="C1059" s="23" t="s">
        <v>3164</v>
      </c>
      <c r="D1059" s="13" t="s">
        <v>3165</v>
      </c>
      <c r="E1059" s="24" t="s">
        <v>12</v>
      </c>
      <c r="F1059" s="25">
        <v>308000</v>
      </c>
    </row>
    <row r="1060" spans="2:6">
      <c r="B1060" s="13" t="s">
        <v>3166</v>
      </c>
      <c r="C1060" s="23" t="s">
        <v>3167</v>
      </c>
      <c r="D1060" s="13" t="s">
        <v>3168</v>
      </c>
      <c r="E1060" s="24" t="s">
        <v>12</v>
      </c>
      <c r="F1060" s="25">
        <v>365200.00000000006</v>
      </c>
    </row>
    <row r="1061" spans="2:6">
      <c r="B1061" s="13" t="s">
        <v>3169</v>
      </c>
      <c r="C1061" s="23" t="s">
        <v>3170</v>
      </c>
      <c r="D1061" s="13" t="s">
        <v>3171</v>
      </c>
      <c r="E1061" s="24" t="s">
        <v>12</v>
      </c>
      <c r="F1061" s="25">
        <v>378400.00000000006</v>
      </c>
    </row>
    <row r="1062" spans="2:6">
      <c r="B1062" s="13" t="s">
        <v>3172</v>
      </c>
      <c r="C1062" s="23" t="s">
        <v>3173</v>
      </c>
      <c r="D1062" s="13" t="s">
        <v>3174</v>
      </c>
      <c r="E1062" s="24" t="s">
        <v>12</v>
      </c>
      <c r="F1062" s="25">
        <v>413600.00000000006</v>
      </c>
    </row>
    <row r="1063" spans="2:6">
      <c r="B1063" s="13" t="s">
        <v>3175</v>
      </c>
      <c r="C1063" s="23" t="s">
        <v>3176</v>
      </c>
      <c r="D1063" s="13" t="s">
        <v>3177</v>
      </c>
      <c r="E1063" s="24" t="s">
        <v>12</v>
      </c>
      <c r="F1063" s="25">
        <v>25000</v>
      </c>
    </row>
    <row r="1064" spans="2:6">
      <c r="B1064" s="13" t="s">
        <v>3178</v>
      </c>
      <c r="C1064" s="23" t="s">
        <v>3179</v>
      </c>
      <c r="D1064" s="13" t="s">
        <v>3180</v>
      </c>
      <c r="E1064" s="24" t="s">
        <v>12</v>
      </c>
      <c r="F1064" s="25">
        <v>3000</v>
      </c>
    </row>
    <row r="1065" spans="2:6">
      <c r="B1065" s="13" t="s">
        <v>3181</v>
      </c>
      <c r="C1065" s="23" t="s">
        <v>3182</v>
      </c>
      <c r="D1065" s="13" t="s">
        <v>3183</v>
      </c>
      <c r="E1065" s="24" t="s">
        <v>12</v>
      </c>
      <c r="F1065" s="25">
        <v>1300</v>
      </c>
    </row>
    <row r="1066" spans="2:6">
      <c r="B1066" s="13" t="s">
        <v>3184</v>
      </c>
      <c r="C1066" s="23" t="s">
        <v>3185</v>
      </c>
      <c r="D1066" s="13" t="s">
        <v>3186</v>
      </c>
      <c r="E1066" s="24" t="s">
        <v>12</v>
      </c>
      <c r="F1066" s="25">
        <v>2600</v>
      </c>
    </row>
    <row r="1067" spans="2:6">
      <c r="B1067" s="13" t="s">
        <v>3187</v>
      </c>
      <c r="C1067" s="37" t="s">
        <v>3188</v>
      </c>
      <c r="D1067" s="13" t="s">
        <v>3189</v>
      </c>
      <c r="E1067" s="24" t="s">
        <v>12</v>
      </c>
      <c r="F1067" s="25">
        <v>8109.5599999999995</v>
      </c>
    </row>
    <row r="1068" spans="2:6">
      <c r="B1068" s="13" t="s">
        <v>3190</v>
      </c>
      <c r="C1068" s="23" t="s">
        <v>3191</v>
      </c>
      <c r="D1068" s="13" t="s">
        <v>3192</v>
      </c>
      <c r="E1068" s="24" t="s">
        <v>12</v>
      </c>
      <c r="F1068" s="25">
        <v>812</v>
      </c>
    </row>
    <row r="1069" spans="2:6">
      <c r="B1069" s="13" t="s">
        <v>3193</v>
      </c>
      <c r="C1069" s="23" t="s">
        <v>3194</v>
      </c>
      <c r="D1069" s="13" t="s">
        <v>3195</v>
      </c>
      <c r="E1069" s="24" t="s">
        <v>12</v>
      </c>
      <c r="F1069" s="25">
        <v>2436</v>
      </c>
    </row>
    <row r="1070" spans="2:6">
      <c r="B1070" s="13" t="s">
        <v>3196</v>
      </c>
      <c r="C1070" s="23" t="s">
        <v>3197</v>
      </c>
      <c r="D1070" s="13" t="s">
        <v>3198</v>
      </c>
      <c r="E1070" s="24" t="s">
        <v>12</v>
      </c>
      <c r="F1070" s="25">
        <v>1190</v>
      </c>
    </row>
    <row r="1071" spans="2:6">
      <c r="B1071" s="13" t="s">
        <v>3199</v>
      </c>
      <c r="C1071" s="31" t="s">
        <v>3200</v>
      </c>
      <c r="D1071" s="13" t="s">
        <v>3201</v>
      </c>
      <c r="E1071" s="24" t="s">
        <v>12</v>
      </c>
      <c r="F1071" s="25">
        <v>16216.8</v>
      </c>
    </row>
    <row r="1072" spans="2:6">
      <c r="B1072" s="13" t="s">
        <v>3202</v>
      </c>
      <c r="C1072" s="23" t="s">
        <v>3203</v>
      </c>
      <c r="D1072" s="13" t="s">
        <v>3204</v>
      </c>
      <c r="E1072" s="24" t="s">
        <v>12</v>
      </c>
      <c r="F1072" s="25">
        <v>22391.48</v>
      </c>
    </row>
    <row r="1073" spans="2:6">
      <c r="B1073" s="13" t="s">
        <v>3205</v>
      </c>
      <c r="C1073" s="23" t="s">
        <v>3206</v>
      </c>
      <c r="D1073" s="13" t="s">
        <v>3207</v>
      </c>
      <c r="E1073" s="24" t="s">
        <v>12</v>
      </c>
      <c r="F1073" s="25">
        <v>33971.189999999995</v>
      </c>
    </row>
    <row r="1074" spans="2:6">
      <c r="B1074" s="13" t="s">
        <v>3208</v>
      </c>
      <c r="C1074" s="23" t="s">
        <v>3209</v>
      </c>
      <c r="D1074" s="13" t="s">
        <v>3210</v>
      </c>
      <c r="E1074" s="24" t="s">
        <v>12</v>
      </c>
      <c r="F1074" s="25">
        <v>50273.24</v>
      </c>
    </row>
    <row r="1075" spans="2:6">
      <c r="B1075" s="13" t="s">
        <v>3211</v>
      </c>
      <c r="C1075" s="23" t="s">
        <v>3212</v>
      </c>
      <c r="D1075" s="13" t="s">
        <v>3213</v>
      </c>
      <c r="E1075" s="24" t="s">
        <v>12</v>
      </c>
      <c r="F1075" s="25">
        <v>65442.559999999998</v>
      </c>
    </row>
    <row r="1076" spans="2:6">
      <c r="B1076" s="13" t="s">
        <v>3214</v>
      </c>
      <c r="C1076" s="23" t="s">
        <v>3215</v>
      </c>
      <c r="D1076" s="13" t="s">
        <v>3216</v>
      </c>
      <c r="E1076" s="24" t="s">
        <v>12</v>
      </c>
      <c r="F1076" s="25">
        <v>24932.600000000002</v>
      </c>
    </row>
    <row r="1077" spans="2:6">
      <c r="B1077" s="13" t="s">
        <v>3217</v>
      </c>
      <c r="C1077" s="23" t="s">
        <v>3218</v>
      </c>
      <c r="D1077" s="13" t="s">
        <v>3219</v>
      </c>
      <c r="E1077" s="24" t="s">
        <v>12</v>
      </c>
      <c r="F1077" s="25">
        <v>32774.5</v>
      </c>
    </row>
    <row r="1078" spans="2:6">
      <c r="B1078" s="13" t="s">
        <v>3220</v>
      </c>
      <c r="C1078" s="23" t="s">
        <v>3221</v>
      </c>
      <c r="D1078" s="13" t="s">
        <v>3222</v>
      </c>
      <c r="E1078" s="24" t="s">
        <v>12</v>
      </c>
      <c r="F1078" s="25">
        <v>41657</v>
      </c>
    </row>
    <row r="1079" spans="2:6">
      <c r="B1079" s="13" t="s">
        <v>3223</v>
      </c>
      <c r="C1079" s="23" t="s">
        <v>3224</v>
      </c>
      <c r="D1079" s="13" t="s">
        <v>3225</v>
      </c>
      <c r="E1079" s="24" t="s">
        <v>12</v>
      </c>
      <c r="F1079" s="25">
        <v>52169.700000000004</v>
      </c>
    </row>
    <row r="1080" spans="2:6">
      <c r="B1080" s="13" t="s">
        <v>3226</v>
      </c>
      <c r="C1080" s="23" t="s">
        <v>3227</v>
      </c>
      <c r="D1080" s="13" t="s">
        <v>3228</v>
      </c>
      <c r="E1080" s="24" t="s">
        <v>12</v>
      </c>
      <c r="F1080" s="25">
        <v>32547.9</v>
      </c>
    </row>
    <row r="1081" spans="2:6">
      <c r="B1081" s="13" t="s">
        <v>3229</v>
      </c>
      <c r="C1081" s="23" t="s">
        <v>3230</v>
      </c>
      <c r="D1081" s="13" t="s">
        <v>3231</v>
      </c>
      <c r="E1081" s="24" t="s">
        <v>12</v>
      </c>
      <c r="F1081" s="25">
        <v>15015.000000000002</v>
      </c>
    </row>
    <row r="1082" spans="2:6">
      <c r="B1082" s="13" t="s">
        <v>3232</v>
      </c>
      <c r="C1082" s="23" t="s">
        <v>3233</v>
      </c>
      <c r="D1082" s="13" t="s">
        <v>3234</v>
      </c>
      <c r="E1082" s="24" t="s">
        <v>12</v>
      </c>
      <c r="F1082" s="25">
        <v>22695.200000000001</v>
      </c>
    </row>
    <row r="1083" spans="2:6">
      <c r="B1083" s="13" t="s">
        <v>3235</v>
      </c>
      <c r="C1083" s="23" t="s">
        <v>3236</v>
      </c>
      <c r="D1083" s="13" t="s">
        <v>3237</v>
      </c>
      <c r="E1083" s="24" t="s">
        <v>12</v>
      </c>
      <c r="F1083" s="25">
        <v>43763.5</v>
      </c>
    </row>
    <row r="1084" spans="2:6">
      <c r="B1084" s="13" t="s">
        <v>3238</v>
      </c>
      <c r="C1084" s="23" t="s">
        <v>3239</v>
      </c>
      <c r="D1084" s="13" t="s">
        <v>3240</v>
      </c>
      <c r="E1084" s="24" t="s">
        <v>12</v>
      </c>
      <c r="F1084" s="25">
        <v>5967.5000000000009</v>
      </c>
    </row>
    <row r="1085" spans="2:6">
      <c r="B1085" s="13" t="s">
        <v>3241</v>
      </c>
      <c r="C1085" s="23" t="s">
        <v>3242</v>
      </c>
      <c r="D1085" s="13" t="s">
        <v>3243</v>
      </c>
      <c r="E1085" s="24" t="s">
        <v>12</v>
      </c>
      <c r="F1085" s="25">
        <v>10244.300000000001</v>
      </c>
    </row>
    <row r="1086" spans="2:6">
      <c r="B1086" s="13" t="s">
        <v>3244</v>
      </c>
      <c r="C1086" s="23" t="s">
        <v>3245</v>
      </c>
      <c r="D1086" s="13" t="s">
        <v>3246</v>
      </c>
      <c r="E1086" s="24" t="s">
        <v>12</v>
      </c>
      <c r="F1086" s="25">
        <v>14516.7</v>
      </c>
    </row>
    <row r="1087" spans="2:6">
      <c r="B1087" s="13" t="s">
        <v>3247</v>
      </c>
      <c r="C1087" s="23" t="s">
        <v>3248</v>
      </c>
      <c r="D1087" s="13" t="s">
        <v>3249</v>
      </c>
      <c r="E1087" s="24" t="s">
        <v>12</v>
      </c>
      <c r="F1087" s="25">
        <v>18824.300000000003</v>
      </c>
    </row>
    <row r="1088" spans="2:6">
      <c r="B1088" s="13" t="s">
        <v>3250</v>
      </c>
      <c r="C1088" s="23" t="s">
        <v>3251</v>
      </c>
      <c r="D1088" s="13" t="s">
        <v>3252</v>
      </c>
      <c r="E1088" s="24" t="s">
        <v>12</v>
      </c>
      <c r="F1088" s="25">
        <v>15766.300000000001</v>
      </c>
    </row>
    <row r="1089" spans="2:6">
      <c r="B1089" s="13" t="s">
        <v>3253</v>
      </c>
      <c r="C1089" s="23" t="s">
        <v>3254</v>
      </c>
      <c r="D1089" s="13" t="s">
        <v>3255</v>
      </c>
      <c r="E1089" s="24" t="s">
        <v>12</v>
      </c>
      <c r="F1089" s="25">
        <v>22262.9</v>
      </c>
    </row>
    <row r="1090" spans="2:6">
      <c r="B1090" s="13" t="s">
        <v>3256</v>
      </c>
      <c r="C1090" s="23" t="s">
        <v>3257</v>
      </c>
      <c r="D1090" s="13" t="s">
        <v>3258</v>
      </c>
      <c r="E1090" s="24" t="s">
        <v>12</v>
      </c>
      <c r="F1090" s="25">
        <v>29745.100000000002</v>
      </c>
    </row>
    <row r="1091" spans="2:6">
      <c r="B1091" s="13" t="s">
        <v>3259</v>
      </c>
      <c r="C1091" s="23" t="s">
        <v>3260</v>
      </c>
      <c r="D1091" s="13" t="s">
        <v>3261</v>
      </c>
      <c r="E1091" s="24" t="s">
        <v>12</v>
      </c>
      <c r="F1091" s="25">
        <v>38530.800000000003</v>
      </c>
    </row>
    <row r="1092" spans="2:6">
      <c r="B1092" s="13" t="s">
        <v>3262</v>
      </c>
      <c r="C1092" s="23" t="s">
        <v>3263</v>
      </c>
      <c r="D1092" s="13" t="s">
        <v>3264</v>
      </c>
      <c r="E1092" s="24" t="s">
        <v>12</v>
      </c>
      <c r="F1092" s="25">
        <v>1260</v>
      </c>
    </row>
    <row r="1093" spans="2:6">
      <c r="B1093" s="13" t="s">
        <v>3265</v>
      </c>
      <c r="C1093" s="29" t="s">
        <v>3266</v>
      </c>
      <c r="D1093" s="13" t="s">
        <v>3267</v>
      </c>
      <c r="E1093" s="24" t="s">
        <v>12</v>
      </c>
      <c r="F1093" s="25">
        <v>17290</v>
      </c>
    </row>
    <row r="1094" spans="2:6">
      <c r="B1094" s="13" t="s">
        <v>3268</v>
      </c>
      <c r="C1094" s="23" t="s">
        <v>3269</v>
      </c>
      <c r="D1094" s="13" t="s">
        <v>3270</v>
      </c>
      <c r="E1094" s="24" t="s">
        <v>12</v>
      </c>
      <c r="F1094" s="25">
        <v>12162.599999999999</v>
      </c>
    </row>
    <row r="1095" spans="2:6">
      <c r="B1095" s="13" t="s">
        <v>3271</v>
      </c>
      <c r="C1095" s="23" t="s">
        <v>3272</v>
      </c>
      <c r="D1095" s="13" t="s">
        <v>3273</v>
      </c>
      <c r="E1095" s="24" t="s">
        <v>12</v>
      </c>
      <c r="F1095" s="25">
        <v>15889.999999999998</v>
      </c>
    </row>
    <row r="1096" spans="2:6">
      <c r="B1096" s="13" t="s">
        <v>3274</v>
      </c>
      <c r="C1096" s="31" t="s">
        <v>3275</v>
      </c>
      <c r="D1096" s="13" t="s">
        <v>3276</v>
      </c>
      <c r="E1096" s="24" t="s">
        <v>12</v>
      </c>
      <c r="F1096" s="25">
        <v>3696.0000000000009</v>
      </c>
    </row>
    <row r="1097" spans="2:6">
      <c r="B1097" s="13" t="s">
        <v>3277</v>
      </c>
      <c r="C1097" s="37" t="s">
        <v>3278</v>
      </c>
      <c r="D1097" s="13" t="s">
        <v>3279</v>
      </c>
      <c r="E1097" s="24" t="s">
        <v>12</v>
      </c>
      <c r="F1097" s="25">
        <v>3011.3599999999997</v>
      </c>
    </row>
    <row r="1098" spans="2:6">
      <c r="B1098" s="13" t="s">
        <v>3280</v>
      </c>
      <c r="C1098" s="37" t="s">
        <v>3281</v>
      </c>
      <c r="D1098" s="13" t="s">
        <v>3282</v>
      </c>
      <c r="E1098" s="24" t="s">
        <v>12</v>
      </c>
      <c r="F1098" s="25">
        <v>3011.3599999999997</v>
      </c>
    </row>
    <row r="1099" spans="2:6">
      <c r="B1099" s="13" t="s">
        <v>3283</v>
      </c>
      <c r="C1099" s="37" t="s">
        <v>3284</v>
      </c>
      <c r="D1099" s="13" t="s">
        <v>3285</v>
      </c>
      <c r="E1099" s="24" t="s">
        <v>12</v>
      </c>
      <c r="F1099" s="25">
        <v>3011.3599999999997</v>
      </c>
    </row>
    <row r="1100" spans="2:6">
      <c r="B1100" s="13" t="s">
        <v>3286</v>
      </c>
      <c r="C1100" s="37" t="s">
        <v>3287</v>
      </c>
      <c r="D1100" s="13" t="s">
        <v>3288</v>
      </c>
      <c r="E1100" s="24" t="s">
        <v>12</v>
      </c>
      <c r="F1100" s="25">
        <v>3011.3599999999997</v>
      </c>
    </row>
    <row r="1101" spans="2:6">
      <c r="B1101" s="13" t="s">
        <v>3289</v>
      </c>
      <c r="C1101" s="23" t="s">
        <v>3290</v>
      </c>
      <c r="D1101" s="13" t="s">
        <v>3291</v>
      </c>
      <c r="E1101" s="24" t="s">
        <v>12</v>
      </c>
      <c r="F1101" s="25">
        <v>695</v>
      </c>
    </row>
    <row r="1102" spans="2:6">
      <c r="B1102" s="13" t="s">
        <v>3292</v>
      </c>
      <c r="C1102" s="23" t="s">
        <v>3293</v>
      </c>
      <c r="D1102" s="13" t="s">
        <v>3294</v>
      </c>
      <c r="E1102" s="24" t="s">
        <v>12</v>
      </c>
      <c r="F1102" s="25">
        <v>11991.56</v>
      </c>
    </row>
    <row r="1103" spans="2:6">
      <c r="B1103" s="13" t="s">
        <v>3295</v>
      </c>
      <c r="C1103" s="23" t="s">
        <v>3296</v>
      </c>
      <c r="D1103" s="13" t="s">
        <v>3297</v>
      </c>
      <c r="E1103" s="24" t="s">
        <v>12</v>
      </c>
      <c r="F1103" s="25">
        <v>46157.100000000006</v>
      </c>
    </row>
    <row r="1104" spans="2:6">
      <c r="B1104" s="13" t="s">
        <v>3298</v>
      </c>
      <c r="C1104" s="23" t="s">
        <v>3299</v>
      </c>
      <c r="D1104" s="13" t="s">
        <v>3300</v>
      </c>
      <c r="E1104" s="24" t="s">
        <v>12</v>
      </c>
      <c r="F1104" s="25">
        <v>50847.500000000007</v>
      </c>
    </row>
    <row r="1105" spans="2:6">
      <c r="B1105" s="13" t="s">
        <v>3301</v>
      </c>
      <c r="C1105" s="23" t="s">
        <v>3302</v>
      </c>
      <c r="D1105" s="13" t="s">
        <v>3303</v>
      </c>
      <c r="E1105" s="24" t="s">
        <v>12</v>
      </c>
      <c r="F1105" s="25">
        <v>41497.839999999997</v>
      </c>
    </row>
    <row r="1106" spans="2:6">
      <c r="B1106" s="13" t="s">
        <v>3304</v>
      </c>
      <c r="C1106" s="30" t="s">
        <v>3305</v>
      </c>
      <c r="D1106" s="13" t="s">
        <v>3306</v>
      </c>
      <c r="E1106" s="24" t="s">
        <v>12</v>
      </c>
      <c r="F1106" s="25">
        <v>250000</v>
      </c>
    </row>
    <row r="1107" spans="2:6">
      <c r="B1107" s="13" t="s">
        <v>3307</v>
      </c>
      <c r="C1107" s="23" t="s">
        <v>3308</v>
      </c>
      <c r="D1107" s="13" t="s">
        <v>3309</v>
      </c>
      <c r="E1107" s="24" t="s">
        <v>12</v>
      </c>
      <c r="F1107" s="25">
        <v>5900</v>
      </c>
    </row>
    <row r="1108" spans="2:6">
      <c r="B1108" s="13" t="s">
        <v>3310</v>
      </c>
      <c r="C1108" s="23" t="s">
        <v>3311</v>
      </c>
      <c r="D1108" s="13" t="s">
        <v>3312</v>
      </c>
      <c r="E1108" s="24" t="s">
        <v>12</v>
      </c>
      <c r="F1108" s="25">
        <v>1450</v>
      </c>
    </row>
    <row r="1109" spans="2:6">
      <c r="B1109" s="13" t="s">
        <v>3313</v>
      </c>
      <c r="C1109" s="23" t="s">
        <v>3314</v>
      </c>
      <c r="D1109" s="13" t="s">
        <v>3315</v>
      </c>
      <c r="E1109" s="24" t="s">
        <v>12</v>
      </c>
      <c r="F1109" s="25">
        <v>2500</v>
      </c>
    </row>
    <row r="1110" spans="2:6">
      <c r="B1110" s="13" t="s">
        <v>3316</v>
      </c>
      <c r="C1110" s="23" t="s">
        <v>3317</v>
      </c>
      <c r="D1110" s="13" t="s">
        <v>3318</v>
      </c>
      <c r="E1110" s="24" t="s">
        <v>12</v>
      </c>
      <c r="F1110" s="25">
        <v>2900</v>
      </c>
    </row>
    <row r="1111" spans="2:6">
      <c r="B1111" s="13" t="s">
        <v>3319</v>
      </c>
      <c r="C1111" s="23" t="s">
        <v>3320</v>
      </c>
      <c r="D1111" s="13" t="s">
        <v>3321</v>
      </c>
      <c r="E1111" s="24" t="s">
        <v>12</v>
      </c>
      <c r="F1111" s="25">
        <v>54772.3</v>
      </c>
    </row>
    <row r="1112" spans="2:6">
      <c r="B1112" s="13" t="s">
        <v>3322</v>
      </c>
      <c r="C1112" s="23" t="s">
        <v>3323</v>
      </c>
      <c r="D1112" s="13" t="s">
        <v>3324</v>
      </c>
      <c r="E1112" s="24" t="s">
        <v>12</v>
      </c>
      <c r="F1112" s="25">
        <v>1624</v>
      </c>
    </row>
    <row r="1113" spans="2:6">
      <c r="B1113" s="13" t="s">
        <v>3325</v>
      </c>
      <c r="C1113" s="23" t="s">
        <v>3326</v>
      </c>
      <c r="D1113" s="13" t="s">
        <v>3327</v>
      </c>
      <c r="E1113" s="24" t="s">
        <v>12</v>
      </c>
      <c r="F1113" s="25">
        <v>1948.8</v>
      </c>
    </row>
    <row r="1114" spans="2:6">
      <c r="B1114" s="13" t="s">
        <v>3328</v>
      </c>
      <c r="C1114" s="23" t="s">
        <v>3329</v>
      </c>
      <c r="D1114" s="13" t="s">
        <v>3330</v>
      </c>
      <c r="E1114" s="24" t="s">
        <v>12</v>
      </c>
      <c r="F1114" s="25">
        <v>2159.1079999999997</v>
      </c>
    </row>
    <row r="1115" spans="2:6">
      <c r="B1115" s="13" t="s">
        <v>3331</v>
      </c>
      <c r="C1115" s="23" t="s">
        <v>3332</v>
      </c>
      <c r="D1115" s="13" t="s">
        <v>3333</v>
      </c>
      <c r="E1115" s="24" t="s">
        <v>12</v>
      </c>
      <c r="F1115" s="25">
        <v>1218</v>
      </c>
    </row>
    <row r="1116" spans="2:6" ht="25.5">
      <c r="B1116" s="13" t="s">
        <v>3334</v>
      </c>
      <c r="C1116" s="23" t="s">
        <v>3335</v>
      </c>
      <c r="D1116" s="13" t="s">
        <v>3336</v>
      </c>
      <c r="E1116" s="24" t="s">
        <v>12</v>
      </c>
      <c r="F1116" s="25">
        <v>5692.5000000000009</v>
      </c>
    </row>
    <row r="1117" spans="2:6" ht="25.5">
      <c r="B1117" s="13" t="s">
        <v>3337</v>
      </c>
      <c r="C1117" s="23" t="s">
        <v>3338</v>
      </c>
      <c r="D1117" s="13" t="s">
        <v>3339</v>
      </c>
      <c r="E1117" s="24" t="s">
        <v>12</v>
      </c>
      <c r="F1117" s="25">
        <v>2035.0000000000002</v>
      </c>
    </row>
    <row r="1118" spans="2:6" ht="25.5">
      <c r="B1118" s="13" t="s">
        <v>3340</v>
      </c>
      <c r="C1118" s="23" t="s">
        <v>3341</v>
      </c>
      <c r="D1118" s="13" t="s">
        <v>3342</v>
      </c>
      <c r="E1118" s="24" t="s">
        <v>12</v>
      </c>
      <c r="F1118" s="25">
        <v>600</v>
      </c>
    </row>
    <row r="1119" spans="2:6">
      <c r="B1119" s="13" t="s">
        <v>3343</v>
      </c>
      <c r="C1119" s="23" t="s">
        <v>3344</v>
      </c>
      <c r="D1119" s="13" t="s">
        <v>3345</v>
      </c>
      <c r="E1119" s="24" t="s">
        <v>12</v>
      </c>
      <c r="F1119" s="25">
        <v>3283.5000000000005</v>
      </c>
    </row>
    <row r="1120" spans="2:6">
      <c r="B1120" s="13" t="s">
        <v>3346</v>
      </c>
      <c r="C1120" s="23" t="s">
        <v>3347</v>
      </c>
      <c r="D1120" s="13" t="s">
        <v>3348</v>
      </c>
      <c r="E1120" s="24" t="s">
        <v>12</v>
      </c>
      <c r="F1120" s="25">
        <v>6056.6</v>
      </c>
    </row>
    <row r="1121" spans="2:6">
      <c r="B1121" s="13" t="s">
        <v>3349</v>
      </c>
      <c r="C1121" s="31" t="s">
        <v>3350</v>
      </c>
      <c r="D1121" s="13" t="s">
        <v>3351</v>
      </c>
      <c r="E1121" s="24" t="s">
        <v>12</v>
      </c>
      <c r="F1121" s="25">
        <v>425.02399999999994</v>
      </c>
    </row>
    <row r="1122" spans="2:6">
      <c r="B1122" s="13" t="s">
        <v>3352</v>
      </c>
      <c r="C1122" s="23" t="s">
        <v>3353</v>
      </c>
      <c r="D1122" s="13" t="s">
        <v>3354</v>
      </c>
      <c r="E1122" s="24" t="s">
        <v>12</v>
      </c>
      <c r="F1122" s="25">
        <v>4675</v>
      </c>
    </row>
    <row r="1123" spans="2:6">
      <c r="B1123" s="13" t="s">
        <v>3355</v>
      </c>
      <c r="C1123" s="31" t="s">
        <v>3356</v>
      </c>
      <c r="D1123" s="13" t="s">
        <v>3357</v>
      </c>
      <c r="E1123" s="24" t="s">
        <v>12</v>
      </c>
      <c r="F1123" s="25">
        <v>17145.095000000001</v>
      </c>
    </row>
    <row r="1124" spans="2:6">
      <c r="B1124" s="13" t="s">
        <v>3358</v>
      </c>
      <c r="C1124" s="36" t="s">
        <v>3359</v>
      </c>
      <c r="D1124" s="13" t="s">
        <v>3360</v>
      </c>
      <c r="E1124" s="24" t="s">
        <v>12</v>
      </c>
      <c r="F1124" s="25">
        <v>5250</v>
      </c>
    </row>
    <row r="1125" spans="2:6">
      <c r="B1125" s="13" t="s">
        <v>3361</v>
      </c>
      <c r="C1125" s="40" t="s">
        <v>3362</v>
      </c>
      <c r="D1125" s="13" t="s">
        <v>3363</v>
      </c>
      <c r="E1125" s="24" t="s">
        <v>12</v>
      </c>
      <c r="F1125" s="25">
        <v>13357.41</v>
      </c>
    </row>
    <row r="1126" spans="2:6">
      <c r="B1126" s="13" t="s">
        <v>3364</v>
      </c>
      <c r="C1126" s="36" t="s">
        <v>3365</v>
      </c>
      <c r="D1126" s="13" t="s">
        <v>3366</v>
      </c>
      <c r="E1126" s="24" t="s">
        <v>12</v>
      </c>
      <c r="F1126" s="25">
        <v>7768.9150000000009</v>
      </c>
    </row>
    <row r="1127" spans="2:6">
      <c r="B1127" s="13" t="s">
        <v>3367</v>
      </c>
      <c r="C1127" s="31" t="s">
        <v>3368</v>
      </c>
      <c r="D1127" s="13" t="s">
        <v>3369</v>
      </c>
      <c r="E1127" s="24" t="s">
        <v>12</v>
      </c>
      <c r="F1127" s="25">
        <v>19049.690000000002</v>
      </c>
    </row>
    <row r="1128" spans="2:6">
      <c r="B1128" s="13" t="s">
        <v>3370</v>
      </c>
      <c r="C1128" s="23" t="s">
        <v>3371</v>
      </c>
      <c r="D1128" s="13" t="s">
        <v>3372</v>
      </c>
      <c r="E1128" s="24" t="s">
        <v>12</v>
      </c>
      <c r="F1128" s="25">
        <v>9383.66</v>
      </c>
    </row>
    <row r="1129" spans="2:6">
      <c r="B1129" s="13" t="s">
        <v>3373</v>
      </c>
      <c r="C1129" s="23" t="s">
        <v>3374</v>
      </c>
      <c r="D1129" s="13" t="s">
        <v>3375</v>
      </c>
      <c r="E1129" s="24" t="s">
        <v>12</v>
      </c>
      <c r="F1129" s="25">
        <v>7970.875</v>
      </c>
    </row>
    <row r="1130" spans="2:6">
      <c r="B1130" s="13" t="s">
        <v>3376</v>
      </c>
      <c r="C1130" s="31" t="s">
        <v>3377</v>
      </c>
      <c r="D1130" s="13" t="s">
        <v>3378</v>
      </c>
      <c r="E1130" s="24" t="s">
        <v>12</v>
      </c>
      <c r="F1130" s="25">
        <v>21167.465</v>
      </c>
    </row>
    <row r="1131" spans="2:6">
      <c r="B1131" s="13" t="s">
        <v>3379</v>
      </c>
      <c r="C1131" s="23" t="s">
        <v>3380</v>
      </c>
      <c r="D1131" s="13" t="s">
        <v>3381</v>
      </c>
      <c r="E1131" s="24" t="s">
        <v>12</v>
      </c>
      <c r="F1131" s="25">
        <v>11104.060000000001</v>
      </c>
    </row>
    <row r="1132" spans="2:6">
      <c r="B1132" s="13" t="s">
        <v>3382</v>
      </c>
      <c r="C1132" s="31" t="s">
        <v>3383</v>
      </c>
      <c r="D1132" s="13" t="s">
        <v>3384</v>
      </c>
      <c r="E1132" s="24" t="s">
        <v>12</v>
      </c>
      <c r="F1132" s="25">
        <v>26131.38</v>
      </c>
    </row>
    <row r="1133" spans="2:6">
      <c r="B1133" s="13" t="s">
        <v>3385</v>
      </c>
      <c r="C1133" s="23" t="s">
        <v>3386</v>
      </c>
      <c r="D1133" s="13" t="s">
        <v>3387</v>
      </c>
      <c r="E1133" s="24" t="s">
        <v>12</v>
      </c>
      <c r="F1133" s="25">
        <v>12269.070000000002</v>
      </c>
    </row>
    <row r="1134" spans="2:6">
      <c r="B1134" s="13" t="s">
        <v>3388</v>
      </c>
      <c r="C1134" s="31" t="s">
        <v>3389</v>
      </c>
      <c r="D1134" s="13" t="s">
        <v>3390</v>
      </c>
      <c r="E1134" s="24" t="s">
        <v>12</v>
      </c>
      <c r="F1134" s="25">
        <v>29035.49</v>
      </c>
    </row>
    <row r="1135" spans="2:6">
      <c r="B1135" s="13" t="s">
        <v>3391</v>
      </c>
      <c r="C1135" s="23" t="s">
        <v>3392</v>
      </c>
      <c r="D1135" s="13" t="s">
        <v>3393</v>
      </c>
      <c r="E1135" s="24" t="s">
        <v>12</v>
      </c>
      <c r="F1135" s="25">
        <v>2623.61</v>
      </c>
    </row>
    <row r="1136" spans="2:6">
      <c r="B1136" s="13" t="s">
        <v>3394</v>
      </c>
      <c r="C1136" s="23" t="s">
        <v>3395</v>
      </c>
      <c r="D1136" s="13" t="s">
        <v>3396</v>
      </c>
      <c r="E1136" s="24" t="s">
        <v>12</v>
      </c>
      <c r="F1136" s="25">
        <v>8583.3000000000011</v>
      </c>
    </row>
    <row r="1137" spans="2:6">
      <c r="B1137" s="13" t="s">
        <v>3397</v>
      </c>
      <c r="C1137" s="31" t="s">
        <v>3398</v>
      </c>
      <c r="D1137" s="13" t="s">
        <v>3399</v>
      </c>
      <c r="E1137" s="24" t="s">
        <v>12</v>
      </c>
      <c r="F1137" s="25">
        <v>23518.99</v>
      </c>
    </row>
    <row r="1138" spans="2:6">
      <c r="B1138" s="13" t="s">
        <v>3400</v>
      </c>
      <c r="C1138" s="23" t="s">
        <v>3401</v>
      </c>
      <c r="D1138" s="13" t="s">
        <v>3402</v>
      </c>
      <c r="E1138" s="24" t="s">
        <v>12</v>
      </c>
      <c r="F1138" s="25">
        <v>18651.38</v>
      </c>
    </row>
    <row r="1139" spans="2:6">
      <c r="B1139" s="13" t="s">
        <v>3403</v>
      </c>
      <c r="C1139" s="23" t="s">
        <v>3404</v>
      </c>
      <c r="D1139" s="13" t="s">
        <v>3405</v>
      </c>
      <c r="E1139" s="24" t="s">
        <v>12</v>
      </c>
      <c r="F1139" s="25">
        <v>2561.9</v>
      </c>
    </row>
    <row r="1140" spans="2:6">
      <c r="B1140" s="13" t="s">
        <v>3406</v>
      </c>
      <c r="C1140" s="29" t="s">
        <v>3407</v>
      </c>
      <c r="D1140" s="13" t="s">
        <v>3408</v>
      </c>
      <c r="E1140" s="24" t="s">
        <v>12</v>
      </c>
      <c r="F1140" s="25">
        <v>13473.35</v>
      </c>
    </row>
    <row r="1141" spans="2:6">
      <c r="B1141" s="13" t="s">
        <v>3409</v>
      </c>
      <c r="C1141" s="29" t="s">
        <v>3410</v>
      </c>
      <c r="D1141" s="13" t="s">
        <v>3411</v>
      </c>
      <c r="E1141" s="24" t="s">
        <v>12</v>
      </c>
      <c r="F1141" s="25">
        <v>16689.75</v>
      </c>
    </row>
    <row r="1142" spans="2:6">
      <c r="B1142" s="13" t="s">
        <v>3412</v>
      </c>
      <c r="C1142" s="31" t="s">
        <v>3413</v>
      </c>
      <c r="D1142" s="13" t="s">
        <v>3414</v>
      </c>
      <c r="E1142" s="24" t="s">
        <v>12</v>
      </c>
      <c r="F1142" s="25">
        <v>12468.225</v>
      </c>
    </row>
    <row r="1143" spans="2:6">
      <c r="B1143" s="13" t="s">
        <v>3415</v>
      </c>
      <c r="C1143" s="31" t="s">
        <v>3416</v>
      </c>
      <c r="D1143" s="13" t="s">
        <v>3417</v>
      </c>
      <c r="E1143" s="24" t="s">
        <v>12</v>
      </c>
      <c r="F1143" s="25">
        <v>23628.385000000002</v>
      </c>
    </row>
    <row r="1144" spans="2:6">
      <c r="B1144" s="13" t="s">
        <v>3418</v>
      </c>
      <c r="C1144" s="31" t="s">
        <v>3419</v>
      </c>
      <c r="D1144" s="13" t="s">
        <v>3420</v>
      </c>
      <c r="E1144" s="24" t="s">
        <v>12</v>
      </c>
      <c r="F1144" s="25">
        <v>19233.885000000002</v>
      </c>
    </row>
    <row r="1145" spans="2:6">
      <c r="B1145" s="13" t="s">
        <v>3421</v>
      </c>
      <c r="C1145" s="31" t="s">
        <v>3422</v>
      </c>
      <c r="D1145" s="13" t="s">
        <v>3423</v>
      </c>
      <c r="E1145" s="24" t="s">
        <v>12</v>
      </c>
      <c r="F1145" s="25">
        <v>25782.625</v>
      </c>
    </row>
    <row r="1146" spans="2:6">
      <c r="B1146" s="13" t="s">
        <v>3424</v>
      </c>
      <c r="C1146" s="31" t="s">
        <v>3425</v>
      </c>
      <c r="D1146" s="13" t="s">
        <v>3426</v>
      </c>
      <c r="E1146" s="24" t="s">
        <v>12</v>
      </c>
      <c r="F1146" s="25">
        <v>28050</v>
      </c>
    </row>
    <row r="1147" spans="2:6">
      <c r="B1147" s="13" t="s">
        <v>3427</v>
      </c>
      <c r="C1147" s="31" t="s">
        <v>3428</v>
      </c>
      <c r="D1147" s="13" t="s">
        <v>3429</v>
      </c>
      <c r="E1147" s="24" t="s">
        <v>12</v>
      </c>
      <c r="F1147" s="25">
        <v>24977.59</v>
      </c>
    </row>
    <row r="1148" spans="2:6">
      <c r="B1148" s="13" t="s">
        <v>3430</v>
      </c>
      <c r="C1148" s="31" t="s">
        <v>3431</v>
      </c>
      <c r="D1148" s="13" t="s">
        <v>3432</v>
      </c>
      <c r="E1148" s="24" t="s">
        <v>12</v>
      </c>
      <c r="F1148" s="25">
        <v>34769.845000000001</v>
      </c>
    </row>
    <row r="1149" spans="2:6">
      <c r="B1149" s="13" t="s">
        <v>3433</v>
      </c>
      <c r="C1149" s="31" t="s">
        <v>3434</v>
      </c>
      <c r="D1149" s="13" t="s">
        <v>3435</v>
      </c>
      <c r="E1149" s="24" t="s">
        <v>12</v>
      </c>
      <c r="F1149" s="25">
        <v>655.43500000000006</v>
      </c>
    </row>
    <row r="1150" spans="2:6">
      <c r="B1150" s="13" t="s">
        <v>3436</v>
      </c>
      <c r="C1150" s="23" t="s">
        <v>3437</v>
      </c>
      <c r="D1150" s="13" t="s">
        <v>3438</v>
      </c>
      <c r="E1150" s="24" t="s">
        <v>12</v>
      </c>
      <c r="F1150" s="25">
        <v>715.00000000000011</v>
      </c>
    </row>
    <row r="1151" spans="2:6">
      <c r="B1151" s="13" t="s">
        <v>3439</v>
      </c>
      <c r="C1151" s="23" t="s">
        <v>3440</v>
      </c>
      <c r="D1151" s="13" t="s">
        <v>3441</v>
      </c>
      <c r="E1151" s="24" t="s">
        <v>12</v>
      </c>
      <c r="F1151" s="25">
        <v>1287</v>
      </c>
    </row>
    <row r="1152" spans="2:6">
      <c r="B1152" s="13" t="s">
        <v>3442</v>
      </c>
      <c r="C1152" s="29" t="s">
        <v>3443</v>
      </c>
      <c r="D1152" s="13" t="s">
        <v>3444</v>
      </c>
      <c r="E1152" s="24" t="s">
        <v>12</v>
      </c>
      <c r="F1152" s="25">
        <v>800000</v>
      </c>
    </row>
    <row r="1153" spans="2:6">
      <c r="B1153" s="13" t="s">
        <v>3445</v>
      </c>
      <c r="C1153" s="29" t="s">
        <v>3446</v>
      </c>
      <c r="D1153" s="13" t="s">
        <v>3447</v>
      </c>
      <c r="E1153" s="24" t="s">
        <v>12</v>
      </c>
      <c r="F1153" s="25">
        <v>77000</v>
      </c>
    </row>
    <row r="1154" spans="2:6">
      <c r="B1154" s="13" t="s">
        <v>3448</v>
      </c>
      <c r="C1154" s="29" t="s">
        <v>3449</v>
      </c>
      <c r="D1154" s="13" t="s">
        <v>3450</v>
      </c>
      <c r="E1154" s="24" t="s">
        <v>12</v>
      </c>
      <c r="F1154" s="25">
        <v>176000</v>
      </c>
    </row>
    <row r="1155" spans="2:6">
      <c r="B1155" s="13" t="s">
        <v>3451</v>
      </c>
      <c r="C1155" s="29" t="s">
        <v>3452</v>
      </c>
      <c r="D1155" s="13" t="s">
        <v>3453</v>
      </c>
      <c r="E1155" s="24" t="s">
        <v>12</v>
      </c>
      <c r="F1155" s="25">
        <v>121000.00000000001</v>
      </c>
    </row>
    <row r="1156" spans="2:6">
      <c r="B1156" s="13" t="s">
        <v>3454</v>
      </c>
      <c r="C1156" s="23" t="s">
        <v>3455</v>
      </c>
      <c r="D1156" s="13" t="s">
        <v>3456</v>
      </c>
      <c r="E1156" s="24" t="s">
        <v>12</v>
      </c>
      <c r="F1156" s="25">
        <v>12500</v>
      </c>
    </row>
    <row r="1157" spans="2:6">
      <c r="B1157" s="13" t="s">
        <v>3457</v>
      </c>
      <c r="C1157" s="23" t="s">
        <v>3458</v>
      </c>
      <c r="D1157" s="13" t="s">
        <v>3459</v>
      </c>
      <c r="E1157" s="24" t="s">
        <v>12</v>
      </c>
      <c r="F1157" s="25">
        <v>14740.000000000002</v>
      </c>
    </row>
    <row r="1158" spans="2:6">
      <c r="B1158" s="13" t="s">
        <v>3460</v>
      </c>
      <c r="C1158" s="23" t="s">
        <v>3461</v>
      </c>
      <c r="D1158" s="13" t="s">
        <v>3462</v>
      </c>
      <c r="E1158" s="24" t="s">
        <v>12</v>
      </c>
      <c r="F1158" s="25">
        <v>14740.000000000002</v>
      </c>
    </row>
    <row r="1159" spans="2:6">
      <c r="B1159" s="13" t="s">
        <v>3463</v>
      </c>
      <c r="C1159" s="23" t="s">
        <v>3464</v>
      </c>
      <c r="D1159" s="13" t="s">
        <v>3465</v>
      </c>
      <c r="E1159" s="24" t="s">
        <v>12</v>
      </c>
      <c r="F1159" s="25">
        <v>15620.000000000002</v>
      </c>
    </row>
    <row r="1160" spans="2:6">
      <c r="B1160" s="13" t="s">
        <v>3466</v>
      </c>
      <c r="C1160" s="23" t="s">
        <v>3467</v>
      </c>
      <c r="D1160" s="13" t="s">
        <v>3468</v>
      </c>
      <c r="E1160" s="24" t="s">
        <v>12</v>
      </c>
      <c r="F1160" s="25">
        <v>35000</v>
      </c>
    </row>
    <row r="1161" spans="2:6">
      <c r="B1161" s="13" t="s">
        <v>3469</v>
      </c>
      <c r="C1161" s="23" t="s">
        <v>3470</v>
      </c>
      <c r="D1161" s="13" t="s">
        <v>3471</v>
      </c>
      <c r="E1161" s="24" t="s">
        <v>12</v>
      </c>
      <c r="F1161" s="25">
        <v>40000</v>
      </c>
    </row>
    <row r="1162" spans="2:6">
      <c r="B1162" s="13" t="s">
        <v>3472</v>
      </c>
      <c r="C1162" s="23" t="s">
        <v>3473</v>
      </c>
      <c r="D1162" s="13" t="s">
        <v>3474</v>
      </c>
      <c r="E1162" s="24" t="s">
        <v>12</v>
      </c>
      <c r="F1162" s="25">
        <v>17000</v>
      </c>
    </row>
    <row r="1163" spans="2:6">
      <c r="B1163" s="13" t="s">
        <v>3475</v>
      </c>
      <c r="C1163" s="29" t="s">
        <v>3476</v>
      </c>
      <c r="D1163" s="13" t="s">
        <v>3477</v>
      </c>
      <c r="E1163" s="24" t="s">
        <v>12</v>
      </c>
      <c r="F1163" s="25">
        <v>38000</v>
      </c>
    </row>
    <row r="1164" spans="2:6">
      <c r="B1164" s="13" t="s">
        <v>3478</v>
      </c>
      <c r="C1164" s="29" t="s">
        <v>3479</v>
      </c>
      <c r="D1164" s="13" t="s">
        <v>3480</v>
      </c>
      <c r="E1164" s="24" t="s">
        <v>12</v>
      </c>
      <c r="F1164" s="25">
        <v>6710.6</v>
      </c>
    </row>
    <row r="1165" spans="2:6">
      <c r="B1165" s="13" t="s">
        <v>3481</v>
      </c>
      <c r="C1165" s="29" t="s">
        <v>3482</v>
      </c>
      <c r="D1165" s="13" t="s">
        <v>3483</v>
      </c>
      <c r="E1165" s="24" t="s">
        <v>12</v>
      </c>
      <c r="F1165" s="25">
        <v>284710.40000000002</v>
      </c>
    </row>
    <row r="1166" spans="2:6">
      <c r="B1166" s="13" t="s">
        <v>3484</v>
      </c>
      <c r="C1166" s="29" t="s">
        <v>3961</v>
      </c>
      <c r="D1166" s="13" t="s">
        <v>3485</v>
      </c>
      <c r="E1166" s="24" t="s">
        <v>12</v>
      </c>
      <c r="F1166" s="25">
        <v>4900</v>
      </c>
    </row>
    <row r="1167" spans="2:6">
      <c r="B1167" s="13" t="s">
        <v>3486</v>
      </c>
      <c r="C1167" s="23" t="s">
        <v>3487</v>
      </c>
      <c r="D1167" s="13" t="s">
        <v>3488</v>
      </c>
      <c r="E1167" s="24" t="s">
        <v>12</v>
      </c>
      <c r="F1167" s="25">
        <v>44825</v>
      </c>
    </row>
    <row r="1168" spans="2:6">
      <c r="B1168" s="13" t="s">
        <v>3489</v>
      </c>
      <c r="C1168" s="29" t="s">
        <v>3490</v>
      </c>
      <c r="D1168" s="13" t="s">
        <v>3491</v>
      </c>
      <c r="E1168" s="24" t="s">
        <v>12</v>
      </c>
      <c r="F1168" s="25">
        <v>139720</v>
      </c>
    </row>
    <row r="1169" spans="2:6">
      <c r="B1169" s="13" t="s">
        <v>3492</v>
      </c>
      <c r="C1169" s="23" t="s">
        <v>3493</v>
      </c>
      <c r="D1169" s="13" t="s">
        <v>3494</v>
      </c>
      <c r="E1169" s="24" t="s">
        <v>12</v>
      </c>
      <c r="F1169" s="25">
        <v>11050</v>
      </c>
    </row>
    <row r="1170" spans="2:6">
      <c r="B1170" s="13" t="s">
        <v>3495</v>
      </c>
      <c r="C1170" s="23" t="s">
        <v>3496</v>
      </c>
      <c r="D1170" s="13" t="s">
        <v>3497</v>
      </c>
      <c r="E1170" s="24" t="s">
        <v>12</v>
      </c>
      <c r="F1170" s="25">
        <v>3450</v>
      </c>
    </row>
    <row r="1171" spans="2:6">
      <c r="B1171" s="13" t="s">
        <v>3498</v>
      </c>
      <c r="C1171" s="23" t="s">
        <v>3499</v>
      </c>
      <c r="D1171" s="13" t="s">
        <v>3500</v>
      </c>
      <c r="E1171" s="24" t="s">
        <v>12</v>
      </c>
      <c r="F1171" s="25">
        <v>3450</v>
      </c>
    </row>
    <row r="1172" spans="2:6">
      <c r="B1172" s="13" t="s">
        <v>3501</v>
      </c>
      <c r="C1172" s="23" t="s">
        <v>3502</v>
      </c>
      <c r="D1172" s="13" t="s">
        <v>3503</v>
      </c>
      <c r="E1172" s="24" t="s">
        <v>12</v>
      </c>
      <c r="F1172" s="25">
        <v>7279.9999999999991</v>
      </c>
    </row>
    <row r="1173" spans="2:6">
      <c r="B1173" s="13" t="s">
        <v>3504</v>
      </c>
      <c r="C1173" s="23" t="s">
        <v>3505</v>
      </c>
      <c r="D1173" s="13" t="s">
        <v>3506</v>
      </c>
      <c r="E1173" s="24" t="s">
        <v>12</v>
      </c>
      <c r="F1173" s="25">
        <v>19286.400000000001</v>
      </c>
    </row>
    <row r="1174" spans="2:6">
      <c r="B1174" s="13" t="s">
        <v>3507</v>
      </c>
      <c r="C1174" s="30" t="s">
        <v>3508</v>
      </c>
      <c r="D1174" s="13" t="s">
        <v>3509</v>
      </c>
      <c r="E1174" s="24" t="s">
        <v>12</v>
      </c>
      <c r="F1174" s="25">
        <v>47080.000000000007</v>
      </c>
    </row>
    <row r="1175" spans="2:6">
      <c r="B1175" s="13" t="s">
        <v>3510</v>
      </c>
      <c r="C1175" s="30" t="s">
        <v>3511</v>
      </c>
      <c r="D1175" s="13" t="s">
        <v>3512</v>
      </c>
      <c r="E1175" s="24" t="s">
        <v>12</v>
      </c>
      <c r="F1175" s="25">
        <v>88220</v>
      </c>
    </row>
    <row r="1176" spans="2:6">
      <c r="B1176" s="13" t="s">
        <v>3513</v>
      </c>
      <c r="C1176" s="30" t="s">
        <v>3514</v>
      </c>
      <c r="D1176" s="13" t="s">
        <v>3515</v>
      </c>
      <c r="E1176" s="24" t="s">
        <v>12</v>
      </c>
      <c r="F1176" s="25">
        <v>44825</v>
      </c>
    </row>
    <row r="1177" spans="2:6">
      <c r="B1177" s="13" t="s">
        <v>3516</v>
      </c>
      <c r="C1177" s="30" t="s">
        <v>3517</v>
      </c>
      <c r="D1177" s="13" t="s">
        <v>3518</v>
      </c>
      <c r="E1177" s="24" t="s">
        <v>12</v>
      </c>
      <c r="F1177" s="25">
        <v>5300</v>
      </c>
    </row>
    <row r="1178" spans="2:6">
      <c r="B1178" s="13" t="s">
        <v>3519</v>
      </c>
      <c r="C1178" s="29" t="s">
        <v>3520</v>
      </c>
      <c r="D1178" s="13" t="s">
        <v>3521</v>
      </c>
      <c r="E1178" s="24" t="s">
        <v>12</v>
      </c>
      <c r="F1178" s="25">
        <v>53900</v>
      </c>
    </row>
    <row r="1179" spans="2:6">
      <c r="B1179" s="13" t="s">
        <v>3522</v>
      </c>
      <c r="C1179" s="23" t="s">
        <v>3523</v>
      </c>
      <c r="D1179" s="13" t="s">
        <v>3524</v>
      </c>
      <c r="E1179" s="24" t="s">
        <v>12</v>
      </c>
      <c r="F1179" s="25">
        <v>26600</v>
      </c>
    </row>
    <row r="1180" spans="2:6">
      <c r="B1180" s="13" t="s">
        <v>3525</v>
      </c>
      <c r="C1180" s="23" t="s">
        <v>3526</v>
      </c>
      <c r="D1180" s="13" t="s">
        <v>3527</v>
      </c>
      <c r="E1180" s="24" t="s">
        <v>12</v>
      </c>
      <c r="F1180" s="25">
        <v>13238.400000000001</v>
      </c>
    </row>
    <row r="1181" spans="2:6">
      <c r="B1181" s="13" t="s">
        <v>3528</v>
      </c>
      <c r="C1181" s="41" t="s">
        <v>3529</v>
      </c>
      <c r="D1181" s="13" t="s">
        <v>3530</v>
      </c>
      <c r="E1181" s="24" t="s">
        <v>12</v>
      </c>
      <c r="F1181" s="25">
        <v>4368</v>
      </c>
    </row>
    <row r="1182" spans="2:6">
      <c r="B1182" s="13" t="s">
        <v>3531</v>
      </c>
      <c r="C1182" s="41" t="s">
        <v>3532</v>
      </c>
      <c r="D1182" s="13" t="s">
        <v>3533</v>
      </c>
      <c r="E1182" s="24" t="s">
        <v>12</v>
      </c>
      <c r="F1182" s="25">
        <v>16500</v>
      </c>
    </row>
    <row r="1183" spans="2:6">
      <c r="B1183" s="13" t="s">
        <v>3534</v>
      </c>
      <c r="C1183" s="23" t="s">
        <v>3535</v>
      </c>
      <c r="D1183" s="13" t="s">
        <v>3536</v>
      </c>
      <c r="E1183" s="24" t="s">
        <v>12</v>
      </c>
      <c r="F1183" s="25">
        <v>134400</v>
      </c>
    </row>
    <row r="1184" spans="2:6">
      <c r="B1184" s="13" t="s">
        <v>3537</v>
      </c>
      <c r="C1184" s="29" t="s">
        <v>3538</v>
      </c>
      <c r="D1184" s="13" t="s">
        <v>3539</v>
      </c>
      <c r="E1184" s="24" t="s">
        <v>12</v>
      </c>
      <c r="F1184" s="25">
        <v>31079.999999999996</v>
      </c>
    </row>
    <row r="1185" spans="2:6">
      <c r="B1185" s="13" t="s">
        <v>3540</v>
      </c>
      <c r="C1185" s="23" t="s">
        <v>3541</v>
      </c>
      <c r="D1185" s="13" t="s">
        <v>3542</v>
      </c>
      <c r="E1185" s="24" t="s">
        <v>12</v>
      </c>
      <c r="F1185" s="25">
        <v>42420</v>
      </c>
    </row>
    <row r="1186" spans="2:6">
      <c r="B1186" s="13" t="s">
        <v>3543</v>
      </c>
      <c r="C1186" s="29" t="s">
        <v>3544</v>
      </c>
      <c r="D1186" s="13" t="s">
        <v>3545</v>
      </c>
      <c r="E1186" s="24" t="s">
        <v>12</v>
      </c>
      <c r="F1186" s="25">
        <v>101360</v>
      </c>
    </row>
    <row r="1187" spans="2:6">
      <c r="B1187" s="13" t="s">
        <v>3546</v>
      </c>
      <c r="C1187" s="29" t="s">
        <v>3547</v>
      </c>
      <c r="D1187" s="13" t="s">
        <v>3548</v>
      </c>
      <c r="E1187" s="24" t="s">
        <v>12</v>
      </c>
      <c r="F1187" s="25">
        <v>28535.999999999996</v>
      </c>
    </row>
    <row r="1188" spans="2:6">
      <c r="B1188" s="13" t="s">
        <v>3549</v>
      </c>
      <c r="C1188" s="29" t="s">
        <v>3550</v>
      </c>
      <c r="D1188" s="13" t="s">
        <v>3551</v>
      </c>
      <c r="E1188" s="24" t="s">
        <v>12</v>
      </c>
      <c r="F1188" s="25">
        <v>200</v>
      </c>
    </row>
    <row r="1189" spans="2:6">
      <c r="B1189" s="13" t="s">
        <v>3552</v>
      </c>
      <c r="C1189" s="29" t="s">
        <v>3958</v>
      </c>
      <c r="D1189" s="13" t="s">
        <v>3553</v>
      </c>
      <c r="E1189" s="24" t="s">
        <v>12</v>
      </c>
      <c r="F1189" s="25">
        <v>175</v>
      </c>
    </row>
    <row r="1190" spans="2:6">
      <c r="B1190" s="13" t="s">
        <v>3554</v>
      </c>
      <c r="C1190" s="29" t="s">
        <v>3959</v>
      </c>
      <c r="D1190" s="13" t="s">
        <v>3555</v>
      </c>
      <c r="E1190" s="24" t="s">
        <v>12</v>
      </c>
      <c r="F1190" s="25">
        <v>200</v>
      </c>
    </row>
    <row r="1191" spans="2:6">
      <c r="B1191" s="13" t="s">
        <v>3556</v>
      </c>
      <c r="C1191" s="29" t="s">
        <v>3960</v>
      </c>
      <c r="D1191" s="13" t="s">
        <v>3557</v>
      </c>
      <c r="E1191" s="24" t="s">
        <v>12</v>
      </c>
      <c r="F1191" s="25">
        <v>151</v>
      </c>
    </row>
    <row r="1192" spans="2:6">
      <c r="B1192" s="13" t="s">
        <v>3558</v>
      </c>
      <c r="C1192" s="23" t="s">
        <v>3559</v>
      </c>
      <c r="D1192" s="13" t="s">
        <v>3560</v>
      </c>
      <c r="E1192" s="24" t="s">
        <v>12</v>
      </c>
      <c r="F1192" s="25">
        <v>1000</v>
      </c>
    </row>
    <row r="1193" spans="2:6">
      <c r="B1193" s="13" t="s">
        <v>3561</v>
      </c>
      <c r="C1193" s="21" t="s">
        <v>3562</v>
      </c>
      <c r="D1193" s="13" t="s">
        <v>3563</v>
      </c>
      <c r="E1193" s="24" t="s">
        <v>12</v>
      </c>
      <c r="F1193" s="25">
        <v>950000</v>
      </c>
    </row>
    <row r="1194" spans="2:6">
      <c r="B1194" s="13" t="s">
        <v>3564</v>
      </c>
      <c r="C1194" s="23" t="s">
        <v>3565</v>
      </c>
      <c r="D1194" s="13" t="s">
        <v>3566</v>
      </c>
      <c r="E1194" s="24" t="s">
        <v>12</v>
      </c>
      <c r="F1194" s="25">
        <v>2320000</v>
      </c>
    </row>
    <row r="1195" spans="2:6">
      <c r="B1195" s="13" t="s">
        <v>3567</v>
      </c>
      <c r="C1195" s="23" t="s">
        <v>3568</v>
      </c>
      <c r="D1195" s="13" t="s">
        <v>3569</v>
      </c>
      <c r="E1195" s="24" t="s">
        <v>12</v>
      </c>
      <c r="F1195" s="25">
        <v>166600</v>
      </c>
    </row>
    <row r="1196" spans="2:6">
      <c r="B1196" s="13" t="s">
        <v>3570</v>
      </c>
      <c r="C1196" s="42" t="s">
        <v>3571</v>
      </c>
      <c r="D1196" s="13" t="s">
        <v>3572</v>
      </c>
      <c r="E1196" s="24" t="s">
        <v>12</v>
      </c>
      <c r="F1196" s="25">
        <v>126500.00000000001</v>
      </c>
    </row>
    <row r="1197" spans="2:6">
      <c r="B1197" s="13" t="s">
        <v>3573</v>
      </c>
      <c r="C1197" s="23" t="s">
        <v>3574</v>
      </c>
      <c r="D1197" s="13" t="s">
        <v>3575</v>
      </c>
      <c r="E1197" s="24" t="s">
        <v>12</v>
      </c>
      <c r="F1197" s="25">
        <v>72500</v>
      </c>
    </row>
    <row r="1198" spans="2:6">
      <c r="B1198" s="13" t="s">
        <v>3576</v>
      </c>
      <c r="C1198" s="30" t="s">
        <v>3577</v>
      </c>
      <c r="D1198" s="13" t="s">
        <v>3578</v>
      </c>
      <c r="E1198" s="24" t="s">
        <v>12</v>
      </c>
      <c r="F1198" s="25">
        <v>80000</v>
      </c>
    </row>
    <row r="1199" spans="2:6">
      <c r="B1199" s="13" t="s">
        <v>3579</v>
      </c>
      <c r="C1199" s="23" t="s">
        <v>3580</v>
      </c>
      <c r="D1199" s="13" t="s">
        <v>3581</v>
      </c>
      <c r="E1199" s="24" t="s">
        <v>12</v>
      </c>
      <c r="F1199" s="25">
        <v>2320000</v>
      </c>
    </row>
    <row r="1200" spans="2:6">
      <c r="B1200" s="13" t="s">
        <v>3582</v>
      </c>
      <c r="C1200" s="30" t="s">
        <v>3583</v>
      </c>
      <c r="D1200" s="13" t="s">
        <v>3584</v>
      </c>
      <c r="E1200" s="24" t="s">
        <v>12</v>
      </c>
      <c r="F1200" s="25">
        <v>13340000</v>
      </c>
    </row>
    <row r="1201" spans="2:6">
      <c r="B1201" s="13" t="s">
        <v>3585</v>
      </c>
      <c r="C1201" s="30" t="s">
        <v>3586</v>
      </c>
      <c r="D1201" s="13" t="s">
        <v>3587</v>
      </c>
      <c r="E1201" s="24" t="s">
        <v>12</v>
      </c>
      <c r="F1201" s="25">
        <v>5100000</v>
      </c>
    </row>
    <row r="1202" spans="2:6">
      <c r="B1202" s="13" t="s">
        <v>3588</v>
      </c>
      <c r="C1202" s="23" t="s">
        <v>3589</v>
      </c>
      <c r="D1202" s="13" t="s">
        <v>3590</v>
      </c>
      <c r="E1202" s="24" t="s">
        <v>12</v>
      </c>
      <c r="F1202" s="25">
        <v>19800000</v>
      </c>
    </row>
    <row r="1203" spans="2:6">
      <c r="B1203" s="13" t="s">
        <v>3591</v>
      </c>
      <c r="C1203" s="23" t="s">
        <v>3592</v>
      </c>
      <c r="D1203" s="13" t="s">
        <v>3593</v>
      </c>
      <c r="E1203" s="24" t="s">
        <v>12</v>
      </c>
      <c r="F1203" s="25">
        <v>2424400</v>
      </c>
    </row>
    <row r="1204" spans="2:6">
      <c r="B1204" s="13" t="s">
        <v>3594</v>
      </c>
      <c r="C1204" s="23" t="s">
        <v>3595</v>
      </c>
      <c r="D1204" s="13" t="s">
        <v>3596</v>
      </c>
      <c r="E1204" s="24" t="s">
        <v>12</v>
      </c>
      <c r="F1204" s="25">
        <v>2807200</v>
      </c>
    </row>
    <row r="1205" spans="2:6">
      <c r="B1205" s="13" t="s">
        <v>3597</v>
      </c>
      <c r="C1205" s="23" t="s">
        <v>3598</v>
      </c>
      <c r="D1205" s="13" t="s">
        <v>3599</v>
      </c>
      <c r="E1205" s="24" t="s">
        <v>1134</v>
      </c>
      <c r="F1205" s="25">
        <v>4895780</v>
      </c>
    </row>
    <row r="1206" spans="2:6">
      <c r="B1206" s="13" t="s">
        <v>3600</v>
      </c>
      <c r="C1206" s="29" t="s">
        <v>3601</v>
      </c>
      <c r="D1206" s="13" t="s">
        <v>3602</v>
      </c>
      <c r="E1206" s="24" t="s">
        <v>12</v>
      </c>
      <c r="F1206" s="25">
        <v>50000</v>
      </c>
    </row>
    <row r="1207" spans="2:6">
      <c r="B1207" s="13" t="s">
        <v>3603</v>
      </c>
      <c r="C1207" s="23" t="s">
        <v>3604</v>
      </c>
      <c r="D1207" s="13" t="s">
        <v>3605</v>
      </c>
      <c r="E1207" s="24" t="s">
        <v>12</v>
      </c>
      <c r="F1207" s="25">
        <v>8000</v>
      </c>
    </row>
    <row r="1208" spans="2:6">
      <c r="B1208" s="13" t="s">
        <v>3606</v>
      </c>
      <c r="C1208" s="23" t="s">
        <v>3607</v>
      </c>
      <c r="D1208" s="13" t="s">
        <v>3608</v>
      </c>
      <c r="E1208" s="24" t="s">
        <v>12</v>
      </c>
      <c r="F1208" s="25">
        <v>10000</v>
      </c>
    </row>
    <row r="1209" spans="2:6">
      <c r="B1209" s="13" t="s">
        <v>3609</v>
      </c>
      <c r="C1209" s="23" t="s">
        <v>3610</v>
      </c>
      <c r="D1209" s="13" t="s">
        <v>3611</v>
      </c>
      <c r="E1209" s="24" t="s">
        <v>12</v>
      </c>
      <c r="F1209" s="25">
        <v>13333.333333333334</v>
      </c>
    </row>
    <row r="1210" spans="2:6">
      <c r="B1210" s="13" t="s">
        <v>3612</v>
      </c>
      <c r="C1210" s="23" t="s">
        <v>3613</v>
      </c>
      <c r="D1210" s="13" t="s">
        <v>3614</v>
      </c>
      <c r="E1210" s="24" t="s">
        <v>12</v>
      </c>
      <c r="F1210" s="25">
        <v>1531.4319999999998</v>
      </c>
    </row>
    <row r="1211" spans="2:6">
      <c r="B1211" s="13" t="s">
        <v>3615</v>
      </c>
      <c r="C1211" s="23" t="s">
        <v>3616</v>
      </c>
      <c r="D1211" s="13" t="s">
        <v>3617</v>
      </c>
      <c r="E1211" s="24" t="s">
        <v>12</v>
      </c>
      <c r="F1211" s="25">
        <v>2659.9959999999996</v>
      </c>
    </row>
    <row r="1212" spans="2:6">
      <c r="B1212" s="13" t="s">
        <v>3618</v>
      </c>
      <c r="C1212" s="23" t="s">
        <v>3619</v>
      </c>
      <c r="D1212" s="13" t="s">
        <v>3620</v>
      </c>
      <c r="E1212" s="24" t="s">
        <v>12</v>
      </c>
      <c r="F1212" s="25">
        <v>4379.521999999999</v>
      </c>
    </row>
    <row r="1213" spans="2:6">
      <c r="B1213" s="13" t="s">
        <v>3621</v>
      </c>
      <c r="C1213" s="29" t="s">
        <v>3622</v>
      </c>
      <c r="D1213" s="13" t="s">
        <v>3623</v>
      </c>
      <c r="E1213" s="24" t="s">
        <v>12</v>
      </c>
      <c r="F1213" s="25">
        <v>53359.999999999993</v>
      </c>
    </row>
    <row r="1214" spans="2:6">
      <c r="B1214" s="13" t="s">
        <v>3624</v>
      </c>
      <c r="C1214" s="29" t="s">
        <v>3625</v>
      </c>
      <c r="D1214" s="13" t="s">
        <v>3626</v>
      </c>
      <c r="E1214" s="24" t="s">
        <v>12</v>
      </c>
      <c r="F1214" s="25">
        <v>58650</v>
      </c>
    </row>
    <row r="1215" spans="2:6">
      <c r="B1215" s="13" t="s">
        <v>3627</v>
      </c>
      <c r="C1215" s="29" t="s">
        <v>3628</v>
      </c>
      <c r="D1215" s="13" t="s">
        <v>3629</v>
      </c>
      <c r="E1215" s="24" t="s">
        <v>12</v>
      </c>
      <c r="F1215" s="25">
        <v>37351.999999999993</v>
      </c>
    </row>
    <row r="1216" spans="2:6">
      <c r="B1216" s="13" t="s">
        <v>3630</v>
      </c>
      <c r="C1216" s="29" t="s">
        <v>3631</v>
      </c>
      <c r="D1216" s="13" t="s">
        <v>3632</v>
      </c>
      <c r="E1216" s="24" t="s">
        <v>12</v>
      </c>
      <c r="F1216" s="25">
        <v>21344</v>
      </c>
    </row>
    <row r="1217" spans="2:6">
      <c r="B1217" s="13" t="s">
        <v>3633</v>
      </c>
      <c r="C1217" s="23" t="s">
        <v>3634</v>
      </c>
      <c r="D1217" s="13" t="s">
        <v>3635</v>
      </c>
      <c r="E1217" s="24" t="s">
        <v>12</v>
      </c>
      <c r="F1217" s="25">
        <v>29190</v>
      </c>
    </row>
    <row r="1218" spans="2:6">
      <c r="B1218" s="13" t="s">
        <v>3636</v>
      </c>
      <c r="C1218" s="23" t="s">
        <v>3637</v>
      </c>
      <c r="D1218" s="13" t="s">
        <v>3638</v>
      </c>
      <c r="E1218" s="24" t="s">
        <v>12</v>
      </c>
      <c r="F1218" s="25">
        <v>149274.59999999998</v>
      </c>
    </row>
    <row r="1219" spans="2:6">
      <c r="B1219" s="13" t="s">
        <v>3639</v>
      </c>
      <c r="C1219" s="29" t="s">
        <v>3640</v>
      </c>
      <c r="D1219" s="13" t="s">
        <v>3641</v>
      </c>
      <c r="E1219" s="24" t="s">
        <v>12</v>
      </c>
      <c r="F1219" s="25">
        <v>24078.699999999997</v>
      </c>
    </row>
    <row r="1220" spans="2:6">
      <c r="B1220" s="13" t="s">
        <v>3642</v>
      </c>
      <c r="C1220" s="23" t="s">
        <v>3643</v>
      </c>
      <c r="D1220" s="13" t="s">
        <v>3644</v>
      </c>
      <c r="E1220" s="24" t="s">
        <v>12</v>
      </c>
      <c r="F1220" s="25">
        <v>84000</v>
      </c>
    </row>
    <row r="1221" spans="2:6">
      <c r="B1221" s="13" t="s">
        <v>3645</v>
      </c>
      <c r="C1221" s="29" t="s">
        <v>3646</v>
      </c>
      <c r="D1221" s="13" t="s">
        <v>3647</v>
      </c>
      <c r="E1221" s="24" t="s">
        <v>12</v>
      </c>
      <c r="F1221" s="25">
        <v>76720.000000000015</v>
      </c>
    </row>
    <row r="1222" spans="2:6">
      <c r="B1222" s="13" t="s">
        <v>3648</v>
      </c>
      <c r="C1222" s="29" t="s">
        <v>3649</v>
      </c>
      <c r="D1222" s="13" t="s">
        <v>3650</v>
      </c>
      <c r="E1222" s="24" t="s">
        <v>12</v>
      </c>
      <c r="F1222" s="25">
        <v>59702.720000000008</v>
      </c>
    </row>
    <row r="1223" spans="2:6">
      <c r="B1223" s="13" t="s">
        <v>3651</v>
      </c>
      <c r="C1223" s="29" t="s">
        <v>3652</v>
      </c>
      <c r="D1223" s="13" t="s">
        <v>3653</v>
      </c>
      <c r="E1223" s="24" t="s">
        <v>12</v>
      </c>
      <c r="F1223" s="25">
        <v>45920.000000000007</v>
      </c>
    </row>
    <row r="1224" spans="2:6">
      <c r="B1224" s="13" t="s">
        <v>3654</v>
      </c>
      <c r="C1224" s="29" t="s">
        <v>3655</v>
      </c>
      <c r="D1224" s="13" t="s">
        <v>3656</v>
      </c>
      <c r="E1224" s="24" t="s">
        <v>12</v>
      </c>
      <c r="F1224" s="25">
        <v>23520.000000000004</v>
      </c>
    </row>
    <row r="1225" spans="2:6">
      <c r="B1225" s="13" t="s">
        <v>3657</v>
      </c>
      <c r="C1225" s="29" t="s">
        <v>3658</v>
      </c>
      <c r="D1225" s="13" t="s">
        <v>3659</v>
      </c>
      <c r="E1225" s="24" t="s">
        <v>12</v>
      </c>
      <c r="F1225" s="25">
        <v>97440.000000000015</v>
      </c>
    </row>
    <row r="1226" spans="2:6">
      <c r="B1226" s="13" t="s">
        <v>3660</v>
      </c>
      <c r="C1226" s="29" t="s">
        <v>3661</v>
      </c>
      <c r="D1226" s="13" t="s">
        <v>3662</v>
      </c>
      <c r="E1226" s="24" t="s">
        <v>12</v>
      </c>
      <c r="F1226" s="25">
        <v>248640.00000000003</v>
      </c>
    </row>
    <row r="1227" spans="2:6">
      <c r="B1227" s="13" t="s">
        <v>3663</v>
      </c>
      <c r="C1227" s="29" t="s">
        <v>3664</v>
      </c>
      <c r="D1227" s="13" t="s">
        <v>3665</v>
      </c>
      <c r="E1227" s="24" t="s">
        <v>12</v>
      </c>
      <c r="F1227" s="25">
        <v>29680.000000000004</v>
      </c>
    </row>
    <row r="1228" spans="2:6">
      <c r="B1228" s="13" t="s">
        <v>3666</v>
      </c>
      <c r="C1228" s="29" t="s">
        <v>3667</v>
      </c>
      <c r="D1228" s="13" t="s">
        <v>3668</v>
      </c>
      <c r="E1228" s="24" t="s">
        <v>12</v>
      </c>
      <c r="F1228" s="25">
        <v>399840.00000000006</v>
      </c>
    </row>
    <row r="1229" spans="2:6">
      <c r="B1229" s="13" t="s">
        <v>3669</v>
      </c>
      <c r="C1229" s="23" t="s">
        <v>3670</v>
      </c>
      <c r="D1229" s="13" t="s">
        <v>3671</v>
      </c>
      <c r="E1229" s="24" t="s">
        <v>12</v>
      </c>
      <c r="F1229" s="25">
        <v>28388.800000000003</v>
      </c>
    </row>
    <row r="1230" spans="2:6">
      <c r="B1230" s="13" t="s">
        <v>3672</v>
      </c>
      <c r="C1230" s="23" t="s">
        <v>3673</v>
      </c>
      <c r="D1230" s="13" t="s">
        <v>3674</v>
      </c>
      <c r="E1230" s="24" t="s">
        <v>12</v>
      </c>
      <c r="F1230" s="25">
        <v>24307.360000000001</v>
      </c>
    </row>
    <row r="1231" spans="2:6">
      <c r="B1231" s="13" t="s">
        <v>3675</v>
      </c>
      <c r="C1231" s="23" t="s">
        <v>3676</v>
      </c>
      <c r="D1231" s="13" t="s">
        <v>3677</v>
      </c>
      <c r="E1231" s="24" t="s">
        <v>12</v>
      </c>
      <c r="F1231" s="25">
        <v>16632</v>
      </c>
    </row>
    <row r="1232" spans="2:6">
      <c r="B1232" s="13" t="s">
        <v>3678</v>
      </c>
      <c r="C1232" s="23" t="s">
        <v>3679</v>
      </c>
      <c r="D1232" s="13" t="s">
        <v>3680</v>
      </c>
      <c r="E1232" s="24" t="s">
        <v>12</v>
      </c>
      <c r="F1232" s="25">
        <v>6531.8400000000011</v>
      </c>
    </row>
    <row r="1233" spans="2:6">
      <c r="B1233" s="13" t="s">
        <v>3681</v>
      </c>
      <c r="C1233" s="23" t="s">
        <v>3682</v>
      </c>
      <c r="D1233" s="13" t="s">
        <v>3683</v>
      </c>
      <c r="E1233" s="24" t="s">
        <v>12</v>
      </c>
      <c r="F1233" s="25">
        <v>35090.720000000001</v>
      </c>
    </row>
    <row r="1234" spans="2:6">
      <c r="B1234" s="13" t="s">
        <v>3684</v>
      </c>
      <c r="C1234" s="23" t="s">
        <v>3685</v>
      </c>
      <c r="D1234" s="13" t="s">
        <v>3686</v>
      </c>
      <c r="E1234" s="24" t="s">
        <v>12</v>
      </c>
      <c r="F1234" s="25">
        <v>7000</v>
      </c>
    </row>
    <row r="1235" spans="2:6">
      <c r="B1235" s="13" t="s">
        <v>3687</v>
      </c>
      <c r="C1235" s="36" t="s">
        <v>3688</v>
      </c>
      <c r="D1235" s="13" t="s">
        <v>3689</v>
      </c>
      <c r="E1235" s="24" t="s">
        <v>12</v>
      </c>
      <c r="F1235" s="25">
        <v>9785.44</v>
      </c>
    </row>
    <row r="1236" spans="2:6">
      <c r="B1236" s="13" t="s">
        <v>3690</v>
      </c>
      <c r="C1236" s="36" t="s">
        <v>3691</v>
      </c>
      <c r="D1236" s="13" t="s">
        <v>3692</v>
      </c>
      <c r="E1236" s="24" t="s">
        <v>12</v>
      </c>
      <c r="F1236" s="25">
        <v>34232.1</v>
      </c>
    </row>
    <row r="1237" spans="2:6">
      <c r="B1237" s="13" t="s">
        <v>3693</v>
      </c>
      <c r="C1237" s="29" t="s">
        <v>3694</v>
      </c>
      <c r="D1237" s="13" t="s">
        <v>3695</v>
      </c>
      <c r="E1237" s="24" t="s">
        <v>12</v>
      </c>
      <c r="F1237" s="25">
        <v>42920</v>
      </c>
    </row>
    <row r="1238" spans="2:6">
      <c r="B1238" s="13" t="s">
        <v>3696</v>
      </c>
      <c r="C1238" s="41" t="s">
        <v>3697</v>
      </c>
      <c r="D1238" s="13" t="s">
        <v>3698</v>
      </c>
      <c r="E1238" s="24" t="s">
        <v>12</v>
      </c>
      <c r="F1238" s="25">
        <v>8634.8079999999991</v>
      </c>
    </row>
    <row r="1239" spans="2:6">
      <c r="B1239" s="13" t="s">
        <v>3699</v>
      </c>
      <c r="C1239" s="41" t="s">
        <v>3700</v>
      </c>
      <c r="D1239" s="13" t="s">
        <v>3701</v>
      </c>
      <c r="E1239" s="24" t="s">
        <v>12</v>
      </c>
      <c r="F1239" s="25">
        <v>4382.2479999999996</v>
      </c>
    </row>
    <row r="1240" spans="2:6">
      <c r="B1240" s="13" t="s">
        <v>3702</v>
      </c>
      <c r="C1240" s="41" t="s">
        <v>3703</v>
      </c>
      <c r="D1240" s="13" t="s">
        <v>3704</v>
      </c>
      <c r="E1240" s="24" t="s">
        <v>12</v>
      </c>
      <c r="F1240" s="25">
        <v>2288.0918799999999</v>
      </c>
    </row>
    <row r="1241" spans="2:6">
      <c r="B1241" s="13" t="s">
        <v>3705</v>
      </c>
      <c r="C1241" s="41" t="s">
        <v>3706</v>
      </c>
      <c r="D1241" s="13" t="s">
        <v>3707</v>
      </c>
      <c r="E1241" s="24" t="s">
        <v>12</v>
      </c>
      <c r="F1241" s="25">
        <v>4382.2479999999996</v>
      </c>
    </row>
    <row r="1242" spans="2:6">
      <c r="B1242" s="13" t="s">
        <v>3708</v>
      </c>
      <c r="C1242" s="41" t="s">
        <v>3709</v>
      </c>
      <c r="D1242" s="13" t="s">
        <v>3710</v>
      </c>
      <c r="E1242" s="24" t="s">
        <v>12</v>
      </c>
      <c r="F1242" s="25">
        <v>12205.055999999999</v>
      </c>
    </row>
    <row r="1243" spans="2:6">
      <c r="B1243" s="13" t="s">
        <v>3711</v>
      </c>
      <c r="C1243" s="41" t="s">
        <v>3712</v>
      </c>
      <c r="D1243" s="13" t="s">
        <v>3713</v>
      </c>
      <c r="E1243" s="24" t="s">
        <v>12</v>
      </c>
      <c r="F1243" s="25">
        <v>25230</v>
      </c>
    </row>
    <row r="1244" spans="2:6">
      <c r="B1244" s="13" t="s">
        <v>3714</v>
      </c>
      <c r="C1244" s="41" t="s">
        <v>3715</v>
      </c>
      <c r="D1244" s="13" t="s">
        <v>3716</v>
      </c>
      <c r="E1244" s="24" t="s">
        <v>12</v>
      </c>
      <c r="F1244" s="25">
        <v>3162.5776000000001</v>
      </c>
    </row>
    <row r="1245" spans="2:6">
      <c r="B1245" s="13" t="s">
        <v>3717</v>
      </c>
      <c r="C1245" s="41" t="s">
        <v>3718</v>
      </c>
      <c r="D1245" s="13" t="s">
        <v>3719</v>
      </c>
      <c r="E1245" s="24" t="s">
        <v>12</v>
      </c>
      <c r="F1245" s="25">
        <v>43500</v>
      </c>
    </row>
    <row r="1246" spans="2:6">
      <c r="B1246" s="13" t="s">
        <v>3720</v>
      </c>
      <c r="C1246" s="43" t="s">
        <v>3721</v>
      </c>
      <c r="D1246" s="13" t="s">
        <v>3722</v>
      </c>
      <c r="E1246" s="24" t="s">
        <v>170</v>
      </c>
      <c r="F1246" s="25">
        <v>13530.000000000002</v>
      </c>
    </row>
    <row r="1247" spans="2:6">
      <c r="B1247" s="13" t="s">
        <v>3723</v>
      </c>
      <c r="C1247" s="43" t="s">
        <v>3724</v>
      </c>
      <c r="D1247" s="13" t="s">
        <v>3725</v>
      </c>
      <c r="E1247" s="24" t="s">
        <v>170</v>
      </c>
      <c r="F1247" s="25">
        <v>14740.000000000002</v>
      </c>
    </row>
    <row r="1248" spans="2:6">
      <c r="B1248" s="13" t="s">
        <v>3726</v>
      </c>
      <c r="C1248" s="43" t="s">
        <v>3727</v>
      </c>
      <c r="D1248" s="13" t="s">
        <v>3728</v>
      </c>
      <c r="E1248" s="24" t="s">
        <v>170</v>
      </c>
      <c r="F1248" s="25">
        <v>15620.000000000002</v>
      </c>
    </row>
    <row r="1249" spans="2:6">
      <c r="B1249" s="13" t="s">
        <v>3729</v>
      </c>
      <c r="C1249" s="43" t="s">
        <v>3730</v>
      </c>
      <c r="D1249" s="13" t="s">
        <v>3731</v>
      </c>
      <c r="E1249" s="24" t="s">
        <v>1134</v>
      </c>
      <c r="F1249" s="25">
        <v>9500</v>
      </c>
    </row>
    <row r="1250" spans="2:6">
      <c r="B1250" s="13" t="s">
        <v>3732</v>
      </c>
      <c r="C1250" s="44" t="s">
        <v>3733</v>
      </c>
      <c r="D1250" s="13" t="s">
        <v>3734</v>
      </c>
      <c r="E1250" s="24" t="s">
        <v>1134</v>
      </c>
      <c r="F1250" s="25">
        <v>8500</v>
      </c>
    </row>
    <row r="1251" spans="2:6">
      <c r="B1251" s="13" t="s">
        <v>3735</v>
      </c>
      <c r="C1251" s="44" t="s">
        <v>3736</v>
      </c>
      <c r="D1251" s="13" t="s">
        <v>3737</v>
      </c>
      <c r="E1251" s="24" t="s">
        <v>1134</v>
      </c>
      <c r="F1251" s="25">
        <v>9500</v>
      </c>
    </row>
    <row r="1252" spans="2:6">
      <c r="B1252" s="13" t="s">
        <v>3738</v>
      </c>
      <c r="C1252" s="44" t="s">
        <v>3739</v>
      </c>
      <c r="D1252" s="13" t="s">
        <v>3740</v>
      </c>
      <c r="E1252" s="24" t="s">
        <v>1134</v>
      </c>
      <c r="F1252" s="25">
        <v>8500</v>
      </c>
    </row>
    <row r="1253" spans="2:6">
      <c r="B1253" s="13" t="s">
        <v>3741</v>
      </c>
      <c r="C1253" s="33" t="s">
        <v>3955</v>
      </c>
      <c r="D1253" s="13" t="s">
        <v>3742</v>
      </c>
      <c r="E1253" s="24" t="s">
        <v>1134</v>
      </c>
      <c r="F1253" s="45">
        <v>5247.8399999999992</v>
      </c>
    </row>
    <row r="1254" spans="2:6">
      <c r="B1254" s="13" t="s">
        <v>3743</v>
      </c>
      <c r="C1254" s="33" t="s">
        <v>3956</v>
      </c>
      <c r="D1254" s="13" t="s">
        <v>3744</v>
      </c>
      <c r="E1254" s="24" t="s">
        <v>1134</v>
      </c>
      <c r="F1254" s="45">
        <v>5247.8399999999992</v>
      </c>
    </row>
    <row r="1255" spans="2:6">
      <c r="B1255" s="13" t="s">
        <v>3745</v>
      </c>
      <c r="C1255" s="33" t="s">
        <v>3957</v>
      </c>
      <c r="D1255" s="13" t="s">
        <v>3746</v>
      </c>
      <c r="E1255" s="24" t="s">
        <v>1134</v>
      </c>
      <c r="F1255" s="45">
        <v>8073.5999999999985</v>
      </c>
    </row>
    <row r="1256" spans="2:6">
      <c r="B1256" s="13" t="s">
        <v>3747</v>
      </c>
      <c r="C1256" s="41" t="s">
        <v>3748</v>
      </c>
      <c r="D1256" s="13" t="s">
        <v>3749</v>
      </c>
      <c r="E1256" s="24" t="s">
        <v>12</v>
      </c>
      <c r="F1256" s="25">
        <v>4500</v>
      </c>
    </row>
    <row r="1257" spans="2:6">
      <c r="B1257" s="13" t="s">
        <v>3750</v>
      </c>
      <c r="C1257" s="44" t="s">
        <v>3751</v>
      </c>
      <c r="D1257" s="13" t="s">
        <v>3752</v>
      </c>
      <c r="E1257" s="24" t="s">
        <v>12</v>
      </c>
      <c r="F1257" s="25">
        <v>100</v>
      </c>
    </row>
    <row r="1258" spans="2:6">
      <c r="B1258" s="13" t="s">
        <v>3753</v>
      </c>
      <c r="C1258" s="37" t="s">
        <v>3754</v>
      </c>
      <c r="D1258" s="13" t="s">
        <v>3755</v>
      </c>
      <c r="E1258" s="24" t="s">
        <v>12</v>
      </c>
      <c r="F1258" s="25">
        <v>800</v>
      </c>
    </row>
    <row r="1259" spans="2:6">
      <c r="B1259" s="13" t="s">
        <v>3756</v>
      </c>
      <c r="C1259" s="41" t="s">
        <v>3757</v>
      </c>
      <c r="D1259" s="13" t="s">
        <v>3758</v>
      </c>
      <c r="E1259" s="24" t="s">
        <v>12</v>
      </c>
      <c r="F1259" s="25">
        <v>2204</v>
      </c>
    </row>
    <row r="1260" spans="2:6">
      <c r="B1260" s="13" t="s">
        <v>3759</v>
      </c>
      <c r="C1260" s="44" t="s">
        <v>3760</v>
      </c>
      <c r="D1260" s="13" t="s">
        <v>3761</v>
      </c>
      <c r="E1260" s="24" t="s">
        <v>12</v>
      </c>
      <c r="F1260" s="25">
        <v>10000</v>
      </c>
    </row>
    <row r="1261" spans="2:6">
      <c r="B1261" s="13" t="s">
        <v>3762</v>
      </c>
      <c r="C1261" s="41" t="s">
        <v>3763</v>
      </c>
      <c r="D1261" s="13" t="s">
        <v>3764</v>
      </c>
      <c r="E1261" s="24" t="s">
        <v>12</v>
      </c>
      <c r="F1261" s="25">
        <v>5000</v>
      </c>
    </row>
    <row r="1262" spans="2:6">
      <c r="B1262" s="13" t="s">
        <v>3765</v>
      </c>
      <c r="C1262" s="41" t="s">
        <v>3766</v>
      </c>
      <c r="D1262" s="13" t="s">
        <v>3767</v>
      </c>
      <c r="E1262" s="24" t="s">
        <v>12</v>
      </c>
      <c r="F1262" s="25">
        <v>2000</v>
      </c>
    </row>
    <row r="1263" spans="2:6">
      <c r="B1263" s="13" t="s">
        <v>3768</v>
      </c>
      <c r="C1263" s="41" t="s">
        <v>3769</v>
      </c>
      <c r="D1263" s="13" t="s">
        <v>3770</v>
      </c>
      <c r="E1263" s="24" t="s">
        <v>12</v>
      </c>
      <c r="F1263" s="25">
        <v>4000</v>
      </c>
    </row>
    <row r="1264" spans="2:6">
      <c r="B1264" s="13" t="s">
        <v>3771</v>
      </c>
      <c r="C1264" s="41" t="s">
        <v>3772</v>
      </c>
      <c r="D1264" s="13" t="s">
        <v>3773</v>
      </c>
      <c r="E1264" s="24" t="s">
        <v>12</v>
      </c>
      <c r="F1264" s="25">
        <v>2668</v>
      </c>
    </row>
    <row r="1265" spans="2:6">
      <c r="B1265" s="13" t="s">
        <v>3774</v>
      </c>
      <c r="C1265" s="41" t="s">
        <v>3775</v>
      </c>
      <c r="D1265" s="13" t="s">
        <v>3776</v>
      </c>
      <c r="E1265" s="24" t="s">
        <v>12</v>
      </c>
      <c r="F1265" s="25">
        <v>2668</v>
      </c>
    </row>
    <row r="1266" spans="2:6">
      <c r="B1266" s="13" t="s">
        <v>3777</v>
      </c>
      <c r="C1266" s="41" t="s">
        <v>3778</v>
      </c>
      <c r="D1266" s="13" t="s">
        <v>3779</v>
      </c>
      <c r="E1266" s="24" t="s">
        <v>12</v>
      </c>
      <c r="F1266" s="25">
        <v>1183</v>
      </c>
    </row>
    <row r="1267" spans="2:6">
      <c r="B1267" s="13" t="s">
        <v>3780</v>
      </c>
      <c r="C1267" s="41" t="s">
        <v>3781</v>
      </c>
      <c r="D1267" s="13" t="s">
        <v>3782</v>
      </c>
      <c r="E1267" s="24" t="s">
        <v>12</v>
      </c>
      <c r="F1267" s="25">
        <v>3942.9</v>
      </c>
    </row>
    <row r="1268" spans="2:6">
      <c r="B1268" s="13" t="s">
        <v>3783</v>
      </c>
      <c r="C1268" s="23" t="s">
        <v>3784</v>
      </c>
      <c r="D1268" s="13" t="s">
        <v>3785</v>
      </c>
      <c r="E1268" s="24" t="s">
        <v>12</v>
      </c>
      <c r="F1268" s="25">
        <v>5954</v>
      </c>
    </row>
    <row r="1269" spans="2:6">
      <c r="B1269" s="13" t="s">
        <v>3786</v>
      </c>
      <c r="C1269" s="41" t="s">
        <v>3787</v>
      </c>
      <c r="D1269" s="13" t="s">
        <v>3788</v>
      </c>
      <c r="E1269" s="24" t="s">
        <v>12</v>
      </c>
      <c r="F1269" s="25">
        <v>15230.800000000001</v>
      </c>
    </row>
    <row r="1270" spans="2:6">
      <c r="B1270" s="13" t="s">
        <v>3789</v>
      </c>
      <c r="C1270" s="23" t="s">
        <v>3790</v>
      </c>
      <c r="D1270" s="13" t="s">
        <v>3791</v>
      </c>
      <c r="E1270" s="24" t="s">
        <v>12</v>
      </c>
      <c r="F1270" s="25">
        <v>1545.7</v>
      </c>
    </row>
    <row r="1271" spans="2:6">
      <c r="B1271" s="13" t="s">
        <v>3792</v>
      </c>
      <c r="C1271" s="23" t="s">
        <v>3793</v>
      </c>
      <c r="D1271" s="13" t="s">
        <v>3794</v>
      </c>
      <c r="E1271" s="24" t="s">
        <v>12</v>
      </c>
      <c r="F1271" s="25">
        <v>24233.3</v>
      </c>
    </row>
    <row r="1272" spans="2:6">
      <c r="B1272" s="13" t="s">
        <v>3795</v>
      </c>
      <c r="C1272" s="23" t="s">
        <v>3796</v>
      </c>
      <c r="D1272" s="13" t="s">
        <v>3797</v>
      </c>
      <c r="E1272" s="24" t="s">
        <v>12</v>
      </c>
      <c r="F1272" s="25">
        <v>0</v>
      </c>
    </row>
    <row r="1273" spans="2:6">
      <c r="B1273" s="13" t="s">
        <v>3798</v>
      </c>
      <c r="C1273" s="23" t="s">
        <v>3799</v>
      </c>
      <c r="D1273" s="13" t="s">
        <v>3800</v>
      </c>
      <c r="E1273" s="24" t="s">
        <v>12</v>
      </c>
      <c r="F1273" s="25">
        <v>0</v>
      </c>
    </row>
    <row r="1274" spans="2:6">
      <c r="B1274" s="13" t="s">
        <v>3801</v>
      </c>
      <c r="C1274" s="23" t="s">
        <v>3802</v>
      </c>
      <c r="D1274" s="13" t="s">
        <v>3803</v>
      </c>
      <c r="E1274" s="24" t="s">
        <v>12</v>
      </c>
      <c r="F1274" s="25">
        <v>0</v>
      </c>
    </row>
    <row r="1275" spans="2:6">
      <c r="B1275" s="13" t="s">
        <v>3804</v>
      </c>
      <c r="C1275" s="23" t="s">
        <v>3805</v>
      </c>
      <c r="D1275" s="13" t="s">
        <v>3806</v>
      </c>
      <c r="E1275" s="24" t="s">
        <v>12</v>
      </c>
      <c r="F1275" s="25">
        <v>8960</v>
      </c>
    </row>
    <row r="1276" spans="2:6">
      <c r="B1276" s="13" t="s">
        <v>3807</v>
      </c>
      <c r="C1276" s="23" t="s">
        <v>3808</v>
      </c>
      <c r="D1276" s="13" t="s">
        <v>3809</v>
      </c>
      <c r="E1276" s="24" t="s">
        <v>12</v>
      </c>
      <c r="F1276" s="25">
        <v>22400.000000000004</v>
      </c>
    </row>
    <row r="1277" spans="2:6">
      <c r="B1277" s="13" t="s">
        <v>3810</v>
      </c>
      <c r="C1277" s="23" t="s">
        <v>3811</v>
      </c>
      <c r="D1277" s="13" t="s">
        <v>3812</v>
      </c>
      <c r="E1277" s="24" t="s">
        <v>12</v>
      </c>
      <c r="F1277" s="25">
        <v>0</v>
      </c>
    </row>
    <row r="1278" spans="2:6">
      <c r="B1278" s="13" t="s">
        <v>3813</v>
      </c>
      <c r="C1278" s="23" t="s">
        <v>3814</v>
      </c>
      <c r="D1278" s="13" t="s">
        <v>3815</v>
      </c>
      <c r="E1278" s="24" t="s">
        <v>12</v>
      </c>
      <c r="F1278" s="25">
        <v>0</v>
      </c>
    </row>
    <row r="1279" spans="2:6">
      <c r="B1279" s="13" t="s">
        <v>3816</v>
      </c>
      <c r="C1279" s="23" t="s">
        <v>3817</v>
      </c>
      <c r="D1279" s="13" t="s">
        <v>3818</v>
      </c>
      <c r="E1279" s="24" t="s">
        <v>12</v>
      </c>
      <c r="F1279" s="25">
        <v>346.26</v>
      </c>
    </row>
    <row r="1280" spans="2:6">
      <c r="B1280" s="13" t="s">
        <v>3819</v>
      </c>
      <c r="C1280" s="23" t="s">
        <v>3820</v>
      </c>
      <c r="D1280" s="13" t="s">
        <v>3821</v>
      </c>
      <c r="E1280" s="24" t="s">
        <v>12</v>
      </c>
      <c r="F1280" s="25">
        <v>132.82</v>
      </c>
    </row>
    <row r="1281" spans="2:6">
      <c r="B1281" s="13" t="s">
        <v>3822</v>
      </c>
      <c r="C1281" s="23" t="s">
        <v>3823</v>
      </c>
      <c r="D1281" s="13" t="s">
        <v>3824</v>
      </c>
      <c r="E1281" s="24" t="s">
        <v>12</v>
      </c>
      <c r="F1281" s="25">
        <v>869.99999999999989</v>
      </c>
    </row>
    <row r="1282" spans="2:6">
      <c r="B1282" s="13" t="s">
        <v>3825</v>
      </c>
      <c r="C1282" s="23" t="s">
        <v>3826</v>
      </c>
      <c r="D1282" s="13" t="s">
        <v>3827</v>
      </c>
      <c r="E1282" s="24" t="s">
        <v>12</v>
      </c>
      <c r="F1282" s="25">
        <v>1425.06</v>
      </c>
    </row>
    <row r="1283" spans="2:6">
      <c r="B1283" s="13" t="s">
        <v>3828</v>
      </c>
      <c r="C1283" s="23" t="s">
        <v>3829</v>
      </c>
      <c r="D1283" s="13" t="s">
        <v>3830</v>
      </c>
      <c r="E1283" s="24" t="s">
        <v>12</v>
      </c>
      <c r="F1283" s="25">
        <v>6987.2599999999993</v>
      </c>
    </row>
    <row r="1284" spans="2:6">
      <c r="B1284" s="13" t="s">
        <v>3831</v>
      </c>
      <c r="C1284" s="23" t="s">
        <v>3832</v>
      </c>
      <c r="D1284" s="13" t="s">
        <v>3833</v>
      </c>
      <c r="E1284" s="24" t="s">
        <v>12</v>
      </c>
      <c r="F1284" s="25">
        <v>211.7</v>
      </c>
    </row>
    <row r="1285" spans="2:6">
      <c r="B1285" s="13" t="s">
        <v>3834</v>
      </c>
      <c r="C1285" s="23" t="s">
        <v>3835</v>
      </c>
      <c r="D1285" s="13" t="s">
        <v>3836</v>
      </c>
      <c r="E1285" s="24" t="s">
        <v>12</v>
      </c>
      <c r="F1285" s="25">
        <v>15187.3</v>
      </c>
    </row>
    <row r="1286" spans="2:6">
      <c r="B1286" s="13" t="s">
        <v>3837</v>
      </c>
      <c r="C1286" s="23" t="s">
        <v>3838</v>
      </c>
      <c r="D1286" s="13" t="s">
        <v>3839</v>
      </c>
      <c r="E1286" s="24" t="s">
        <v>12</v>
      </c>
      <c r="F1286" s="25">
        <v>2185.0919999999996</v>
      </c>
    </row>
    <row r="1287" spans="2:6">
      <c r="B1287" s="13" t="s">
        <v>3840</v>
      </c>
      <c r="C1287" s="23" t="s">
        <v>3841</v>
      </c>
      <c r="D1287" s="13" t="s">
        <v>3842</v>
      </c>
      <c r="E1287" s="24" t="s">
        <v>12</v>
      </c>
      <c r="F1287" s="25">
        <v>439.04</v>
      </c>
    </row>
    <row r="1288" spans="2:6">
      <c r="B1288" s="13" t="s">
        <v>3843</v>
      </c>
      <c r="C1288" s="23" t="s">
        <v>3844</v>
      </c>
      <c r="D1288" s="13" t="s">
        <v>3845</v>
      </c>
      <c r="E1288" s="24" t="s">
        <v>12</v>
      </c>
      <c r="F1288" s="25">
        <v>1860.3200000000002</v>
      </c>
    </row>
    <row r="1289" spans="2:6">
      <c r="B1289" s="13" t="s">
        <v>3846</v>
      </c>
      <c r="C1289" s="23" t="s">
        <v>3847</v>
      </c>
      <c r="D1289" s="13" t="s">
        <v>3848</v>
      </c>
      <c r="E1289" s="24" t="s">
        <v>12</v>
      </c>
      <c r="F1289" s="25">
        <v>2821.28</v>
      </c>
    </row>
    <row r="1290" spans="2:6">
      <c r="B1290" s="13" t="s">
        <v>3849</v>
      </c>
      <c r="C1290" s="23" t="s">
        <v>3850</v>
      </c>
      <c r="D1290" s="13" t="s">
        <v>3851</v>
      </c>
      <c r="E1290" s="24" t="s">
        <v>12</v>
      </c>
      <c r="F1290" s="25">
        <v>3721.76</v>
      </c>
    </row>
    <row r="1291" spans="2:6">
      <c r="B1291" s="13" t="s">
        <v>3852</v>
      </c>
      <c r="C1291" s="23" t="s">
        <v>3853</v>
      </c>
      <c r="D1291" s="13" t="s">
        <v>3854</v>
      </c>
      <c r="E1291" s="24" t="s">
        <v>12</v>
      </c>
      <c r="F1291" s="25">
        <v>686.56000000000006</v>
      </c>
    </row>
    <row r="1292" spans="2:6">
      <c r="B1292" s="13" t="s">
        <v>3855</v>
      </c>
      <c r="C1292" s="23" t="s">
        <v>3856</v>
      </c>
      <c r="D1292" s="13" t="s">
        <v>3857</v>
      </c>
      <c r="E1292" s="24" t="s">
        <v>12</v>
      </c>
      <c r="F1292" s="25">
        <v>11223.52</v>
      </c>
    </row>
    <row r="1293" spans="2:6">
      <c r="B1293" s="13" t="s">
        <v>3858</v>
      </c>
      <c r="C1293" s="23" t="s">
        <v>3859</v>
      </c>
      <c r="D1293" s="13" t="s">
        <v>3860</v>
      </c>
      <c r="E1293" s="24" t="s">
        <v>12</v>
      </c>
      <c r="F1293" s="25">
        <v>80306</v>
      </c>
    </row>
    <row r="1294" spans="2:6">
      <c r="B1294" s="13" t="s">
        <v>3861</v>
      </c>
      <c r="C1294" s="21" t="s">
        <v>3862</v>
      </c>
      <c r="D1294" s="13" t="s">
        <v>3863</v>
      </c>
      <c r="E1294" s="24" t="s">
        <v>12</v>
      </c>
      <c r="F1294" s="25">
        <v>42385</v>
      </c>
    </row>
    <row r="1295" spans="2:6">
      <c r="B1295" s="13" t="s">
        <v>3864</v>
      </c>
      <c r="C1295" s="23" t="s">
        <v>3865</v>
      </c>
      <c r="D1295" s="13" t="s">
        <v>3866</v>
      </c>
      <c r="E1295" s="24" t="s">
        <v>12</v>
      </c>
      <c r="F1295" s="25">
        <v>18119</v>
      </c>
    </row>
    <row r="1296" spans="2:6">
      <c r="B1296" s="13" t="s">
        <v>3867</v>
      </c>
      <c r="C1296" s="23" t="s">
        <v>3868</v>
      </c>
      <c r="D1296" s="13" t="s">
        <v>3869</v>
      </c>
      <c r="E1296" s="24" t="s">
        <v>12</v>
      </c>
      <c r="F1296" s="25">
        <v>103936</v>
      </c>
    </row>
    <row r="1297" spans="2:6">
      <c r="B1297" s="13" t="s">
        <v>3870</v>
      </c>
      <c r="C1297" s="23" t="s">
        <v>3871</v>
      </c>
      <c r="D1297" s="13" t="s">
        <v>3872</v>
      </c>
      <c r="E1297" s="24" t="s">
        <v>12</v>
      </c>
      <c r="F1297" s="25">
        <v>25000</v>
      </c>
    </row>
    <row r="1298" spans="2:6">
      <c r="B1298" s="13" t="s">
        <v>3873</v>
      </c>
      <c r="C1298" s="23" t="s">
        <v>3874</v>
      </c>
      <c r="D1298" s="13" t="s">
        <v>3875</v>
      </c>
      <c r="E1298" s="24" t="s">
        <v>12</v>
      </c>
      <c r="F1298" s="25">
        <v>120000</v>
      </c>
    </row>
    <row r="1299" spans="2:6">
      <c r="B1299" s="13" t="s">
        <v>3876</v>
      </c>
      <c r="C1299" s="23" t="s">
        <v>3877</v>
      </c>
      <c r="D1299" s="13" t="s">
        <v>3878</v>
      </c>
      <c r="E1299" s="24" t="s">
        <v>12</v>
      </c>
      <c r="F1299" s="25">
        <v>15000</v>
      </c>
    </row>
    <row r="1300" spans="2:6">
      <c r="B1300" s="13" t="s">
        <v>3879</v>
      </c>
      <c r="C1300" s="23" t="s">
        <v>3880</v>
      </c>
      <c r="D1300" s="13" t="s">
        <v>3881</v>
      </c>
      <c r="E1300" s="24" t="s">
        <v>12</v>
      </c>
      <c r="F1300" s="25">
        <v>6500</v>
      </c>
    </row>
    <row r="1301" spans="2:6">
      <c r="B1301" s="13" t="s">
        <v>3882</v>
      </c>
      <c r="C1301" s="23" t="s">
        <v>3883</v>
      </c>
      <c r="D1301" s="13" t="s">
        <v>3884</v>
      </c>
      <c r="E1301" s="24" t="s">
        <v>12</v>
      </c>
      <c r="F1301" s="25">
        <v>24000</v>
      </c>
    </row>
    <row r="1302" spans="2:6">
      <c r="B1302" s="13" t="s">
        <v>3885</v>
      </c>
      <c r="C1302" s="29" t="s">
        <v>3886</v>
      </c>
      <c r="D1302" s="13" t="s">
        <v>3887</v>
      </c>
      <c r="E1302" s="24" t="s">
        <v>12</v>
      </c>
      <c r="F1302" s="25">
        <v>1000</v>
      </c>
    </row>
    <row r="1303" spans="2:6">
      <c r="B1303" s="13" t="s">
        <v>3888</v>
      </c>
      <c r="C1303" s="41" t="s">
        <v>3889</v>
      </c>
      <c r="D1303" s="13" t="s">
        <v>3890</v>
      </c>
      <c r="E1303" s="46" t="s">
        <v>12</v>
      </c>
      <c r="F1303" s="47">
        <v>6000</v>
      </c>
    </row>
    <row r="1304" spans="2:6">
      <c r="B1304" s="13" t="s">
        <v>3954</v>
      </c>
      <c r="C1304" s="41" t="s">
        <v>3924</v>
      </c>
      <c r="D1304" s="13" t="s">
        <v>3925</v>
      </c>
      <c r="E1304" s="24" t="s">
        <v>12</v>
      </c>
      <c r="F1304" s="47">
        <v>5000</v>
      </c>
    </row>
    <row r="1305" spans="2:6">
      <c r="B1305" s="13"/>
      <c r="C1305" s="41" t="s">
        <v>4104</v>
      </c>
      <c r="D1305" s="13"/>
      <c r="E1305" s="24" t="s">
        <v>12</v>
      </c>
      <c r="F1305" s="47">
        <v>2534.6</v>
      </c>
    </row>
    <row r="1306" spans="2:6">
      <c r="B1306" s="13">
        <v>152</v>
      </c>
      <c r="C1306" s="41" t="s">
        <v>3972</v>
      </c>
      <c r="D1306" s="13"/>
      <c r="E1306" s="50" t="s">
        <v>3</v>
      </c>
      <c r="F1306" s="47">
        <v>32912.447999999997</v>
      </c>
    </row>
    <row r="1307" spans="2:6">
      <c r="B1307" s="13">
        <v>153</v>
      </c>
      <c r="C1307" s="41" t="s">
        <v>3973</v>
      </c>
      <c r="D1307" s="13"/>
      <c r="E1307" s="50" t="s">
        <v>3</v>
      </c>
      <c r="F1307" s="47">
        <v>51045.509999999995</v>
      </c>
    </row>
    <row r="1308" spans="2:6">
      <c r="B1308" s="13">
        <v>154</v>
      </c>
      <c r="C1308" s="41" t="s">
        <v>3974</v>
      </c>
      <c r="D1308" s="13"/>
      <c r="E1308" s="50" t="s">
        <v>3</v>
      </c>
      <c r="F1308" s="47">
        <v>85375.999999999985</v>
      </c>
    </row>
    <row r="1309" spans="2:6">
      <c r="B1309" s="13">
        <v>155</v>
      </c>
      <c r="C1309" s="41" t="s">
        <v>3975</v>
      </c>
      <c r="D1309" s="13"/>
      <c r="E1309" s="50" t="s">
        <v>3</v>
      </c>
      <c r="F1309" s="47">
        <v>107915.26399999998</v>
      </c>
    </row>
    <row r="1310" spans="2:6">
      <c r="B1310" s="13">
        <v>156</v>
      </c>
      <c r="C1310" s="41" t="s">
        <v>3976</v>
      </c>
      <c r="D1310" s="13"/>
      <c r="E1310" s="50" t="s">
        <v>3</v>
      </c>
      <c r="F1310" s="47">
        <v>276105.984</v>
      </c>
    </row>
    <row r="1311" spans="2:6">
      <c r="B1311" s="13">
        <v>157</v>
      </c>
      <c r="C1311" s="41" t="s">
        <v>3977</v>
      </c>
      <c r="D1311" s="13"/>
      <c r="E1311" s="50" t="s">
        <v>3</v>
      </c>
      <c r="F1311" s="47">
        <v>3178.9219999999996</v>
      </c>
    </row>
    <row r="1312" spans="2:6">
      <c r="B1312" s="13">
        <v>158</v>
      </c>
      <c r="C1312" s="41" t="s">
        <v>3978</v>
      </c>
      <c r="D1312" s="13"/>
      <c r="E1312" s="50" t="s">
        <v>3</v>
      </c>
      <c r="F1312" s="47">
        <v>4348.8399999999992</v>
      </c>
    </row>
    <row r="1313" spans="2:6">
      <c r="B1313" s="13">
        <v>159</v>
      </c>
      <c r="C1313" s="41" t="s">
        <v>3979</v>
      </c>
      <c r="D1313" s="13"/>
      <c r="E1313" s="50" t="s">
        <v>3</v>
      </c>
      <c r="F1313" s="47">
        <v>8529.5959999999995</v>
      </c>
    </row>
    <row r="1314" spans="2:6">
      <c r="B1314" s="13">
        <v>160</v>
      </c>
      <c r="C1314" s="41" t="s">
        <v>3980</v>
      </c>
      <c r="D1314" s="13"/>
      <c r="E1314" s="50" t="s">
        <v>3</v>
      </c>
      <c r="F1314" s="47">
        <v>12915.787999999999</v>
      </c>
    </row>
    <row r="1315" spans="2:6">
      <c r="B1315" s="13">
        <v>161</v>
      </c>
      <c r="C1315" s="41" t="s">
        <v>3981</v>
      </c>
      <c r="D1315" s="13"/>
      <c r="E1315" s="50" t="s">
        <v>3</v>
      </c>
      <c r="F1315" s="47">
        <v>21301.311999999998</v>
      </c>
    </row>
    <row r="1316" spans="2:6">
      <c r="B1316" s="13">
        <v>162</v>
      </c>
      <c r="C1316" s="41" t="s">
        <v>3982</v>
      </c>
      <c r="D1316" s="13"/>
      <c r="E1316" s="50" t="s">
        <v>4150</v>
      </c>
      <c r="F1316" s="47">
        <v>4813.0719999999992</v>
      </c>
    </row>
    <row r="1317" spans="2:6">
      <c r="B1317" s="13">
        <v>163</v>
      </c>
      <c r="C1317" s="41" t="s">
        <v>3983</v>
      </c>
      <c r="D1317" s="13"/>
      <c r="E1317" s="50" t="s">
        <v>4150</v>
      </c>
      <c r="F1317" s="47">
        <v>3839.2519999999995</v>
      </c>
    </row>
    <row r="1318" spans="2:6">
      <c r="B1318" s="13">
        <v>164</v>
      </c>
      <c r="C1318" s="41" t="s">
        <v>3984</v>
      </c>
      <c r="D1318" s="13"/>
      <c r="E1318" s="50" t="s">
        <v>3</v>
      </c>
      <c r="F1318" s="47">
        <v>24133.393999999997</v>
      </c>
    </row>
    <row r="1319" spans="2:6">
      <c r="B1319" s="13">
        <v>165</v>
      </c>
      <c r="C1319" s="41" t="s">
        <v>3985</v>
      </c>
      <c r="D1319" s="13"/>
      <c r="E1319" s="50" t="s">
        <v>3</v>
      </c>
      <c r="F1319" s="47">
        <v>21111.883999999998</v>
      </c>
    </row>
    <row r="1320" spans="2:6">
      <c r="B1320" s="13">
        <v>166</v>
      </c>
      <c r="C1320" s="41" t="s">
        <v>3986</v>
      </c>
      <c r="D1320" s="13"/>
      <c r="E1320" s="50" t="s">
        <v>3</v>
      </c>
      <c r="F1320" s="47">
        <v>20544.933999999997</v>
      </c>
    </row>
    <row r="1321" spans="2:6">
      <c r="B1321" s="13">
        <v>167</v>
      </c>
      <c r="C1321" s="41" t="s">
        <v>3987</v>
      </c>
      <c r="D1321" s="13"/>
      <c r="E1321" s="50" t="s">
        <v>3</v>
      </c>
      <c r="F1321" s="47">
        <v>25376.681999999997</v>
      </c>
    </row>
    <row r="1322" spans="2:6">
      <c r="B1322" s="13">
        <v>168</v>
      </c>
      <c r="C1322" s="41" t="s">
        <v>3988</v>
      </c>
      <c r="D1322" s="13"/>
      <c r="E1322" s="50" t="s">
        <v>3</v>
      </c>
      <c r="F1322" s="47">
        <v>31072.861999999997</v>
      </c>
    </row>
    <row r="1323" spans="2:6">
      <c r="B1323" s="13">
        <v>169</v>
      </c>
      <c r="C1323" s="41" t="s">
        <v>3989</v>
      </c>
      <c r="D1323" s="13"/>
      <c r="E1323" s="50" t="s">
        <v>3</v>
      </c>
      <c r="F1323" s="47">
        <v>32066.691999999995</v>
      </c>
    </row>
    <row r="1324" spans="2:6">
      <c r="B1324" s="13">
        <v>170</v>
      </c>
      <c r="C1324" s="41" t="s">
        <v>3990</v>
      </c>
      <c r="D1324" s="13"/>
      <c r="E1324" s="50" t="s">
        <v>3</v>
      </c>
      <c r="F1324" s="47">
        <v>24185.42</v>
      </c>
    </row>
    <row r="1325" spans="2:6">
      <c r="B1325" s="13">
        <v>171</v>
      </c>
      <c r="C1325" s="41" t="s">
        <v>3991</v>
      </c>
      <c r="D1325" s="13"/>
      <c r="E1325" s="50" t="s">
        <v>3</v>
      </c>
      <c r="F1325" s="47">
        <v>36727.687999999995</v>
      </c>
    </row>
    <row r="1326" spans="2:6">
      <c r="B1326" s="13">
        <v>172</v>
      </c>
      <c r="C1326" s="41" t="s">
        <v>3992</v>
      </c>
      <c r="D1326" s="13"/>
      <c r="E1326" s="50" t="s">
        <v>3</v>
      </c>
      <c r="F1326" s="47">
        <v>36143.395999999993</v>
      </c>
    </row>
    <row r="1327" spans="2:6">
      <c r="B1327" s="13">
        <v>173</v>
      </c>
      <c r="C1327" s="41" t="s">
        <v>3993</v>
      </c>
      <c r="D1327" s="13"/>
      <c r="E1327" s="50" t="s">
        <v>3</v>
      </c>
      <c r="F1327" s="47">
        <v>56928.45</v>
      </c>
    </row>
    <row r="1328" spans="2:6">
      <c r="B1328" s="13">
        <v>174</v>
      </c>
      <c r="C1328" s="41" t="s">
        <v>3994</v>
      </c>
      <c r="D1328" s="13"/>
      <c r="E1328" s="50" t="s">
        <v>3</v>
      </c>
      <c r="F1328" s="47">
        <v>73764.863999999987</v>
      </c>
    </row>
    <row r="1329" spans="2:10">
      <c r="B1329" s="13">
        <v>175</v>
      </c>
      <c r="C1329" s="41" t="s">
        <v>3995</v>
      </c>
      <c r="D1329" s="13"/>
      <c r="E1329" s="50" t="s">
        <v>3</v>
      </c>
      <c r="F1329" s="47">
        <v>66251.775999999998</v>
      </c>
    </row>
    <row r="1330" spans="2:10">
      <c r="B1330" s="13">
        <v>176</v>
      </c>
      <c r="C1330" s="41" t="s">
        <v>3996</v>
      </c>
      <c r="D1330" s="13"/>
      <c r="E1330" s="50" t="s">
        <v>3</v>
      </c>
      <c r="F1330" s="47">
        <v>62896.765999999996</v>
      </c>
    </row>
    <row r="1331" spans="2:10">
      <c r="B1331" s="13">
        <v>177</v>
      </c>
      <c r="C1331" s="41" t="s">
        <v>3997</v>
      </c>
      <c r="D1331" s="13"/>
      <c r="E1331" s="50" t="s">
        <v>3</v>
      </c>
      <c r="F1331" s="47">
        <f>J1331</f>
        <v>5778.887999999999</v>
      </c>
      <c r="G1331" s="14">
        <v>4332</v>
      </c>
      <c r="H1331" s="14">
        <v>1.1599999999999999</v>
      </c>
      <c r="I1331" s="14">
        <v>1.1499999999999999</v>
      </c>
      <c r="J1331" s="14">
        <f>G1331*H1331*I1331</f>
        <v>5778.887999999999</v>
      </c>
    </row>
    <row r="1332" spans="2:10">
      <c r="B1332" s="13">
        <v>178</v>
      </c>
      <c r="C1332" s="41" t="s">
        <v>3998</v>
      </c>
      <c r="D1332" s="13"/>
      <c r="E1332" s="50" t="s">
        <v>3</v>
      </c>
      <c r="F1332" s="47">
        <f t="shared" ref="F1332:F1338" si="0">J1332</f>
        <v>5778.887999999999</v>
      </c>
      <c r="G1332" s="14">
        <v>4332</v>
      </c>
      <c r="H1332" s="14">
        <v>1.1599999999999999</v>
      </c>
      <c r="I1332" s="14">
        <v>1.1499999999999999</v>
      </c>
      <c r="J1332" s="14">
        <f t="shared" ref="J1332:J1338" si="1">G1332*H1332*I1332</f>
        <v>5778.887999999999</v>
      </c>
    </row>
    <row r="1333" spans="2:10">
      <c r="B1333" s="13">
        <v>179</v>
      </c>
      <c r="C1333" s="41" t="s">
        <v>3999</v>
      </c>
      <c r="D1333" s="13"/>
      <c r="E1333" s="50" t="s">
        <v>3</v>
      </c>
      <c r="F1333" s="47">
        <f t="shared" si="0"/>
        <v>7038.1839999999993</v>
      </c>
      <c r="G1333" s="14">
        <v>5276</v>
      </c>
      <c r="H1333" s="14">
        <v>1.1599999999999999</v>
      </c>
      <c r="I1333" s="14">
        <v>1.1499999999999999</v>
      </c>
      <c r="J1333" s="14">
        <f t="shared" si="1"/>
        <v>7038.1839999999993</v>
      </c>
    </row>
    <row r="1334" spans="2:10">
      <c r="B1334" s="13">
        <v>180</v>
      </c>
      <c r="C1334" s="41" t="s">
        <v>4000</v>
      </c>
      <c r="D1334" s="13"/>
      <c r="E1334" s="50" t="s">
        <v>3</v>
      </c>
      <c r="F1334" s="47">
        <f t="shared" si="0"/>
        <v>12005.999999999998</v>
      </c>
      <c r="G1334" s="14">
        <v>9000</v>
      </c>
      <c r="H1334" s="14">
        <v>1.1599999999999999</v>
      </c>
      <c r="I1334" s="14">
        <v>1.1499999999999999</v>
      </c>
      <c r="J1334" s="14">
        <f t="shared" si="1"/>
        <v>12005.999999999998</v>
      </c>
    </row>
    <row r="1335" spans="2:10">
      <c r="B1335" s="13">
        <v>181</v>
      </c>
      <c r="C1335" s="41" t="s">
        <v>4001</v>
      </c>
      <c r="D1335" s="13"/>
      <c r="E1335" s="50" t="s">
        <v>3</v>
      </c>
      <c r="F1335" s="47">
        <f t="shared" si="0"/>
        <v>8348.1719999999987</v>
      </c>
      <c r="G1335" s="14">
        <v>6258</v>
      </c>
      <c r="H1335" s="14">
        <v>1.1599999999999999</v>
      </c>
      <c r="I1335" s="14">
        <v>1.1499999999999999</v>
      </c>
      <c r="J1335" s="14">
        <f t="shared" si="1"/>
        <v>8348.1719999999987</v>
      </c>
    </row>
    <row r="1336" spans="2:10">
      <c r="B1336" s="13">
        <v>182</v>
      </c>
      <c r="C1336" s="41" t="s">
        <v>4002</v>
      </c>
      <c r="D1336" s="13"/>
      <c r="E1336" s="50" t="s">
        <v>3</v>
      </c>
      <c r="F1336" s="47">
        <f t="shared" si="0"/>
        <v>8348.1719999999987</v>
      </c>
      <c r="G1336" s="14">
        <v>6258</v>
      </c>
      <c r="H1336" s="14">
        <v>1.1599999999999999</v>
      </c>
      <c r="I1336" s="14">
        <v>1.1499999999999999</v>
      </c>
      <c r="J1336" s="14">
        <f t="shared" si="1"/>
        <v>8348.1719999999987</v>
      </c>
    </row>
    <row r="1337" spans="2:10">
      <c r="B1337" s="13">
        <v>183</v>
      </c>
      <c r="C1337" s="41" t="s">
        <v>4003</v>
      </c>
      <c r="D1337" s="13"/>
      <c r="E1337" s="50" t="s">
        <v>3</v>
      </c>
      <c r="F1337" s="47">
        <f t="shared" si="0"/>
        <v>9570.116</v>
      </c>
      <c r="G1337" s="14">
        <v>7174</v>
      </c>
      <c r="H1337" s="14">
        <v>1.1599999999999999</v>
      </c>
      <c r="I1337" s="14">
        <v>1.1499999999999999</v>
      </c>
      <c r="J1337" s="14">
        <f t="shared" si="1"/>
        <v>9570.116</v>
      </c>
    </row>
    <row r="1338" spans="2:10">
      <c r="B1338" s="13">
        <v>184</v>
      </c>
      <c r="C1338" s="41" t="s">
        <v>4004</v>
      </c>
      <c r="D1338" s="13"/>
      <c r="E1338" s="50" t="s">
        <v>3</v>
      </c>
      <c r="F1338" s="47">
        <f t="shared" si="0"/>
        <v>13281.303999999998</v>
      </c>
      <c r="G1338" s="14">
        <v>9956</v>
      </c>
      <c r="H1338" s="14">
        <v>1.1599999999999999</v>
      </c>
      <c r="I1338" s="14">
        <v>1.1499999999999999</v>
      </c>
      <c r="J1338" s="14">
        <f t="shared" si="1"/>
        <v>13281.303999999998</v>
      </c>
    </row>
    <row r="1339" spans="2:10">
      <c r="B1339" s="13">
        <v>185</v>
      </c>
      <c r="C1339" s="41" t="s">
        <v>4005</v>
      </c>
      <c r="D1339" s="13"/>
      <c r="E1339" s="50" t="s">
        <v>3</v>
      </c>
      <c r="F1339" s="47">
        <v>20154.071999999996</v>
      </c>
    </row>
    <row r="1340" spans="2:10">
      <c r="B1340" s="13">
        <v>186</v>
      </c>
      <c r="C1340" s="41" t="s">
        <v>4006</v>
      </c>
      <c r="D1340" s="13"/>
      <c r="E1340" s="50" t="s">
        <v>3</v>
      </c>
      <c r="F1340" s="47">
        <v>25982.317999999996</v>
      </c>
    </row>
    <row r="1341" spans="2:10">
      <c r="B1341" s="13">
        <v>187</v>
      </c>
      <c r="C1341" s="41" t="s">
        <v>4007</v>
      </c>
      <c r="D1341" s="13"/>
      <c r="E1341" s="50" t="s">
        <v>3</v>
      </c>
      <c r="F1341" s="47">
        <v>24185.42</v>
      </c>
    </row>
    <row r="1342" spans="2:10">
      <c r="B1342" s="13">
        <v>188</v>
      </c>
      <c r="C1342" s="41" t="s">
        <v>4008</v>
      </c>
      <c r="D1342" s="13"/>
      <c r="E1342" s="50" t="s">
        <v>3</v>
      </c>
      <c r="F1342" s="47">
        <v>47461.051999999996</v>
      </c>
    </row>
    <row r="1343" spans="2:10">
      <c r="B1343" s="13">
        <v>189</v>
      </c>
      <c r="C1343" s="41" t="s">
        <v>4009</v>
      </c>
      <c r="D1343" s="13"/>
      <c r="E1343" s="51" t="s">
        <v>3</v>
      </c>
      <c r="F1343" s="47">
        <v>26217.101999999995</v>
      </c>
    </row>
    <row r="1344" spans="2:10">
      <c r="B1344" s="13">
        <v>190</v>
      </c>
      <c r="C1344" s="41" t="s">
        <v>4010</v>
      </c>
      <c r="D1344" s="13"/>
      <c r="E1344" s="51" t="s">
        <v>3</v>
      </c>
      <c r="F1344" s="47">
        <v>32743.029999999995</v>
      </c>
    </row>
    <row r="1345" spans="2:10">
      <c r="B1345" s="13">
        <v>191</v>
      </c>
      <c r="C1345" s="41" t="s">
        <v>4011</v>
      </c>
      <c r="D1345" s="13"/>
      <c r="E1345" s="51" t="s">
        <v>3</v>
      </c>
      <c r="F1345" s="47">
        <v>73866.247999999992</v>
      </c>
    </row>
    <row r="1346" spans="2:10">
      <c r="B1346" s="13">
        <v>192</v>
      </c>
      <c r="C1346" s="41" t="s">
        <v>4012</v>
      </c>
      <c r="D1346" s="13"/>
      <c r="E1346" s="51" t="s">
        <v>3</v>
      </c>
      <c r="F1346" s="47">
        <f>J1346</f>
        <v>98537.243999999992</v>
      </c>
      <c r="G1346" s="14">
        <v>73866</v>
      </c>
      <c r="H1346" s="14">
        <v>1.1599999999999999</v>
      </c>
      <c r="I1346" s="14">
        <v>1.1499999999999999</v>
      </c>
      <c r="J1346" s="14">
        <f>G1346*H1346*I1346</f>
        <v>98537.243999999992</v>
      </c>
    </row>
    <row r="1347" spans="2:10">
      <c r="B1347" s="13">
        <v>193</v>
      </c>
      <c r="C1347" s="41" t="s">
        <v>4013</v>
      </c>
      <c r="D1347" s="13"/>
      <c r="E1347" s="51" t="s">
        <v>3</v>
      </c>
      <c r="F1347" s="47">
        <f>J1347</f>
        <v>107469.70799999998</v>
      </c>
      <c r="G1347" s="14">
        <v>80562</v>
      </c>
      <c r="H1347" s="14">
        <v>1.1599999999999999</v>
      </c>
      <c r="I1347" s="14">
        <v>1.1499999999999999</v>
      </c>
      <c r="J1347" s="14">
        <f>G1347*H1347*I1347</f>
        <v>107469.70799999998</v>
      </c>
    </row>
    <row r="1348" spans="2:10">
      <c r="B1348" s="13">
        <v>194</v>
      </c>
      <c r="C1348" s="41" t="s">
        <v>4014</v>
      </c>
      <c r="D1348" s="13"/>
      <c r="E1348" s="51" t="s">
        <v>4015</v>
      </c>
      <c r="F1348" s="47">
        <v>212105.99999999997</v>
      </c>
    </row>
    <row r="1349" spans="2:10">
      <c r="B1349" s="13">
        <v>195</v>
      </c>
      <c r="C1349" s="41" t="s">
        <v>4016</v>
      </c>
      <c r="D1349" s="13"/>
      <c r="E1349" s="51" t="s">
        <v>4015</v>
      </c>
      <c r="F1349" s="47">
        <v>10900</v>
      </c>
      <c r="G1349" s="14">
        <v>9500</v>
      </c>
      <c r="H1349" s="14">
        <v>1.1599999999999999</v>
      </c>
      <c r="I1349" s="14">
        <v>1.1499999999999999</v>
      </c>
      <c r="J1349" s="14">
        <f>G1349*H1349*I1349</f>
        <v>12672.999999999998</v>
      </c>
    </row>
    <row r="1350" spans="2:10">
      <c r="B1350" s="13">
        <v>196</v>
      </c>
      <c r="C1350" s="41" t="s">
        <v>4017</v>
      </c>
      <c r="D1350" s="13"/>
      <c r="E1350" s="51" t="s">
        <v>4015</v>
      </c>
      <c r="F1350" s="47">
        <v>62697.999999999993</v>
      </c>
    </row>
    <row r="1351" spans="2:10">
      <c r="B1351" s="13">
        <v>197</v>
      </c>
      <c r="C1351" s="41" t="s">
        <v>4018</v>
      </c>
      <c r="D1351" s="13"/>
      <c r="E1351" s="51" t="s">
        <v>1780</v>
      </c>
      <c r="F1351" s="47">
        <v>215739.99999999997</v>
      </c>
    </row>
    <row r="1352" spans="2:10">
      <c r="B1352" s="13">
        <v>198</v>
      </c>
      <c r="C1352" s="41" t="s">
        <v>4019</v>
      </c>
      <c r="D1352" s="13"/>
      <c r="E1352" s="50" t="s">
        <v>3</v>
      </c>
      <c r="F1352" s="47">
        <f>J1352</f>
        <v>150341.79999999996</v>
      </c>
      <c r="G1352" s="14">
        <v>112700</v>
      </c>
      <c r="H1352" s="14">
        <v>1.1599999999999999</v>
      </c>
      <c r="I1352" s="14">
        <v>1.1499999999999999</v>
      </c>
      <c r="J1352" s="14">
        <f>G1352*H1352*I1352</f>
        <v>150341.79999999996</v>
      </c>
    </row>
    <row r="1353" spans="2:10">
      <c r="B1353" s="13">
        <v>199</v>
      </c>
      <c r="C1353" s="41" t="s">
        <v>4020</v>
      </c>
      <c r="D1353" s="13"/>
      <c r="E1353" s="50" t="s">
        <v>4021</v>
      </c>
      <c r="F1353" s="47">
        <v>640000</v>
      </c>
      <c r="H1353" s="14">
        <v>1.1599999999999999</v>
      </c>
      <c r="I1353" s="14">
        <v>1.1499999999999999</v>
      </c>
      <c r="J1353" s="14">
        <f>G1353*H1353*I1353</f>
        <v>0</v>
      </c>
    </row>
    <row r="1354" spans="2:10">
      <c r="B1354" s="13">
        <v>200</v>
      </c>
      <c r="C1354" s="41" t="s">
        <v>4022</v>
      </c>
      <c r="D1354" s="13"/>
      <c r="E1354" s="50" t="s">
        <v>3</v>
      </c>
      <c r="F1354" s="47">
        <v>7203.5999999999995</v>
      </c>
    </row>
    <row r="1355" spans="2:10">
      <c r="B1355" s="13">
        <v>201</v>
      </c>
      <c r="C1355" s="41" t="s">
        <v>4023</v>
      </c>
      <c r="D1355" s="13"/>
      <c r="E1355" s="50" t="s">
        <v>3</v>
      </c>
      <c r="F1355" s="47">
        <f>J1355</f>
        <v>224111.99999999997</v>
      </c>
      <c r="G1355" s="14">
        <v>168000</v>
      </c>
      <c r="H1355" s="14">
        <v>1.1599999999999999</v>
      </c>
      <c r="I1355" s="14">
        <v>1.1499999999999999</v>
      </c>
      <c r="J1355" s="14">
        <f>G1355*H1355*I1355</f>
        <v>224111.99999999997</v>
      </c>
    </row>
    <row r="1356" spans="2:10">
      <c r="B1356" s="13">
        <v>202</v>
      </c>
      <c r="C1356" s="41" t="s">
        <v>4024</v>
      </c>
      <c r="D1356" s="13"/>
      <c r="E1356" s="50" t="s">
        <v>3</v>
      </c>
      <c r="F1356" s="47">
        <v>15074.199999999999</v>
      </c>
    </row>
    <row r="1357" spans="2:10">
      <c r="B1357" s="13">
        <v>203</v>
      </c>
      <c r="C1357" s="41" t="s">
        <v>4025</v>
      </c>
      <c r="D1357" s="13"/>
      <c r="E1357" s="50" t="s">
        <v>3</v>
      </c>
      <c r="F1357" s="47">
        <v>16349.503999999999</v>
      </c>
    </row>
    <row r="1358" spans="2:10">
      <c r="B1358" s="13">
        <v>204</v>
      </c>
      <c r="C1358" s="41" t="s">
        <v>4026</v>
      </c>
      <c r="D1358" s="13"/>
      <c r="E1358" s="50" t="s">
        <v>3</v>
      </c>
      <c r="F1358" s="47">
        <f>J1358</f>
        <v>21810.238335999995</v>
      </c>
      <c r="G1358" s="52">
        <f>F1357</f>
        <v>16349.503999999999</v>
      </c>
      <c r="H1358" s="14">
        <v>1.1599999999999999</v>
      </c>
      <c r="I1358" s="14">
        <v>1.1499999999999999</v>
      </c>
      <c r="J1358" s="14">
        <f>G1358*H1358*I1358</f>
        <v>21810.238335999995</v>
      </c>
    </row>
    <row r="1359" spans="2:10">
      <c r="B1359" s="13">
        <v>205</v>
      </c>
      <c r="C1359" s="41" t="s">
        <v>4027</v>
      </c>
      <c r="D1359" s="13"/>
      <c r="E1359" s="50" t="s">
        <v>3</v>
      </c>
      <c r="F1359" s="47">
        <f>J1359</f>
        <v>46690</v>
      </c>
      <c r="G1359" s="14">
        <v>35000</v>
      </c>
      <c r="H1359" s="14">
        <v>1.1599999999999999</v>
      </c>
      <c r="I1359" s="14">
        <v>1.1499999999999999</v>
      </c>
      <c r="J1359" s="14">
        <f>G1359*H1359*I1359</f>
        <v>46690</v>
      </c>
    </row>
    <row r="1360" spans="2:10">
      <c r="B1360" s="13">
        <v>206</v>
      </c>
      <c r="C1360" s="41" t="s">
        <v>4028</v>
      </c>
      <c r="D1360" s="13"/>
      <c r="E1360" s="50" t="s">
        <v>3</v>
      </c>
      <c r="F1360" s="47">
        <v>50101.037999999993</v>
      </c>
    </row>
    <row r="1361" spans="2:6">
      <c r="B1361" s="13">
        <v>207</v>
      </c>
      <c r="C1361" s="41" t="s">
        <v>4029</v>
      </c>
      <c r="D1361" s="13"/>
      <c r="E1361" s="50" t="s">
        <v>3</v>
      </c>
      <c r="F1361" s="47">
        <v>49690.165999999997</v>
      </c>
    </row>
    <row r="1362" spans="2:6">
      <c r="B1362" s="13">
        <v>208</v>
      </c>
      <c r="C1362" s="41" t="s">
        <v>4030</v>
      </c>
      <c r="D1362" s="13"/>
      <c r="E1362" s="50" t="s">
        <v>3</v>
      </c>
      <c r="F1362" s="47">
        <v>67274.953999999998</v>
      </c>
    </row>
    <row r="1363" spans="2:6">
      <c r="B1363" s="13">
        <v>209</v>
      </c>
      <c r="C1363" s="41" t="s">
        <v>4031</v>
      </c>
      <c r="D1363" s="13"/>
      <c r="E1363" s="50" t="s">
        <v>3</v>
      </c>
      <c r="F1363" s="47">
        <v>131844.55599999998</v>
      </c>
    </row>
    <row r="1364" spans="2:6">
      <c r="B1364" s="13">
        <v>210</v>
      </c>
      <c r="C1364" s="41" t="s">
        <v>4032</v>
      </c>
      <c r="D1364" s="13"/>
      <c r="E1364" s="50" t="s">
        <v>3</v>
      </c>
      <c r="F1364" s="47">
        <v>22951.469999999998</v>
      </c>
    </row>
    <row r="1365" spans="2:6">
      <c r="B1365" s="13">
        <v>211</v>
      </c>
      <c r="C1365" s="41" t="s">
        <v>4033</v>
      </c>
      <c r="D1365" s="13"/>
      <c r="E1365" s="50" t="s">
        <v>3</v>
      </c>
      <c r="F1365" s="47">
        <v>24192.089999999997</v>
      </c>
    </row>
    <row r="1366" spans="2:6">
      <c r="B1366" s="13">
        <v>212</v>
      </c>
      <c r="C1366" s="41" t="s">
        <v>4034</v>
      </c>
      <c r="D1366" s="13"/>
      <c r="E1366" s="50" t="s">
        <v>3</v>
      </c>
      <c r="F1366" s="47">
        <v>32586.951999999997</v>
      </c>
    </row>
    <row r="1367" spans="2:6">
      <c r="B1367" s="13">
        <v>213</v>
      </c>
      <c r="C1367" s="41" t="s">
        <v>4035</v>
      </c>
      <c r="D1367" s="13"/>
      <c r="E1367" s="50" t="s">
        <v>3</v>
      </c>
      <c r="F1367" s="47">
        <v>64832.399999999994</v>
      </c>
    </row>
    <row r="1368" spans="2:6">
      <c r="B1368" s="13">
        <v>214</v>
      </c>
      <c r="C1368" s="41" t="s">
        <v>4036</v>
      </c>
      <c r="D1368" s="13"/>
      <c r="E1368" s="50" t="s">
        <v>3</v>
      </c>
      <c r="F1368" s="47">
        <v>64832.399999999994</v>
      </c>
    </row>
    <row r="1369" spans="2:6">
      <c r="B1369" s="13">
        <v>215</v>
      </c>
      <c r="C1369" s="41" t="s">
        <v>4037</v>
      </c>
      <c r="D1369" s="13"/>
      <c r="E1369" s="50" t="s">
        <v>3</v>
      </c>
      <c r="F1369" s="47">
        <v>80506.899999999994</v>
      </c>
    </row>
    <row r="1370" spans="2:6">
      <c r="B1370" s="13">
        <v>216</v>
      </c>
      <c r="C1370" s="41" t="s">
        <v>4038</v>
      </c>
      <c r="D1370" s="13"/>
      <c r="E1370" s="50" t="s">
        <v>3</v>
      </c>
      <c r="F1370" s="47">
        <v>43354.999999999993</v>
      </c>
    </row>
    <row r="1371" spans="2:6">
      <c r="B1371" s="13">
        <v>217</v>
      </c>
      <c r="C1371" s="41" t="s">
        <v>4039</v>
      </c>
      <c r="D1371" s="13"/>
      <c r="E1371" s="50" t="s">
        <v>3</v>
      </c>
      <c r="F1371" s="47">
        <v>48557.599999999991</v>
      </c>
    </row>
    <row r="1372" spans="2:6">
      <c r="B1372" s="13">
        <v>218</v>
      </c>
      <c r="C1372" s="41" t="s">
        <v>4040</v>
      </c>
      <c r="D1372" s="13"/>
      <c r="E1372" s="50" t="s">
        <v>3</v>
      </c>
      <c r="F1372" s="47">
        <v>75584.439999999988</v>
      </c>
    </row>
    <row r="1373" spans="2:6">
      <c r="B1373" s="13">
        <v>219</v>
      </c>
      <c r="C1373" s="41" t="s">
        <v>4041</v>
      </c>
      <c r="D1373" s="13"/>
      <c r="E1373" s="50" t="s">
        <v>3</v>
      </c>
      <c r="F1373" s="47">
        <v>96448.199999999983</v>
      </c>
    </row>
    <row r="1374" spans="2:6">
      <c r="B1374" s="13">
        <v>220</v>
      </c>
      <c r="C1374" s="41" t="s">
        <v>4042</v>
      </c>
      <c r="D1374" s="13"/>
      <c r="E1374" s="50" t="s">
        <v>3</v>
      </c>
      <c r="F1374" s="47">
        <v>301483.99999999994</v>
      </c>
    </row>
    <row r="1375" spans="2:6">
      <c r="B1375" s="13">
        <v>221</v>
      </c>
      <c r="C1375" s="41" t="s">
        <v>4043</v>
      </c>
      <c r="D1375" s="13"/>
      <c r="E1375" s="50" t="s">
        <v>3</v>
      </c>
      <c r="F1375" s="47">
        <v>56361.499999999993</v>
      </c>
    </row>
    <row r="1376" spans="2:6">
      <c r="B1376" s="13">
        <v>222</v>
      </c>
      <c r="C1376" s="41" t="s">
        <v>4044</v>
      </c>
      <c r="D1376" s="13"/>
      <c r="E1376" s="50" t="s">
        <v>3</v>
      </c>
      <c r="F1376" s="47">
        <v>75584.439999999988</v>
      </c>
    </row>
    <row r="1377" spans="2:6">
      <c r="B1377" s="13">
        <v>223</v>
      </c>
      <c r="C1377" s="41" t="s">
        <v>4045</v>
      </c>
      <c r="D1377" s="13"/>
      <c r="E1377" s="50" t="s">
        <v>3</v>
      </c>
      <c r="F1377" s="47">
        <v>96381.499999999985</v>
      </c>
    </row>
    <row r="1378" spans="2:6">
      <c r="B1378" s="13">
        <v>224</v>
      </c>
      <c r="C1378" s="41" t="s">
        <v>4046</v>
      </c>
      <c r="D1378" s="13"/>
      <c r="E1378" s="51" t="s">
        <v>3</v>
      </c>
      <c r="F1378" s="47">
        <v>9151.24</v>
      </c>
    </row>
    <row r="1379" spans="2:6">
      <c r="B1379" s="13">
        <v>225</v>
      </c>
      <c r="C1379" s="41" t="s">
        <v>4047</v>
      </c>
      <c r="D1379" s="13"/>
      <c r="E1379" s="51" t="s">
        <v>3</v>
      </c>
      <c r="F1379" s="47">
        <v>25752.869999999995</v>
      </c>
    </row>
    <row r="1380" spans="2:6">
      <c r="B1380" s="13">
        <v>226</v>
      </c>
      <c r="C1380" s="41" t="s">
        <v>4048</v>
      </c>
      <c r="D1380" s="13"/>
      <c r="E1380" s="51" t="s">
        <v>3</v>
      </c>
      <c r="F1380" s="47">
        <v>9151.24</v>
      </c>
    </row>
    <row r="1381" spans="2:6">
      <c r="B1381" s="13">
        <v>227</v>
      </c>
      <c r="C1381" s="41" t="s">
        <v>4049</v>
      </c>
      <c r="D1381" s="13"/>
      <c r="E1381" s="51" t="s">
        <v>3</v>
      </c>
      <c r="F1381" s="47">
        <v>25752.869999999995</v>
      </c>
    </row>
    <row r="1382" spans="2:6">
      <c r="B1382" s="13">
        <v>228</v>
      </c>
      <c r="C1382" s="41" t="s">
        <v>4050</v>
      </c>
      <c r="D1382" s="13"/>
      <c r="E1382" s="51" t="s">
        <v>3</v>
      </c>
      <c r="F1382" s="47">
        <v>72302.799999999988</v>
      </c>
    </row>
    <row r="1383" spans="2:6">
      <c r="B1383" s="13">
        <v>229</v>
      </c>
      <c r="C1383" s="41" t="s">
        <v>4051</v>
      </c>
      <c r="D1383" s="13"/>
      <c r="E1383" s="51" t="s">
        <v>3</v>
      </c>
      <c r="F1383" s="47">
        <v>208370.8</v>
      </c>
    </row>
    <row r="1384" spans="2:6">
      <c r="B1384" s="13">
        <v>230</v>
      </c>
      <c r="C1384" s="41" t="s">
        <v>4052</v>
      </c>
      <c r="D1384" s="13"/>
      <c r="E1384" s="50" t="s">
        <v>2310</v>
      </c>
      <c r="F1384" s="47">
        <v>2613.3059999999996</v>
      </c>
    </row>
    <row r="1385" spans="2:6">
      <c r="B1385" s="13">
        <v>231</v>
      </c>
      <c r="C1385" s="41" t="s">
        <v>4053</v>
      </c>
      <c r="D1385" s="13"/>
      <c r="E1385" s="50" t="s">
        <v>2310</v>
      </c>
      <c r="F1385" s="47">
        <v>1803.5679999999998</v>
      </c>
    </row>
    <row r="1386" spans="2:6">
      <c r="B1386" s="13">
        <v>232</v>
      </c>
      <c r="C1386" s="41" t="s">
        <v>4054</v>
      </c>
      <c r="D1386" s="13"/>
      <c r="E1386" s="50" t="s">
        <v>2310</v>
      </c>
      <c r="F1386" s="47">
        <v>1253.9599999999998</v>
      </c>
    </row>
    <row r="1387" spans="2:6">
      <c r="B1387" s="13">
        <v>233</v>
      </c>
      <c r="C1387" s="41" t="s">
        <v>4055</v>
      </c>
      <c r="D1387" s="13"/>
      <c r="E1387" s="50" t="s">
        <v>2310</v>
      </c>
      <c r="F1387" s="47">
        <v>7043.5199999999995</v>
      </c>
    </row>
    <row r="1388" spans="2:6">
      <c r="B1388" s="13">
        <v>234</v>
      </c>
      <c r="C1388" s="41" t="s">
        <v>4056</v>
      </c>
      <c r="D1388" s="13"/>
      <c r="E1388" s="50" t="s">
        <v>2310</v>
      </c>
      <c r="F1388" s="47">
        <v>4027.3459999999995</v>
      </c>
    </row>
    <row r="1389" spans="2:6">
      <c r="B1389" s="13">
        <v>235</v>
      </c>
      <c r="C1389" s="41" t="s">
        <v>4057</v>
      </c>
      <c r="D1389" s="13"/>
      <c r="E1389" s="50" t="s">
        <v>2310</v>
      </c>
      <c r="F1389" s="47">
        <v>11272.3</v>
      </c>
    </row>
    <row r="1390" spans="2:6">
      <c r="B1390" s="13">
        <v>236</v>
      </c>
      <c r="C1390" s="41" t="s">
        <v>4058</v>
      </c>
      <c r="D1390" s="13"/>
      <c r="E1390" s="50" t="s">
        <v>2310</v>
      </c>
      <c r="F1390" s="47">
        <v>18409.199999999997</v>
      </c>
    </row>
    <row r="1391" spans="2:6">
      <c r="B1391" s="13">
        <v>237</v>
      </c>
      <c r="C1391" s="41" t="s">
        <v>4059</v>
      </c>
      <c r="D1391" s="13"/>
      <c r="E1391" s="50" t="s">
        <v>2310</v>
      </c>
      <c r="F1391" s="47">
        <v>23011.499999999996</v>
      </c>
    </row>
    <row r="1392" spans="2:6">
      <c r="B1392" s="13">
        <v>238</v>
      </c>
      <c r="C1392" s="41" t="s">
        <v>4060</v>
      </c>
      <c r="D1392" s="13"/>
      <c r="E1392" s="50" t="s">
        <v>2310</v>
      </c>
      <c r="F1392" s="47">
        <v>36064.689999999995</v>
      </c>
    </row>
    <row r="1393" spans="2:10">
      <c r="B1393" s="13">
        <v>239</v>
      </c>
      <c r="C1393" s="41" t="s">
        <v>4061</v>
      </c>
      <c r="D1393" s="13"/>
      <c r="E1393" s="50" t="s">
        <v>2310</v>
      </c>
      <c r="F1393" s="47">
        <v>44915.779999999992</v>
      </c>
    </row>
    <row r="1394" spans="2:10">
      <c r="B1394" s="13">
        <v>240</v>
      </c>
      <c r="C1394" s="41" t="s">
        <v>4062</v>
      </c>
      <c r="D1394" s="13"/>
      <c r="E1394" s="50" t="s">
        <v>2310</v>
      </c>
      <c r="F1394" s="47">
        <v>93199.909999999989</v>
      </c>
    </row>
    <row r="1395" spans="2:10">
      <c r="B1395" s="13">
        <v>241</v>
      </c>
      <c r="C1395" s="41" t="s">
        <v>4063</v>
      </c>
      <c r="D1395" s="13"/>
      <c r="E1395" s="50" t="s">
        <v>2310</v>
      </c>
      <c r="F1395" s="47">
        <v>10591.96</v>
      </c>
    </row>
    <row r="1396" spans="2:10">
      <c r="B1396" s="13">
        <v>242</v>
      </c>
      <c r="C1396" s="41" t="s">
        <v>4064</v>
      </c>
      <c r="D1396" s="13"/>
      <c r="E1396" s="51" t="s">
        <v>3</v>
      </c>
      <c r="F1396" s="47">
        <v>10538.599999999999</v>
      </c>
    </row>
    <row r="1397" spans="2:10">
      <c r="B1397" s="13">
        <v>243</v>
      </c>
      <c r="C1397" s="41" t="s">
        <v>4065</v>
      </c>
      <c r="D1397" s="13"/>
      <c r="E1397" s="51" t="s">
        <v>3</v>
      </c>
      <c r="F1397" s="47">
        <v>21177.249999999996</v>
      </c>
    </row>
    <row r="1398" spans="2:10">
      <c r="B1398" s="13">
        <v>244</v>
      </c>
      <c r="C1398" s="41" t="s">
        <v>4066</v>
      </c>
      <c r="D1398" s="13"/>
      <c r="E1398" s="51" t="s">
        <v>3</v>
      </c>
      <c r="F1398" s="47">
        <v>911.12199999999984</v>
      </c>
    </row>
    <row r="1399" spans="2:10">
      <c r="B1399" s="13">
        <v>245</v>
      </c>
      <c r="C1399" s="41" t="s">
        <v>4067</v>
      </c>
      <c r="D1399" s="13"/>
      <c r="E1399" s="51" t="s">
        <v>3</v>
      </c>
      <c r="F1399" s="47">
        <v>1960.9799999999998</v>
      </c>
    </row>
    <row r="1400" spans="2:10">
      <c r="B1400" s="13">
        <v>246</v>
      </c>
      <c r="C1400" s="41" t="s">
        <v>4068</v>
      </c>
      <c r="D1400" s="13"/>
      <c r="E1400" s="51" t="s">
        <v>3</v>
      </c>
      <c r="F1400" s="47">
        <v>1078538.9999999998</v>
      </c>
    </row>
    <row r="1401" spans="2:10">
      <c r="B1401" s="13">
        <v>247</v>
      </c>
      <c r="C1401" s="41" t="s">
        <v>4069</v>
      </c>
      <c r="D1401" s="13"/>
      <c r="E1401" s="51" t="s">
        <v>3</v>
      </c>
      <c r="F1401" s="47">
        <v>367783.8</v>
      </c>
    </row>
    <row r="1402" spans="2:10">
      <c r="B1402" s="13">
        <v>248</v>
      </c>
      <c r="C1402" s="41" t="s">
        <v>4070</v>
      </c>
      <c r="D1402" s="13"/>
      <c r="E1402" s="50" t="s">
        <v>3</v>
      </c>
      <c r="F1402" s="47">
        <v>417808.79999999993</v>
      </c>
    </row>
    <row r="1403" spans="2:10">
      <c r="B1403" s="13">
        <v>249</v>
      </c>
      <c r="C1403" s="41" t="s">
        <v>4071</v>
      </c>
      <c r="D1403" s="13"/>
      <c r="E1403" s="50" t="s">
        <v>3</v>
      </c>
      <c r="F1403" s="47">
        <v>20426.207999999999</v>
      </c>
    </row>
    <row r="1404" spans="2:10">
      <c r="B1404" s="13">
        <v>250</v>
      </c>
      <c r="C1404" s="41" t="s">
        <v>4072</v>
      </c>
      <c r="D1404" s="13"/>
      <c r="E1404" s="50" t="s">
        <v>3</v>
      </c>
      <c r="F1404" s="47">
        <f>J1404</f>
        <v>136468.19999999998</v>
      </c>
      <c r="G1404" s="53">
        <v>102300</v>
      </c>
      <c r="H1404" s="53">
        <v>1.1599999999999999</v>
      </c>
      <c r="I1404" s="53">
        <v>1.1499999999999999</v>
      </c>
      <c r="J1404" s="53">
        <f>G1404*H1404*I1404</f>
        <v>136468.19999999998</v>
      </c>
    </row>
    <row r="1405" spans="2:10" ht="25.5">
      <c r="B1405" s="13">
        <v>251</v>
      </c>
      <c r="C1405" s="41" t="s">
        <v>4073</v>
      </c>
      <c r="D1405" s="13"/>
      <c r="E1405" s="50" t="s">
        <v>3</v>
      </c>
      <c r="F1405" s="47">
        <v>78779.37</v>
      </c>
    </row>
    <row r="1406" spans="2:10" ht="25.5">
      <c r="B1406" s="13">
        <v>252</v>
      </c>
      <c r="C1406" s="41" t="s">
        <v>4074</v>
      </c>
      <c r="D1406" s="13"/>
      <c r="E1406" s="50" t="s">
        <v>3</v>
      </c>
      <c r="F1406" s="47">
        <v>309487.99999999994</v>
      </c>
    </row>
    <row r="1407" spans="2:10">
      <c r="B1407" s="13">
        <v>253</v>
      </c>
      <c r="C1407" s="41" t="s">
        <v>4075</v>
      </c>
      <c r="D1407" s="13"/>
      <c r="E1407" s="50" t="s">
        <v>3</v>
      </c>
      <c r="F1407" s="47">
        <v>366049.6</v>
      </c>
    </row>
    <row r="1408" spans="2:10" ht="25.5">
      <c r="B1408" s="13">
        <v>254</v>
      </c>
      <c r="C1408" s="41" t="s">
        <v>4076</v>
      </c>
      <c r="D1408" s="13"/>
      <c r="E1408" s="50" t="s">
        <v>3</v>
      </c>
      <c r="F1408" s="47">
        <v>117918.93</v>
      </c>
    </row>
    <row r="1409" spans="2:10">
      <c r="B1409" s="13">
        <v>255</v>
      </c>
      <c r="C1409" s="41" t="s">
        <v>4077</v>
      </c>
      <c r="D1409" s="13"/>
      <c r="E1409" s="51" t="s">
        <v>3</v>
      </c>
      <c r="F1409" s="47">
        <f>J1409</f>
        <v>66699.999999999985</v>
      </c>
      <c r="G1409" s="53">
        <v>50000</v>
      </c>
      <c r="H1409" s="53">
        <v>1.1599999999999999</v>
      </c>
      <c r="I1409" s="53">
        <v>1.1499999999999999</v>
      </c>
      <c r="J1409" s="53">
        <f>G1409*H1409*I1409</f>
        <v>66699.999999999985</v>
      </c>
    </row>
    <row r="1410" spans="2:10">
      <c r="B1410" s="13">
        <v>256</v>
      </c>
      <c r="C1410" s="41" t="s">
        <v>4078</v>
      </c>
      <c r="D1410" s="13"/>
      <c r="E1410" s="51" t="s">
        <v>3</v>
      </c>
      <c r="F1410" s="47">
        <v>14673.999999999998</v>
      </c>
    </row>
    <row r="1411" spans="2:10" ht="25.5">
      <c r="B1411" s="13">
        <v>257</v>
      </c>
      <c r="C1411" s="41" t="s">
        <v>4079</v>
      </c>
      <c r="D1411" s="13"/>
      <c r="E1411" s="51" t="s">
        <v>3</v>
      </c>
      <c r="F1411" s="47">
        <v>346306.39999999997</v>
      </c>
    </row>
    <row r="1412" spans="2:10" ht="25.5">
      <c r="B1412" s="13">
        <v>258</v>
      </c>
      <c r="C1412" s="41" t="s">
        <v>4080</v>
      </c>
      <c r="D1412" s="13"/>
      <c r="E1412" s="51" t="s">
        <v>3</v>
      </c>
      <c r="F1412" s="47">
        <v>436184.64999999997</v>
      </c>
    </row>
    <row r="1413" spans="2:10" ht="25.5">
      <c r="B1413" s="13">
        <v>259</v>
      </c>
      <c r="C1413" s="41" t="s">
        <v>4081</v>
      </c>
      <c r="D1413" s="13"/>
      <c r="E1413" s="51" t="s">
        <v>3</v>
      </c>
      <c r="F1413" s="47">
        <v>474337.04999999993</v>
      </c>
    </row>
    <row r="1414" spans="2:10" ht="25.5">
      <c r="B1414" s="13">
        <v>260</v>
      </c>
      <c r="C1414" s="41" t="s">
        <v>4082</v>
      </c>
      <c r="D1414" s="13"/>
      <c r="E1414" s="51" t="s">
        <v>3</v>
      </c>
      <c r="F1414" s="47">
        <v>586413.05999999994</v>
      </c>
    </row>
    <row r="1415" spans="2:10" ht="25.5">
      <c r="B1415" s="13">
        <v>261</v>
      </c>
      <c r="C1415" s="41" t="s">
        <v>4083</v>
      </c>
      <c r="D1415" s="13"/>
      <c r="E1415" s="51" t="s">
        <v>3</v>
      </c>
      <c r="F1415" s="47">
        <v>637585.29999999993</v>
      </c>
    </row>
    <row r="1416" spans="2:10">
      <c r="B1416" s="13">
        <v>262</v>
      </c>
      <c r="C1416" s="41" t="s">
        <v>4084</v>
      </c>
      <c r="D1416" s="13"/>
      <c r="E1416" s="50" t="s">
        <v>3</v>
      </c>
      <c r="F1416" s="47">
        <v>36017.999999999993</v>
      </c>
    </row>
    <row r="1417" spans="2:10">
      <c r="B1417" s="13">
        <v>263</v>
      </c>
      <c r="C1417" s="41" t="s">
        <v>4085</v>
      </c>
      <c r="D1417" s="13"/>
      <c r="E1417" s="50" t="s">
        <v>3</v>
      </c>
      <c r="F1417" s="47">
        <v>712.35599999999988</v>
      </c>
    </row>
    <row r="1418" spans="2:10">
      <c r="B1418" s="13">
        <v>264</v>
      </c>
      <c r="C1418" s="41" t="s">
        <v>4086</v>
      </c>
      <c r="D1418" s="13"/>
      <c r="E1418" s="50" t="s">
        <v>3</v>
      </c>
      <c r="F1418" s="47">
        <v>3743.2039999999997</v>
      </c>
    </row>
    <row r="1419" spans="2:10">
      <c r="B1419" s="13">
        <v>265</v>
      </c>
      <c r="C1419" s="41" t="s">
        <v>4087</v>
      </c>
      <c r="D1419" s="13"/>
      <c r="E1419" s="50" t="s">
        <v>3</v>
      </c>
      <c r="F1419" s="47">
        <v>3655.1599999999994</v>
      </c>
    </row>
    <row r="1420" spans="2:10">
      <c r="B1420" s="13">
        <v>266</v>
      </c>
      <c r="C1420" s="41" t="s">
        <v>4088</v>
      </c>
      <c r="D1420" s="13"/>
      <c r="E1420" s="50" t="s">
        <v>3</v>
      </c>
      <c r="F1420" s="47">
        <v>5286.6419999999998</v>
      </c>
    </row>
    <row r="1421" spans="2:10">
      <c r="B1421" s="13">
        <v>267</v>
      </c>
      <c r="C1421" s="41" t="s">
        <v>4089</v>
      </c>
      <c r="D1421" s="13"/>
      <c r="E1421" s="50" t="s">
        <v>3</v>
      </c>
      <c r="F1421" s="47">
        <v>2347.8399999999997</v>
      </c>
    </row>
    <row r="1422" spans="2:10">
      <c r="B1422" s="13">
        <v>268</v>
      </c>
      <c r="C1422" s="41" t="s">
        <v>4090</v>
      </c>
      <c r="D1422" s="13"/>
      <c r="E1422" s="50" t="s">
        <v>3</v>
      </c>
      <c r="F1422" s="47">
        <v>15674.499999999998</v>
      </c>
    </row>
    <row r="1423" spans="2:10">
      <c r="B1423" s="13">
        <v>269</v>
      </c>
      <c r="C1423" s="41" t="s">
        <v>4091</v>
      </c>
      <c r="D1423" s="13"/>
      <c r="E1423" s="50" t="s">
        <v>3</v>
      </c>
      <c r="F1423" s="47">
        <v>42554.6</v>
      </c>
    </row>
    <row r="1424" spans="2:10">
      <c r="B1424" s="13">
        <v>270</v>
      </c>
      <c r="C1424" s="41" t="s">
        <v>4092</v>
      </c>
      <c r="D1424" s="13"/>
      <c r="E1424" s="51" t="s">
        <v>3</v>
      </c>
      <c r="F1424" s="47">
        <f>+J1424*1.5</f>
        <v>2070600</v>
      </c>
      <c r="G1424" s="53">
        <v>700000</v>
      </c>
      <c r="H1424" s="53">
        <v>1.1599999999999999</v>
      </c>
      <c r="I1424" s="54">
        <v>1.7</v>
      </c>
      <c r="J1424" s="53">
        <f>G1424*H1424*I1424</f>
        <v>1380400</v>
      </c>
    </row>
    <row r="1425" spans="2:10">
      <c r="B1425" s="13">
        <v>271</v>
      </c>
      <c r="C1425" s="41" t="s">
        <v>4093</v>
      </c>
      <c r="D1425" s="13"/>
      <c r="E1425" s="51" t="s">
        <v>3</v>
      </c>
      <c r="F1425" s="47">
        <f>J1425</f>
        <v>790320</v>
      </c>
      <c r="G1425" s="53">
        <v>480000</v>
      </c>
      <c r="H1425" s="53">
        <v>1.1599999999999999</v>
      </c>
      <c r="I1425" s="53">
        <v>1.1499999999999999</v>
      </c>
      <c r="J1425" s="53">
        <f>G1425*H1425*I1425+150000</f>
        <v>790320</v>
      </c>
    </row>
    <row r="1426" spans="2:10">
      <c r="B1426" s="13">
        <v>272</v>
      </c>
      <c r="C1426" s="41" t="s">
        <v>4094</v>
      </c>
      <c r="D1426" s="13"/>
      <c r="E1426" s="51" t="s">
        <v>3</v>
      </c>
      <c r="F1426" s="47">
        <f>J1426</f>
        <v>1083800</v>
      </c>
      <c r="G1426" s="53">
        <v>700000</v>
      </c>
      <c r="H1426" s="53">
        <v>1.1599999999999999</v>
      </c>
      <c r="I1426" s="53">
        <v>1.1499999999999999</v>
      </c>
      <c r="J1426" s="53">
        <f>G1426*H1426*I1426+150000</f>
        <v>1083800</v>
      </c>
    </row>
    <row r="1427" spans="2:10">
      <c r="B1427" s="13">
        <v>273</v>
      </c>
      <c r="C1427" s="41" t="s">
        <v>4095</v>
      </c>
      <c r="D1427" s="13"/>
      <c r="E1427" s="50" t="s">
        <v>3</v>
      </c>
      <c r="F1427" s="47">
        <v>111255.59999999999</v>
      </c>
      <c r="G1427" s="53"/>
      <c r="H1427" s="53"/>
      <c r="I1427" s="53"/>
      <c r="J1427" s="53"/>
    </row>
    <row r="1428" spans="2:10">
      <c r="B1428" s="13">
        <v>274</v>
      </c>
      <c r="C1428" s="12" t="s">
        <v>4096</v>
      </c>
      <c r="D1428" s="13"/>
      <c r="E1428" s="50" t="s">
        <v>3</v>
      </c>
      <c r="F1428" s="25">
        <f>J1428</f>
        <v>153196.55999999997</v>
      </c>
      <c r="G1428" s="53">
        <v>114840</v>
      </c>
      <c r="H1428" s="53">
        <v>1.1599999999999999</v>
      </c>
      <c r="I1428" s="53">
        <v>1.1499999999999999</v>
      </c>
      <c r="J1428" s="53">
        <f>G1428*H1428*I1428</f>
        <v>153196.55999999997</v>
      </c>
    </row>
    <row r="1429" spans="2:10">
      <c r="C1429" s="48"/>
      <c r="D1429" s="48"/>
      <c r="E1429" s="2"/>
      <c r="F1429" s="49"/>
    </row>
    <row r="1430" spans="2:10">
      <c r="C1430" s="48"/>
      <c r="D1430" s="48"/>
      <c r="E1430" s="2"/>
      <c r="F1430" s="49"/>
    </row>
    <row r="1431" spans="2:10">
      <c r="C1431" s="48"/>
      <c r="D1431" s="48"/>
      <c r="E1431" s="2"/>
      <c r="F1431" s="49"/>
    </row>
    <row r="1432" spans="2:10">
      <c r="C1432" s="48"/>
      <c r="D1432" s="48"/>
      <c r="E1432" s="2"/>
      <c r="F1432" s="49"/>
    </row>
    <row r="1433" spans="2:10">
      <c r="E1433" s="2"/>
      <c r="F1433" s="49"/>
    </row>
    <row r="1434" spans="2:10">
      <c r="E1434" s="2"/>
      <c r="F1434" s="49"/>
    </row>
  </sheetData>
  <conditionalFormatting sqref="C6:C1429">
    <cfRule type="cellIs" dxfId="139" priority="140" stopIfTrue="1" operator="greaterThan">
      <formula>0</formula>
    </cfRule>
  </conditionalFormatting>
  <conditionalFormatting sqref="C88:C89 C963:C965">
    <cfRule type="cellIs" dxfId="138" priority="139" stopIfTrue="1" operator="greaterThan">
      <formula>0</formula>
    </cfRule>
  </conditionalFormatting>
  <conditionalFormatting sqref="C732">
    <cfRule type="duplicateValues" dxfId="137" priority="138"/>
  </conditionalFormatting>
  <conditionalFormatting sqref="C1267">
    <cfRule type="duplicateValues" dxfId="136" priority="137"/>
  </conditionalFormatting>
  <conditionalFormatting sqref="C1147">
    <cfRule type="duplicateValues" dxfId="135" priority="136"/>
  </conditionalFormatting>
  <conditionalFormatting sqref="C1196">
    <cfRule type="duplicateValues" dxfId="134" priority="135"/>
  </conditionalFormatting>
  <conditionalFormatting sqref="C524">
    <cfRule type="duplicateValues" dxfId="133" priority="134"/>
  </conditionalFormatting>
  <conditionalFormatting sqref="C532">
    <cfRule type="duplicateValues" dxfId="132" priority="133"/>
  </conditionalFormatting>
  <conditionalFormatting sqref="C811:C822">
    <cfRule type="duplicateValues" dxfId="131" priority="132"/>
  </conditionalFormatting>
  <conditionalFormatting sqref="C1117">
    <cfRule type="duplicateValues" dxfId="130" priority="131"/>
  </conditionalFormatting>
  <conditionalFormatting sqref="C287">
    <cfRule type="duplicateValues" dxfId="129" priority="130"/>
  </conditionalFormatting>
  <conditionalFormatting sqref="C725:C731">
    <cfRule type="duplicateValues" dxfId="128" priority="129"/>
  </conditionalFormatting>
  <conditionalFormatting sqref="C655:C661">
    <cfRule type="duplicateValues" dxfId="127" priority="128"/>
  </conditionalFormatting>
  <conditionalFormatting sqref="C343">
    <cfRule type="duplicateValues" dxfId="126" priority="127"/>
  </conditionalFormatting>
  <conditionalFormatting sqref="C159:C160 C83:C84 C155 C162 C25:C28 C288:C289 C123:C139 C339 C341 C344:C349 C313:C314 C87:C92 C61:C64 C71:C74 C68:C69 C99:C120 C141:C148 C263:C286 C400:C402 C404:C417 C612:C636 C525:C531 C639:C640 C607:C610 C195 C326:C335 C387:C392 C320 C164:C167 C175 C177:C192 C76:C81 C170 C355:C357 C151:C153 C441:C466 C435:C439 C713 C35:C52 C207:C261 C470:C523 C533:C589 C361:C385 C424:C427 C715:C721 C7:C23">
    <cfRule type="duplicateValues" dxfId="125" priority="126"/>
  </conditionalFormatting>
  <conditionalFormatting sqref="C1214:C1227 C1022 C955:C956 C796:C801 C1024:C1039 C1049:C1054 C355:C357 C1229 C341 C344:C349 C313:C314 C1057:C1067 C826:C835 C61:C64 C71:C74 C68:C69 C99:C139 C938:C945 C141:C148 C263:C286 C400:C402 C404:C417 C858:C861 C525:C531 C950:C952 C662:C663 C674:C691 C1019:C1020 C704 C1017 C441:C466 C863:C870 C872:C873 C885:C888 C890:C903 C1093 C998:C1013 C875:C883 C1097:C1103 C823:C824 C1144:C1146 C766:C774 C387:C392 C1086:C1091 C195 C808:C810 C339 C320 C698:C702 C924:C935 C151:C167 C175 C177:C192 C76:C92 C170 C947:C948 C1118:C1130 C962:C988 C1232:C1269 C326:C335 C711:C721 C435:C439 C607:C610 C706 C990:C995 C1135:C1142 C1197:C1200 C612:C654 C696 C837:C854 C1148:C1183 C288:C289 C207:C261 C470:C523 C1042:C1047 C533:C589 C732:C739 C913:C922 C1105:C1116 C361:C385 C747:C763 C1187:C1195 C424:C427 C1293:C1298 C6:C52">
    <cfRule type="duplicateValues" dxfId="124" priority="125"/>
  </conditionalFormatting>
  <conditionalFormatting sqref="C340">
    <cfRule type="duplicateValues" dxfId="123" priority="124"/>
  </conditionalFormatting>
  <conditionalFormatting sqref="C1270:C1292">
    <cfRule type="duplicateValues" dxfId="122" priority="123"/>
  </conditionalFormatting>
  <conditionalFormatting sqref="C1299:C1303">
    <cfRule type="duplicateValues" dxfId="121" priority="122"/>
  </conditionalFormatting>
  <conditionalFormatting sqref="C342">
    <cfRule type="duplicateValues" dxfId="120" priority="121"/>
  </conditionalFormatting>
  <conditionalFormatting sqref="C764:C765">
    <cfRule type="duplicateValues" dxfId="119" priority="120"/>
  </conditionalFormatting>
  <conditionalFormatting sqref="C351:C353">
    <cfRule type="duplicateValues" dxfId="118" priority="119"/>
  </conditionalFormatting>
  <conditionalFormatting sqref="C53">
    <cfRule type="duplicateValues" dxfId="117" priority="118"/>
  </conditionalFormatting>
  <conditionalFormatting sqref="C54">
    <cfRule type="duplicateValues" dxfId="116" priority="117"/>
  </conditionalFormatting>
  <conditionalFormatting sqref="C55">
    <cfRule type="duplicateValues" dxfId="115" priority="116"/>
  </conditionalFormatting>
  <conditionalFormatting sqref="C56">
    <cfRule type="duplicateValues" dxfId="114" priority="115"/>
  </conditionalFormatting>
  <conditionalFormatting sqref="C57">
    <cfRule type="duplicateValues" dxfId="113" priority="114"/>
  </conditionalFormatting>
  <conditionalFormatting sqref="C58:C60">
    <cfRule type="duplicateValues" dxfId="112" priority="113"/>
  </conditionalFormatting>
  <conditionalFormatting sqref="C70">
    <cfRule type="duplicateValues" dxfId="111" priority="112"/>
  </conditionalFormatting>
  <conditionalFormatting sqref="C65">
    <cfRule type="duplicateValues" dxfId="110" priority="111"/>
  </conditionalFormatting>
  <conditionalFormatting sqref="C310:C312 C293:C303 C305">
    <cfRule type="duplicateValues" dxfId="109" priority="110"/>
  </conditionalFormatting>
  <conditionalFormatting sqref="C66:C67">
    <cfRule type="duplicateValues" dxfId="108" priority="109"/>
  </conditionalFormatting>
  <conditionalFormatting sqref="C93:C98">
    <cfRule type="duplicateValues" dxfId="107" priority="108"/>
  </conditionalFormatting>
  <conditionalFormatting sqref="C140">
    <cfRule type="duplicateValues" dxfId="106" priority="107"/>
  </conditionalFormatting>
  <conditionalFormatting sqref="C262">
    <cfRule type="duplicateValues" dxfId="105" priority="106"/>
  </conditionalFormatting>
  <conditionalFormatting sqref="C418:C419">
    <cfRule type="duplicateValues" dxfId="104" priority="105"/>
  </conditionalFormatting>
  <conditionalFormatting sqref="C420:C422">
    <cfRule type="duplicateValues" dxfId="103" priority="104"/>
  </conditionalFormatting>
  <conditionalFormatting sqref="C423">
    <cfRule type="duplicateValues" dxfId="102" priority="103"/>
  </conditionalFormatting>
  <conditionalFormatting sqref="C428">
    <cfRule type="duplicateValues" dxfId="101" priority="102"/>
  </conditionalFormatting>
  <conditionalFormatting sqref="C440">
    <cfRule type="duplicateValues" dxfId="100" priority="101"/>
  </conditionalFormatting>
  <conditionalFormatting sqref="C467:C469">
    <cfRule type="duplicateValues" dxfId="99" priority="100"/>
  </conditionalFormatting>
  <conditionalFormatting sqref="C611">
    <cfRule type="duplicateValues" dxfId="98" priority="99"/>
  </conditionalFormatting>
  <conditionalFormatting sqref="C664:C665">
    <cfRule type="duplicateValues" dxfId="97" priority="98"/>
  </conditionalFormatting>
  <conditionalFormatting sqref="C666:C667">
    <cfRule type="duplicateValues" dxfId="96" priority="97"/>
  </conditionalFormatting>
  <conditionalFormatting sqref="C670:C671">
    <cfRule type="duplicateValues" dxfId="95" priority="96"/>
  </conditionalFormatting>
  <conditionalFormatting sqref="C672">
    <cfRule type="duplicateValues" dxfId="94" priority="95"/>
  </conditionalFormatting>
  <conditionalFormatting sqref="C673:C674">
    <cfRule type="duplicateValues" dxfId="93" priority="94"/>
  </conditionalFormatting>
  <conditionalFormatting sqref="C692:C695">
    <cfRule type="duplicateValues" dxfId="92" priority="93"/>
  </conditionalFormatting>
  <conditionalFormatting sqref="C697">
    <cfRule type="duplicateValues" dxfId="91" priority="92"/>
  </conditionalFormatting>
  <conditionalFormatting sqref="C705">
    <cfRule type="duplicateValues" dxfId="90" priority="91"/>
  </conditionalFormatting>
  <conditionalFormatting sqref="C707">
    <cfRule type="duplicateValues" dxfId="89" priority="90"/>
  </conditionalFormatting>
  <conditionalFormatting sqref="C708">
    <cfRule type="duplicateValues" dxfId="88" priority="89"/>
  </conditionalFormatting>
  <conditionalFormatting sqref="C709">
    <cfRule type="duplicateValues" dxfId="87" priority="88"/>
  </conditionalFormatting>
  <conditionalFormatting sqref="C710">
    <cfRule type="duplicateValues" dxfId="86" priority="87"/>
  </conditionalFormatting>
  <conditionalFormatting sqref="C776:C783">
    <cfRule type="duplicateValues" dxfId="85" priority="86"/>
  </conditionalFormatting>
  <conditionalFormatting sqref="C786:C787">
    <cfRule type="duplicateValues" dxfId="84" priority="85"/>
  </conditionalFormatting>
  <conditionalFormatting sqref="C784:C785">
    <cfRule type="duplicateValues" dxfId="83" priority="84"/>
  </conditionalFormatting>
  <conditionalFormatting sqref="C791">
    <cfRule type="duplicateValues" dxfId="82" priority="83"/>
  </conditionalFormatting>
  <conditionalFormatting sqref="C792:C795">
    <cfRule type="duplicateValues" dxfId="81" priority="82"/>
  </conditionalFormatting>
  <conditionalFormatting sqref="C788:C790">
    <cfRule type="duplicateValues" dxfId="80" priority="81"/>
  </conditionalFormatting>
  <conditionalFormatting sqref="C802:C806">
    <cfRule type="duplicateValues" dxfId="79" priority="80"/>
  </conditionalFormatting>
  <conditionalFormatting sqref="C836">
    <cfRule type="duplicateValues" dxfId="78" priority="79"/>
  </conditionalFormatting>
  <conditionalFormatting sqref="C854:C857">
    <cfRule type="duplicateValues" dxfId="77" priority="78"/>
  </conditionalFormatting>
  <conditionalFormatting sqref="C862">
    <cfRule type="duplicateValues" dxfId="76" priority="77"/>
  </conditionalFormatting>
  <conditionalFormatting sqref="C871">
    <cfRule type="duplicateValues" dxfId="75" priority="76"/>
  </conditionalFormatting>
  <conditionalFormatting sqref="C884">
    <cfRule type="duplicateValues" dxfId="74" priority="75"/>
  </conditionalFormatting>
  <conditionalFormatting sqref="C923">
    <cfRule type="duplicateValues" dxfId="73" priority="74"/>
  </conditionalFormatting>
  <conditionalFormatting sqref="C935:C937">
    <cfRule type="duplicateValues" dxfId="72" priority="73"/>
  </conditionalFormatting>
  <conditionalFormatting sqref="C938">
    <cfRule type="duplicateValues" dxfId="71" priority="72"/>
  </conditionalFormatting>
  <conditionalFormatting sqref="C960:C962">
    <cfRule type="duplicateValues" dxfId="70" priority="71"/>
  </conditionalFormatting>
  <conditionalFormatting sqref="C996">
    <cfRule type="duplicateValues" dxfId="69" priority="70"/>
  </conditionalFormatting>
  <conditionalFormatting sqref="C997">
    <cfRule type="duplicateValues" dxfId="68" priority="69"/>
  </conditionalFormatting>
  <conditionalFormatting sqref="C1015:C1016">
    <cfRule type="duplicateValues" dxfId="67" priority="68"/>
  </conditionalFormatting>
  <conditionalFormatting sqref="C1048">
    <cfRule type="duplicateValues" dxfId="66" priority="67"/>
  </conditionalFormatting>
  <conditionalFormatting sqref="C1068:C1083">
    <cfRule type="duplicateValues" dxfId="65" priority="66"/>
  </conditionalFormatting>
  <conditionalFormatting sqref="C1085">
    <cfRule type="duplicateValues" dxfId="64" priority="65"/>
  </conditionalFormatting>
  <conditionalFormatting sqref="C1092">
    <cfRule type="duplicateValues" dxfId="63" priority="64"/>
  </conditionalFormatting>
  <conditionalFormatting sqref="C1095:C1096">
    <cfRule type="duplicateValues" dxfId="62" priority="63"/>
  </conditionalFormatting>
  <conditionalFormatting sqref="C1104">
    <cfRule type="duplicateValues" dxfId="61" priority="62"/>
  </conditionalFormatting>
  <conditionalFormatting sqref="C1134">
    <cfRule type="duplicateValues" dxfId="60" priority="61"/>
  </conditionalFormatting>
  <conditionalFormatting sqref="C1131">
    <cfRule type="duplicateValues" dxfId="59" priority="60"/>
  </conditionalFormatting>
  <conditionalFormatting sqref="C1132:C1133">
    <cfRule type="duplicateValues" dxfId="58" priority="59"/>
  </conditionalFormatting>
  <conditionalFormatting sqref="C1084">
    <cfRule type="duplicateValues" dxfId="57" priority="58"/>
  </conditionalFormatting>
  <conditionalFormatting sqref="C590:C606">
    <cfRule type="duplicateValues" dxfId="56" priority="57"/>
  </conditionalFormatting>
  <conditionalFormatting sqref="C290:C292">
    <cfRule type="duplicateValues" dxfId="55" priority="56"/>
  </conditionalFormatting>
  <conditionalFormatting sqref="C742">
    <cfRule type="duplicateValues" dxfId="54" priority="55"/>
  </conditionalFormatting>
  <conditionalFormatting sqref="C740:C741 C743:C746">
    <cfRule type="duplicateValues" dxfId="53" priority="54"/>
  </conditionalFormatting>
  <conditionalFormatting sqref="C740:C741">
    <cfRule type="duplicateValues" dxfId="52" priority="53"/>
  </conditionalFormatting>
  <conditionalFormatting sqref="C1231">
    <cfRule type="duplicateValues" dxfId="51" priority="52"/>
  </conditionalFormatting>
  <conditionalFormatting sqref="C1228">
    <cfRule type="duplicateValues" dxfId="50" priority="51"/>
  </conditionalFormatting>
  <conditionalFormatting sqref="C1230">
    <cfRule type="duplicateValues" dxfId="49" priority="50"/>
  </conditionalFormatting>
  <conditionalFormatting sqref="C149:C150">
    <cfRule type="duplicateValues" dxfId="48" priority="49"/>
  </conditionalFormatting>
  <conditionalFormatting sqref="C403">
    <cfRule type="duplicateValues" dxfId="47" priority="48"/>
  </conditionalFormatting>
  <conditionalFormatting sqref="C807">
    <cfRule type="duplicateValues" dxfId="46" priority="47"/>
  </conditionalFormatting>
  <conditionalFormatting sqref="C322">
    <cfRule type="duplicateValues" dxfId="45" priority="46"/>
  </conditionalFormatting>
  <conditionalFormatting sqref="C323:C324">
    <cfRule type="duplicateValues" dxfId="44" priority="45"/>
  </conditionalFormatting>
  <conditionalFormatting sqref="C321">
    <cfRule type="duplicateValues" dxfId="43" priority="44"/>
  </conditionalFormatting>
  <conditionalFormatting sqref="C306:C309">
    <cfRule type="duplicateValues" dxfId="42" priority="43"/>
  </conditionalFormatting>
  <conditionalFormatting sqref="C386">
    <cfRule type="duplicateValues" dxfId="41" priority="42"/>
  </conditionalFormatting>
  <conditionalFormatting sqref="C304">
    <cfRule type="duplicateValues" dxfId="40" priority="41"/>
  </conditionalFormatting>
  <conditionalFormatting sqref="C703">
    <cfRule type="duplicateValues" dxfId="39" priority="40"/>
  </conditionalFormatting>
  <conditionalFormatting sqref="C315:C319">
    <cfRule type="duplicateValues" dxfId="38" priority="39"/>
  </conditionalFormatting>
  <conditionalFormatting sqref="C354">
    <cfRule type="duplicateValues" dxfId="37" priority="38"/>
  </conditionalFormatting>
  <conditionalFormatting sqref="C358:C360">
    <cfRule type="duplicateValues" dxfId="36" priority="37"/>
  </conditionalFormatting>
  <conditionalFormatting sqref="C193">
    <cfRule type="duplicateValues" dxfId="35" priority="36"/>
  </conditionalFormatting>
  <conditionalFormatting sqref="C194">
    <cfRule type="duplicateValues" dxfId="34" priority="35"/>
  </conditionalFormatting>
  <conditionalFormatting sqref="C196:C206">
    <cfRule type="duplicateValues" dxfId="33" priority="34"/>
  </conditionalFormatting>
  <conditionalFormatting sqref="C1094">
    <cfRule type="duplicateValues" dxfId="32" priority="33"/>
  </conditionalFormatting>
  <conditionalFormatting sqref="C171:C174">
    <cfRule type="duplicateValues" dxfId="31" priority="32"/>
  </conditionalFormatting>
  <conditionalFormatting sqref="C171">
    <cfRule type="duplicateValues" dxfId="30" priority="31"/>
  </conditionalFormatting>
  <conditionalFormatting sqref="C176">
    <cfRule type="duplicateValues" dxfId="29" priority="30"/>
  </conditionalFormatting>
  <conditionalFormatting sqref="C75">
    <cfRule type="duplicateValues" dxfId="28" priority="29"/>
  </conditionalFormatting>
  <conditionalFormatting sqref="C168:C169">
    <cfRule type="duplicateValues" dxfId="27" priority="28"/>
  </conditionalFormatting>
  <conditionalFormatting sqref="C350">
    <cfRule type="duplicateValues" dxfId="26" priority="27"/>
  </conditionalFormatting>
  <conditionalFormatting sqref="C668:C669">
    <cfRule type="duplicateValues" dxfId="25" priority="26"/>
  </conditionalFormatting>
  <conditionalFormatting sqref="C889">
    <cfRule type="duplicateValues" dxfId="24" priority="25"/>
  </conditionalFormatting>
  <conditionalFormatting sqref="C325">
    <cfRule type="duplicateValues" dxfId="23" priority="24"/>
  </conditionalFormatting>
  <conditionalFormatting sqref="C775">
    <cfRule type="duplicateValues" dxfId="22" priority="23"/>
  </conditionalFormatting>
  <conditionalFormatting sqref="C937">
    <cfRule type="duplicateValues" dxfId="21" priority="22"/>
  </conditionalFormatting>
  <conditionalFormatting sqref="C946">
    <cfRule type="duplicateValues" dxfId="20" priority="21"/>
  </conditionalFormatting>
  <conditionalFormatting sqref="C722:C724">
    <cfRule type="duplicateValues" dxfId="19" priority="20"/>
  </conditionalFormatting>
  <conditionalFormatting sqref="C393:C399">
    <cfRule type="duplicateValues" dxfId="18" priority="19"/>
  </conditionalFormatting>
  <conditionalFormatting sqref="C336:C338">
    <cfRule type="duplicateValues" dxfId="17" priority="18"/>
  </conditionalFormatting>
  <conditionalFormatting sqref="C825:C826">
    <cfRule type="duplicateValues" dxfId="16" priority="17"/>
  </conditionalFormatting>
  <conditionalFormatting sqref="C874">
    <cfRule type="duplicateValues" dxfId="15" priority="16"/>
  </conditionalFormatting>
  <conditionalFormatting sqref="C957:C959">
    <cfRule type="duplicateValues" dxfId="14" priority="15"/>
  </conditionalFormatting>
  <conditionalFormatting sqref="C1040:C1041">
    <cfRule type="duplicateValues" dxfId="13" priority="14"/>
  </conditionalFormatting>
  <conditionalFormatting sqref="C1055:C1056">
    <cfRule type="duplicateValues" dxfId="12" priority="13"/>
  </conditionalFormatting>
  <conditionalFormatting sqref="C1143">
    <cfRule type="duplicateValues" dxfId="11" priority="12"/>
  </conditionalFormatting>
  <conditionalFormatting sqref="C197:C206">
    <cfRule type="duplicateValues" dxfId="10" priority="11"/>
  </conditionalFormatting>
  <conditionalFormatting sqref="C230">
    <cfRule type="duplicateValues" dxfId="9" priority="10"/>
  </conditionalFormatting>
  <conditionalFormatting sqref="C429:C434">
    <cfRule type="duplicateValues" dxfId="8" priority="9"/>
  </conditionalFormatting>
  <conditionalFormatting sqref="C589">
    <cfRule type="duplicateValues" dxfId="7" priority="8"/>
  </conditionalFormatting>
  <conditionalFormatting sqref="C858:C861 C706 C154 C161 C25:C27 C288:C289 C339 C341 C344:C349 C313:C314 C711:C721 C826:C835 C355:C357 C86:C92 C61:C64 C71:C74 C68:C69 C99:C119 C141:C148 C263:C286 C400:C402 C404:C417 C607:C610 C156:C159 C662:C663 C1148:C1183 C1086:C1091 C704 C1232:C1266 C441:C466 C863:C870 C872:C873 C875:C883 C885:C888 C1049:C1054 C1057:C1067 C796:C801 C808:C810 C998:C1014 C1097:C1103 C696 C1144:C1146 C766:C774 C1229 C938:C945 C195 C1118:C1130 C326:C335 C924:C935 C320 C698:C702 C525:C531 C163:C167 C175 C177:C192 C76:C80 C170 C947:C956 C1135:C1142 C962:C995 C121:C139 C151:C152 C387:C392 C435:C439 C674:C691 C1197:C1200 C1093 C612:C654 C823:C824 C837:C854 C1017:C1039 C82:C83 C34:C52 C207:C261 C470:C523 C1042:C1047 C533:C589 C732:C739 C890:C922 C1105:C1116 C361:C385 C747:C763 C1187:C1195 C424:C427 C1214:C1227 C6:C23">
    <cfRule type="duplicateValues" dxfId="6" priority="7"/>
  </conditionalFormatting>
  <conditionalFormatting sqref="C1201:C1213">
    <cfRule type="duplicateValues" dxfId="5" priority="6"/>
  </conditionalFormatting>
  <conditionalFormatting sqref="C1253:C1255">
    <cfRule type="duplicateValues" dxfId="4" priority="5"/>
  </conditionalFormatting>
  <conditionalFormatting sqref="C117:C119">
    <cfRule type="duplicateValues" dxfId="3" priority="4"/>
  </conditionalFormatting>
  <conditionalFormatting sqref="C1304">
    <cfRule type="duplicateValues" dxfId="2" priority="3"/>
  </conditionalFormatting>
  <conditionalFormatting sqref="C1305:C1428">
    <cfRule type="cellIs" dxfId="1" priority="2" stopIfTrue="1" operator="greaterThan">
      <formula>0</formula>
    </cfRule>
  </conditionalFormatting>
  <conditionalFormatting sqref="C1305:C1428">
    <cfRule type="duplicateValues" dxfId="0" priority="1"/>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10</vt:i4>
      </vt:variant>
    </vt:vector>
  </HeadingPairs>
  <TitlesOfParts>
    <vt:vector size="24" baseType="lpstr">
      <vt:lpstr>ENTREGA</vt:lpstr>
      <vt:lpstr>COSTOS</vt:lpstr>
      <vt:lpstr>INDEXADO</vt:lpstr>
      <vt:lpstr>APU</vt:lpstr>
      <vt:lpstr>Materiales </vt:lpstr>
      <vt:lpstr>Luminarias </vt:lpstr>
      <vt:lpstr>Mano Obra</vt:lpstr>
      <vt:lpstr>Equip, Herr y Transp</vt:lpstr>
      <vt:lpstr>Presupuesto EPP</vt:lpstr>
      <vt:lpstr>RELACION EXTRA</vt:lpstr>
      <vt:lpstr>Listas</vt:lpstr>
      <vt:lpstr>Directorio</vt:lpstr>
      <vt:lpstr>Hoja2</vt:lpstr>
      <vt:lpstr>Lista Maestra Materiales</vt:lpstr>
      <vt:lpstr>APU!Área_de_impresión</vt:lpstr>
      <vt:lpstr>COSTOS!Área_de_impresión</vt:lpstr>
      <vt:lpstr>her</vt:lpstr>
      <vt:lpstr>'Lista Maestra Materiales'!MAT</vt:lpstr>
      <vt:lpstr>MAT</vt:lpstr>
      <vt:lpstr>'Lista Maestra Materiales'!Mate</vt:lpstr>
      <vt:lpstr>Mate</vt:lpstr>
      <vt:lpstr>'Lista Maestra Materiales'!MATERIALES</vt:lpstr>
      <vt:lpstr>MATERIALES</vt:lpstr>
      <vt:lpstr>mo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Rumba Habana</dc:creator>
  <cp:lastModifiedBy>Alvaro Navarro Corrales</cp:lastModifiedBy>
  <cp:lastPrinted>2021-08-24T16:30:01Z</cp:lastPrinted>
  <dcterms:created xsi:type="dcterms:W3CDTF">2013-03-16T15:58:16Z</dcterms:created>
  <dcterms:modified xsi:type="dcterms:W3CDTF">2022-11-24T17:19:45Z</dcterms:modified>
</cp:coreProperties>
</file>